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11070" windowWidth="28650" windowHeight="1875"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K81" i="8"/>
  <c r="J81"/>
  <c r="I81"/>
  <c r="H81"/>
  <c r="G81"/>
  <c r="F81"/>
  <c r="E81"/>
  <c r="D81"/>
  <c r="C81"/>
  <c r="B81"/>
  <c r="K52"/>
  <c r="J52"/>
  <c r="I52"/>
  <c r="H52"/>
  <c r="G52"/>
  <c r="F52"/>
  <c r="E52"/>
  <c r="D52"/>
  <c r="C52"/>
  <c r="B52"/>
  <c r="P180" i="46" l="1"/>
  <c r="A1683"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K1625" s="1"/>
  <c r="I1625"/>
  <c r="J1624"/>
  <c r="I1624"/>
  <c r="J1623"/>
  <c r="I1623"/>
  <c r="J1622"/>
  <c r="K1622" s="1"/>
  <c r="I1622"/>
  <c r="J1621"/>
  <c r="I1621"/>
  <c r="F1625"/>
  <c r="E1625"/>
  <c r="F1624"/>
  <c r="E1624"/>
  <c r="F1623"/>
  <c r="E1623"/>
  <c r="F1622"/>
  <c r="G1622" s="1"/>
  <c r="E1622"/>
  <c r="F1621"/>
  <c r="E1621"/>
  <c r="J1612"/>
  <c r="I1612"/>
  <c r="J1611"/>
  <c r="K1611" s="1"/>
  <c r="I1611"/>
  <c r="J1610"/>
  <c r="I1610"/>
  <c r="J1609"/>
  <c r="I1609"/>
  <c r="J1608"/>
  <c r="I1608"/>
  <c r="F1608"/>
  <c r="F1609"/>
  <c r="F1610"/>
  <c r="F1611"/>
  <c r="F1612"/>
  <c r="E1609"/>
  <c r="G1609" s="1"/>
  <c r="E1610"/>
  <c r="G1610" s="1"/>
  <c r="E1611"/>
  <c r="E1612"/>
  <c r="E1608"/>
  <c r="G1649"/>
  <c r="G1647"/>
  <c r="F1632"/>
  <c r="E1632"/>
  <c r="F1631"/>
  <c r="G1631" s="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G1617" s="1"/>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1624"/>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02" l="1"/>
  <c r="K1635"/>
  <c r="G1611"/>
  <c r="M1611" s="1"/>
  <c r="K1637"/>
  <c r="K1638"/>
  <c r="K1609"/>
  <c r="M1609" s="1"/>
  <c r="G1635"/>
  <c r="K1608"/>
  <c r="G1624"/>
  <c r="M1624" s="1"/>
  <c r="G1637"/>
  <c r="M291" i="11"/>
  <c r="G1621" i="46"/>
  <c r="G1623"/>
  <c r="G1625"/>
  <c r="M1625" s="1"/>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35" l="1"/>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K882" s="1"/>
  <c r="J879"/>
  <c r="J882" s="1"/>
  <c r="I879"/>
  <c r="I882" s="1"/>
  <c r="H879"/>
  <c r="H882" s="1"/>
  <c r="G879"/>
  <c r="G882" s="1"/>
  <c r="F879"/>
  <c r="F882" s="1"/>
  <c r="E879"/>
  <c r="E882" s="1"/>
  <c r="D879"/>
  <c r="D882" s="1"/>
  <c r="C879"/>
  <c r="C882" s="1"/>
  <c r="B879"/>
  <c r="B882" s="1"/>
  <c r="A867"/>
  <c r="A896" s="1"/>
  <c r="A859"/>
  <c r="A888" s="1"/>
  <c r="A858"/>
  <c r="A887" s="1"/>
  <c r="A857"/>
  <c r="A886" s="1"/>
  <c r="A856"/>
  <c r="A885" s="1"/>
  <c r="K851"/>
  <c r="J851"/>
  <c r="I851"/>
  <c r="H851"/>
  <c r="G851"/>
  <c r="F851"/>
  <c r="E851"/>
  <c r="D851"/>
  <c r="C851"/>
  <c r="B851"/>
  <c r="K850"/>
  <c r="K853" s="1"/>
  <c r="J850"/>
  <c r="J853" s="1"/>
  <c r="I850"/>
  <c r="I853" s="1"/>
  <c r="H850"/>
  <c r="H853" s="1"/>
  <c r="G850"/>
  <c r="G853" s="1"/>
  <c r="F850"/>
  <c r="F853" s="1"/>
  <c r="E850"/>
  <c r="E853" s="1"/>
  <c r="D850"/>
  <c r="D853" s="1"/>
  <c r="C850"/>
  <c r="C853" s="1"/>
  <c r="B850"/>
  <c r="B853" s="1"/>
  <c r="A837"/>
  <c r="A866" s="1"/>
  <c r="A895" s="1"/>
  <c r="A836"/>
  <c r="A865" s="1"/>
  <c r="A894" s="1"/>
  <c r="A835"/>
  <c r="A864" s="1"/>
  <c r="A893" s="1"/>
  <c r="B825"/>
  <c r="B823"/>
  <c r="K822"/>
  <c r="J822"/>
  <c r="I822"/>
  <c r="H822"/>
  <c r="G822"/>
  <c r="F822"/>
  <c r="E822"/>
  <c r="D822"/>
  <c r="C822"/>
  <c r="B822"/>
  <c r="K821"/>
  <c r="K824" s="1"/>
  <c r="J821"/>
  <c r="J824" s="1"/>
  <c r="I821"/>
  <c r="I824" s="1"/>
  <c r="H821"/>
  <c r="H824" s="1"/>
  <c r="G821"/>
  <c r="G824" s="1"/>
  <c r="F821"/>
  <c r="F824" s="1"/>
  <c r="E821"/>
  <c r="E824" s="1"/>
  <c r="E839" s="1"/>
  <c r="D821"/>
  <c r="D824" s="1"/>
  <c r="C821"/>
  <c r="C824" s="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C839" l="1"/>
  <c r="G839"/>
  <c r="K839"/>
  <c r="D868"/>
  <c r="H868"/>
  <c r="C897"/>
  <c r="G897"/>
  <c r="K897"/>
  <c r="F839"/>
  <c r="J839"/>
  <c r="C868"/>
  <c r="G868"/>
  <c r="K868"/>
  <c r="B897"/>
  <c r="F897"/>
  <c r="J897"/>
  <c r="B868"/>
  <c r="F868"/>
  <c r="J868"/>
  <c r="E897"/>
  <c r="I897"/>
  <c r="D839"/>
  <c r="H839"/>
  <c r="I839"/>
  <c r="E868"/>
  <c r="I868"/>
  <c r="D897"/>
  <c r="H897"/>
  <c r="P162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A490"/>
  <c r="A524"/>
  <c r="A3"/>
  <c r="A1" i="47"/>
  <c r="H3" i="6"/>
  <c r="H912" i="46" s="1"/>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0" s="1"/>
  <c r="D826" s="1"/>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26" i="46" l="1"/>
  <c r="E826"/>
  <c r="F818"/>
  <c r="F825"/>
  <c r="J718"/>
  <c r="I718"/>
  <c r="F823"/>
  <c r="B458"/>
  <c r="F819"/>
  <c r="F820" s="1"/>
  <c r="S544"/>
  <c r="L711"/>
  <c r="J692"/>
  <c r="J694" s="1"/>
  <c r="J696" s="1"/>
  <c r="M544"/>
  <c r="M561" s="1"/>
  <c r="M563" s="1"/>
  <c r="M565" s="1"/>
  <c r="J544"/>
  <c r="J561"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J563"/>
  <c r="J565" s="1"/>
  <c r="G544"/>
  <c r="M285" i="11"/>
  <c r="M297"/>
  <c r="M301"/>
  <c r="M300"/>
  <c r="M299"/>
  <c r="M310"/>
  <c r="M314"/>
  <c r="M313"/>
  <c r="M312"/>
  <c r="M311"/>
  <c r="M298"/>
  <c r="M284"/>
  <c r="M288"/>
  <c r="M286"/>
  <c r="B28" i="8"/>
  <c r="B832" i="46" l="1"/>
  <c r="C28" i="8"/>
  <c r="D28" s="1"/>
  <c r="E28" s="1"/>
  <c r="F28" s="1"/>
  <c r="G28" s="1"/>
  <c r="H28" s="1"/>
  <c r="I28" s="1"/>
  <c r="J28" s="1"/>
  <c r="K28" s="1"/>
  <c r="B57" s="1"/>
  <c r="C57" s="1"/>
  <c r="D57" s="1"/>
  <c r="E57" s="1"/>
  <c r="F57" s="1"/>
  <c r="G57" s="1"/>
  <c r="H57" s="1"/>
  <c r="I57" s="1"/>
  <c r="J57" s="1"/>
  <c r="K57" s="1"/>
  <c r="B86" s="1"/>
  <c r="C86" s="1"/>
  <c r="D86" s="1"/>
  <c r="E86" s="1"/>
  <c r="F86" s="1"/>
  <c r="G86" s="1"/>
  <c r="H86" s="1"/>
  <c r="I86" s="1"/>
  <c r="J86" s="1"/>
  <c r="K86" s="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P297" i="11" l="1"/>
  <c r="H820" i="46"/>
  <c r="H826" s="1"/>
  <c r="I825"/>
  <c r="I823"/>
  <c r="I819"/>
  <c r="J817"/>
  <c r="I818"/>
  <c r="P794"/>
  <c r="J793"/>
  <c r="J792"/>
  <c r="Q696"/>
  <c r="Q687" s="1"/>
  <c r="J791"/>
  <c r="P254" i="11"/>
  <c r="O254"/>
  <c r="L242"/>
  <c r="I222"/>
  <c r="L183"/>
  <c r="E168"/>
  <c r="G168" s="1"/>
  <c r="J126"/>
  <c r="J70"/>
  <c r="O98"/>
  <c r="U1416" i="46" s="1"/>
  <c r="J48" i="11"/>
  <c r="O47" s="1"/>
  <c r="U1365" i="46" s="1"/>
  <c r="P69" i="11" l="1"/>
  <c r="O69"/>
  <c r="U1387" i="46" s="1"/>
  <c r="I820"/>
  <c r="I826" s="1"/>
  <c r="J825"/>
  <c r="J823"/>
  <c r="J819"/>
  <c r="K817"/>
  <c r="J818"/>
  <c r="E88" i="11"/>
  <c r="O87" s="1"/>
  <c r="U1405" i="46" s="1"/>
  <c r="K818" l="1"/>
  <c r="K823"/>
  <c r="B846"/>
  <c r="K825"/>
  <c r="K819"/>
  <c r="J820"/>
  <c r="J826" s="1"/>
  <c r="K820" l="1"/>
  <c r="K826" s="1"/>
  <c r="B847"/>
  <c r="B852"/>
  <c r="B854"/>
  <c r="B848"/>
  <c r="C846"/>
  <c r="K331" i="11"/>
  <c r="K1649" i="46" s="1"/>
  <c r="I29" i="7"/>
  <c r="K29" s="1"/>
  <c r="K332" i="11" s="1"/>
  <c r="K1650" i="46" s="1"/>
  <c r="K329" i="11"/>
  <c r="K1647" i="46" s="1"/>
  <c r="G159" i="11"/>
  <c r="M210"/>
  <c r="P209" s="1"/>
  <c r="K210"/>
  <c r="O209" s="1"/>
  <c r="P38"/>
  <c r="O38"/>
  <c r="U1356" i="46" s="1"/>
  <c r="D846" l="1"/>
  <c r="C852"/>
  <c r="C848"/>
  <c r="C847"/>
  <c r="C854"/>
  <c r="B849"/>
  <c r="B855" s="1"/>
  <c r="D854" l="1"/>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D849" i="46" l="1"/>
  <c r="D855" s="1"/>
  <c r="E847"/>
  <c r="E854"/>
  <c r="E852"/>
  <c r="E848"/>
  <c r="F846"/>
  <c r="B23" i="8"/>
  <c r="B827" i="46" s="1"/>
  <c r="B25" i="8"/>
  <c r="B829" i="46" s="1"/>
  <c r="B24" i="8"/>
  <c r="B828" i="46" s="1"/>
  <c r="B29" i="8"/>
  <c r="B833" i="46" s="1"/>
  <c r="B26" i="8"/>
  <c r="B830" i="46" s="1"/>
  <c r="B836" l="1"/>
  <c r="B837"/>
  <c r="B835"/>
  <c r="B834"/>
  <c r="B838"/>
  <c r="F847"/>
  <c r="G846"/>
  <c r="F854"/>
  <c r="F852"/>
  <c r="F848"/>
  <c r="E849"/>
  <c r="E855" s="1"/>
  <c r="L235" i="11"/>
  <c r="P230"/>
  <c r="O230"/>
  <c r="U1548" i="46" s="1"/>
  <c r="A2" i="41"/>
  <c r="K60" i="6"/>
  <c r="K969" i="46" s="1"/>
  <c r="F849" l="1"/>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49" i="46" l="1"/>
  <c r="G855" s="1"/>
  <c r="H854"/>
  <c r="H852"/>
  <c r="H848"/>
  <c r="I846"/>
  <c r="H847"/>
  <c r="I203" i="11"/>
  <c r="O163" i="15"/>
  <c r="B97" i="8"/>
  <c r="B901" i="46" s="1"/>
  <c r="B96" i="8"/>
  <c r="B900" i="46" s="1"/>
  <c r="B95" i="8"/>
  <c r="B899" i="46" s="1"/>
  <c r="B68" i="8"/>
  <c r="B872" i="46" s="1"/>
  <c r="B67" i="8"/>
  <c r="B871" i="46" s="1"/>
  <c r="B66" i="8"/>
  <c r="B870" i="46" s="1"/>
  <c r="K98" i="8"/>
  <c r="K902" i="46" s="1"/>
  <c r="J98" i="8"/>
  <c r="J902" i="46" s="1"/>
  <c r="I98" i="8"/>
  <c r="I902" i="46" s="1"/>
  <c r="H98" i="8"/>
  <c r="H902" i="46" s="1"/>
  <c r="G98" i="8"/>
  <c r="G902" i="46" s="1"/>
  <c r="F98" i="8"/>
  <c r="F902" i="46" s="1"/>
  <c r="E98" i="8"/>
  <c r="E902" i="46" s="1"/>
  <c r="D98" i="8"/>
  <c r="D902" i="46" s="1"/>
  <c r="C98" i="8"/>
  <c r="C902"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B69" i="8"/>
  <c r="B873" i="46" s="1"/>
  <c r="C69" i="8"/>
  <c r="C873" i="46" s="1"/>
  <c r="D69" i="8"/>
  <c r="D873" i="46" s="1"/>
  <c r="E69" i="8"/>
  <c r="E873" i="46" s="1"/>
  <c r="F69" i="8"/>
  <c r="F873" i="46" s="1"/>
  <c r="G69" i="8"/>
  <c r="G873" i="46" s="1"/>
  <c r="H69" i="8"/>
  <c r="H873" i="46" s="1"/>
  <c r="I69" i="8"/>
  <c r="I873" i="46" s="1"/>
  <c r="J69" i="8"/>
  <c r="J873" i="46" s="1"/>
  <c r="K69" i="8"/>
  <c r="K873"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D40" i="8"/>
  <c r="D844" i="46" s="1"/>
  <c r="E40" i="8"/>
  <c r="E844" i="46" s="1"/>
  <c r="F40" i="8"/>
  <c r="F844" i="46" s="1"/>
  <c r="G40" i="8"/>
  <c r="G844" i="46" s="1"/>
  <c r="H40" i="8"/>
  <c r="H844" i="46" s="1"/>
  <c r="I40" i="8"/>
  <c r="I844" i="46" s="1"/>
  <c r="J40" i="8"/>
  <c r="J844" i="46" s="1"/>
  <c r="K40" i="8"/>
  <c r="K844" i="46" s="1"/>
  <c r="C39" i="8"/>
  <c r="C843" i="46" s="1"/>
  <c r="C38" i="8"/>
  <c r="C842" i="46" s="1"/>
  <c r="C37" i="8"/>
  <c r="C841" i="46" s="1"/>
  <c r="B40" i="8"/>
  <c r="B844" i="46" s="1"/>
  <c r="B39" i="8"/>
  <c r="B843" i="46" s="1"/>
  <c r="B38" i="8"/>
  <c r="B842" i="46" s="1"/>
  <c r="B37" i="8"/>
  <c r="B841" i="46" s="1"/>
  <c r="B36" i="8"/>
  <c r="B840" i="46" s="1"/>
  <c r="W136" i="15"/>
  <c r="N173" i="11"/>
  <c r="N167"/>
  <c r="N140"/>
  <c r="N61"/>
  <c r="I854" i="46" l="1"/>
  <c r="I852"/>
  <c r="I848"/>
  <c r="J846"/>
  <c r="I847"/>
  <c r="H849"/>
  <c r="H855" s="1"/>
  <c r="M6" i="11"/>
  <c r="P241"/>
  <c r="O241"/>
  <c r="A716" i="46" l="1"/>
  <c r="U1559"/>
  <c r="I855"/>
  <c r="I849"/>
  <c r="J847"/>
  <c r="J854"/>
  <c r="J852"/>
  <c r="J848"/>
  <c r="K846"/>
  <c r="K52" i="6"/>
  <c r="K961" i="46" s="1"/>
  <c r="K49" i="6"/>
  <c r="K958" i="46" s="1"/>
  <c r="K51" i="6"/>
  <c r="K960" i="46" s="1"/>
  <c r="K48" i="6"/>
  <c r="K957" i="46" s="1"/>
  <c r="K50" i="6"/>
  <c r="K959" i="46" s="1"/>
  <c r="M959" l="1"/>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N962" l="1"/>
  <c r="B883"/>
  <c r="B881"/>
  <c r="B877"/>
  <c r="C875"/>
  <c r="B876"/>
  <c r="K849"/>
  <c r="K855" s="1"/>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B98" i="8"/>
  <c r="B902" i="46" s="1"/>
  <c r="C40" i="8"/>
  <c r="C844" i="46" s="1"/>
  <c r="M36" i="3"/>
  <c r="C29" i="8"/>
  <c r="C833" i="46" s="1"/>
  <c r="D29" i="8"/>
  <c r="D833" i="46" s="1"/>
  <c r="E29" i="8"/>
  <c r="E833" i="46" s="1"/>
  <c r="F29" i="8"/>
  <c r="F833" i="46" s="1"/>
  <c r="G29" i="8"/>
  <c r="G833" i="46" s="1"/>
  <c r="H29" i="8"/>
  <c r="H833" i="46" s="1"/>
  <c r="I29" i="8"/>
  <c r="I833" i="46" s="1"/>
  <c r="J29" i="8"/>
  <c r="J833" i="46" s="1"/>
  <c r="K29" i="8"/>
  <c r="K833"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1561" i="46" l="1"/>
  <c r="M67"/>
  <c r="L243" i="11"/>
  <c r="M68" i="46"/>
  <c r="A82" i="36"/>
  <c r="E34" i="15"/>
  <c r="E449" i="46"/>
  <c r="E448" s="1"/>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832" i="46"/>
  <c r="B58" i="8"/>
  <c r="B862" i="46" s="1"/>
  <c r="C58" i="8"/>
  <c r="C862" i="46" s="1"/>
  <c r="D58" i="8"/>
  <c r="D862" i="46" s="1"/>
  <c r="E58" i="8"/>
  <c r="E862" i="46" s="1"/>
  <c r="F58" i="8"/>
  <c r="F862" i="46" s="1"/>
  <c r="G58" i="8"/>
  <c r="G862" i="46" s="1"/>
  <c r="H58" i="8"/>
  <c r="H862" i="46" s="1"/>
  <c r="I58" i="8"/>
  <c r="I862" i="46" s="1"/>
  <c r="J58" i="8"/>
  <c r="J862" i="46" s="1"/>
  <c r="K58" i="8"/>
  <c r="K862" i="46" s="1"/>
  <c r="B87" i="8"/>
  <c r="B891" i="46" s="1"/>
  <c r="C87" i="8"/>
  <c r="C891" i="46" s="1"/>
  <c r="D87" i="8"/>
  <c r="D891" i="46" s="1"/>
  <c r="E87" i="8"/>
  <c r="E891" i="46" s="1"/>
  <c r="F87" i="8"/>
  <c r="F891" i="46" s="1"/>
  <c r="G87" i="8"/>
  <c r="G891" i="46" s="1"/>
  <c r="H87" i="8"/>
  <c r="H891" i="46" s="1"/>
  <c r="I87" i="8"/>
  <c r="I891" i="46" s="1"/>
  <c r="J87" i="8"/>
  <c r="J891" i="46" s="1"/>
  <c r="K87" i="8"/>
  <c r="K891" i="46" s="1"/>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I1523" i="46" l="1"/>
  <c r="H406"/>
  <c r="O104" i="36"/>
  <c r="H738" i="46"/>
  <c r="O738" s="1"/>
  <c r="L27" i="3"/>
  <c r="L382" i="46"/>
  <c r="L383" s="1"/>
  <c r="N640"/>
  <c r="P640"/>
  <c r="D876"/>
  <c r="E875"/>
  <c r="D883"/>
  <c r="D881"/>
  <c r="D877"/>
  <c r="C884"/>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832" i="46"/>
  <c r="N6" i="36"/>
  <c r="P6"/>
  <c r="M95"/>
  <c r="Q95" s="1"/>
  <c r="H96"/>
  <c r="I96"/>
  <c r="I98" s="1"/>
  <c r="I100" s="1"/>
  <c r="M94"/>
  <c r="Q94" s="1"/>
  <c r="Q13" l="1"/>
  <c r="Q647" i="46" s="1"/>
  <c r="Q12" i="36"/>
  <c r="Q646" i="46" s="1"/>
  <c r="Q11" i="36"/>
  <c r="Q645" i="46" s="1"/>
  <c r="Q15" i="36"/>
  <c r="Q649" i="46" s="1"/>
  <c r="Q10" i="36"/>
  <c r="Q644" i="46" s="1"/>
  <c r="Q14" i="36"/>
  <c r="Q648" i="46" s="1"/>
  <c r="Q97" i="36"/>
  <c r="P75" i="46"/>
  <c r="Q61" i="36"/>
  <c r="H79" i="46"/>
  <c r="Q64" i="36"/>
  <c r="I76" i="46"/>
  <c r="L1524"/>
  <c r="P1508" s="1"/>
  <c r="P1501" s="1"/>
  <c r="I1524"/>
  <c r="O1508" s="1"/>
  <c r="O1501" s="1"/>
  <c r="Q99" i="36"/>
  <c r="P77" i="46"/>
  <c r="Q89" i="36"/>
  <c r="Q56"/>
  <c r="H76" i="46"/>
  <c r="H74" s="1"/>
  <c r="Q59" i="36"/>
  <c r="H77" i="46"/>
  <c r="Q65" i="36"/>
  <c r="I75" i="46"/>
  <c r="O398"/>
  <c r="O397"/>
  <c r="H407"/>
  <c r="H959"/>
  <c r="I959"/>
  <c r="H958"/>
  <c r="I958"/>
  <c r="H960"/>
  <c r="I960"/>
  <c r="H961"/>
  <c r="I961"/>
  <c r="H957"/>
  <c r="F962"/>
  <c r="I957"/>
  <c r="D878"/>
  <c r="D884" s="1"/>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E14"/>
  <c r="H43"/>
  <c r="H72"/>
  <c r="P51" i="7"/>
  <c r="F14" i="8"/>
  <c r="G43"/>
  <c r="C72"/>
  <c r="K72"/>
  <c r="I14"/>
  <c r="D43"/>
  <c r="O41" i="3"/>
  <c r="O43" s="1"/>
  <c r="H51"/>
  <c r="M74" i="36"/>
  <c r="M62"/>
  <c r="E514" i="46" s="1"/>
  <c r="R13" i="24"/>
  <c r="R12"/>
  <c r="E832" i="46"/>
  <c r="M96" i="36"/>
  <c r="P74" i="46" s="1"/>
  <c r="H98" i="36"/>
  <c r="P76" i="46" l="1"/>
  <c r="P78" s="1"/>
  <c r="P83" s="1"/>
  <c r="K73" i="8"/>
  <c r="K74" s="1"/>
  <c r="O399" i="46"/>
  <c r="H78"/>
  <c r="H80" s="1"/>
  <c r="K1486"/>
  <c r="K168" i="11"/>
  <c r="Q58" i="36"/>
  <c r="K231" i="11"/>
  <c r="K1549" i="46"/>
  <c r="L1562"/>
  <c r="L1563" s="1"/>
  <c r="K1485"/>
  <c r="P95"/>
  <c r="P71" i="7"/>
  <c r="P68"/>
  <c r="P92" i="46"/>
  <c r="F536"/>
  <c r="J457"/>
  <c r="D546"/>
  <c r="L244" i="11"/>
  <c r="L245" s="1"/>
  <c r="K167"/>
  <c r="J159" i="36"/>
  <c r="J157"/>
  <c r="J158"/>
  <c r="F44" i="7"/>
  <c r="F68" i="46"/>
  <c r="F45" i="7"/>
  <c r="F69" i="46"/>
  <c r="F43" i="15"/>
  <c r="K1350" i="46"/>
  <c r="O1348" s="1"/>
  <c r="O1670" s="1"/>
  <c r="O1324" s="1"/>
  <c r="K1349"/>
  <c r="L1350"/>
  <c r="L1349"/>
  <c r="P163"/>
  <c r="P139" i="7"/>
  <c r="P162" i="46"/>
  <c r="P138" i="7"/>
  <c r="F457" i="46"/>
  <c r="L31" i="11"/>
  <c r="L32"/>
  <c r="E100" i="15"/>
  <c r="I962" i="46"/>
  <c r="F883"/>
  <c r="F881"/>
  <c r="F877"/>
  <c r="G875"/>
  <c r="F876"/>
  <c r="E878"/>
  <c r="E884" s="1"/>
  <c r="H54" i="7"/>
  <c r="Q60" i="36"/>
  <c r="K32" i="11"/>
  <c r="K31"/>
  <c r="Q77" i="36"/>
  <c r="Q80"/>
  <c r="H56" i="7"/>
  <c r="I53" i="6"/>
  <c r="P47" s="1"/>
  <c r="P956" i="46" s="1"/>
  <c r="P962" s="1"/>
  <c r="C44" i="8"/>
  <c r="G15"/>
  <c r="J73"/>
  <c r="I73"/>
  <c r="F73"/>
  <c r="E73"/>
  <c r="D44"/>
  <c r="E44"/>
  <c r="O183" i="11"/>
  <c r="U1501" i="46" s="1"/>
  <c r="I15" i="8"/>
  <c r="J44"/>
  <c r="D15"/>
  <c r="B44"/>
  <c r="K15"/>
  <c r="F44"/>
  <c r="J15"/>
  <c r="K44"/>
  <c r="B73"/>
  <c r="P183" i="11"/>
  <c r="C15" i="8"/>
  <c r="D73"/>
  <c r="H15"/>
  <c r="I44"/>
  <c r="G73"/>
  <c r="B16"/>
  <c r="E15"/>
  <c r="H44"/>
  <c r="H73"/>
  <c r="F15"/>
  <c r="G44"/>
  <c r="C73"/>
  <c r="F43" i="7"/>
  <c r="F67" i="46" s="1"/>
  <c r="Q74" i="36"/>
  <c r="Q62"/>
  <c r="D132" i="15"/>
  <c r="F122"/>
  <c r="P160" i="36"/>
  <c r="J43" i="15"/>
  <c r="F832" i="46"/>
  <c r="M98" i="36"/>
  <c r="H100"/>
  <c r="M100" s="1"/>
  <c r="P50" i="7"/>
  <c r="P52" s="1"/>
  <c r="P54" s="1"/>
  <c r="P59" s="1"/>
  <c r="Q96" i="36"/>
  <c r="P30" i="11" l="1"/>
  <c r="P352" s="1"/>
  <c r="P356" s="1"/>
  <c r="P1348" i="46"/>
  <c r="P1670" s="1"/>
  <c r="P1674" s="1"/>
  <c r="G45" i="8"/>
  <c r="G49" s="1"/>
  <c r="G74"/>
  <c r="G78" s="1"/>
  <c r="C16"/>
  <c r="C20" s="1"/>
  <c r="J16"/>
  <c r="J20" s="1"/>
  <c r="C74"/>
  <c r="C78" s="1"/>
  <c r="F16"/>
  <c r="F20" s="1"/>
  <c r="H45"/>
  <c r="H49" s="1"/>
  <c r="I45"/>
  <c r="I49" s="1"/>
  <c r="D74"/>
  <c r="D78" s="1"/>
  <c r="K45"/>
  <c r="K49" s="1"/>
  <c r="F45"/>
  <c r="F49" s="1"/>
  <c r="B45"/>
  <c r="B49" s="1"/>
  <c r="J45"/>
  <c r="J49" s="1"/>
  <c r="D45"/>
  <c r="D49" s="1"/>
  <c r="F74"/>
  <c r="F78" s="1"/>
  <c r="J74"/>
  <c r="J78" s="1"/>
  <c r="C45"/>
  <c r="C49" s="1"/>
  <c r="B20"/>
  <c r="H74"/>
  <c r="H78" s="1"/>
  <c r="E16"/>
  <c r="E20" s="1"/>
  <c r="H16"/>
  <c r="H20" s="1"/>
  <c r="B74"/>
  <c r="B78" s="1"/>
  <c r="K16"/>
  <c r="K20" s="1"/>
  <c r="D16"/>
  <c r="D20" s="1"/>
  <c r="I16"/>
  <c r="I20" s="1"/>
  <c r="E45"/>
  <c r="E49" s="1"/>
  <c r="E74"/>
  <c r="E78" s="1"/>
  <c r="I74"/>
  <c r="I78" s="1"/>
  <c r="G16"/>
  <c r="G20" s="1"/>
  <c r="K78"/>
  <c r="P1324" i="46"/>
  <c r="J152" i="15"/>
  <c r="J153" s="1"/>
  <c r="J155" s="1"/>
  <c r="F458" i="46"/>
  <c r="M566"/>
  <c r="M567" s="1"/>
  <c r="M569" s="1"/>
  <c r="P566"/>
  <c r="P567" s="1"/>
  <c r="P569" s="1"/>
  <c r="J458"/>
  <c r="G546"/>
  <c r="J44" i="15"/>
  <c r="J566" i="46"/>
  <c r="J567" s="1"/>
  <c r="J569" s="1"/>
  <c r="P43" i="15"/>
  <c r="P457" i="46"/>
  <c r="P53" i="6"/>
  <c r="J574" i="46"/>
  <c r="F878"/>
  <c r="F884" s="1"/>
  <c r="G883"/>
  <c r="G881"/>
  <c r="G877"/>
  <c r="H875"/>
  <c r="G876"/>
  <c r="K5" i="8"/>
  <c r="O30" i="11"/>
  <c r="J160" i="15"/>
  <c r="Q98" i="36"/>
  <c r="F44" i="15"/>
  <c r="P152"/>
  <c r="P153" s="1"/>
  <c r="P155" s="1"/>
  <c r="M152"/>
  <c r="M153" s="1"/>
  <c r="M155" s="1"/>
  <c r="B21" i="8"/>
  <c r="G832" i="46"/>
  <c r="Q100" i="36"/>
  <c r="G132" i="15"/>
  <c r="P781" i="46" l="1"/>
  <c r="P147" i="36"/>
  <c r="K7" i="8"/>
  <c r="J570" i="46"/>
  <c r="O352" i="11"/>
  <c r="U1348" i="46"/>
  <c r="U1670" s="1"/>
  <c r="U1324" s="1"/>
  <c r="H876"/>
  <c r="H883"/>
  <c r="H881"/>
  <c r="H877"/>
  <c r="I875"/>
  <c r="G878"/>
  <c r="G884" s="1"/>
  <c r="J161" i="15"/>
  <c r="J575" i="46" s="1"/>
  <c r="R30" i="11"/>
  <c r="Q53" i="36"/>
  <c r="J156" i="15"/>
  <c r="B79" i="8"/>
  <c r="J79"/>
  <c r="H79"/>
  <c r="F79"/>
  <c r="D79"/>
  <c r="C79"/>
  <c r="K50"/>
  <c r="I50"/>
  <c r="G50"/>
  <c r="E50"/>
  <c r="C50"/>
  <c r="D21"/>
  <c r="F21"/>
  <c r="H21"/>
  <c r="J21"/>
  <c r="K79"/>
  <c r="G79"/>
  <c r="J50"/>
  <c r="F50"/>
  <c r="E21"/>
  <c r="I79"/>
  <c r="E79"/>
  <c r="B50"/>
  <c r="H50"/>
  <c r="D50"/>
  <c r="C21"/>
  <c r="G21"/>
  <c r="I21"/>
  <c r="K21"/>
  <c r="H832" i="46"/>
  <c r="P157" i="36" l="1"/>
  <c r="N148"/>
  <c r="N149"/>
  <c r="N782" i="46"/>
  <c r="P791"/>
  <c r="N783"/>
  <c r="J577"/>
  <c r="J579" s="1"/>
  <c r="J581" s="1"/>
  <c r="J583" s="1"/>
  <c r="G574"/>
  <c r="J875"/>
  <c r="I881"/>
  <c r="I877"/>
  <c r="I876"/>
  <c r="I883"/>
  <c r="H878"/>
  <c r="H884" s="1"/>
  <c r="P6" i="11"/>
  <c r="O6"/>
  <c r="J163" i="15"/>
  <c r="J165" s="1"/>
  <c r="J167" s="1"/>
  <c r="J169" s="1"/>
  <c r="G160"/>
  <c r="I832" i="46"/>
  <c r="N791" l="1"/>
  <c r="P799"/>
  <c r="F119" i="15"/>
  <c r="F120"/>
  <c r="B19" i="8"/>
  <c r="N157" i="36"/>
  <c r="P165"/>
  <c r="M171" i="15"/>
  <c r="J173"/>
  <c r="J587" i="46"/>
  <c r="M585"/>
  <c r="I878"/>
  <c r="I884" s="1"/>
  <c r="J883"/>
  <c r="J881"/>
  <c r="J877"/>
  <c r="K875"/>
  <c r="J876"/>
  <c r="J832"/>
  <c r="F77" i="8" l="1"/>
  <c r="E48"/>
  <c r="I48"/>
  <c r="C48"/>
  <c r="G19"/>
  <c r="D77"/>
  <c r="J19"/>
  <c r="F48"/>
  <c r="B77"/>
  <c r="B48"/>
  <c r="D19"/>
  <c r="K48"/>
  <c r="C19"/>
  <c r="K77"/>
  <c r="I77"/>
  <c r="H19"/>
  <c r="J48"/>
  <c r="C77"/>
  <c r="H77"/>
  <c r="F19"/>
  <c r="E19"/>
  <c r="J77"/>
  <c r="K19"/>
  <c r="G77"/>
  <c r="G48"/>
  <c r="D48"/>
  <c r="H48"/>
  <c r="I19"/>
  <c r="E77"/>
  <c r="B35"/>
  <c r="B22"/>
  <c r="J397" i="46"/>
  <c r="L397" s="1"/>
  <c r="J396"/>
  <c r="L396" s="1"/>
  <c r="J40" i="3"/>
  <c r="L40" s="1"/>
  <c r="J6" i="7"/>
  <c r="J41" i="3"/>
  <c r="L41" s="1"/>
  <c r="E99" i="15"/>
  <c r="K876" i="46"/>
  <c r="K883"/>
  <c r="K881"/>
  <c r="K877"/>
  <c r="J878"/>
  <c r="J884" s="1"/>
  <c r="K832"/>
  <c r="I35" i="8" l="1"/>
  <c r="I22"/>
  <c r="D64"/>
  <c r="D51"/>
  <c r="G93"/>
  <c r="G80"/>
  <c r="J93"/>
  <c r="J80"/>
  <c r="F35"/>
  <c r="F22"/>
  <c r="C93"/>
  <c r="C80"/>
  <c r="H35"/>
  <c r="H22"/>
  <c r="K93"/>
  <c r="K80"/>
  <c r="K64"/>
  <c r="K51"/>
  <c r="B64"/>
  <c r="B51"/>
  <c r="F64"/>
  <c r="F51"/>
  <c r="D93"/>
  <c r="D80"/>
  <c r="C64"/>
  <c r="C51"/>
  <c r="E64"/>
  <c r="E51"/>
  <c r="E93"/>
  <c r="E80"/>
  <c r="H64"/>
  <c r="H51"/>
  <c r="G64"/>
  <c r="G51"/>
  <c r="K35"/>
  <c r="K22"/>
  <c r="E35"/>
  <c r="E22"/>
  <c r="H93"/>
  <c r="H80"/>
  <c r="J64"/>
  <c r="J51"/>
  <c r="I93"/>
  <c r="I80"/>
  <c r="C35"/>
  <c r="C22"/>
  <c r="D35"/>
  <c r="D22"/>
  <c r="B93"/>
  <c r="B80"/>
  <c r="J35"/>
  <c r="J22"/>
  <c r="G35"/>
  <c r="G22"/>
  <c r="I64"/>
  <c r="I51"/>
  <c r="F93"/>
  <c r="F80"/>
  <c r="K878" i="46"/>
  <c r="K884" s="1"/>
  <c r="B861"/>
  <c r="C861" l="1"/>
  <c r="D861" l="1"/>
  <c r="E861" l="1"/>
  <c r="F861" l="1"/>
  <c r="G861" l="1"/>
  <c r="H861" l="1"/>
  <c r="I861" l="1"/>
  <c r="J861" l="1"/>
  <c r="K861" l="1"/>
  <c r="B890" l="1"/>
  <c r="C890" l="1"/>
  <c r="D890" l="1"/>
  <c r="E890" l="1"/>
  <c r="F890" l="1"/>
  <c r="G890" l="1"/>
  <c r="H890" l="1"/>
  <c r="I890" l="1"/>
  <c r="J890" l="1"/>
  <c r="K890" l="1"/>
  <c r="B30" i="8" l="1"/>
  <c r="C23"/>
  <c r="C827" i="46" s="1"/>
  <c r="D23" i="8"/>
  <c r="E23"/>
  <c r="E827" i="46" s="1"/>
  <c r="F23" i="8"/>
  <c r="F827" i="46" s="1"/>
  <c r="G23" i="8"/>
  <c r="G827" i="46" s="1"/>
  <c r="H23" i="8"/>
  <c r="I23"/>
  <c r="I827" i="46" s="1"/>
  <c r="J23" i="8"/>
  <c r="J827" i="46" s="1"/>
  <c r="K23" i="8"/>
  <c r="K827" i="46" s="1"/>
  <c r="D30" i="8"/>
  <c r="B33"/>
  <c r="B856" i="46"/>
  <c r="C856"/>
  <c r="D856"/>
  <c r="E856"/>
  <c r="F856"/>
  <c r="G856"/>
  <c r="H856"/>
  <c r="I856"/>
  <c r="J856"/>
  <c r="K856"/>
  <c r="D59" i="8"/>
  <c r="E59"/>
  <c r="B60"/>
  <c r="C60"/>
  <c r="H61"/>
  <c r="I61"/>
  <c r="B885" i="46"/>
  <c r="C885"/>
  <c r="D885"/>
  <c r="E885"/>
  <c r="F885"/>
  <c r="G885"/>
  <c r="H885"/>
  <c r="I885"/>
  <c r="J885"/>
  <c r="K885"/>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<sst xmlns="http://schemas.openxmlformats.org/spreadsheetml/2006/main" count="10688" uniqueCount="3822">
  <si>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</si>
  <si>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</si>
  <si>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</si>
  <si>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</si>
  <si>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</si>
  <si>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</si>
  <si>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</si>
  <si>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</si>
  <si>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</si>
  <si>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</si>
  <si>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</si>
  <si>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</si>
  <si>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</si>
  <si>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</si>
  <si>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</si>
  <si>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</si>
  <si>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</si>
  <si>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</si>
  <si>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</si>
  <si>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</si>
  <si>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</si>
  <si>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</si>
  <si>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</si>
  <si>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</si>
  <si>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</si>
  <si>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</si>
  <si>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</si>
  <si>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</si>
  <si>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</si>
  <si>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</si>
  <si>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</si>
  <si>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</si>
  <si>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</si>
  <si>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</si>
  <si>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</si>
  <si>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</si>
  <si>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</si>
  <si>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</si>
  <si>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</si>
  <si>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</si>
  <si>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</si>
  <si>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</si>
  <si>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</si>
  <si>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</si>
  <si>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</si>
  <si>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</si>
  <si>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</si>
  <si>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</si>
  <si>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</si>
  <si>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</si>
  <si>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</si>
  <si>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</si>
  <si>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</si>
  <si>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</si>
  <si>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</si>
  <si>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</si>
  <si>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</si>
  <si>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</si>
  <si>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</si>
  <si>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</si>
  <si>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</si>
  <si>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</si>
  <si>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</si>
  <si>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</si>
  <si>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</si>
  <si>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</si>
  <si>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</si>
  <si>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</si>
  <si>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</si>
  <si>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</si>
  <si>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</si>
  <si>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</si>
  <si>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</si>
  <si>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</si>
  <si>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</si>
  <si>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</si>
  <si>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</si>
  <si>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</si>
  <si>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</si>
  <si>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</si>
  <si>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</si>
  <si>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</si>
  <si>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</si>
  <si>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</si>
  <si>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</si>
  <si>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</si>
  <si>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</si>
  <si>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</si>
  <si>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</si>
  <si>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</si>
  <si>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</si>
  <si>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</si>
  <si>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</si>
  <si>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</si>
  <si>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</si>
  <si>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</si>
  <si>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</si>
  <si>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</si>
  <si>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</si>
  <si>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</si>
  <si>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</si>
  <si>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</si>
  <si>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</si>
  <si>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</si>
  <si>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</si>
  <si>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</si>
  <si>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</si>
  <si>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</si>
  <si>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</si>
  <si>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</si>
  <si>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</si>
  <si>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</si>
  <si>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</si>
  <si>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</si>
  <si>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</si>
  <si>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</si>
  <si>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</si>
  <si>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</si>
  <si>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</si>
  <si>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</si>
  <si>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</si>
  <si>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</si>
  <si>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</si>
  <si>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</si>
  <si>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</si>
  <si>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</si>
  <si>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</si>
  <si>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</si>
  <si>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</si>
  <si>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</si>
  <si>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</si>
  <si>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</si>
  <si>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</si>
  <si>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</si>
  <si>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</si>
  <si>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</si>
  <si>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</si>
  <si>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</si>
  <si>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</si>
  <si>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</si>
  <si>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</si>
  <si>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</si>
  <si>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</si>
  <si>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</si>
  <si>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</si>
  <si>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</si>
  <si>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</si>
  <si>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</si>
  <si>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</si>
  <si>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</si>
  <si>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</si>
  <si>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</si>
  <si>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</si>
  <si>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</si>
  <si>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</si>
  <si>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</si>
  <si>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</si>
  <si>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</si>
  <si>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</si>
  <si>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</si>
  <si>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</si>
  <si>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</si>
  <si>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</si>
  <si>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</si>
  <si>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</si>
  <si>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</si>
  <si>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</si>
  <si>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</si>
  <si>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</si>
  <si>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</si>
  <si>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</si>
  <si>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</si>
  <si>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</si>
  <si>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</si>
  <si>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</si>
  <si>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</si>
  <si>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</si>
  <si>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</si>
  <si>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</si>
  <si>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</si>
  <si>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</si>
  <si>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</si>
  <si>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</si>
  <si>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</si>
  <si>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</si>
  <si>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</si>
  <si>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</si>
  <si>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</si>
  <si>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</si>
  <si>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</si>
  <si>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</si>
  <si>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</si>
  <si>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</si>
  <si>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</si>
  <si>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</si>
  <si>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</si>
  <si>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</si>
  <si>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</si>
  <si>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</si>
  <si>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</si>
  <si>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</si>
  <si>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</si>
  <si>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</si>
  <si>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</si>
  <si>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</si>
  <si>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</si>
  <si>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</si>
  <si>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</si>
  <si>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</si>
  <si>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</si>
  <si>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</si>
  <si>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</si>
  <si>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</si>
  <si>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</si>
  <si>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</si>
  <si>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</si>
  <si>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</si>
  <si>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</si>
  <si>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</si>
  <si>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</si>
  <si>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</si>
  <si>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</si>
  <si>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</si>
  <si>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</si>
  <si>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</si>
  <si>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</si>
  <si>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</si>
  <si>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</si>
  <si>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</si>
  <si>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</si>
  <si>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</si>
  <si>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</si>
  <si>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</si>
  <si>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</si>
  <si>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</si>
  <si>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</si>
  <si>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</si>
  <si>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</si>
  <si>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</si>
  <si>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</si>
  <si>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</si>
  <si>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</si>
  <si>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</si>
  <si>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</si>
  <si>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</si>
  <si>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</si>
  <si>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</si>
  <si>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</si>
  <si>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</si>
  <si>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</si>
  <si>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</si>
  <si>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</si>
  <si>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</si>
  <si>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</si>
  <si>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</si>
  <si>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</si>
  <si>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</si>
  <si>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</si>
  <si>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</si>
  <si>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</si>
  <si>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</si>
  <si>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</si>
  <si>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</si>
  <si>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</si>
  <si>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</si>
  <si>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</si>
  <si>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</si>
  <si>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</si>
  <si>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</si>
  <si>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</si>
  <si>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</si>
  <si>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</si>
  <si>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</si>
  <si>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</si>
  <si>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</si>
  <si>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</si>
  <si>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</si>
  <si>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</si>
  <si>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</si>
  <si>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</si>
  <si>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</si>
  <si>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</si>
  <si>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</si>
  <si>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</si>
  <si>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</si>
  <si>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</si>
  <si>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</si>
  <si>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</si>
  <si>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</si>
  <si>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</si>
  <si>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</si>
  <si>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</si>
  <si>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</si>
  <si>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</si>
  <si>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</si>
  <si>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</si>
  <si>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</si>
  <si>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</si>
  <si>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</si>
  <si>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</si>
  <si>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</si>
  <si>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</si>
  <si>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</si>
  <si>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</si>
  <si>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</si>
  <si>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</si>
  <si>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</si>
  <si>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</si>
  <si>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</si>
  <si>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</si>
  <si>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</si>
  <si>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</si>
  <si>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</si>
  <si>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</si>
  <si>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</si>
  <si>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</si>
  <si>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</si>
  <si>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</si>
  <si>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</si>
  <si>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</si>
  <si>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</si>
  <si>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</si>
  <si>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</si>
  <si>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</si>
  <si>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</si>
  <si>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</si>
  <si>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</si>
  <si>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</si>
  <si>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</si>
  <si>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</si>
  <si>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</si>
  <si>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</si>
  <si>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</si>
  <si>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</si>
  <si>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</si>
  <si>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</si>
  <si>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</si>
  <si>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</si>
  <si>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</si>
  <si>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</si>
  <si>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</si>
  <si>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</si>
  <si>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</si>
  <si>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</si>
  <si>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</si>
  <si>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</si>
  <si>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</si>
  <si>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</si>
  <si>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</si>
  <si>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</si>
  <si>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</si>
  <si>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</si>
  <si>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</si>
  <si>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</si>
  <si>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</si>
  <si>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</si>
  <si>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</si>
  <si>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</si>
  <si>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</si>
  <si>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</si>
  <si>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</si>
  <si>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</si>
  <si>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</si>
  <si>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</si>
  <si>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</si>
  <si>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</si>
  <si>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</si>
  <si>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</si>
  <si>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</si>
  <si>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</si>
  <si>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</si>
  <si>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</si>
  <si>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</si>
  <si>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</si>
  <si>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</si>
  <si>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</si>
  <si>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</si>
  <si>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</si>
  <si>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</si>
  <si>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</si>
  <si>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</si>
  <si>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</si>
  <si>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</si>
  <si>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</si>
  <si>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</si>
  <si>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</si>
  <si>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</si>
  <si>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</si>
  <si>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</si>
  <si>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</si>
  <si>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</si>
  <si>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</si>
  <si>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</si>
  <si>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</si>
  <si>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</si>
  <si>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</si>
  <si>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</si>
  <si>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</si>
  <si>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</si>
  <si>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</si>
  <si>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</si>
  <si>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</si>
  <si>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</si>
  <si>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</si>
  <si>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</si>
  <si>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</si>
  <si>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</si>
  <si>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</si>
  <si>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</si>
  <si>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</si>
  <si>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</si>
  <si>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</si>
  <si>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</si>
  <si>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</si>
  <si>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</si>
  <si>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</si>
  <si>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</si>
  <si>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</si>
  <si>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</si>
  <si>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</si>
  <si>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</si>
  <si>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</si>
  <si>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</si>
  <si>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</si>
  <si>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</si>
  <si>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</si>
  <si>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</si>
  <si>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</si>
  <si>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</si>
  <si>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</si>
  <si>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</si>
  <si>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</si>
  <si>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</si>
  <si>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</si>
  <si>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</si>
  <si>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</si>
  <si>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</si>
  <si>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</si>
  <si>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</si>
  <si>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</si>
  <si>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</si>
  <si>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</si>
  <si>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</si>
  <si>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</si>
  <si>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</si>
  <si>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</si>
  <si>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</si>
  <si>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</si>
  <si>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</si>
  <si>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</si>
  <si>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</si>
  <si>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</si>
  <si>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</si>
  <si>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</si>
  <si>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</si>
  <si>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</si>
  <si>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</si>
  <si>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</si>
  <si>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</si>
  <si>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</si>
  <si>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</si>
  <si>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</si>
  <si>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</si>
  <si>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</si>
  <si>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</si>
  <si>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</si>
  <si>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</si>
  <si>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</si>
  <si>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</si>
  <si>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</si>
  <si>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</si>
  <si>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</si>
  <si>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</si>
  <si>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</si>
  <si>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</si>
  <si>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</si>
  <si>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</si>
  <si>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</si>
  <si>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</si>
  <si>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</si>
  <si>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</si>
  <si>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</si>
  <si>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</si>
  <si>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</si>
  <si>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</si>
  <si>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</si>
  <si>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</si>
  <si>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</si>
  <si>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</si>
  <si>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</si>
  <si>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</si>
  <si>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</si>
  <si>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</si>
  <si>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</si>
  <si>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</si>
  <si>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</si>
  <si>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</si>
  <si>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</si>
  <si>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</si>
  <si>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</si>
  <si>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</si>
  <si>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</si>
  <si>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</si>
  <si>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</si>
  <si>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</si>
  <si>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</si>
  <si>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</si>
  <si>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</si>
  <si>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</si>
  <si>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</si>
  <si>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</si>
  <si>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</si>
  <si>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</si>
  <si>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</si>
  <si>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</si>
  <si>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</si>
  <si>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</si>
  <si>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</si>
  <si>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</si>
  <si>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</si>
  <si>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</si>
  <si>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</si>
  <si>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</si>
  <si>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</si>
  <si>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</si>
  <si>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</si>
  <si>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</si>
  <si>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</si>
  <si>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</si>
  <si>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</si>
  <si>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</si>
  <si>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</si>
  <si>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</si>
  <si>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</si>
  <si>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</si>
  <si>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</si>
  <si>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</si>
  <si>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</si>
  <si>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</si>
  <si>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</si>
  <si>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</si>
  <si>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</si>
  <si>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</si>
  <si>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</si>
  <si>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</si>
  <si>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</si>
  <si>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</si>
  <si>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</si>
  <si>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</si>
  <si>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</si>
  <si>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</si>
  <si>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</si>
  <si>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</si>
  <si>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</si>
  <si>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</si>
  <si>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</si>
  <si>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</si>
  <si>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</si>
  <si>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</si>
  <si>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</si>
  <si>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</si>
  <si>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</si>
  <si>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</si>
  <si>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</si>
  <si>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</si>
  <si>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</si>
  <si>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</si>
  <si>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</si>
  <si>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</si>
  <si>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</si>
  <si>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</si>
  <si>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</si>
  <si>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</si>
  <si>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</si>
  <si>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</si>
  <si>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</si>
  <si>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</si>
  <si>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</si>
  <si>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</si>
  <si>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</si>
  <si>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</si>
  <si>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</si>
  <si>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</si>
  <si>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</si>
  <si>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</si>
  <si>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</si>
  <si>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</si>
  <si>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</si>
  <si>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</si>
  <si>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</si>
  <si>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</si>
  <si>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</si>
  <si>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</si>
  <si>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</si>
  <si>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</si>
  <si>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</si>
  <si>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</si>
  <si>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</si>
  <si>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</si>
  <si>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</si>
  <si>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</si>
  <si>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</si>
  <si>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</si>
  <si>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</si>
  <si>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</si>
  <si>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</si>
  <si>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</si>
  <si>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</si>
  <si>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</si>
  <si>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</si>
  <si>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</si>
  <si>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</si>
  <si>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</si>
  <si>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</si>
  <si>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</si>
  <si>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</si>
  <si>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</si>
  <si>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</si>
  <si>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</si>
  <si>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</si>
  <si>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</si>
  <si>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</si>
  <si>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</si>
  <si>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</si>
  <si>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</si>
  <si>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</si>
  <si>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</si>
  <si>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</si>
  <si>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</si>
  <si>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</si>
  <si>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</si>
  <si>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</si>
  <si>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</si>
  <si>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</si>
  <si>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</si>
  <si>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</si>
  <si>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</si>
  <si>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</si>
  <si>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</si>
  <si>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</si>
  <si>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</si>
  <si>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</si>
  <si>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</si>
  <si>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</si>
  <si>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</si>
  <si>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</si>
  <si>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</si>
  <si>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</si>
  <si>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</si>
  <si>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</si>
  <si>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</si>
  <si>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</si>
  <si>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</si>
  <si>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</si>
  <si>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</si>
  <si>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</si>
  <si>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</si>
  <si>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</si>
  <si>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</si>
  <si>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</si>
  <si>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</si>
  <si>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</si>
  <si>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</si>
  <si>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</si>
  <si>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</si>
  <si>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</si>
  <si>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</si>
  <si>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</si>
  <si>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</si>
  <si>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</si>
  <si>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</si>
  <si>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</si>
  <si>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</si>
  <si>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</si>
  <si>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</si>
  <si>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</si>
  <si>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</si>
  <si>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</si>
  <si>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</si>
  <si>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</si>
  <si>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</si>
  <si>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</si>
  <si>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</si>
  <si>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</si>
  <si>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</si>
  <si>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</si>
  <si>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</si>
  <si>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</si>
  <si>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</si>
  <si>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</si>
  <si>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</si>
  <si>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</si>
  <si>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</si>
  <si>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</si>
  <si>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</si>
  <si>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</si>
  <si>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</si>
  <si>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</si>
  <si>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</si>
  <si>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</si>
  <si>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</si>
  <si>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</si>
  <si>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</si>
  <si>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</si>
  <si>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</si>
  <si>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</si>
  <si>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</si>
  <si>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</si>
  <si>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</si>
  <si>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</si>
  <si>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</si>
  <si>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</si>
  <si>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</si>
  <si>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</si>
  <si>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</si>
  <si>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</si>
  <si>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</si>
  <si>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</si>
  <si>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</si>
  <si>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</si>
  <si>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</si>
  <si>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</si>
  <si>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</si>
  <si>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</si>
  <si>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</si>
  <si>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</si>
  <si>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</si>
  <si>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</si>
  <si>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</si>
  <si>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</si>
  <si>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</si>
  <si>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</si>
  <si>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</si>
  <si>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</si>
  <si>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</si>
  <si>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</si>
  <si>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</si>
  <si>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</si>
  <si>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</si>
  <si>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</si>
  <si>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</si>
  <si>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</si>
  <si>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</si>
  <si>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</si>
  <si>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</si>
  <si>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</si>
  <si>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</si>
  <si>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</si>
  <si>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</si>
  <si>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</si>
  <si>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</si>
  <si>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</si>
  <si>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</si>
  <si>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</si>
  <si>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</si>
  <si>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</si>
  <si>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</si>
  <si>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</si>
  <si>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</si>
  <si>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</si>
  <si>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</si>
  <si>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</si>
  <si>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</si>
  <si>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</si>
  <si>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</si>
  <si>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</si>
  <si>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</si>
  <si>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</si>
  <si>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</si>
  <si>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</si>
  <si>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</si>
  <si>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</si>
  <si>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</si>
  <si>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</si>
  <si>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</si>
  <si>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</si>
  <si>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</si>
  <si>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</si>
  <si>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</si>
  <si>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</si>
  <si>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</si>
  <si>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</si>
  <si>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</si>
  <si>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</si>
  <si>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</si>
  <si>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</si>
  <si>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</si>
  <si>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</si>
  <si>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</si>
  <si>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</si>
  <si>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</si>
  <si>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</si>
  <si>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</si>
  <si>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</si>
  <si>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</si>
  <si>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</si>
  <si>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</si>
  <si>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</si>
  <si>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</si>
  <si>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</si>
  <si>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</si>
  <si>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</si>
  <si>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</si>
  <si>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</si>
  <si>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</si>
  <si>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</si>
  <si>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</si>
  <si>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</si>
  <si>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</si>
  <si>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</si>
  <si>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</si>
  <si>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</si>
  <si>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</si>
  <si>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</si>
  <si>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</si>
  <si>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</si>
  <si>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</si>
  <si>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</si>
  <si>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</si>
  <si>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</si>
  <si>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</si>
  <si>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</si>
  <si>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</si>
  <si>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</si>
  <si>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</si>
  <si>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</si>
  <si>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</si>
  <si>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</si>
  <si>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</si>
  <si>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</si>
  <si>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</si>
  <si>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</si>
  <si>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</si>
  <si>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</si>
  <si>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</si>
  <si>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</si>
  <si>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</si>
  <si>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</si>
  <si>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</si>
  <si>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</si>
  <si>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</si>
  <si>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</si>
  <si>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</si>
  <si>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</si>
  <si>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</si>
  <si>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</si>
  <si>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</si>
  <si>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</si>
  <si>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</si>
  <si>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</si>
  <si>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</si>
  <si>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</si>
  <si>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</si>
  <si>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</si>
  <si>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</si>
  <si>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</si>
  <si>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</si>
  <si>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</si>
  <si>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</si>
  <si>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</si>
  <si>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</si>
  <si>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</si>
  <si>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</si>
  <si>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</si>
  <si>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</si>
  <si>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</si>
  <si>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</si>
  <si>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</si>
  <si>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</si>
  <si>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</si>
  <si>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</si>
  <si>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</si>
  <si>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</si>
  <si>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</si>
  <si>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</si>
  <si>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</si>
  <si>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</si>
  <si>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</si>
  <si>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</si>
  <si>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</si>
  <si>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</si>
  <si>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</si>
  <si>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</si>
  <si>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</si>
  <si>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</si>
  <si>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</si>
  <si>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</si>
  <si>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</si>
  <si>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</si>
  <si>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</si>
  <si>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</si>
  <si>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</si>
  <si>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</si>
  <si>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</si>
  <si>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</si>
  <si>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</si>
  <si>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</si>
  <si>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</si>
  <si>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</si>
  <si>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</si>
  <si>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</si>
  <si>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</si>
  <si>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</si>
  <si>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</si>
  <si>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</si>
  <si>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</si>
  <si>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</si>
  <si>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</si>
  <si>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</si>
  <si>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</si>
  <si>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</si>
  <si>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</si>
  <si>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</si>
  <si>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</si>
  <si>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</si>
  <si>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</si>
  <si>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</si>
  <si>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</si>
  <si>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</si>
  <si>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</si>
  <si>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</si>
  <si>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</si>
  <si>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</si>
  <si>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</si>
  <si>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</si>
  <si>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</si>
  <si>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</si>
  <si>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</si>
  <si>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</si>
  <si>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</si>
  <si>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</si>
  <si>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</si>
  <si>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</si>
  <si>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</si>
  <si>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</si>
  <si>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</si>
  <si>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</si>
  <si>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</si>
  <si>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</si>
  <si>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</si>
  <si>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</si>
  <si>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</si>
  <si>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</si>
  <si>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</si>
  <si>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</si>
  <si>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</si>
  <si>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</si>
  <si>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</si>
  <si>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</si>
  <si>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</si>
  <si>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</si>
  <si>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</si>
  <si>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</si>
  <si>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</si>
  <si>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</si>
  <si>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</si>
  <si>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</si>
  <si>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</si>
  <si>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</si>
  <si>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</si>
  <si>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</si>
  <si>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</si>
  <si>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</si>
  <si>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</si>
  <si>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</si>
  <si>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</si>
  <si>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</si>
  <si>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</si>
  <si>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</si>
  <si>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</si>
  <si>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</si>
  <si>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</si>
  <si>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</si>
  <si>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</si>
  <si>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</si>
  <si>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</si>
  <si>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</si>
  <si>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</si>
  <si>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</si>
  <si>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</si>
  <si>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</si>
  <si>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</si>
  <si>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</si>
  <si>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</si>
  <si>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</si>
  <si>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</si>
  <si>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</si>
  <si>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</si>
  <si>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</si>
  <si>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</si>
  <si>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</si>
  <si>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</si>
  <si>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</si>
  <si>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</si>
  <si>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</si>
  <si>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</si>
  <si>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</si>
  <si>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</si>
  <si>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</si>
  <si>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</si>
  <si>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</si>
  <si>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</si>
  <si>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</si>
  <si>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</si>
  <si>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</si>
  <si>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</si>
  <si>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</si>
  <si>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</si>
  <si>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</si>
  <si>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</si>
  <si>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</si>
  <si>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</si>
  <si>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</si>
  <si>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</si>
  <si>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</si>
  <si>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</si>
  <si>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</si>
  <si>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</si>
  <si>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</si>
  <si>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</si>
  <si>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</si>
  <si>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</si>
  <si>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</si>
  <si>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</si>
  <si>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</si>
  <si>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</si>
  <si>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</si>
  <si>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</si>
  <si>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</si>
  <si>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</si>
  <si>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</si>
  <si>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</si>
  <si>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</si>
  <si>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</si>
  <si>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</si>
  <si>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</si>
  <si>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</si>
  <si>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</si>
  <si>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</si>
  <si>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</si>
  <si>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</si>
  <si>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</si>
  <si>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</si>
  <si>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</si>
  <si>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</si>
  <si>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</si>
  <si>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</si>
  <si>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</si>
  <si>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</si>
  <si>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</si>
  <si>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</si>
  <si>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</si>
  <si>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</si>
  <si>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</si>
  <si>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</si>
  <si>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</si>
  <si>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</si>
  <si>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</si>
  <si>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</si>
  <si>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</si>
  <si>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</si>
  <si>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</si>
  <si>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</si>
  <si>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</si>
  <si>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</si>
  <si>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</si>
  <si>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</si>
  <si>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</si>
  <si>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</si>
  <si>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</si>
  <si>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</si>
  <si>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</si>
  <si>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</si>
  <si>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</si>
  <si>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</si>
  <si>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</si>
  <si>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</si>
  <si>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</si>
  <si>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</si>
  <si>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</si>
  <si>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</si>
  <si>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</si>
  <si>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</si>
  <si>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</si>
  <si>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</si>
  <si>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</si>
  <si>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</si>
  <si>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</si>
  <si>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</si>
  <si>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</si>
  <si>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</si>
  <si>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</si>
  <si>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</si>
  <si>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</si>
  <si>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</si>
  <si>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</si>
  <si>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</si>
  <si>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</si>
  <si>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</si>
  <si>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</si>
  <si>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</si>
  <si>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</si>
  <si>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</si>
  <si>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</si>
  <si>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</si>
  <si>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</si>
  <si>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</si>
  <si>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</si>
  <si>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</si>
  <si>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</si>
  <si>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</si>
  <si>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</si>
  <si>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</si>
  <si>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</si>
  <si>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</si>
  <si>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</si>
  <si>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</si>
  <si>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</si>
  <si>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</si>
  <si>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</si>
  <si>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</si>
  <si>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</si>
  <si>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</si>
  <si>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</si>
  <si>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</si>
  <si>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</si>
  <si>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</si>
  <si>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</si>
  <si>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</si>
  <si>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</si>
  <si>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</si>
  <si>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</si>
  <si>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</si>
  <si>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</si>
  <si>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</si>
  <si>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</si>
  <si>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</si>
  <si>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</si>
  <si>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</si>
  <si>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</si>
  <si>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</si>
  <si>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</si>
  <si>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</si>
  <si>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</si>
  <si>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</si>
  <si>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</si>
  <si>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</si>
  <si>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</si>
  <si>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</si>
  <si>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</si>
  <si>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</si>
  <si>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</si>
  <si>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</si>
  <si>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</si>
  <si>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</si>
  <si>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</si>
  <si>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</si>
  <si>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</si>
  <si>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</si>
  <si>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</si>
  <si>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</si>
  <si>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</si>
  <si>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</si>
  <si>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</si>
  <si>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</si>
  <si>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</si>
  <si>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</si>
  <si>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</si>
  <si>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</si>
  <si>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</si>
  <si>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</si>
  <si>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</si>
  <si>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</si>
  <si>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</si>
  <si>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</si>
  <si>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</si>
  <si>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</si>
  <si>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</si>
  <si>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</si>
  <si>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</si>
  <si>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</si>
  <si>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</si>
  <si>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</si>
  <si>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</si>
  <si>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</si>
  <si>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</si>
  <si>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</si>
  <si>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</si>
  <si>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</si>
  <si>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</si>
  <si>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</si>
  <si>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</si>
  <si>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</si>
  <si>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</si>
  <si>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</si>
  <si>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</si>
  <si>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</si>
  <si>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</si>
  <si>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</si>
  <si>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</si>
  <si>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</si>
  <si>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</si>
  <si>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</si>
  <si>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</si>
  <si>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</si>
  <si>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</si>
  <si>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</si>
  <si>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</si>
  <si>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</si>
  <si>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</si>
  <si>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</si>
  <si>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</si>
  <si>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</si>
  <si>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</si>
  <si>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</si>
  <si>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</si>
  <si>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</si>
  <si>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</si>
  <si>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</si>
  <si>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</si>
  <si>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</si>
  <si>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</si>
  <si>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</si>
  <si>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</si>
  <si>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</si>
  <si>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</si>
  <si>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</si>
  <si>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</si>
  <si>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</si>
  <si>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</si>
  <si>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</si>
  <si>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</si>
  <si>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</si>
  <si>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</si>
  <si>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</si>
  <si>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</si>
  <si>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</si>
  <si>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</si>
  <si>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</si>
  <si>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</si>
  <si>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</si>
  <si>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</si>
  <si>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</si>
  <si>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</si>
  <si>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</si>
  <si>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</si>
  <si>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</si>
  <si>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</si>
  <si>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</si>
  <si>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</si>
  <si>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</si>
  <si>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</si>
  <si>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</si>
  <si>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</si>
  <si>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</si>
  <si>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</si>
  <si>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</si>
  <si>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</si>
  <si>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</si>
  <si>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</si>
  <si>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</si>
  <si>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</si>
  <si>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</si>
  <si>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</si>
  <si>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</si>
  <si>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</si>
  <si>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</si>
  <si>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</si>
  <si>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</si>
  <si>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</si>
  <si>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</si>
  <si>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</si>
  <si>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</si>
  <si>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</si>
  <si>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</si>
  <si>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</si>
  <si>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</si>
  <si>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</si>
  <si>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</si>
  <si>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</si>
  <si>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</si>
  <si>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</si>
  <si>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</si>
  <si>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</si>
  <si>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</si>
  <si>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</si>
  <si>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</si>
  <si>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</si>
  <si>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</si>
  <si>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</si>
  <si>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</si>
  <si>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</si>
  <si>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</si>
  <si>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</si>
  <si>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</si>
  <si>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</si>
  <si>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</si>
  <si>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</si>
  <si>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</si>
  <si>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</si>
  <si>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</si>
  <si>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</si>
  <si>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</si>
  <si>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</si>
  <si>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</si>
  <si>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</si>
  <si>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</si>
  <si>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</si>
  <si>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</si>
  <si>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</si>
  <si>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</si>
  <si>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</si>
  <si>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</si>
  <si>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</si>
  <si>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</si>
  <si>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</si>
  <si>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</si>
  <si>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</si>
  <si>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</si>
  <si>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</si>
  <si>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</si>
  <si>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</si>
  <si>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</si>
  <si>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</si>
  <si>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</si>
  <si>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</si>
  <si>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</si>
  <si>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</si>
  <si>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</si>
  <si>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</si>
  <si>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</si>
  <si>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</si>
  <si>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</si>
  <si>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</si>
  <si>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</si>
  <si>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</si>
  <si>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</si>
  <si>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</si>
  <si>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</si>
  <si>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</si>
  <si>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</si>
  <si>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</si>
  <si>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</si>
  <si>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</si>
  <si>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</si>
  <si>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</si>
  <si>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</si>
  <si>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</si>
  <si>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</si>
  <si>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</si>
  <si>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</si>
  <si>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</si>
  <si>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</si>
  <si>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</si>
  <si>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</si>
  <si>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</si>
  <si>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</si>
  <si>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</si>
  <si>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</si>
  <si>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</si>
  <si>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</si>
  <si>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</si>
  <si>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</si>
  <si>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</si>
  <si>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</si>
  <si>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</si>
  <si>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</si>
  <si>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</si>
  <si>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</si>
  <si>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</si>
  <si>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</si>
  <si>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</si>
  <si>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</si>
  <si>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</si>
  <si>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</si>
  <si>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</si>
  <si>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</si>
  <si>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</si>
  <si>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</si>
  <si>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</si>
  <si>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</si>
  <si>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</si>
  <si>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</si>
  <si>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</si>
  <si>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</si>
  <si>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</si>
  <si>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</si>
  <si>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</si>
  <si>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</si>
  <si>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</si>
  <si>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</si>
  <si>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</si>
  <si>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</si>
  <si>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</si>
  <si>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</si>
  <si>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</si>
  <si>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</si>
  <si>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</si>
  <si>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</si>
  <si>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</si>
  <si>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</si>
  <si>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</si>
  <si>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</si>
  <si>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</si>
  <si>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</si>
  <si>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</si>
  <si>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</si>
  <si>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</si>
  <si>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</si>
  <si>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</si>
  <si>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</si>
  <si>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</si>
  <si>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</si>
  <si>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</si>
  <si>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</si>
  <si>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</si>
  <si>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</si>
  <si>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</si>
  <si>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</si>
  <si>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</si>
  <si>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</si>
  <si>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</si>
  <si>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</si>
  <si>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</si>
  <si>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</si>
  <si>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</si>
  <si>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</si>
  <si>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</si>
  <si>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</si>
  <si>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</si>
  <si>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</si>
  <si>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</si>
  <si>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</si>
  <si>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</si>
  <si>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</si>
  <si>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</si>
  <si>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</si>
  <si>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</si>
  <si>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</si>
  <si>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</si>
  <si>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</si>
  <si>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</si>
  <si>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</si>
  <si>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</si>
  <si>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</si>
  <si>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</si>
  <si>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</si>
  <si>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</si>
  <si>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</si>
  <si>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</si>
  <si>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</si>
  <si>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</si>
  <si>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</si>
  <si>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</si>
  <si>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</si>
  <si>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</si>
  <si>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</si>
  <si>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</si>
  <si>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</si>
  <si>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</si>
  <si>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</si>
  <si>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</si>
  <si>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</si>
  <si>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</si>
  <si>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</si>
  <si>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</si>
  <si>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</si>
  <si>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</si>
  <si>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</si>
  <si>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</si>
  <si>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</si>
  <si>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</si>
  <si>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</si>
  <si>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</si>
  <si>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</si>
  <si>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</si>
  <si>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</si>
  <si>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</si>
  <si>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</si>
  <si>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</si>
  <si>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</si>
  <si>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</si>
  <si>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</si>
  <si>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</si>
  <si>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</si>
  <si>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</si>
  <si>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</si>
  <si>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</si>
  <si>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</si>
  <si>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</si>
  <si>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</si>
  <si>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</si>
  <si>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</si>
  <si>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</si>
  <si>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</si>
  <si>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</si>
  <si>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</si>
  <si>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</si>
  <si>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</si>
  <si>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</si>
  <si>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</si>
  <si>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</si>
  <si>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</si>
  <si>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</si>
  <si>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</si>
  <si>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</si>
  <si>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</si>
  <si>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</si>
  <si>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</si>
  <si>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</si>
  <si>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</si>
  <si>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</si>
  <si>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</si>
  <si>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</si>
  <si>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</si>
  <si>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</si>
  <si>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</si>
  <si>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</si>
  <si>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</si>
  <si>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</si>
  <si>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</si>
  <si>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</si>
  <si>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</si>
  <si>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</si>
  <si>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</si>
  <si>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</si>
  <si>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</si>
  <si>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</si>
  <si>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</si>
  <si>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</si>
  <si>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</si>
  <si>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</si>
  <si>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</si>
  <si>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</si>
  <si>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</si>
  <si>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</si>
  <si>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</si>
  <si>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</si>
  <si>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</si>
  <si>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</si>
  <si>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</si>
  <si>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</si>
  <si>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</si>
  <si>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</si>
  <si>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</si>
  <si>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</si>
  <si>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</si>
  <si>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</si>
  <si>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</si>
  <si>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</si>
  <si>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</si>
  <si>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</si>
  <si>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</si>
  <si>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</si>
  <si>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</si>
  <si>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</si>
  <si>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</si>
  <si>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</si>
  <si>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</si>
  <si>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</si>
  <si>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</si>
  <si>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</si>
  <si>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</si>
  <si>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</si>
  <si>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</si>
  <si>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</si>
  <si>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</si>
  <si>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</si>
  <si>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</si>
  <si>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</si>
  <si>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</si>
  <si>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</si>
  <si>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</si>
  <si>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</si>
  <si>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</si>
  <si>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</si>
  <si>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</si>
  <si>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</si>
  <si>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</si>
  <si>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</si>
  <si>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</si>
  <si>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</si>
  <si>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</si>
  <si>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</si>
  <si>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</si>
  <si>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</si>
  <si>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</si>
  <si>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</si>
  <si>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</si>
  <si>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</si>
  <si>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</si>
  <si>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</si>
  <si>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</si>
  <si>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</si>
  <si>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</si>
  <si>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</si>
  <si>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</si>
  <si>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</si>
  <si>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</si>
  <si>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</si>
  <si>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</si>
  <si>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</si>
  <si>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</si>
  <si>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</si>
  <si>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</si>
  <si>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</si>
  <si>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</si>
  <si>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</si>
  <si>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</si>
  <si>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</si>
  <si>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</si>
  <si>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</si>
  <si>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</si>
  <si>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</si>
  <si>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</si>
  <si>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</si>
  <si>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</si>
  <si>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</si>
  <si>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</si>
  <si>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</si>
  <si>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</si>
  <si>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</si>
  <si>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</si>
  <si>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</si>
  <si>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</si>
  <si>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</si>
  <si>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</si>
  <si>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</si>
  <si>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</si>
  <si>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</si>
  <si>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</si>
  <si>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</si>
  <si>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</si>
  <si>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</si>
  <si>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</si>
  <si>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</si>
  <si>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</si>
  <si>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</si>
  <si>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</si>
  <si>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</si>
  <si>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</si>
  <si>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</si>
  <si>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</si>
  <si>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</si>
  <si>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</si>
  <si>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</si>
  <si>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</si>
  <si>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</si>
  <si>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</si>
  <si>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</si>
  <si>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</si>
  <si>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</si>
  <si>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</si>
  <si>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</si>
  <si>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</si>
  <si>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</si>
  <si>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</si>
  <si>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</si>
  <si>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</si>
  <si>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</si>
  <si>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</si>
  <si>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</si>
  <si>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</si>
  <si>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</si>
  <si>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</si>
  <si>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</si>
  <si>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</si>
  <si>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</si>
  <si>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</si>
  <si>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</si>
  <si>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</si>
  <si>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</si>
  <si>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</si>
  <si>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</si>
  <si>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</si>
  <si>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</si>
  <si>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</si>
  <si>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</si>
  <si>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</si>
  <si>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</si>
  <si>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</si>
  <si>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</si>
  <si>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</si>
  <si>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</si>
  <si>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</si>
  <si>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</si>
  <si>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</si>
  <si>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</si>
  <si>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</si>
  <si>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</si>
  <si>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</si>
  <si>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</si>
  <si>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</si>
  <si>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</si>
  <si>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</si>
  <si>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</si>
  <si>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</si>
  <si>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</si>
  <si>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</si>
  <si>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</si>
  <si>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</si>
  <si>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</si>
  <si>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</si>
  <si>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</si>
  <si>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</si>
  <si>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</si>
  <si>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</si>
  <si>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</si>
  <si>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</si>
  <si>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</si>
  <si>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</si>
  <si>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</si>
  <si>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</si>
  <si>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</si>
  <si>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</si>
  <si>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</si>
  <si>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</si>
  <si>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</si>
  <si>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</si>
  <si>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</si>
  <si>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</si>
  <si>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</si>
  <si>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</si>
  <si>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</si>
  <si>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</si>
  <si>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</si>
  <si>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</si>
  <si>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</si>
  <si>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</si>
  <si>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</si>
  <si>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</si>
  <si>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</si>
  <si>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</si>
  <si>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</si>
  <si>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</si>
  <si>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</si>
  <si>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</si>
  <si>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</si>
  <si>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</si>
  <si>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</si>
  <si>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</si>
  <si>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</si>
  <si>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</si>
  <si>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</si>
  <si>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</si>
  <si>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</si>
  <si>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</si>
  <si>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</si>
  <si>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</si>
  <si>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</si>
  <si>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</si>
  <si>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</si>
  <si>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</si>
  <si>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</si>
  <si>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</si>
  <si>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</si>
  <si>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</si>
  <si>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</si>
  <si>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</si>
  <si>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</si>
  <si>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</si>
  <si>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</si>
  <si>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</si>
  <si>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</si>
  <si>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</si>
  <si>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</si>
  <si>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</si>
  <si>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</si>
  <si>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</si>
  <si>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</si>
  <si>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</si>
  <si>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</si>
  <si>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</si>
  <si>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</si>
  <si>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</si>
  <si>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</si>
  <si>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</si>
  <si>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</si>
  <si>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</si>
  <si>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</si>
  <si>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</si>
  <si>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</si>
  <si>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</si>
  <si>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</si>
  <si>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</si>
  <si>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</si>
  <si>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</si>
  <si>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</si>
  <si>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</si>
  <si>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</si>
  <si>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</si>
  <si>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</si>
  <si>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</si>
  <si>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</si>
  <si>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</si>
  <si>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</si>
  <si>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</si>
  <si>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</si>
  <si>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</si>
  <si>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</si>
  <si>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</si>
  <si>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</si>
  <si>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</si>
  <si>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</si>
  <si>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</si>
  <si>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</si>
  <si>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</si>
  <si>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</si>
  <si>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</si>
  <si>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</si>
  <si>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</si>
  <si>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</si>
  <si>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</si>
  <si>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</si>
  <si>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</si>
  <si>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</si>
  <si>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</si>
  <si>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</si>
  <si>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</si>
  <si>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</si>
  <si>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</si>
  <si>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</si>
  <si>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</si>
  <si>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</si>
  <si>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</si>
  <si>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</si>
  <si>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</si>
  <si>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</si>
  <si>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</si>
  <si>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</si>
  <si>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</si>
  <si>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</si>
  <si>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</si>
  <si>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</si>
  <si>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</si>
  <si>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</si>
  <si>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</si>
  <si>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</si>
  <si>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</si>
  <si>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</si>
  <si>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</si>
  <si>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</si>
  <si>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</si>
  <si>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</si>
  <si>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</si>
  <si>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</si>
  <si>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</si>
  <si>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</si>
  <si>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</si>
  <si>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</si>
  <si>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</si>
  <si>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</si>
  <si>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</si>
  <si>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</si>
  <si>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</si>
  <si>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</si>
  <si>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</si>
  <si>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</si>
  <si>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</si>
  <si>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</si>
  <si>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</si>
  <si>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</si>
  <si>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</si>
  <si>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</si>
  <si>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</si>
  <si>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</si>
  <si>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</si>
  <si>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</si>
  <si>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</si>
  <si>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</si>
  <si>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</si>
  <si>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</si>
  <si>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</si>
  <si>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</si>
  <si>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</si>
  <si>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</si>
  <si>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</si>
  <si>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</si>
  <si>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</si>
  <si>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</si>
  <si>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</si>
  <si>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</si>
  <si>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</si>
  <si>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</si>
  <si>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</si>
  <si>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</si>
  <si>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</si>
  <si>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</si>
  <si>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</si>
  <si>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</si>
  <si>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</si>
  <si>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</si>
  <si>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</si>
  <si>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</si>
  <si>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</si>
  <si>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</si>
  <si>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</si>
  <si>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</si>
  <si>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</si>
  <si>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</si>
  <si>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</si>
  <si>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</si>
  <si>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</si>
  <si>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</si>
  <si>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</si>
  <si>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</si>
  <si>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</si>
  <si>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</si>
  <si>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</si>
  <si>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</si>
  <si>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</si>
  <si>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</si>
  <si>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</si>
  <si>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</si>
  <si>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</si>
  <si>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</si>
  <si>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</si>
  <si>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</si>
  <si>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</si>
  <si>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</si>
  <si>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</si>
  <si>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</si>
  <si>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</si>
  <si>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</si>
  <si>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</si>
  <si>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</si>
  <si>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</si>
  <si>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</si>
  <si>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</si>
  <si>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</si>
  <si>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</si>
  <si>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</si>
  <si>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</si>
  <si>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</si>
  <si>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</si>
  <si>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</si>
  <si>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</si>
  <si>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</si>
  <si>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</si>
  <si>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</si>
  <si>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</si>
  <si>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</si>
  <si>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</si>
  <si>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</si>
  <si>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</si>
  <si>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</si>
  <si>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</si>
  <si>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</si>
  <si>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</si>
  <si>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</si>
  <si>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</si>
  <si>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</si>
  <si>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</si>
  <si>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</si>
  <si>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</si>
  <si>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</si>
  <si>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</si>
  <si>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</si>
  <si>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</si>
  <si>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</si>
  <si>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</si>
  <si>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</si>
  <si>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</si>
  <si>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</si>
  <si>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</si>
  <si>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</si>
  <si>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</si>
  <si>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</si>
  <si>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</si>
  <si>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</si>
  <si>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</si>
  <si>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</si>
  <si>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</si>
  <si>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</si>
  <si>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</si>
  <si>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</si>
  <si>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</si>
  <si>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</si>
  <si>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</si>
  <si>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</si>
  <si>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</si>
  <si>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</si>
  <si>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</si>
  <si>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</si>
  <si>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</si>
  <si>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</si>
  <si>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</si>
  <si>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</si>
  <si>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</si>
  <si>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</si>
  <si>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</si>
  <si>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</si>
  <si>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</si>
  <si>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</si>
  <si>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</si>
  <si>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</si>
  <si>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</si>
  <si>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</si>
  <si>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</si>
  <si>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</si>
  <si>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</si>
  <si>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</si>
  <si>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</si>
  <si>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</si>
  <si>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</si>
  <si>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</si>
  <si>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</si>
  <si>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</si>
  <si>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</si>
  <si>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</si>
  <si>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</si>
  <si>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</si>
  <si>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</si>
  <si>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</si>
  <si>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</si>
  <si>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</si>
  <si>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</si>
  <si>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</si>
  <si>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</si>
  <si>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</si>
  <si>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</si>
  <si>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</si>
  <si>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</si>
  <si>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</si>
  <si>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</si>
  <si>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</si>
  <si>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</si>
  <si>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</si>
  <si>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</si>
  <si>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</si>
  <si>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</si>
  <si>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</si>
  <si>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</si>
  <si>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</si>
  <si>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</si>
  <si>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</si>
  <si>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</si>
  <si>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</si>
  <si>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</si>
  <si>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</si>
  <si>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</si>
  <si>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</si>
  <si>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</si>
  <si>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</si>
  <si>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</si>
  <si>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</si>
  <si>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</si>
  <si>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</si>
  <si>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</si>
  <si>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</si>
  <si>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</si>
  <si>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</si>
  <si>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</si>
  <si>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</si>
  <si>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</si>
  <si>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</si>
  <si>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</si>
  <si>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</si>
  <si>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</si>
  <si>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</si>
  <si>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</si>
  <si>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</si>
  <si>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</si>
  <si>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</si>
  <si>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</si>
  <si>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</si>
  <si>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</si>
  <si>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</si>
  <si>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</si>
  <si>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</si>
  <si>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</si>
  <si>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</si>
  <si>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</si>
  <si>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</si>
  <si>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</si>
  <si>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</si>
  <si>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</si>
  <si>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</si>
  <si>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</si>
  <si>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</si>
  <si>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</si>
  <si>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</si>
  <si>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</si>
  <si>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</si>
  <si>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</si>
  <si>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</si>
  <si>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</si>
  <si>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</si>
  <si>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</si>
  <si>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</si>
  <si>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</si>
  <si>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</si>
  <si>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</si>
  <si>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</si>
  <si>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</si>
  <si>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</si>
  <si>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</si>
  <si>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</si>
  <si>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</si>
  <si>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</si>
  <si>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</si>
  <si>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</si>
  <si>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</si>
  <si>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</si>
  <si>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</si>
  <si>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</si>
  <si>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</si>
  <si>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</si>
  <si>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</si>
  <si>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</si>
  <si>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</si>
  <si>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</si>
  <si>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</si>
  <si>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</si>
  <si>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</si>
  <si>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</si>
  <si>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</si>
  <si>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</si>
  <si>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</si>
  <si>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</si>
  <si>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</si>
  <si>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</si>
  <si>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</si>
  <si>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</si>
  <si>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</si>
  <si>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</si>
  <si>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</si>
  <si>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</si>
  <si>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</si>
  <si>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</si>
  <si>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</si>
  <si>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</si>
  <si>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</si>
  <si>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</si>
  <si>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</si>
  <si>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</si>
  <si>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</si>
  <si>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</si>
  <si>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</si>
  <si>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</si>
  <si>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</si>
  <si>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</si>
  <si>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</si>
  <si>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</si>
  <si>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</si>
  <si>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</si>
  <si>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</si>
  <si>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</si>
  <si>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</si>
  <si>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</si>
  <si>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</si>
  <si>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</si>
  <si>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</si>
  <si>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</si>
  <si>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</si>
  <si>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</si>
  <si>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</si>
  <si>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</si>
  <si>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</si>
  <si>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</si>
  <si>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</si>
  <si>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</si>
  <si>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</si>
  <si>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</si>
  <si>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</si>
  <si>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</si>
  <si>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</si>
  <si>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</si>
  <si>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</si>
  <si>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</si>
  <si>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</si>
  <si>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</si>
  <si>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</si>
  <si>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</si>
  <si>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</si>
  <si>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</si>
  <si>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</si>
  <si>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</si>
  <si>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</si>
  <si>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</si>
  <si>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</si>
  <si>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</si>
  <si>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</si>
  <si>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</si>
  <si>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</si>
  <si>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</si>
  <si>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</si>
  <si>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</si>
  <si>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</si>
  <si>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</si>
  <si>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</si>
  <si>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</si>
  <si>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</si>
  <si>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</si>
  <si>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</si>
  <si>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</si>
  <si>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</si>
  <si>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</si>
  <si>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</si>
  <si>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</si>
  <si>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</si>
  <si>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</si>
  <si>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</si>
  <si>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</si>
  <si>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</si>
  <si>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</si>
  <si>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</si>
  <si>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</si>
  <si>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</si>
  <si>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</si>
  <si>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</si>
  <si>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</si>
  <si>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</si>
  <si>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</si>
  <si>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</si>
  <si>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</si>
  <si>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</si>
  <si>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</si>
  <si>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</si>
  <si>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</si>
  <si>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</si>
  <si>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</si>
  <si>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</si>
  <si>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</si>
  <si>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</si>
  <si>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</si>
  <si>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</si>
  <si>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</si>
  <si>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</si>
  <si>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</si>
  <si>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</si>
  <si>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</si>
  <si>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</si>
  <si>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</si>
  <si>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</si>
  <si>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</si>
  <si>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</si>
  <si>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</si>
  <si>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</si>
  <si>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</si>
  <si>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</si>
  <si>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</si>
  <si>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</si>
  <si>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</si>
  <si>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</si>
  <si>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</si>
  <si>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</si>
  <si>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</si>
  <si>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</si>
  <si>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</si>
  <si>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</si>
  <si>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</si>
  <si>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</si>
  <si>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</si>
  <si>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</si>
  <si>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</si>
  <si>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</si>
  <si>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</si>
  <si>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</si>
  <si>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</si>
  <si>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</si>
  <si>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</si>
  <si>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</si>
  <si>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</si>
  <si>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</si>
  <si>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</si>
  <si>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</si>
  <si>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</si>
  <si>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</si>
  <si>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</si>
  <si>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</si>
  <si>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</si>
  <si>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</si>
  <si>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</si>
  <si>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</si>
  <si>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</si>
  <si>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</si>
  <si>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</si>
  <si>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</si>
  <si>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</si>
  <si>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</si>
  <si>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</si>
  <si>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</si>
  <si>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</si>
  <si>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</si>
  <si>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</si>
  <si>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</si>
  <si>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</si>
  <si>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</si>
  <si>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</si>
  <si>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</si>
  <si>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</si>
  <si>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</si>
  <si>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</si>
  <si>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</si>
  <si>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</si>
  <si>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</si>
  <si>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</si>
  <si>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</si>
  <si>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</si>
  <si>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</si>
  <si>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</si>
  <si>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</si>
  <si>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</si>
  <si>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</si>
  <si>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</si>
  <si>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</si>
  <si>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</si>
  <si>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</si>
  <si>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</si>
  <si>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</si>
  <si>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</si>
  <si>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</si>
  <si>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</si>
  <si>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</si>
  <si>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</si>
  <si>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</si>
  <si>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</si>
  <si>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</si>
  <si>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</si>
  <si>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</si>
  <si>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</si>
  <si>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</si>
  <si>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</si>
  <si>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</si>
  <si>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</si>
  <si>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</si>
  <si>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</si>
  <si>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</si>
  <si>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</si>
  <si>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</si>
  <si>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</si>
  <si>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</si>
  <si>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</si>
  <si>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</si>
  <si>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</si>
  <si>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</si>
  <si>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</si>
  <si>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</si>
  <si>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</si>
  <si>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</si>
  <si>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</si>
  <si>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</si>
  <si>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</si>
  <si>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</si>
  <si>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</si>
  <si>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</si>
  <si>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</si>
  <si>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</si>
  <si>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</si>
  <si>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</si>
  <si>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</si>
  <si>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</si>
  <si>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</si>
  <si>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</si>
  <si>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</si>
  <si>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</si>
  <si>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</si>
  <si>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</si>
  <si>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</si>
  <si>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</si>
  <si>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</si>
  <si>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</si>
  <si>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</si>
  <si>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</si>
  <si>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</si>
  <si>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</si>
  <si>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</si>
  <si>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</si>
  <si>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</si>
  <si>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</si>
  <si>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</si>
  <si>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</si>
  <si>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</si>
  <si>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</si>
  <si>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</si>
  <si>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</si>
  <si>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</si>
  <si>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</si>
  <si>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</si>
  <si>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</si>
  <si>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</si>
  <si>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</si>
  <si>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</si>
  <si>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</si>
  <si>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</si>
  <si>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</si>
  <si>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</si>
  <si>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</si>
  <si>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</si>
  <si>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</si>
  <si>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</si>
  <si>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</si>
  <si>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</si>
  <si>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</si>
  <si>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</si>
  <si>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</si>
  <si>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</si>
  <si>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</si>
  <si>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</si>
  <si>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</si>
  <si>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</si>
  <si>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</si>
  <si>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</si>
  <si>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</si>
  <si>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</si>
  <si>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</si>
  <si>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</si>
  <si>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</si>
  <si>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</si>
  <si>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</si>
  <si>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</si>
  <si>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</si>
  <si>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</si>
  <si>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</si>
  <si>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</si>
  <si>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</si>
  <si>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</si>
  <si>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</si>
  <si>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</si>
  <si>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</si>
  <si>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</si>
  <si>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</si>
  <si>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</si>
  <si>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</si>
  <si>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</si>
  <si>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</si>
  <si>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</si>
  <si>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</si>
  <si>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</si>
  <si>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</si>
  <si>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</si>
  <si>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</si>
  <si>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</si>
  <si>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</si>
  <si>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</si>
  <si>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</si>
  <si>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</si>
  <si>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</si>
  <si>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</si>
  <si>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</si>
  <si>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</si>
  <si>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</si>
  <si>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</si>
  <si>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</si>
  <si>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</si>
  <si>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</si>
  <si>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</si>
  <si>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</si>
  <si>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</si>
  <si>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</si>
  <si>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</si>
  <si>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</si>
  <si>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</si>
  <si>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</si>
  <si>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</si>
  <si>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</si>
  <si>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</si>
  <si>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</si>
  <si>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</si>
  <si>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</si>
  <si>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</si>
  <si>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</si>
  <si>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</si>
  <si>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</si>
  <si>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</si>
  <si>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</si>
  <si>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</si>
  <si>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</si>
  <si>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</si>
  <si>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</si>
  <si>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</si>
  <si>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</si>
  <si>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</si>
  <si>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</si>
  <si>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</si>
  <si>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</si>
  <si>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</si>
  <si>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</si>
  <si>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</si>
  <si>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</si>
  <si>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</si>
  <si>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</si>
  <si>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</si>
  <si>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</si>
  <si>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</si>
  <si>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</si>
  <si>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</si>
  <si>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</si>
  <si>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</si>
  <si>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</si>
  <si>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</si>
  <si>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</si>
  <si>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</si>
  <si>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</si>
  <si>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</si>
  <si>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</si>
  <si>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</si>
  <si>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</si>
  <si>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</si>
  <si>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</si>
  <si>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</si>
  <si>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</si>
  <si>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</si>
  <si>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</si>
  <si>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</si>
  <si>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</si>
  <si>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</si>
  <si>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</si>
  <si>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</si>
  <si>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</si>
  <si>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</si>
  <si>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</si>
  <si>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</si>
  <si>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</si>
  <si>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</si>
  <si>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</si>
  <si>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</si>
  <si>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</si>
  <si>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</si>
  <si>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</si>
  <si>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</si>
  <si>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</si>
  <si>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</si>
  <si>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</si>
  <si>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</si>
  <si>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</si>
  <si>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</si>
  <si>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</si>
  <si>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</si>
  <si>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</si>
  <si>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</si>
  <si>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</si>
  <si>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</si>
  <si>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</si>
  <si>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</si>
  <si>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</si>
  <si>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</si>
  <si>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</si>
  <si>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</si>
  <si>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</si>
  <si>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</si>
  <si>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</si>
  <si>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</si>
  <si>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</si>
  <si>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</si>
  <si>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</si>
  <si>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</si>
  <si>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</si>
  <si>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</si>
  <si>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</si>
  <si>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</si>
  <si>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</si>
  <si>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</si>
  <si>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</si>
  <si>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</si>
  <si>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</si>
  <si>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</si>
  <si>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</si>
  <si>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</si>
  <si>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</si>
  <si>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</si>
  <si>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</si>
  <si>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</si>
  <si>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</si>
  <si>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</si>
  <si>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</si>
  <si>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</si>
  <si>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</si>
  <si>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</si>
  <si>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</si>
  <si>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</si>
  <si>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</si>
  <si>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</si>
  <si>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</si>
  <si>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</si>
  <si>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</si>
  <si>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</si>
  <si>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</si>
  <si>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</si>
  <si>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</si>
  <si>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</si>
  <si>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</si>
  <si>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</si>
  <si>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</si>
  <si>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</si>
  <si>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</si>
  <si>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</si>
  <si>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</si>
  <si>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</si>
  <si>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</si>
  <si>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</si>
  <si>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</si>
  <si>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</si>
  <si>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</si>
  <si>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</si>
  <si>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</si>
  <si>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</si>
  <si>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</si>
  <si>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</si>
  <si>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</si>
  <si>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</si>
  <si>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</si>
  <si>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</si>
  <si>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</si>
  <si>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</si>
  <si>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</si>
  <si>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</si>
  <si>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</si>
  <si>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</si>
  <si>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</si>
  <si>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</si>
  <si>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</si>
  <si>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</si>
  <si>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</si>
  <si>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</si>
  <si>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</si>
  <si>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</si>
  <si>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</si>
  <si>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</si>
  <si>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</si>
  <si>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</si>
  <si>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</si>
  <si>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</si>
  <si>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</si>
  <si>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</si>
  <si>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</si>
  <si>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</si>
  <si>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</si>
  <si>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</si>
  <si>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</si>
  <si>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</si>
  <si>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</si>
  <si>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</si>
  <si>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</si>
  <si>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</si>
  <si>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</si>
  <si>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</si>
  <si>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</si>
  <si>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</si>
  <si>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</si>
  <si>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</si>
  <si>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</si>
  <si>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</si>
  <si>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</si>
  <si>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</si>
  <si>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</si>
  <si>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</si>
  <si>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</si>
  <si>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</si>
  <si>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</si>
  <si>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</si>
  <si>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</si>
  <si>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</si>
  <si>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</si>
  <si>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</si>
  <si>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</si>
  <si>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</si>
  <si>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</si>
  <si>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</si>
  <si>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</si>
  <si>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</si>
  <si>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</si>
  <si>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</si>
  <si>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</si>
  <si>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</si>
  <si>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</si>
  <si>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</si>
  <si>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</si>
  <si>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</si>
  <si>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</si>
  <si>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</si>
  <si>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</si>
  <si>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</si>
  <si>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</si>
  <si>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</si>
  <si>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</si>
  <si>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</si>
  <si>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</si>
  <si>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</si>
  <si>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</si>
  <si>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</si>
  <si>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</si>
  <si>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</si>
  <si>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</si>
  <si>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</si>
  <si>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</si>
  <si>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</si>
  <si>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</si>
  <si>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</si>
  <si>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</si>
  <si>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</si>
  <si>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</si>
  <si>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</si>
  <si>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</si>
  <si>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</si>
  <si>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</si>
  <si>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</si>
  <si>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</si>
  <si>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</si>
  <si>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</si>
  <si>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</si>
  <si>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</si>
  <si>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</si>
  <si>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</si>
  <si>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</si>
  <si>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</si>
  <si>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</si>
  <si>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</si>
  <si>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</si>
  <si>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</si>
  <si>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</si>
  <si>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</si>
  <si>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</si>
  <si>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</si>
  <si>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</si>
  <si>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</si>
  <si>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</si>
  <si>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</si>
  <si>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</si>
  <si>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</si>
  <si>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</si>
  <si>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</si>
  <si>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</si>
  <si>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</si>
  <si>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</si>
  <si>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</si>
  <si>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</si>
  <si>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</si>
  <si>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</si>
  <si>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</si>
  <si>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</si>
  <si>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</si>
  <si>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</si>
  <si>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</si>
  <si>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</si>
  <si>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</si>
  <si>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</si>
  <si>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</si>
  <si>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</si>
  <si>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</si>
  <si>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</si>
  <si>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</si>
  <si>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</si>
  <si>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</si>
  <si>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</si>
  <si>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</si>
  <si>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</si>
  <si>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</si>
  <si>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</si>
  <si>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</si>
  <si>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</si>
  <si>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</si>
  <si>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</si>
  <si>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</si>
  <si>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</si>
  <si>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</si>
  <si>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</si>
  <si>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</si>
  <si>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</si>
  <si>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</si>
  <si>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</si>
  <si>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</si>
  <si>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</si>
  <si>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</si>
  <si>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</si>
  <si>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</si>
  <si>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</si>
  <si>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</si>
  <si>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</si>
  <si>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</si>
  <si>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</si>
  <si>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</si>
  <si>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</si>
  <si>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</si>
  <si>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</si>
  <si>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</si>
  <si>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</si>
  <si>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</si>
  <si>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</si>
  <si>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</si>
  <si>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</si>
  <si>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</si>
  <si>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</si>
  <si>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</si>
  <si>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</si>
  <si>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</si>
  <si>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</si>
  <si>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</si>
  <si>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</si>
  <si>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</si>
  <si>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</si>
  <si>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</si>
  <si>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</si>
  <si>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</si>
  <si>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</si>
  <si>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</si>
  <si>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</si>
  <si>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</si>
  <si>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</si>
  <si>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</si>
  <si>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</si>
  <si>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</si>
  <si>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</si>
  <si>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</si>
  <si>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</si>
  <si>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</si>
  <si>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</si>
  <si>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</si>
  <si>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</si>
  <si>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</si>
  <si>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</si>
  <si>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</si>
  <si>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</si>
  <si>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</si>
  <si>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</si>
  <si>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</si>
  <si>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</si>
  <si>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</si>
  <si>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</si>
  <si>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</si>
  <si>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</si>
  <si>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</si>
  <si>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</si>
  <si>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</si>
  <si>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</si>
  <si>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</si>
  <si>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</si>
  <si>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</si>
  <si>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</si>
  <si>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</si>
  <si>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</si>
  <si>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</si>
  <si>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</si>
  <si>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</si>
  <si>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</si>
  <si>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</si>
  <si>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</si>
  <si>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</si>
  <si>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</si>
  <si>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</si>
  <si>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</si>
  <si>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</si>
  <si>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</si>
  <si>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</si>
  <si>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</si>
  <si>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</si>
  <si>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</si>
  <si>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</si>
  <si>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</si>
  <si>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</si>
  <si>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</si>
  <si>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</si>
  <si>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</si>
  <si>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</si>
  <si>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</si>
  <si>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</si>
  <si>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</si>
  <si>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</si>
  <si>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</si>
  <si>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</si>
  <si>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</si>
  <si>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</si>
  <si>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</si>
  <si>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</si>
  <si>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</si>
  <si>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</si>
  <si>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</si>
  <si>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</si>
  <si>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</si>
  <si>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</si>
  <si>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</si>
  <si>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</si>
  <si>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</si>
  <si>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</si>
  <si>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</si>
  <si>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</si>
  <si>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</si>
  <si>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</si>
  <si>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</si>
  <si>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</si>
  <si>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</si>
  <si>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</si>
  <si>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</si>
  <si>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</si>
  <si>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</si>
  <si>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</si>
  <si>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</si>
  <si>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</si>
  <si>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</si>
  <si>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</si>
  <si>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</si>
  <si>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</si>
  <si>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</si>
  <si>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</si>
  <si>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</si>
  <si>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</si>
  <si>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</si>
  <si>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</si>
  <si>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</si>
  <si>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</si>
  <si>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</si>
  <si>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</si>
  <si>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</si>
  <si>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</si>
  <si>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</si>
  <si>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</si>
  <si>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</si>
  <si>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</si>
  <si>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</si>
  <si>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</si>
  <si>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</si>
  <si>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</si>
  <si>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</si>
  <si>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</si>
  <si>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</si>
  <si>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</si>
  <si>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</si>
  <si>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</si>
  <si>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</si>
  <si>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</si>
  <si>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</si>
  <si>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</si>
  <si>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</si>
  <si>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</si>
  <si>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</si>
  <si>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</si>
  <si>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</si>
  <si>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</si>
  <si>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</si>
  <si>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</si>
  <si>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</si>
  <si>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</si>
  <si>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</si>
  <si>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</si>
  <si>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</si>
  <si>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</si>
  <si>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</si>
  <si>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</si>
  <si>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</si>
  <si>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</si>
  <si>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</si>
  <si>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</si>
  <si>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</si>
  <si>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</si>
  <si>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</si>
  <si>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</si>
  <si>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</si>
  <si>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</si>
  <si>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</si>
  <si>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</si>
  <si>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</si>
  <si>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</si>
  <si>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</si>
  <si>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</si>
  <si>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</si>
  <si>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</si>
  <si>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</si>
  <si>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</si>
  <si>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</si>
  <si>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</si>
  <si>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</si>
  <si>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</si>
  <si>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</si>
  <si>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</si>
  <si>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</si>
  <si>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</si>
  <si>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</si>
  <si>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</si>
  <si>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</si>
  <si>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</si>
  <si>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</si>
  <si>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</si>
  <si>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</si>
  <si>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</si>
  <si>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</si>
  <si>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</si>
  <si>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</si>
  <si>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</si>
  <si>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</si>
  <si>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</si>
  <si>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</si>
  <si>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</si>
  <si>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</si>
  <si>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</si>
  <si>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</si>
  <si>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</si>
  <si>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</si>
  <si>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</si>
  <si>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</si>
  <si>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</si>
  <si>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</si>
  <si>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</si>
  <si>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</si>
  <si>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</si>
  <si>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</si>
  <si>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</si>
  <si>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</si>
  <si>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</si>
  <si>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</si>
  <si>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</si>
  <si>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</si>
  <si>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</si>
  <si>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</si>
  <si>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</si>
  <si>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</si>
  <si>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</si>
  <si>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</si>
  <si>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</si>
  <si>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</si>
  <si>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</si>
  <si>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</si>
  <si>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</si>
  <si>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</si>
  <si>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</si>
  <si>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</si>
  <si>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</si>
  <si>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</si>
  <si>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</si>
  <si>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</si>
  <si>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</si>
  <si>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</si>
  <si>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</si>
  <si>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</si>
  <si>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</si>
  <si>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</si>
  <si>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</si>
  <si>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</si>
  <si>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</si>
  <si>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</si>
  <si>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</si>
  <si>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</si>
  <si>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</si>
  <si>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</si>
  <si>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</si>
  <si>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</si>
  <si>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</si>
  <si>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</si>
  <si>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</si>
  <si>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</si>
  <si>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</si>
  <si>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</si>
  <si>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</si>
  <si>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</si>
  <si>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</si>
  <si>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</si>
  <si>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</si>
  <si>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</si>
  <si>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</si>
  <si>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</si>
  <si>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</si>
  <si>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</si>
  <si>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</si>
  <si>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</si>
  <si>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</si>
  <si>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</si>
  <si>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</si>
  <si>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</si>
  <si>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</si>
  <si>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</si>
  <si>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</si>
  <si>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</si>
  <si>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</si>
  <si>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</si>
  <si>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</si>
  <si>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</si>
  <si>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</si>
  <si>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</si>
  <si>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</si>
  <si>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</si>
  <si>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</si>
  <si>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</si>
  <si>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</si>
  <si>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</si>
  <si>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</si>
  <si>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</si>
  <si>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</si>
  <si>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</si>
  <si>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</si>
  <si>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</si>
  <si>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</si>
  <si>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</si>
  <si>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</si>
  <si>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</si>
  <si>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</si>
  <si>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</si>
  <si>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</si>
  <si>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</si>
  <si>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</si>
  <si>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</si>
  <si>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</si>
  <si>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</si>
  <si>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</si>
  <si>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</si>
  <si>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</si>
  <si>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</si>
  <si>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</si>
  <si>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</si>
  <si>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</si>
  <si>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</si>
  <si>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</si>
  <si>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</si>
  <si>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</si>
  <si>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</si>
  <si>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</si>
  <si>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</si>
  <si>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</si>
  <si>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</si>
  <si>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</si>
  <si>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</si>
  <si>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</si>
  <si>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</si>
  <si>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</si>
  <si>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</si>
  <si>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</si>
  <si>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</si>
  <si>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</si>
  <si>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</si>
  <si>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</si>
  <si>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</si>
  <si>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</si>
  <si>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</si>
  <si>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</si>
  <si>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</si>
  <si>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</si>
  <si>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</si>
  <si>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</si>
  <si>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</si>
  <si>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</si>
  <si>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</si>
  <si>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</si>
  <si>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</si>
  <si>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</si>
  <si>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</si>
  <si>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</si>
  <si>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</si>
  <si>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</si>
  <si>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</si>
  <si>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</si>
  <si>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</si>
  <si>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</si>
  <si>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</si>
  <si>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</si>
  <si>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</si>
  <si>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</si>
  <si>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</si>
  <si>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</si>
  <si>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</si>
  <si>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</si>
  <si>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</si>
  <si>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</si>
  <si>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</si>
  <si>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</si>
  <si>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</si>
  <si>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</si>
  <si>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</si>
  <si>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</si>
  <si>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</si>
  <si>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</si>
  <si>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</si>
  <si>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</si>
  <si>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</si>
  <si>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</si>
  <si>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</si>
  <si>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</si>
  <si>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</si>
  <si>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</si>
  <si>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</si>
  <si>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</si>
  <si>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</si>
  <si>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</si>
  <si>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</si>
  <si>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</si>
  <si>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</si>
  <si>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</si>
  <si>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</si>
  <si>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</si>
  <si>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</si>
  <si>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</si>
  <si>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</si>
  <si>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</si>
  <si>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</si>
  <si>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</si>
  <si>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</si>
  <si>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</si>
  <si>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</si>
  <si>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</si>
  <si>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</si>
  <si>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</si>
  <si>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</si>
  <si>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</si>
  <si>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</si>
  <si>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</si>
  <si>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</si>
  <si>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</si>
  <si>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</si>
  <si>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</si>
  <si>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</si>
  <si>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</si>
  <si>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</si>
  <si>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</si>
  <si>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</si>
  <si>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</si>
  <si>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</si>
  <si>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</si>
  <si>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</si>
  <si>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</si>
  <si>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</si>
  <si>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</si>
  <si>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</si>
  <si>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</si>
  <si>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</si>
  <si>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</si>
  <si>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</si>
  <si>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</si>
  <si>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</si>
  <si>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</si>
  <si>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</si>
  <si>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</si>
  <si>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</si>
  <si>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</si>
  <si>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</si>
  <si>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</si>
  <si>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</si>
  <si>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</si>
  <si>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</si>
  <si>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</si>
  <si>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</si>
  <si>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</si>
  <si>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</si>
  <si>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</si>
  <si>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</si>
  <si>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</si>
  <si>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</si>
  <si>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</si>
  <si>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</si>
  <si>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</si>
  <si>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</si>
  <si>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</si>
  <si>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</si>
  <si>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</si>
  <si>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</si>
  <si>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</si>
  <si>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</si>
  <si>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</si>
  <si>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</si>
  <si>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</si>
  <si>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</si>
  <si>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</si>
  <si>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</si>
  <si>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</si>
  <si>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</si>
  <si>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</si>
  <si>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</si>
  <si>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</si>
  <si>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</si>
  <si>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</si>
  <si>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</si>
  <si>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</si>
  <si>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</si>
  <si>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</si>
  <si>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</si>
  <si>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</si>
  <si>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</si>
  <si>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</si>
  <si>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</si>
  <si>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</si>
  <si>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</si>
  <si>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</si>
  <si>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</si>
  <si>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</si>
  <si>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</si>
  <si>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</si>
  <si>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</si>
  <si>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</si>
  <si>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</si>
  <si>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</si>
  <si>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</si>
  <si>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</si>
  <si>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</si>
  <si>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</si>
  <si>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</si>
  <si>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</si>
  <si>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</si>
  <si>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</si>
  <si>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</si>
  <si>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</si>
  <si>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</si>
  <si>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</si>
  <si>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</si>
  <si>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</si>
  <si>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</si>
  <si>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</si>
  <si>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</si>
  <si>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</si>
  <si>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</si>
  <si>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</si>
  <si>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</si>
  <si>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</si>
  <si>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</si>
  <si>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</si>
  <si>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</si>
  <si>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</si>
  <si>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</si>
  <si>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</si>
  <si>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</si>
  <si>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</si>
  <si>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</si>
  <si>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</si>
  <si>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</si>
  <si>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</si>
  <si>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</si>
  <si>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</si>
  <si>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</si>
  <si>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</si>
  <si>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</si>
  <si>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</si>
  <si>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</si>
  <si>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</si>
  <si>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</si>
  <si>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</si>
  <si>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</si>
  <si>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</si>
  <si>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</si>
  <si>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</si>
  <si>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</si>
  <si>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</si>
  <si>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</si>
  <si>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</si>
  <si>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</si>
  <si>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</si>
  <si>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</si>
  <si>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</si>
  <si>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</si>
  <si>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</si>
  <si>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</si>
  <si>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</si>
  <si>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</si>
  <si>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</si>
  <si>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</si>
  <si>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</si>
  <si>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</si>
  <si>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</si>
  <si>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</si>
  <si>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</si>
  <si>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</si>
  <si>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</si>
  <si>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</si>
  <si>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</si>
  <si>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</si>
  <si>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</si>
  <si>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</si>
  <si>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</si>
  <si>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</si>
  <si>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</si>
  <si>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</si>
  <si>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</si>
  <si>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</si>
  <si>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</si>
  <si>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</si>
  <si>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</si>
  <si>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</si>
  <si>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</si>
  <si>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</si>
  <si>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</si>
  <si>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</si>
  <si>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</si>
  <si>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</si>
  <si>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</si>
  <si>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</si>
  <si>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</si>
  <si>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</si>
  <si>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</si>
  <si>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</si>
  <si>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</si>
  <si>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</si>
  <si>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</si>
  <si>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</si>
  <si>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</si>
  <si>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</si>
  <si>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</si>
  <si>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</si>
  <si>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</si>
  <si>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</si>
  <si>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</si>
  <si>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</si>
  <si>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</si>
  <si>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</si>
  <si>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</si>
  <si>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</si>
  <si>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</si>
  <si>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</si>
  <si>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</si>
  <si>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</si>
  <si>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</si>
  <si>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</si>
  <si>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</si>
  <si>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</si>
  <si>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</si>
  <si>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</si>
  <si>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</si>
  <si>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</si>
  <si>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</si>
  <si>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</si>
  <si>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</si>
  <si>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</si>
  <si>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</si>
  <si>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</si>
  <si>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</si>
  <si>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</si>
  <si>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</si>
  <si>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</si>
  <si>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</si>
  <si>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</si>
  <si>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</si>
  <si>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</si>
  <si>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</si>
  <si>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</si>
  <si>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</si>
  <si>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</si>
  <si>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</si>
  <si>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</si>
  <si>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</si>
  <si>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</si>
  <si>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</si>
  <si>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</si>
  <si>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</si>
  <si>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</si>
  <si>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</si>
  <si>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</si>
  <si>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</si>
  <si>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</si>
  <si>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</si>
  <si>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</si>
  <si>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</si>
  <si>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</si>
  <si>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</si>
  <si>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</si>
  <si>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</si>
  <si>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</si>
  <si>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</si>
  <si>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</si>
  <si>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</si>
  <si>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</si>
  <si>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</si>
  <si>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</si>
  <si>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</si>
  <si>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</si>
  <si>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</si>
  <si>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</si>
  <si>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</si>
  <si>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</si>
  <si>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</si>
  <si>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</si>
  <si>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</si>
  <si>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</si>
  <si>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</si>
  <si>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</si>
  <si>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</si>
  <si>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</si>
  <si>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</si>
  <si>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</si>
  <si>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</si>
  <si>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</si>
  <si>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</si>
  <si>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</si>
  <si>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</si>
  <si>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</si>
  <si>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</si>
  <si>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</si>
  <si>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</si>
  <si>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</si>
  <si>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</si>
  <si>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</si>
  <si>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</si>
  <si>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</si>
  <si>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</si>
  <si>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</si>
  <si>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</si>
  <si>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</si>
  <si>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</si>
  <si>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</si>
  <si>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</si>
  <si>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</si>
  <si>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</si>
  <si>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</si>
  <si>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</si>
  <si>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</si>
  <si>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</si>
  <si>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</si>
  <si>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</si>
  <si>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</si>
  <si>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</si>
  <si>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</si>
  <si>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</si>
  <si>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</si>
  <si>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</si>
  <si>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</si>
  <si>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</si>
  <si>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</si>
  <si>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</si>
  <si>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</si>
  <si>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</si>
  <si>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</si>
  <si>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</si>
  <si>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</si>
  <si>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</si>
  <si>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</si>
  <si>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</si>
  <si>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</si>
  <si>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</si>
  <si>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</si>
  <si>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</si>
  <si>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</si>
  <si>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</si>
  <si>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</si>
  <si>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</si>
  <si>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</si>
  <si>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</si>
  <si>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</si>
  <si>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</si>
  <si>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</si>
  <si>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</si>
  <si>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</si>
  <si>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</si>
  <si>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</si>
  <si>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</si>
  <si>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</si>
  <si>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</si>
  <si>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</si>
  <si>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</si>
  <si>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</si>
  <si>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</si>
  <si>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</si>
  <si>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</si>
  <si>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</si>
  <si>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</si>
  <si>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</si>
  <si>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</si>
  <si>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</si>
  <si>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</si>
  <si>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</si>
  <si>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</si>
  <si>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</si>
  <si>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</si>
  <si>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</si>
  <si>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</si>
  <si>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</si>
  <si>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</si>
  <si>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</si>
  <si>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</si>
  <si>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</si>
  <si>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</si>
  <si>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</si>
  <si>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</si>
  <si>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</si>
  <si>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</si>
  <si>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</si>
  <si>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</si>
  <si>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</si>
  <si>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</si>
  <si>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</si>
  <si>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</si>
  <si>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</si>
  <si>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</si>
  <si>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</si>
  <si>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</si>
  <si>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</si>
  <si>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</si>
  <si>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</si>
  <si>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</si>
  <si>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</si>
  <si>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</si>
  <si>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</si>
  <si>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</si>
  <si>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</si>
  <si>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</si>
  <si>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</si>
  <si>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</si>
  <si>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</si>
  <si>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</si>
  <si>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</si>
  <si>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</si>
  <si>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</si>
  <si>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</si>
  <si>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</si>
  <si>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</si>
  <si>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</si>
  <si>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</si>
  <si>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</si>
  <si>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</si>
  <si>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</si>
  <si>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</si>
  <si>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</si>
  <si>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</si>
  <si>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</si>
  <si>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</si>
  <si>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</si>
  <si>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</si>
  <si>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</si>
  <si>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</si>
  <si>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</si>
  <si>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</si>
  <si>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</si>
  <si>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</si>
  <si>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</si>
  <si>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</si>
  <si>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</si>
  <si>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</si>
  <si>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</si>
  <si>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</si>
  <si>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</si>
  <si>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</si>
  <si>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</si>
  <si>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</si>
  <si>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</si>
  <si>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</si>
  <si>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</si>
  <si>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</si>
  <si>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</si>
  <si>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</si>
  <si>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</si>
  <si>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</si>
  <si>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</si>
  <si>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</si>
  <si>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</si>
  <si>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</si>
  <si>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</si>
  <si>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</si>
  <si>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</si>
  <si>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</si>
  <si>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</si>
  <si>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</si>
  <si>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</si>
  <si>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</si>
  <si>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</si>
  <si>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</si>
  <si>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</si>
  <si>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</si>
  <si>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</si>
  <si>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</si>
  <si>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</si>
  <si>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</si>
  <si>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</si>
  <si>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</si>
  <si>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</si>
  <si>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</si>
  <si>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</si>
  <si>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</si>
  <si>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</si>
  <si>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</si>
  <si>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</si>
  <si>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</si>
  <si>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</si>
  <si>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</si>
  <si>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</si>
  <si>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</si>
  <si>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</si>
  <si>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</si>
  <si>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</si>
  <si>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</si>
  <si>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</si>
  <si>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</si>
  <si>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</si>
  <si>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</si>
  <si>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</si>
  <si>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</si>
  <si>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</si>
  <si>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</si>
  <si>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</si>
  <si>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</si>
  <si>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</si>
  <si>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</si>
  <si>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</si>
  <si>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</si>
  <si>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</si>
  <si>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</si>
  <si>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</si>
  <si>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</si>
  <si>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</si>
  <si>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</si>
  <si>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</si>
  <si>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</si>
  <si>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</si>
  <si>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</si>
  <si>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</si>
  <si>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</si>
  <si>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</si>
  <si>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</si>
  <si>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</si>
  <si>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</si>
  <si>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</si>
  <si>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</si>
  <si>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</si>
  <si>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</si>
  <si>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</si>
  <si>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</si>
  <si>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</si>
  <si>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</si>
  <si>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</si>
  <si>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</si>
  <si>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Yes</t>
  </si>
  <si>
    <t>No</t>
  </si>
  <si>
    <t>Governmental Fee Backup</t>
  </si>
  <si>
    <t>Jay Ronca</t>
  </si>
  <si>
    <t>1544 South Main Street</t>
  </si>
  <si>
    <t>Fyffe</t>
  </si>
  <si>
    <t>Vice President</t>
  </si>
  <si>
    <t>Competitive Round</t>
  </si>
  <si>
    <t>Within City Limits</t>
  </si>
  <si>
    <t>Mayor</t>
  </si>
  <si>
    <t>1 The Vantage Group, LLC</t>
  </si>
  <si>
    <t>2 Barron Group, Inc.</t>
  </si>
  <si>
    <t>3 Vantage Development, LLC</t>
  </si>
  <si>
    <t>Willingham Village II</t>
  </si>
  <si>
    <t>To Be Applied For</t>
  </si>
  <si>
    <t>Lowell R. Barron, II</t>
  </si>
  <si>
    <t>President</t>
  </si>
  <si>
    <t>lbarron@thevantagegroup.biz</t>
  </si>
  <si>
    <t>Vantage Development, LLC</t>
  </si>
  <si>
    <t>www.thevantagegroup.biz</t>
  </si>
  <si>
    <t>Fyffe Construction Company, Inc.</t>
  </si>
  <si>
    <t>Vantage Management, LLC</t>
  </si>
  <si>
    <t>Vantage Development, LLC and Fyffe Construction Company, Inc. are both owned by Lowell R. Barron, II</t>
  </si>
  <si>
    <t>Lowell R. Barron, II is the President of the Managing GP and the Principal of Fyffe Construction Company, Inc.</t>
  </si>
  <si>
    <t>Vantage Management, LLC is also owned by Lowell R. Barron, II</t>
  </si>
  <si>
    <t>For Profit</t>
  </si>
  <si>
    <t>Electric Heat Pump</t>
  </si>
  <si>
    <t>Earth Craft House Multifamily</t>
  </si>
  <si>
    <t>Agree</t>
  </si>
  <si>
    <t>Vantage Partners 2014 GA Phase II, LLC</t>
  </si>
  <si>
    <t xml:space="preserve">Other (Specify) - Identity of Interest </t>
  </si>
  <si>
    <t>2014PA-017</t>
  </si>
  <si>
    <t>jronca@thevantagegroup.biz</t>
  </si>
  <si>
    <t>15 Brookwood Avenue</t>
  </si>
  <si>
    <t>Lat: 34 16'20.06"N  Long:85 12'8.29" W</t>
  </si>
  <si>
    <t>Yes - no Master Plan</t>
  </si>
  <si>
    <t>5.00</t>
  </si>
  <si>
    <t>City of Rome</t>
  </si>
  <si>
    <t>601 Broad Street</t>
  </si>
  <si>
    <t>www.romefloyd.com</t>
  </si>
  <si>
    <t>jdoss@romega.us</t>
  </si>
  <si>
    <t>Mayor Jamie Doss</t>
  </si>
  <si>
    <t>Family</t>
  </si>
  <si>
    <t>4 Northwest Georgia Housing Authority, LLC</t>
  </si>
  <si>
    <t>5 Willingham Development, LLC</t>
  </si>
  <si>
    <t>6 Vantage Partners 2014 GA Phase II, LLC</t>
  </si>
  <si>
    <t>7 Willingham 2014 GA Phase II, LLC</t>
  </si>
  <si>
    <t>800 N. Fifth Avenue</t>
  </si>
  <si>
    <t>Sandra Hudson</t>
  </si>
  <si>
    <t>shudson@nwgha.com</t>
  </si>
  <si>
    <t>Willingham Village Apartments Phase II, LP</t>
  </si>
  <si>
    <t>President of GP</t>
  </si>
  <si>
    <t>Willingham 2014 GA Phase II, LLC</t>
  </si>
  <si>
    <t>Director</t>
  </si>
  <si>
    <t>Willingham Development, LLC</t>
  </si>
  <si>
    <t>Baker Tilly Virchow Krause</t>
  </si>
  <si>
    <t>Ten Terrace Ct. P.O. Box 7398</t>
  </si>
  <si>
    <t>Don Bernards</t>
  </si>
  <si>
    <t>Bill Jones</t>
  </si>
  <si>
    <t>519 Broad Street, Suite 100</t>
  </si>
  <si>
    <t>wnjaia@aol.com</t>
  </si>
  <si>
    <t>donald.bernards@bakertilly.com</t>
  </si>
  <si>
    <t>Balch &amp; Bingham, LLP</t>
  </si>
  <si>
    <t>1901 Sixth Avenue North</t>
  </si>
  <si>
    <t>Birmingham</t>
  </si>
  <si>
    <t>Matt Aiken</t>
  </si>
  <si>
    <t>Partner</t>
  </si>
  <si>
    <t>maiken@balch.com</t>
  </si>
  <si>
    <t>RBC Capital Markets - Tax Equity Group</t>
  </si>
  <si>
    <t>One Piedmont Town Center Suite 240</t>
  </si>
  <si>
    <t>Charlotte</t>
  </si>
  <si>
    <t>David J. Urban</t>
  </si>
  <si>
    <t>david.urban@rbc.com</t>
  </si>
  <si>
    <t>Vantage Partners 2014 GA Phase II, LLC (General Partner), Vantage Development, LLC (Developer), Fyffe Construction Co., Inc. (General Contractor), and Vantage Management, LLC (Management Company) are all owned by Lowell R. Barron, II.         
Bill Jones the Architect and RBC Capital Markets - Tax Equity Group do not have a fax number.</t>
  </si>
  <si>
    <t>Community &amp; Southern Bank</t>
  </si>
  <si>
    <t>RBC (TBD)</t>
  </si>
  <si>
    <t>Northwest Georgia Housing Authority - HUD</t>
  </si>
  <si>
    <t xml:space="preserve">The applicable utility allowance for this project are from the local PHA who also is a partner in this development. </t>
  </si>
  <si>
    <t>RAD</t>
  </si>
  <si>
    <t>Acquisition/Rehab</t>
  </si>
  <si>
    <t>Covered Porch</t>
  </si>
  <si>
    <t>On-site laundry</t>
  </si>
  <si>
    <t>Fitness Center</t>
  </si>
  <si>
    <t>Covered pavillion with BBQ facilities</t>
  </si>
  <si>
    <t>Northwest Georgia Housing Auth.</t>
  </si>
  <si>
    <t>Amortizing</t>
  </si>
  <si>
    <t>Capital Needs Assessment</t>
  </si>
  <si>
    <t>Lead/Asbestos Testing/Inspection</t>
  </si>
  <si>
    <t>DDA/QCT</t>
  </si>
  <si>
    <t>*Wiilingham Village currently has a Payment in Lieu of Taxes (PILOT) which will remain with the development since NWGHA is a partner in the transaction and is Ground Leasing the land. This is a tax exemption and therefore the expenses are forecasted in accordance with those guidelines.
*Please see insurance backup documentation in Tab 1. Feasibility.</t>
  </si>
  <si>
    <t>NWGHA selling bldgs @ FMV to p'ship &amp; taking back seller note; Willingham 2014 GA Phase II is owned by NWGHA</t>
  </si>
  <si>
    <t xml:space="preserve">The property was built in 1972 and consists of single story, single-family, duplex, and quadplex structures with unit sizes ranging from one to five bedrooms and consists of a total of 172 units.  Willingham Village is central to downtown Rome and nearby hospitals with access to public transportation and within two miles of big box retailers, grocery stores, schools, parks, restaurants, banks, a post office, pharmacy, church, public playground, and licensed day-care center.  Willingham Village will be developed in two phases; Phase 1 will consist of 97 units, 2014 DCA HOME NOFA funding, and Phase 2 will consist of gut rehabbing the remaining 75 units, applying for 2014 DCA 9% Low Income Housing Tax Credits.
The rehabilitation scope for the 75 units consists of a complete gutting of the interiors to allow for a new layout with larger bedrooms, baths, laundry room, and an open-plan living, dining and kitchen area.  New electrical, HVAC, and plumbing are planned.  All windows will be replaced with new energy code compliant units.  The roofs have already been replaced to address storm damage.  All fascias, soffits will be re-faced with pre-finished aluminum and new gutters and downspouts will be added.  Any wood siding will be replaced with cementitious siding.  A new construction community building will also be developed.
Existing parking lots, parking pads, and sidewalks will be replaced as required for damage and accessibility conflicts.  Existing sanitary sewer lines will be replaced manhole-to-manhole and from the units to the outfall points as necessary. Existing water lines will be replaced from the meter to the units as necessary.  Finally, the storm water management system, to include pipes and catch basins, will be improved where ponding and flooding is a problem.
Willingham Village has recently received RAD approval from HUD and was issued a CHAP ("Commitment to Enter into a Housing Assistance Payments) and we are waiting for HUD’s approval of Willingham Village to be converted as RAD multi-phased development.    The NWGHA will enter into a Project Based Voucher agreement with the partnership to provide the specified Contract Rents for a minimum period of 15 years.    The Northwest Georgia Housing Authority will ground lease the land to the Partnership for a nominal ($1,000) up-front payment for a term of 50 years.  The improvements will be sold to the Partnership for Fair Market Value and the proceeds will be used to pay off the existing CFFP Loan (loan secured by the assets and capital funds of the NWGHA).  The surplus proceeds from the sale will be loaned into the Partnership by the NWGHA as a seller note  Finally, at RAD conversion (closing), the Contract Rents as specified in Exhibit A to the CHAP will be paid to the project for occupied and vacant units to be used as an additional source of funds for the project.  As demonstrated in the attached application, the project is very well capitalized and represents an efficient use of Federal and Georgia LIHTC resources.
Amenities associated with the development of Willingham Village Phase II will consist of a community building, exterior gathering area, on site laundry, equipped playground, computer business center, wellness center, gazebo and picnic area.
The NWGHA will provide supportive services to the community and its residents.  These empowerment activities and services will provide adult literacy and financial literacy classes to residents, child care services, as well as include a self-sufficiency program, computer training program.  See below.
Additionally, the Board of the NWGHA adopted a resolution to allow for a target population preference to include "people with severe, chronic developmental disabilities who currently live in institutions or are at serious risk of institutionalization, people with persistent mental illness or reside in state hospitals, are at serious risk of institutionalization or are chronically homeless due to their disabilities, and persons qualifying for participation in the Money Follows the person program.
The NWGHA offers to its residents the following supportive services:
• ROSS Neighborhood Networks Program, 
• ROSS Elderly and Family Program, 
• Resident Associations, 
• ROSS Family Self Sufficiency,
• The House of the Children Academy, a state of the art licensed learning center.
</t>
  </si>
  <si>
    <t>Ongoing movie/game night hosted by management staff</t>
  </si>
  <si>
    <t>The managing agent will provide one onsite social and recreational program overseen by the project manager.</t>
  </si>
  <si>
    <t>John Wall and Associates</t>
  </si>
  <si>
    <t>NWGHA Seller Note</t>
  </si>
  <si>
    <t>Northwest Georgia Housing Auth. Seller Note</t>
  </si>
  <si>
    <t>Everson Huber &amp; Associates, LLC</t>
  </si>
  <si>
    <t>Geotechnical &amp; Environmental Consultants, Inc.</t>
  </si>
  <si>
    <t>Harry Walls Environmental Consulting</t>
  </si>
  <si>
    <t>Two railways within 3000 feet of the development.</t>
  </si>
  <si>
    <t>Ground lease/Option</t>
  </si>
  <si>
    <t>Northwest Georgia Housing Authority "NWGHA" is the owner of the property, the ground lease is between NWGHA and the partnership. NWGHA is a General Partner in this project.</t>
  </si>
  <si>
    <t>Georgia Power</t>
  </si>
  <si>
    <t>Rome Water and Sewer Division</t>
  </si>
  <si>
    <t>City website, on City calendar and in agenda of mtg</t>
  </si>
  <si>
    <t>Substantial Gut Rehab</t>
  </si>
  <si>
    <t>Newbanks, Inc.</t>
  </si>
  <si>
    <t>Racially mixed</t>
  </si>
  <si>
    <t xml:space="preserve">3.00, 4.00, 13.00, 12.00, 11.00, </t>
  </si>
  <si>
    <t>50 years</t>
  </si>
  <si>
    <t>All information was submitted during pre-application. The project team was determined to be qualified without conditions</t>
  </si>
  <si>
    <t>* To all applicants: please provide methodology for determining applicable construction hard costs.
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*Please note that the Ground Lease contract requires a $1,000 payment, due to this we have placed $1,000 in the land line item.</t>
  </si>
  <si>
    <t>Less than one month</t>
  </si>
  <si>
    <t xml:space="preserve">The project is currently over 98% occupied and the rehabilitation of the units is being scheduled so that the least amount of residents are displaced at one time as possible. We do not anticipate much dip in the percentage occupied since rehab will be "rolling" and as soon as units are completed, temporarily displaced residents will move back in as additional tenants are moved for rehabilitation. </t>
  </si>
  <si>
    <t>The purpose of the appraisal is for acquisition value only, therefore, there is no as built/as complete value given.</t>
  </si>
  <si>
    <t>A full gut rehab is being performed and all asbestos and lead based paint will be remediated. The full environmental report is included with the application.</t>
  </si>
  <si>
    <t>Counseling services</t>
  </si>
  <si>
    <t>The project is a RAD conversion. 100% of the units will be supported by a PBV Agreement to enter into Housing Assistance Payments Contract (CHAP_).</t>
  </si>
  <si>
    <t>The site has a public bus stop on the property.</t>
  </si>
  <si>
    <t>2014-039</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</si>
</sst>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
      <u/>
      <sz val="11"/>
      <color theme="10"/>
      <name val="Calibri"/>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5594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5" fillId="0" borderId="85">
      <alignment horizontal="left" vertical="center"/>
    </xf>
    <xf numFmtId="10" fontId="4" fillId="3" borderId="89" applyNumberFormat="0" applyBorder="0" applyAlignment="0" applyProtection="0"/>
    <xf numFmtId="0" fontId="1" fillId="0" borderId="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1" fillId="0" borderId="0"/>
    <xf numFmtId="0" fontId="5" fillId="0" borderId="85">
      <alignment horizontal="left" vertical="center"/>
    </xf>
    <xf numFmtId="0" fontId="1" fillId="0" borderId="0"/>
    <xf numFmtId="0" fontId="182" fillId="0" borderId="0" applyNumberFormat="0" applyFill="0" applyBorder="0" applyAlignment="0" applyProtection="0">
      <alignment vertical="top"/>
      <protection locked="0"/>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1" fillId="0" borderId="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10" fontId="4" fillId="3" borderId="89" applyNumberFormat="0" applyBorder="0" applyAlignment="0" applyProtection="0"/>
    <xf numFmtId="0" fontId="3" fillId="0" borderId="0"/>
    <xf numFmtId="0" fontId="3" fillId="0" borderId="0"/>
    <xf numFmtId="0" fontId="3" fillId="0" borderId="0"/>
    <xf numFmtId="0" fontId="1" fillId="0" borderId="0"/>
    <xf numFmtId="0" fontId="3"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3"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3"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0" fontId="1" fillId="0" borderId="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1" fillId="0" borderId="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10" fontId="4" fillId="3" borderId="89" applyNumberFormat="0" applyBorder="0" applyAlignment="0" applyProtection="0"/>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1" fillId="0" borderId="0"/>
    <xf numFmtId="0" fontId="1" fillId="0" borderId="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1" fillId="0" borderId="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10" fontId="4" fillId="3" borderId="89" applyNumberFormat="0" applyBorder="0" applyAlignment="0" applyProtection="0"/>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0" fontId="1" fillId="0" borderId="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1" fillId="0" borderId="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10" fontId="4" fillId="3" borderId="89" applyNumberFormat="0" applyBorder="0" applyAlignment="0" applyProtection="0"/>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1" fillId="0" borderId="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cellStyleXfs>
  <cellXfs count="2419">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12"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29" fillId="0" borderId="0" xfId="0" applyFont="1" applyFill="1" applyBorder="1" applyAlignment="1" applyProtection="1">
      <alignment vertical="center"/>
    </xf>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12" fillId="0" borderId="0" xfId="0" applyFont="1" applyFill="1" applyBorder="1" applyAlignment="1" applyProtection="1">
      <alignment vertical="center" wrapText="1"/>
    </xf>
    <xf numFmtId="0" fontId="4" fillId="0" borderId="0" xfId="0" applyFont="1" applyFill="1" applyBorder="1" applyAlignment="1" applyProtection="1">
      <alignment horizontal="left" vertical="center"/>
    </xf>
    <xf numFmtId="164" fontId="12" fillId="0" borderId="3" xfId="1" applyNumberFormat="1" applyFont="1" applyFill="1" applyBorder="1" applyProtection="1"/>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0" fillId="0" borderId="0"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0" borderId="5" xfId="0" applyFont="1" applyFill="1" applyBorder="1" applyAlignment="1" applyProtection="1">
      <alignment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7" fillId="0" borderId="0" xfId="0" quotePrefix="1" applyFont="1" applyFill="1" applyAlignment="1" applyProtection="1">
      <alignment horizontal="righ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8"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14" fillId="0" borderId="0" xfId="0" applyFont="1" applyFill="1" applyBorder="1" applyAlignment="1" applyProtection="1">
      <alignment horizontal="left"/>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5"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34" fillId="0" borderId="0" xfId="0" applyFont="1" applyProtection="1"/>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4" fillId="0" borderId="0" xfId="0" applyFont="1" applyFill="1" applyBorder="1" applyAlignment="1" applyProtection="1">
      <alignment horizontal="left" vertical="top"/>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2" fillId="0" borderId="16"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vertical="center"/>
    </xf>
    <xf numFmtId="164" fontId="13" fillId="0" borderId="16" xfId="1" applyNumberFormat="1" applyFont="1" applyFill="1" applyBorder="1" applyAlignment="1" applyProtection="1">
      <alignment horizontal="center" vertical="center"/>
    </xf>
    <xf numFmtId="164" fontId="13" fillId="0" borderId="17" xfId="1" applyNumberFormat="1" applyFont="1" applyFill="1" applyBorder="1" applyAlignment="1" applyProtection="1">
      <alignment horizontal="center" vertical="center"/>
    </xf>
    <xf numFmtId="164" fontId="13" fillId="0" borderId="18" xfId="1" applyNumberFormat="1"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7" fillId="0" borderId="0" xfId="0" applyFont="1" applyAlignment="1" applyProtection="1"/>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8"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1"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164" fontId="12" fillId="0" borderId="16" xfId="1" applyNumberFormat="1" applyFont="1" applyFill="1" applyBorder="1" applyAlignment="1" applyProtection="1">
      <alignment horizontal="right" vertical="center"/>
    </xf>
    <xf numFmtId="164" fontId="12" fillId="0" borderId="17" xfId="1" applyNumberFormat="1" applyFont="1" applyFill="1" applyBorder="1" applyAlignment="1" applyProtection="1">
      <alignment horizontal="right" vertical="center"/>
    </xf>
    <xf numFmtId="164" fontId="12" fillId="0" borderId="3" xfId="1" applyNumberFormat="1" applyFont="1" applyFill="1" applyBorder="1" applyAlignment="1" applyProtection="1">
      <alignment horizontal="right" vertical="center"/>
    </xf>
    <xf numFmtId="164" fontId="12" fillId="0" borderId="22" xfId="1" applyNumberFormat="1" applyFont="1" applyFill="1" applyBorder="1" applyAlignment="1" applyProtection="1">
      <alignment horizontal="right" vertical="center"/>
    </xf>
    <xf numFmtId="164" fontId="12" fillId="0" borderId="18" xfId="1" applyNumberFormat="1" applyFont="1" applyFill="1" applyBorder="1" applyAlignment="1" applyProtection="1">
      <alignment horizontal="right" vertical="center"/>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0" fillId="0" borderId="0" xfId="0" applyFont="1" applyFill="1" applyBorder="1" applyAlignment="1" applyProtection="1">
      <alignment horizontal="lef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1" fillId="0" borderId="3" xfId="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54" fillId="0" borderId="0" xfId="0" applyFont="1" applyFill="1" applyAlignment="1" applyProtection="1">
      <alignment vertical="center"/>
    </xf>
    <xf numFmtId="0" fontId="62" fillId="0" borderId="0" xfId="0" applyFont="1" applyFill="1" applyBorder="1" applyAlignment="1" applyProtection="1">
      <alignment horizontal="center"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Font="1" applyFill="1" applyBorder="1" applyProtection="1"/>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center"/>
    </xf>
    <xf numFmtId="0" fontId="62" fillId="0" borderId="0" xfId="0" applyFont="1" applyFill="1" applyBorder="1" applyAlignment="1" applyProtection="1">
      <alignment horizontal="center"/>
    </xf>
    <xf numFmtId="0" fontId="54"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5"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1" xfId="0" applyFont="1" applyFill="1" applyBorder="1" applyAlignment="1" applyProtection="1">
      <alignment horizontal="left" vertical="center"/>
    </xf>
    <xf numFmtId="0" fontId="54" fillId="0" borderId="10" xfId="0" applyFont="1" applyFill="1" applyBorder="1" applyAlignment="1" applyProtection="1">
      <alignment horizontal="center" vertical="center"/>
    </xf>
    <xf numFmtId="167" fontId="54" fillId="0" borderId="0" xfId="0" applyNumberFormat="1" applyFont="1" applyFill="1" applyBorder="1" applyAlignment="1" applyProtection="1">
      <alignment horizontal="center"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54" fillId="0" borderId="0" xfId="0"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4" xfId="0" applyFont="1" applyFill="1" applyBorder="1" applyAlignment="1" applyProtection="1">
      <alignment vertical="center"/>
    </xf>
    <xf numFmtId="0" fontId="62" fillId="0" borderId="0" xfId="0" applyNumberFormat="1" applyFont="1" applyFill="1" applyBorder="1" applyAlignment="1" applyProtection="1">
      <alignment horizontal="center"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38" fontId="62" fillId="0" borderId="0" xfId="0"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38" fontId="62"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center" vertical="center"/>
    </xf>
    <xf numFmtId="0" fontId="64" fillId="0" borderId="7" xfId="0" applyFont="1" applyFill="1" applyBorder="1" applyAlignment="1" applyProtection="1">
      <alignment horizontal="left" vertical="center"/>
    </xf>
    <xf numFmtId="0" fontId="64" fillId="0" borderId="0" xfId="0" applyFont="1" applyFill="1" applyAlignment="1" applyProtection="1">
      <alignment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Protection="1"/>
    <xf numFmtId="0" fontId="80" fillId="0" borderId="0" xfId="0" applyFont="1" applyFill="1" applyProtection="1"/>
    <xf numFmtId="0" fontId="5" fillId="0" borderId="0" xfId="1" applyNumberFormat="1" applyFont="1" applyFill="1" applyAlignment="1" applyProtection="1">
      <alignment horizontal="center"/>
    </xf>
    <xf numFmtId="0" fontId="5" fillId="0" borderId="0" xfId="1" applyNumberFormat="1" applyFont="1" applyFill="1" applyBorder="1" applyAlignment="1" applyProtection="1">
      <alignment horizontal="center"/>
    </xf>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4"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1"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8" xfId="1" applyNumberFormat="1" applyFont="1" applyFill="1" applyBorder="1" applyAlignment="1" applyProtection="1">
      <alignment horizontal="center"/>
    </xf>
    <xf numFmtId="0" fontId="70" fillId="0" borderId="8" xfId="0" applyFont="1" applyFill="1" applyBorder="1" applyAlignment="1" applyProtection="1">
      <alignment horizontal="right" vertical="center"/>
    </xf>
    <xf numFmtId="0" fontId="60" fillId="0" borderId="0" xfId="0" applyFont="1" applyAlignment="1" applyProtection="1">
      <alignment horizontal="center"/>
    </xf>
    <xf numFmtId="0" fontId="51" fillId="0" borderId="0" xfId="0" applyFont="1" applyAlignment="1">
      <alignment horizontal="center"/>
    </xf>
    <xf numFmtId="174" fontId="54" fillId="0" borderId="0" xfId="0" applyNumberFormat="1" applyFont="1" applyFill="1" applyAlignment="1" applyProtection="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50"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Border="1" applyProtection="1"/>
    <xf numFmtId="0" fontId="93" fillId="0" borderId="0" xfId="0" applyFont="1" applyFill="1" applyAlignment="1" applyProtection="1">
      <alignment vertical="center"/>
    </xf>
    <xf numFmtId="0" fontId="94" fillId="0" borderId="0" xfId="0" applyFont="1" applyFill="1" applyBorder="1" applyAlignment="1" applyProtection="1">
      <alignment vertical="center" wrapText="1"/>
    </xf>
    <xf numFmtId="0" fontId="94" fillId="0" borderId="0" xfId="0" applyFont="1" applyFill="1" applyAlignment="1" applyProtection="1">
      <alignment vertical="center"/>
    </xf>
    <xf numFmtId="0" fontId="95" fillId="0" borderId="0" xfId="0" applyFont="1" applyFill="1" applyAlignment="1" applyProtection="1">
      <alignment horizontal="center" vertical="center"/>
    </xf>
    <xf numFmtId="0" fontId="93" fillId="0" borderId="0" xfId="0" applyFont="1" applyFill="1" applyProtection="1"/>
    <xf numFmtId="3" fontId="96" fillId="0" borderId="0" xfId="0" applyNumberFormat="1" applyFont="1" applyFill="1" applyBorder="1" applyAlignment="1" applyProtection="1">
      <alignment horizontal="center" vertical="center"/>
    </xf>
    <xf numFmtId="3" fontId="48" fillId="0" borderId="7"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3" fontId="30" fillId="0" borderId="0" xfId="0" applyNumberFormat="1" applyFont="1" applyFill="1" applyBorder="1" applyAlignment="1" applyProtection="1">
      <alignment horizontal="center"/>
    </xf>
    <xf numFmtId="0" fontId="3" fillId="0" borderId="7" xfId="0" applyFont="1" applyFill="1" applyBorder="1" applyProtection="1"/>
    <xf numFmtId="0" fontId="99" fillId="0" borderId="0" xfId="0" applyFont="1" applyFill="1" applyAlignment="1" applyProtection="1">
      <alignment horizontal="center" vertical="center"/>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174" fontId="87" fillId="0" borderId="3" xfId="0" applyNumberFormat="1" applyFont="1" applyFill="1" applyBorder="1" applyAlignment="1" applyProtection="1">
      <alignment horizontal="center" vertical="center"/>
    </xf>
    <xf numFmtId="0" fontId="4" fillId="0" borderId="13" xfId="0" applyFont="1" applyFill="1" applyBorder="1" applyAlignment="1" applyProtection="1">
      <alignment vertical="center"/>
    </xf>
    <xf numFmtId="0" fontId="0" fillId="0" borderId="13" xfId="0" applyBorder="1" applyProtection="1"/>
    <xf numFmtId="0" fontId="4" fillId="0" borderId="0" xfId="0" applyFont="1" applyAlignment="1" applyProtection="1">
      <alignment horizontal="center"/>
    </xf>
    <xf numFmtId="0" fontId="104" fillId="0" borderId="0" xfId="0"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5"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4" fillId="0" borderId="0" xfId="0" applyFont="1" applyFill="1" applyAlignment="1" applyProtection="1">
      <alignment horizontal="right"/>
    </xf>
    <xf numFmtId="0" fontId="14" fillId="0" borderId="0" xfId="0" applyFont="1" applyAlignment="1" applyProtection="1">
      <alignment horizontal="center"/>
    </xf>
    <xf numFmtId="0" fontId="51" fillId="0" borderId="0" xfId="0" applyFont="1" applyFill="1" applyAlignment="1" applyProtection="1">
      <alignment horizontal="right" vertical="center"/>
    </xf>
    <xf numFmtId="37" fontId="51" fillId="0" borderId="0" xfId="1" applyNumberFormat="1" applyFont="1" applyAlignment="1" applyProtection="1">
      <alignment horizontal="center"/>
    </xf>
    <xf numFmtId="10" fontId="51" fillId="0" borderId="3" xfId="0" applyNumberFormat="1" applyFont="1" applyBorder="1" applyAlignment="1" applyProtection="1">
      <alignment vertical="center"/>
    </xf>
    <xf numFmtId="0" fontId="49" fillId="0" borderId="7" xfId="0" applyFont="1" applyFill="1" applyBorder="1" applyAlignment="1" applyProtection="1">
      <alignment vertical="center"/>
    </xf>
    <xf numFmtId="0" fontId="49" fillId="0" borderId="0" xfId="0" applyFont="1" applyFill="1" applyAlignment="1" applyProtection="1">
      <alignment vertical="center"/>
    </xf>
    <xf numFmtId="0" fontId="37" fillId="0" borderId="0" xfId="0" applyFont="1" applyFill="1" applyAlignment="1" applyProtection="1">
      <alignment vertical="center"/>
    </xf>
    <xf numFmtId="0" fontId="99" fillId="0" borderId="0" xfId="0" applyFont="1" applyFill="1" applyBorder="1" applyProtection="1"/>
    <xf numFmtId="0" fontId="108" fillId="0" borderId="0" xfId="0" applyFont="1" applyFill="1" applyBorder="1" applyProtection="1"/>
    <xf numFmtId="0" fontId="107" fillId="0" borderId="0" xfId="0" applyFont="1" applyFill="1" applyProtection="1"/>
    <xf numFmtId="0" fontId="109" fillId="0" borderId="0" xfId="0" applyFont="1" applyFill="1" applyAlignment="1" applyProtection="1">
      <alignment horizontal="center" vertic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96" fillId="0" borderId="0" xfId="0" applyFont="1" applyFill="1" applyAlignment="1" applyProtection="1">
      <alignment vertical="center"/>
    </xf>
    <xf numFmtId="0" fontId="111" fillId="0" borderId="0" xfId="0" applyFont="1" applyFill="1" applyProtection="1"/>
    <xf numFmtId="0" fontId="111" fillId="0" borderId="0" xfId="0" applyFont="1" applyFill="1" applyAlignment="1" applyProtection="1">
      <alignment horizontal="center"/>
    </xf>
    <xf numFmtId="0" fontId="111" fillId="0" borderId="0" xfId="0" applyFont="1" applyFill="1" applyAlignment="1" applyProtection="1">
      <alignment vertical="center"/>
    </xf>
    <xf numFmtId="0" fontId="111" fillId="0" borderId="0" xfId="0" applyFont="1" applyFill="1" applyAlignment="1" applyProtection="1">
      <alignment horizontal="center" vertical="center"/>
    </xf>
    <xf numFmtId="0" fontId="107" fillId="0" borderId="0" xfId="0" applyFont="1" applyFill="1" applyAlignment="1" applyProtection="1">
      <alignment horizontal="center"/>
    </xf>
    <xf numFmtId="3" fontId="107" fillId="0" borderId="0" xfId="0" applyNumberFormat="1" applyFont="1" applyFill="1" applyAlignment="1" applyProtection="1">
      <alignment horizont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96" fillId="0" borderId="0" xfId="0" applyFont="1" applyFill="1" applyProtection="1"/>
    <xf numFmtId="0" fontId="112" fillId="0" borderId="0" xfId="0" applyFont="1" applyFill="1" applyBorder="1" applyAlignment="1" applyProtection="1">
      <alignment horizontal="right"/>
    </xf>
    <xf numFmtId="0" fontId="107" fillId="0" borderId="0" xfId="0" applyFont="1" applyFill="1" applyBorder="1" applyAlignment="1" applyProtection="1">
      <alignment vertical="center"/>
    </xf>
    <xf numFmtId="0" fontId="108" fillId="0" borderId="0" xfId="0" applyFont="1" applyFill="1" applyBorder="1" applyAlignment="1" applyProtection="1">
      <alignment vertical="center"/>
    </xf>
    <xf numFmtId="164" fontId="107" fillId="0" borderId="0" xfId="1" applyNumberFormat="1" applyFont="1" applyFill="1" applyBorder="1" applyAlignment="1" applyProtection="1">
      <alignment vertical="center"/>
    </xf>
    <xf numFmtId="0" fontId="96" fillId="0" borderId="0" xfId="0" applyFont="1" applyFill="1" applyBorder="1" applyAlignment="1" applyProtection="1">
      <alignment vertical="center"/>
    </xf>
    <xf numFmtId="0" fontId="111" fillId="0" borderId="0" xfId="0" applyFont="1" applyFill="1" applyBorder="1" applyAlignment="1" applyProtection="1">
      <alignment vertical="center"/>
    </xf>
    <xf numFmtId="0" fontId="108" fillId="0" borderId="0" xfId="0" applyFont="1" applyFill="1" applyAlignment="1" applyProtection="1">
      <alignment vertical="center"/>
    </xf>
    <xf numFmtId="166" fontId="54" fillId="0" borderId="81" xfId="0" applyNumberFormat="1" applyFont="1" applyFill="1" applyBorder="1" applyAlignment="1" applyProtection="1">
      <alignment horizontal="center" vertical="center"/>
    </xf>
    <xf numFmtId="2" fontId="54" fillId="0" borderId="85"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13"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9" fillId="0" borderId="0" xfId="0" applyFont="1" applyFill="1" applyAlignment="1" applyProtection="1">
      <alignment vertical="center" wrapText="1"/>
    </xf>
    <xf numFmtId="0" fontId="96" fillId="0" borderId="0" xfId="0" applyFont="1" applyFill="1" applyBorder="1" applyAlignment="1" applyProtection="1">
      <alignment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4" fillId="0" borderId="0" xfId="0" applyFont="1" applyAlignment="1" applyProtection="1">
      <alignment horizontal="left"/>
    </xf>
    <xf numFmtId="0" fontId="51" fillId="0" borderId="0" xfId="0" applyFont="1" applyFill="1" applyBorder="1" applyAlignment="1" applyProtection="1">
      <alignment horizontal="left" vertical="center"/>
    </xf>
    <xf numFmtId="0" fontId="58" fillId="0" borderId="0" xfId="0" applyFont="1" applyFill="1" applyAlignment="1" applyProtection="1">
      <alignment horizontal="left" vertical="center"/>
    </xf>
    <xf numFmtId="0" fontId="8" fillId="0" borderId="0" xfId="0" applyFont="1" applyFill="1" applyBorder="1" applyAlignment="1" applyProtection="1">
      <alignment horizontal="center" vertical="center"/>
    </xf>
    <xf numFmtId="3" fontId="4" fillId="0" borderId="88" xfId="0" applyNumberFormat="1" applyFont="1" applyFill="1" applyBorder="1" applyAlignment="1" applyProtection="1">
      <alignment horizontal="center"/>
    </xf>
    <xf numFmtId="0" fontId="4" fillId="0" borderId="0" xfId="0" applyFont="1" applyFill="1" applyAlignment="1" applyProtection="1">
      <alignment horizontal="left" vertical="top"/>
    </xf>
    <xf numFmtId="3" fontId="51" fillId="0" borderId="88" xfId="0" applyNumberFormat="1" applyFont="1" applyFill="1" applyBorder="1" applyAlignment="1" applyProtection="1">
      <alignment horizontal="center"/>
    </xf>
    <xf numFmtId="3" fontId="51" fillId="0" borderId="0" xfId="0" applyNumberFormat="1" applyFont="1" applyFill="1" applyAlignment="1" applyProtection="1">
      <alignment horizontal="center"/>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23" fillId="0" borderId="0" xfId="0" applyFont="1" applyFill="1" applyBorder="1" applyAlignment="1" applyProtection="1">
      <alignment horizontal="center" vertical="center"/>
    </xf>
    <xf numFmtId="0" fontId="62" fillId="0" borderId="0" xfId="0" applyFont="1" applyFill="1" applyAlignment="1" applyProtection="1">
      <alignment horizontal="center" vertical="center"/>
    </xf>
    <xf numFmtId="0" fontId="54" fillId="0" borderId="88" xfId="0" applyFont="1" applyFill="1" applyBorder="1" applyAlignment="1" applyProtection="1">
      <alignment vertical="center"/>
    </xf>
    <xf numFmtId="0" fontId="54" fillId="0" borderId="0" xfId="0" quotePrefix="1" applyFont="1" applyFill="1" applyAlignment="1" applyProtection="1">
      <alignment vertical="center"/>
    </xf>
    <xf numFmtId="0" fontId="107" fillId="0" borderId="0" xfId="0" applyFont="1" applyProtection="1"/>
    <xf numFmtId="0" fontId="110" fillId="0" borderId="0" xfId="0" applyFont="1" applyFill="1" applyBorder="1" applyAlignment="1" applyProtection="1">
      <alignment vertical="top" wrapText="1"/>
    </xf>
    <xf numFmtId="0" fontId="108" fillId="0" borderId="0" xfId="0" applyFont="1" applyProtection="1"/>
    <xf numFmtId="0" fontId="108" fillId="0" borderId="0" xfId="0" applyFont="1" applyFill="1" applyProtection="1"/>
    <xf numFmtId="0" fontId="108"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xf>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21" fillId="0" borderId="0" xfId="0" applyFont="1" applyFill="1" applyProtection="1"/>
    <xf numFmtId="0" fontId="121" fillId="0" borderId="0" xfId="0" applyFont="1" applyProtection="1"/>
    <xf numFmtId="0" fontId="122" fillId="0" borderId="0" xfId="0" applyFont="1" applyFill="1" applyProtection="1"/>
    <xf numFmtId="0" fontId="119" fillId="0" borderId="0" xfId="0" applyFont="1" applyFill="1" applyBorder="1" applyAlignment="1" applyProtection="1">
      <alignment vertical="top"/>
    </xf>
    <xf numFmtId="10" fontId="62" fillId="0" borderId="13" xfId="0" applyNumberFormat="1" applyFont="1" applyFill="1" applyBorder="1" applyAlignment="1" applyProtection="1">
      <alignment horizontal="center" vertical="center"/>
    </xf>
    <xf numFmtId="0" fontId="100" fillId="0" borderId="0" xfId="0" applyFont="1" applyFill="1" applyAlignment="1" applyProtection="1"/>
    <xf numFmtId="0" fontId="123" fillId="0" borderId="0" xfId="0" applyFont="1" applyFill="1" applyProtection="1"/>
    <xf numFmtId="0" fontId="110" fillId="0" borderId="0" xfId="0" applyFont="1" applyFill="1" applyBorder="1" applyAlignment="1" applyProtection="1">
      <alignment wrapText="1"/>
    </xf>
    <xf numFmtId="0" fontId="13" fillId="0" borderId="0" xfId="0" applyFont="1" applyFill="1" applyAlignment="1" applyProtection="1">
      <alignment horizontal="left"/>
    </xf>
    <xf numFmtId="0" fontId="56" fillId="0" borderId="0" xfId="9" applyFont="1" applyAlignment="1" applyProtection="1">
      <alignment horizontal="left"/>
    </xf>
    <xf numFmtId="38" fontId="54" fillId="0" borderId="0" xfId="0" applyNumberFormat="1" applyFont="1" applyFill="1" applyBorder="1" applyAlignment="1" applyProtection="1">
      <alignment horizontal="left" vertical="center"/>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32" fillId="0" borderId="0" xfId="0" applyFont="1" applyFill="1" applyAlignment="1" applyProtection="1">
      <alignmen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4" fillId="0" borderId="0" xfId="0" applyFont="1" applyBorder="1" applyAlignment="1" applyProtection="1">
      <alignment vertical="center"/>
    </xf>
    <xf numFmtId="0" fontId="51" fillId="0" borderId="40"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34"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71" fillId="0" borderId="85" xfId="0" applyFont="1" applyFill="1" applyBorder="1" applyAlignment="1" applyProtection="1">
      <alignment vertical="center"/>
    </xf>
    <xf numFmtId="0" fontId="71" fillId="0" borderId="85" xfId="0" applyFont="1" applyFill="1" applyBorder="1" applyAlignment="1" applyProtection="1">
      <alignment horizontal="center" vertical="center"/>
    </xf>
    <xf numFmtId="0" fontId="70" fillId="0" borderId="81" xfId="0" applyFont="1" applyFill="1" applyBorder="1" applyAlignment="1" applyProtection="1">
      <alignment horizontal="left" vertical="center"/>
    </xf>
    <xf numFmtId="0" fontId="54" fillId="0" borderId="0" xfId="0" applyNumberFormat="1" applyFont="1" applyFill="1" applyAlignment="1" applyProtection="1">
      <alignment horizontal="center" vertical="center"/>
    </xf>
    <xf numFmtId="0" fontId="51" fillId="0" borderId="0" xfId="0" applyFont="1" applyFill="1" applyBorder="1" applyAlignment="1" applyProtection="1">
      <alignment horizontal="left"/>
    </xf>
    <xf numFmtId="0" fontId="99" fillId="0" borderId="0" xfId="0" applyFont="1" applyFill="1" applyBorder="1" applyAlignment="1" applyProtection="1">
      <alignment vertical="center"/>
    </xf>
    <xf numFmtId="0" fontId="136" fillId="0" borderId="0" xfId="0" applyFont="1" applyFill="1" applyBorder="1" applyAlignment="1" applyProtection="1">
      <alignment horizontal="left" vertical="center"/>
    </xf>
    <xf numFmtId="171" fontId="60" fillId="0" borderId="88" xfId="0" applyNumberFormat="1" applyFont="1" applyFill="1" applyBorder="1" applyAlignment="1" applyProtection="1">
      <alignment horizontal="left" vertical="center"/>
    </xf>
    <xf numFmtId="0" fontId="60" fillId="0" borderId="13" xfId="0" applyFont="1" applyFill="1" applyBorder="1" applyAlignment="1" applyProtection="1">
      <alignment vertical="center"/>
    </xf>
    <xf numFmtId="0" fontId="71" fillId="0" borderId="83" xfId="0" applyFont="1" applyFill="1" applyBorder="1" applyAlignment="1" applyProtection="1">
      <alignment vertical="top"/>
    </xf>
    <xf numFmtId="0" fontId="71" fillId="0" borderId="84" xfId="0" applyFont="1" applyFill="1" applyBorder="1" applyAlignment="1" applyProtection="1">
      <alignment vertical="center"/>
    </xf>
    <xf numFmtId="0" fontId="136" fillId="0" borderId="0" xfId="0" applyFont="1" applyFill="1" applyAlignment="1" applyProtection="1">
      <alignment vertical="center"/>
    </xf>
    <xf numFmtId="0" fontId="106" fillId="0" borderId="0" xfId="0" applyFont="1" applyBorder="1" applyAlignment="1" applyProtection="1">
      <alignment horizontal="right" vertical="center"/>
    </xf>
    <xf numFmtId="0" fontId="136"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2" fillId="0" borderId="0" xfId="0" applyFont="1" applyFill="1" applyBorder="1" applyAlignment="1" applyProtection="1">
      <alignment horizontal="center" vertical="top"/>
    </xf>
    <xf numFmtId="0" fontId="13" fillId="0" borderId="0" xfId="0" applyFont="1" applyProtection="1"/>
    <xf numFmtId="0" fontId="131" fillId="0" borderId="0" xfId="0" applyFont="1" applyFill="1" applyAlignment="1" applyProtection="1">
      <alignment vertical="center"/>
    </xf>
    <xf numFmtId="0" fontId="61"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78" fillId="0" borderId="0" xfId="0" applyFont="1" applyAlignment="1" applyProtection="1"/>
    <xf numFmtId="0" fontId="24" fillId="0" borderId="0" xfId="0" applyFont="1" applyFill="1" applyBorder="1" applyAlignment="1" applyProtection="1">
      <alignment horizontal="center"/>
    </xf>
    <xf numFmtId="0" fontId="105" fillId="0" borderId="0" xfId="0" applyFont="1" applyFill="1" applyBorder="1" applyAlignment="1" applyProtection="1">
      <alignment horizontal="left" vertical="center"/>
    </xf>
    <xf numFmtId="10" fontId="8" fillId="0" borderId="3" xfId="0" applyNumberFormat="1" applyFont="1" applyFill="1" applyBorder="1" applyAlignment="1" applyProtection="1">
      <alignment horizontal="center" vertical="center"/>
    </xf>
    <xf numFmtId="0" fontId="51" fillId="0" borderId="0" xfId="0" applyFont="1" applyFill="1" applyAlignment="1" applyProtection="1">
      <alignment horizontal="left" vertical="center"/>
    </xf>
    <xf numFmtId="0" fontId="27" fillId="0" borderId="0" xfId="0" applyFont="1" applyFill="1" applyAlignment="1" applyProtection="1">
      <alignment horizontal="center" vertical="top"/>
    </xf>
    <xf numFmtId="0" fontId="131" fillId="0" borderId="3"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42" fillId="0" borderId="0" xfId="0" applyFont="1" applyFill="1" applyBorder="1" applyAlignment="1" applyProtection="1">
      <alignment horizontal="center" vertical="center"/>
    </xf>
    <xf numFmtId="0" fontId="106" fillId="0" borderId="0" xfId="0" applyFont="1" applyFill="1" applyAlignment="1" applyProtection="1">
      <alignment vertical="center"/>
    </xf>
    <xf numFmtId="0" fontId="107" fillId="0" borderId="0" xfId="0" applyFont="1" applyAlignment="1" applyProtection="1">
      <alignment horizontal="center"/>
    </xf>
    <xf numFmtId="0" fontId="96" fillId="0" borderId="0" xfId="0" applyFont="1" applyAlignment="1" applyProtection="1">
      <alignment horizontal="center"/>
    </xf>
    <xf numFmtId="0" fontId="143"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43" fillId="0" borderId="0" xfId="0" applyFont="1" applyProtection="1"/>
    <xf numFmtId="0" fontId="120" fillId="0" borderId="0" xfId="0" applyFont="1" applyProtection="1"/>
    <xf numFmtId="0" fontId="110" fillId="0" borderId="0" xfId="0" applyFont="1" applyBorder="1" applyAlignment="1" applyProtection="1">
      <alignment horizontal="center" vertical="top" wrapText="1"/>
    </xf>
    <xf numFmtId="0" fontId="120" fillId="0" borderId="0" xfId="0" applyFont="1" applyAlignment="1" applyProtection="1">
      <alignment vertical="top"/>
    </xf>
    <xf numFmtId="0" fontId="110" fillId="0" borderId="0" xfId="0" applyFont="1" applyBorder="1" applyAlignment="1" applyProtection="1">
      <alignment horizontal="left" vertical="top" wrapText="1"/>
    </xf>
    <xf numFmtId="0" fontId="110" fillId="0" borderId="0" xfId="0" applyFont="1" applyBorder="1" applyAlignment="1" applyProtection="1">
      <alignment vertical="top" wrapText="1"/>
    </xf>
    <xf numFmtId="0" fontId="107" fillId="0" borderId="0" xfId="0" applyFont="1" applyBorder="1" applyAlignment="1" applyProtection="1">
      <alignment vertical="top" wrapText="1"/>
    </xf>
    <xf numFmtId="0" fontId="110" fillId="0" borderId="0" xfId="0" applyFont="1" applyProtection="1"/>
    <xf numFmtId="0" fontId="107" fillId="0" borderId="0" xfId="0" applyFont="1" applyBorder="1" applyProtection="1"/>
    <xf numFmtId="0" fontId="110" fillId="0" borderId="0" xfId="0" applyFont="1" applyAlignment="1" applyProtection="1">
      <alignment horizontal="left"/>
    </xf>
    <xf numFmtId="10" fontId="4" fillId="0" borderId="16" xfId="0" applyNumberFormat="1" applyFont="1" applyFill="1" applyBorder="1" applyAlignment="1" applyProtection="1">
      <alignment horizontal="center" vertical="center"/>
    </xf>
    <xf numFmtId="10" fontId="4" fillId="0" borderId="17" xfId="0" applyNumberFormat="1" applyFont="1" applyFill="1" applyBorder="1" applyAlignment="1" applyProtection="1">
      <alignment horizontal="center" vertical="center"/>
    </xf>
    <xf numFmtId="10" fontId="4" fillId="0" borderId="18" xfId="0" applyNumberFormat="1" applyFont="1" applyFill="1" applyBorder="1" applyAlignment="1" applyProtection="1">
      <alignment horizontal="center" vertical="center"/>
    </xf>
    <xf numFmtId="0" fontId="4" fillId="0" borderId="0" xfId="0" applyFont="1" applyBorder="1" applyAlignment="1" applyProtection="1">
      <alignment horizontal="right" vertical="top"/>
    </xf>
    <xf numFmtId="0" fontId="4" fillId="0" borderId="0" xfId="0" applyFont="1" applyFill="1" applyBorder="1" applyAlignment="1" applyProtection="1">
      <alignment horizontal="left" wrapText="1"/>
    </xf>
    <xf numFmtId="0" fontId="131" fillId="0" borderId="0" xfId="0" applyFont="1" applyFill="1" applyAlignment="1" applyProtection="1">
      <alignment horizontal="left" vertical="top"/>
    </xf>
    <xf numFmtId="0" fontId="62" fillId="0" borderId="0" xfId="0" quotePrefix="1" applyFont="1" applyFill="1" applyAlignment="1" applyProtection="1">
      <alignment vertical="center"/>
    </xf>
    <xf numFmtId="0" fontId="4" fillId="0" borderId="13" xfId="0" applyFont="1" applyFill="1" applyBorder="1" applyProtection="1"/>
    <xf numFmtId="0" fontId="4" fillId="0" borderId="0" xfId="0" applyFont="1" applyBorder="1" applyAlignment="1" applyProtection="1">
      <alignment horizontal="right" vertical="center"/>
    </xf>
    <xf numFmtId="0" fontId="24" fillId="0" borderId="0" xfId="0" applyFont="1" applyFill="1" applyAlignment="1" applyProtection="1">
      <alignment horizontal="center"/>
    </xf>
    <xf numFmtId="0" fontId="145" fillId="0" borderId="0" xfId="0" applyFont="1" applyFill="1" applyBorder="1" applyAlignment="1" applyProtection="1">
      <alignment horizontal="left"/>
    </xf>
    <xf numFmtId="0" fontId="145"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1" fillId="0" borderId="0" xfId="0" applyFont="1" applyFill="1" applyAlignment="1" applyProtection="1">
      <alignment horizontal="right"/>
    </xf>
    <xf numFmtId="10" fontId="4" fillId="0" borderId="89" xfId="0" applyNumberFormat="1" applyFont="1" applyFill="1" applyBorder="1" applyAlignment="1" applyProtection="1">
      <alignment horizontal="center" vertical="center"/>
    </xf>
    <xf numFmtId="0" fontId="106" fillId="0" borderId="0" xfId="0" applyFont="1" applyAlignment="1" applyProtection="1">
      <alignment vertical="top"/>
    </xf>
    <xf numFmtId="0" fontId="12" fillId="0" borderId="89" xfId="0" applyFont="1" applyFill="1" applyBorder="1" applyAlignment="1" applyProtection="1">
      <alignment horizontal="center" vertical="center"/>
    </xf>
    <xf numFmtId="10" fontId="14" fillId="0" borderId="16" xfId="0" applyNumberFormat="1" applyFont="1" applyFill="1" applyBorder="1" applyAlignment="1" applyProtection="1">
      <alignment horizontal="center"/>
    </xf>
    <xf numFmtId="10" fontId="14" fillId="0" borderId="18" xfId="0" applyNumberFormat="1" applyFont="1" applyFill="1" applyBorder="1" applyAlignment="1" applyProtection="1">
      <alignment horizontal="center"/>
    </xf>
    <xf numFmtId="0" fontId="110" fillId="0" borderId="0" xfId="0" applyFont="1" applyAlignment="1" applyProtection="1">
      <alignment vertical="center"/>
    </xf>
    <xf numFmtId="0" fontId="110" fillId="0" borderId="0" xfId="0" applyFont="1" applyFill="1" applyProtection="1"/>
    <xf numFmtId="0" fontId="110" fillId="0" borderId="0" xfId="0" applyFont="1" applyBorder="1" applyAlignment="1" applyProtection="1">
      <alignment horizontal="left" vertical="center"/>
    </xf>
    <xf numFmtId="0" fontId="110" fillId="0" borderId="0" xfId="0" applyFont="1" applyAlignment="1" applyProtection="1">
      <alignment horizontal="left" vertical="center"/>
    </xf>
    <xf numFmtId="0" fontId="120" fillId="0" borderId="0" xfId="0" applyFont="1" applyFill="1" applyBorder="1" applyAlignment="1" applyProtection="1">
      <alignment horizontal="left"/>
    </xf>
    <xf numFmtId="0" fontId="120" fillId="0" borderId="0" xfId="0" applyFont="1" applyAlignment="1" applyProtection="1">
      <alignment horizontal="left" vertical="center"/>
    </xf>
    <xf numFmtId="0" fontId="123" fillId="0" borderId="0" xfId="0" applyFont="1" applyAlignment="1" applyProtection="1">
      <alignment vertical="center"/>
    </xf>
    <xf numFmtId="0" fontId="51" fillId="0" borderId="0" xfId="0" applyFont="1" applyAlignment="1" applyProtection="1">
      <alignment horizontal="left"/>
    </xf>
    <xf numFmtId="0" fontId="62" fillId="16" borderId="89" xfId="0" applyFont="1" applyFill="1" applyBorder="1" applyAlignment="1" applyProtection="1">
      <alignment vertical="center"/>
    </xf>
    <xf numFmtId="0" fontId="145" fillId="0" borderId="0" xfId="0" applyFont="1" applyAlignment="1" applyProtection="1">
      <alignment horizontal="left" wrapText="1"/>
    </xf>
    <xf numFmtId="0" fontId="145" fillId="0" borderId="0" xfId="0" applyFont="1" applyFill="1" applyAlignment="1" applyProtection="1">
      <alignment horizontal="left" wrapText="1"/>
    </xf>
    <xf numFmtId="0" fontId="145" fillId="0" borderId="0" xfId="0" applyFont="1" applyAlignment="1" applyProtection="1">
      <alignment horizontal="center" wrapText="1"/>
    </xf>
    <xf numFmtId="0" fontId="145" fillId="0" borderId="0" xfId="0" applyFont="1" applyFill="1" applyProtection="1"/>
    <xf numFmtId="0" fontId="110" fillId="0" borderId="0" xfId="9" applyFont="1" applyFill="1" applyAlignment="1" applyProtection="1">
      <alignment horizontal="left"/>
    </xf>
    <xf numFmtId="0" fontId="110" fillId="0" borderId="0" xfId="0" quotePrefix="1" applyNumberFormat="1" applyFont="1" applyProtection="1"/>
    <xf numFmtId="0" fontId="110" fillId="0" borderId="0" xfId="0" applyNumberFormat="1" applyFont="1" applyAlignment="1" applyProtection="1">
      <alignment horizontal="center"/>
    </xf>
    <xf numFmtId="0" fontId="110" fillId="0" borderId="0" xfId="9" applyFont="1" applyFill="1" applyProtection="1"/>
    <xf numFmtId="0" fontId="124" fillId="0" borderId="0" xfId="0" applyFont="1" applyFill="1" applyAlignment="1" applyProtection="1"/>
    <xf numFmtId="0" fontId="110" fillId="0" borderId="0" xfId="9" applyFont="1" applyProtection="1"/>
    <xf numFmtId="0" fontId="123" fillId="0" borderId="0" xfId="0" applyFont="1" applyFill="1" applyAlignment="1" applyProtection="1">
      <alignment horizontal="center"/>
    </xf>
    <xf numFmtId="0" fontId="10" fillId="0" borderId="0" xfId="0" applyFont="1" applyFill="1" applyBorder="1" applyAlignment="1" applyProtection="1">
      <alignment horizontal="right" vertical="top"/>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20" fillId="0" borderId="19" xfId="0" quotePrefix="1" applyFont="1" applyFill="1" applyBorder="1" applyAlignment="1" applyProtection="1">
      <alignment horizontal="left" vertical="top"/>
    </xf>
    <xf numFmtId="0" fontId="20" fillId="0" borderId="19" xfId="0" quotePrefix="1" applyFont="1" applyFill="1" applyBorder="1" applyAlignment="1" applyProtection="1">
      <alignment horizontal="left"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31" fillId="0" borderId="0" xfId="0" applyFont="1" applyFill="1" applyBorder="1" applyAlignment="1" applyProtection="1">
      <alignment horizontal="center" vertical="center"/>
    </xf>
    <xf numFmtId="0" fontId="105"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3" fontId="10" fillId="0" borderId="3" xfId="0" applyNumberFormat="1" applyFont="1" applyFill="1" applyBorder="1" applyAlignment="1" applyProtection="1">
      <alignment horizontal="center" vertical="center"/>
    </xf>
    <xf numFmtId="0" fontId="106" fillId="0" borderId="0" xfId="0" applyFont="1" applyAlignment="1" applyProtection="1"/>
    <xf numFmtId="0" fontId="10" fillId="0" borderId="0" xfId="0" quotePrefix="1" applyFont="1" applyFill="1" applyAlignment="1" applyProtection="1">
      <alignment horizontal="right" vertical="top"/>
    </xf>
    <xf numFmtId="0" fontId="54" fillId="0" borderId="0" xfId="0" applyFont="1" applyAlignment="1" applyProtection="1">
      <alignment horizontal="left"/>
    </xf>
    <xf numFmtId="0" fontId="4" fillId="0" borderId="0" xfId="0" applyFont="1" applyFill="1" applyAlignment="1" applyProtection="1">
      <alignment wrapText="1"/>
    </xf>
    <xf numFmtId="0" fontId="4" fillId="0" borderId="0" xfId="0" applyFont="1" applyFill="1" applyBorder="1" applyAlignment="1" applyProtection="1">
      <alignment horizontal="center" vertical="center" wrapText="1"/>
    </xf>
    <xf numFmtId="10" fontId="4" fillId="13" borderId="52" xfId="0" applyNumberFormat="1" applyFont="1" applyFill="1" applyBorder="1" applyAlignment="1" applyProtection="1">
      <alignment horizontal="center" vertical="center" wrapText="1"/>
    </xf>
    <xf numFmtId="10" fontId="4" fillId="13" borderId="23" xfId="0" applyNumberFormat="1" applyFont="1" applyFill="1" applyBorder="1" applyAlignment="1" applyProtection="1">
      <alignment horizontal="center" vertical="center" wrapText="1"/>
    </xf>
    <xf numFmtId="10" fontId="4" fillId="13" borderId="51" xfId="0" applyNumberFormat="1" applyFont="1" applyFill="1" applyBorder="1" applyAlignment="1" applyProtection="1">
      <alignment horizontal="center" vertical="center" wrapText="1"/>
    </xf>
    <xf numFmtId="10" fontId="4" fillId="13" borderId="25" xfId="0" applyNumberFormat="1" applyFont="1" applyFill="1" applyBorder="1" applyAlignment="1" applyProtection="1">
      <alignment horizontal="center" vertical="center" wrapText="1"/>
    </xf>
    <xf numFmtId="10" fontId="4" fillId="13" borderId="51" xfId="0" applyNumberFormat="1" applyFont="1" applyFill="1" applyBorder="1" applyAlignment="1" applyProtection="1">
      <alignment horizontal="center" vertical="center"/>
    </xf>
    <xf numFmtId="10" fontId="4" fillId="13" borderId="25" xfId="0" applyNumberFormat="1" applyFont="1" applyFill="1" applyBorder="1" applyAlignment="1" applyProtection="1">
      <alignment horizontal="center" vertical="center"/>
    </xf>
    <xf numFmtId="10" fontId="4" fillId="13" borderId="49" xfId="0" applyNumberFormat="1" applyFont="1" applyFill="1" applyBorder="1" applyAlignment="1" applyProtection="1">
      <alignment horizontal="center" vertical="center" wrapText="1"/>
    </xf>
    <xf numFmtId="10" fontId="4" fillId="13" borderId="24" xfId="0" applyNumberFormat="1" applyFont="1" applyFill="1" applyBorder="1" applyAlignment="1" applyProtection="1">
      <alignment horizontal="center" vertical="center" wrapText="1"/>
    </xf>
    <xf numFmtId="0" fontId="4" fillId="0" borderId="0" xfId="0" applyFont="1" applyFill="1" applyAlignment="1" applyProtection="1"/>
    <xf numFmtId="0" fontId="51" fillId="0" borderId="100" xfId="0" applyFont="1" applyFill="1" applyBorder="1" applyAlignment="1" applyProtection="1">
      <alignment horizontal="center" vertical="center"/>
    </xf>
    <xf numFmtId="0" fontId="51" fillId="0" borderId="101" xfId="0" applyFont="1" applyFill="1" applyBorder="1" applyAlignment="1" applyProtection="1">
      <alignment horizontal="center" vertical="center"/>
    </xf>
    <xf numFmtId="0" fontId="51" fillId="0" borderId="19" xfId="0" applyFont="1" applyFill="1" applyBorder="1" applyAlignment="1" applyProtection="1">
      <alignment vertical="center" wrapText="1"/>
    </xf>
    <xf numFmtId="0" fontId="4" fillId="0" borderId="19" xfId="0" applyFont="1" applyFill="1" applyBorder="1" applyAlignment="1" applyProtection="1">
      <alignment vertical="center"/>
    </xf>
    <xf numFmtId="0" fontId="4" fillId="0" borderId="88" xfId="0" applyFont="1" applyFill="1" applyBorder="1" applyAlignment="1" applyProtection="1">
      <alignment horizontal="lef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center" wrapText="1"/>
    </xf>
    <xf numFmtId="0" fontId="8" fillId="13" borderId="25" xfId="0" applyFont="1" applyFill="1" applyBorder="1" applyAlignment="1" applyProtection="1">
      <alignment horizontal="center" vertical="center" wrapText="1"/>
    </xf>
    <xf numFmtId="0" fontId="8" fillId="13" borderId="24" xfId="0" applyFont="1" applyFill="1" applyBorder="1" applyAlignment="1" applyProtection="1">
      <alignment horizontal="center" vertical="center" wrapText="1"/>
    </xf>
    <xf numFmtId="1" fontId="4" fillId="13" borderId="16" xfId="0" applyNumberFormat="1" applyFont="1" applyFill="1" applyBorder="1" applyAlignment="1" applyProtection="1">
      <alignment horizontal="center" vertical="center"/>
    </xf>
    <xf numFmtId="1" fontId="4" fillId="13" borderId="18"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center"/>
    </xf>
    <xf numFmtId="0" fontId="8" fillId="13" borderId="18" xfId="0" applyFont="1" applyFill="1" applyBorder="1" applyAlignment="1" applyProtection="1">
      <alignment horizontal="center" vertical="center"/>
    </xf>
    <xf numFmtId="0" fontId="8" fillId="13" borderId="17" xfId="0" applyFont="1" applyFill="1" applyBorder="1" applyAlignment="1" applyProtection="1">
      <alignment horizontal="center" vertical="top"/>
    </xf>
    <xf numFmtId="0" fontId="8" fillId="13" borderId="1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 fontId="4" fillId="13" borderId="16"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98" xfId="0" applyNumberFormat="1" applyFont="1" applyFill="1" applyBorder="1" applyAlignment="1" applyProtection="1">
      <alignment horizontal="center" vertical="center"/>
    </xf>
    <xf numFmtId="3" fontId="4" fillId="13" borderId="15" xfId="0" applyNumberFormat="1" applyFont="1" applyFill="1" applyBorder="1" applyAlignment="1" applyProtection="1">
      <alignment horizontal="center" vertical="center"/>
    </xf>
    <xf numFmtId="3" fontId="4" fillId="13" borderId="3" xfId="0" applyNumberFormat="1" applyFont="1" applyFill="1" applyBorder="1" applyAlignment="1" applyProtection="1">
      <alignment horizontal="center" vertical="center"/>
    </xf>
    <xf numFmtId="0" fontId="8" fillId="13" borderId="87" xfId="0" applyFont="1" applyFill="1" applyBorder="1" applyAlignment="1" applyProtection="1">
      <alignment horizontal="center" vertical="center"/>
    </xf>
    <xf numFmtId="0" fontId="8" fillId="13" borderId="89" xfId="0" applyFont="1" applyFill="1" applyBorder="1" applyAlignment="1" applyProtection="1">
      <alignment horizontal="center" vertical="center"/>
    </xf>
    <xf numFmtId="0" fontId="8" fillId="13" borderId="89" xfId="0" applyFont="1" applyFill="1" applyBorder="1" applyAlignment="1" applyProtection="1">
      <alignment horizontal="center" vertical="top"/>
    </xf>
    <xf numFmtId="3"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165" fontId="14" fillId="13" borderId="12" xfId="0" applyNumberFormat="1" applyFont="1" applyFill="1" applyBorder="1" applyAlignment="1" applyProtection="1">
      <alignment horizontal="center" vertical="center"/>
    </xf>
    <xf numFmtId="9" fontId="14" fillId="13" borderId="12" xfId="0" applyNumberFormat="1" applyFont="1" applyFill="1" applyBorder="1" applyAlignment="1" applyProtection="1">
      <alignment horizontal="center" vertical="center"/>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06" fillId="0" borderId="0" xfId="0" applyFont="1" applyFill="1" applyAlignment="1" applyProtection="1">
      <alignment horizontal="center" vertical="center"/>
    </xf>
    <xf numFmtId="0" fontId="131" fillId="0" borderId="0" xfId="0" applyFont="1" applyFill="1" applyAlignment="1" applyProtection="1">
      <alignment horizontal="center" vertical="center"/>
    </xf>
    <xf numFmtId="0" fontId="4" fillId="0" borderId="0" xfId="0" applyFont="1" applyFill="1" applyAlignment="1" applyProtection="1">
      <alignment horizontal="left" vertical="center" wrapText="1"/>
    </xf>
    <xf numFmtId="38" fontId="10" fillId="0" borderId="89"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111" fillId="0" borderId="0" xfId="0" applyFont="1" applyFill="1" applyBorder="1" applyProtection="1"/>
    <xf numFmtId="0" fontId="111" fillId="0" borderId="0" xfId="0" applyFont="1" applyFill="1" applyBorder="1" applyAlignment="1" applyProtection="1">
      <alignment horizontal="center"/>
    </xf>
    <xf numFmtId="0" fontId="111"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xf>
    <xf numFmtId="3" fontId="96" fillId="0" borderId="0" xfId="0" applyNumberFormat="1" applyFont="1" applyFill="1" applyBorder="1" applyAlignment="1" applyProtection="1">
      <alignment horizontal="center"/>
    </xf>
    <xf numFmtId="0" fontId="96" fillId="0" borderId="0" xfId="0" applyFont="1" applyFill="1" applyBorder="1" applyProtection="1"/>
    <xf numFmtId="0" fontId="100" fillId="0" borderId="0" xfId="0" applyFont="1" applyFill="1" applyBorder="1" applyAlignment="1" applyProtection="1">
      <alignment horizontal="left" vertical="center"/>
    </xf>
    <xf numFmtId="0" fontId="100" fillId="0" borderId="0" xfId="0" applyFont="1" applyFill="1" applyBorder="1" applyAlignment="1" applyProtection="1">
      <alignment vertical="center"/>
    </xf>
    <xf numFmtId="0" fontId="123" fillId="0" borderId="0" xfId="0" applyFont="1" applyFill="1" applyBorder="1" applyAlignment="1" applyProtection="1">
      <alignment horizontal="centerContinuous" vertical="center"/>
    </xf>
    <xf numFmtId="0" fontId="107" fillId="0" borderId="0" xfId="0" applyFont="1" applyFill="1" applyBorder="1" applyAlignment="1" applyProtection="1">
      <alignment horizontal="centerContinuous" vertical="center"/>
    </xf>
    <xf numFmtId="0" fontId="123" fillId="0" borderId="0" xfId="0" applyFont="1" applyFill="1" applyBorder="1" applyAlignment="1" applyProtection="1">
      <alignment horizontal="right" vertical="center"/>
    </xf>
    <xf numFmtId="0" fontId="100" fillId="0" borderId="0" xfId="0" applyFont="1" applyFill="1" applyBorder="1" applyAlignment="1" applyProtection="1">
      <alignment horizontal="right" vertical="center"/>
    </xf>
    <xf numFmtId="0" fontId="123" fillId="0" borderId="0" xfId="0" quotePrefix="1" applyFont="1" applyFill="1" applyBorder="1" applyAlignment="1" applyProtection="1">
      <alignment horizontal="center" vertical="center"/>
    </xf>
    <xf numFmtId="0" fontId="101" fillId="0" borderId="0" xfId="0" applyFont="1" applyFill="1" applyBorder="1" applyAlignment="1" applyProtection="1">
      <alignment vertical="top"/>
    </xf>
    <xf numFmtId="0" fontId="110" fillId="0" borderId="0" xfId="0" applyFont="1" applyFill="1" applyBorder="1" applyAlignment="1" applyProtection="1">
      <alignment vertical="center"/>
    </xf>
    <xf numFmtId="0" fontId="100" fillId="0" borderId="0" xfId="0" applyFont="1" applyFill="1" applyBorder="1" applyAlignment="1" applyProtection="1">
      <alignment horizontal="center"/>
    </xf>
    <xf numFmtId="0" fontId="154" fillId="0" borderId="0" xfId="0" applyFont="1" applyFill="1" applyBorder="1" applyAlignment="1" applyProtection="1">
      <alignment vertical="center"/>
    </xf>
    <xf numFmtId="0" fontId="153" fillId="0" borderId="0" xfId="6" applyFont="1" applyFill="1" applyBorder="1" applyAlignment="1" applyProtection="1">
      <alignment vertical="center"/>
    </xf>
    <xf numFmtId="0" fontId="123" fillId="0" borderId="0" xfId="1" applyNumberFormat="1" applyFont="1" applyFill="1" applyBorder="1" applyAlignment="1" applyProtection="1">
      <alignment horizontal="left" vertical="center"/>
    </xf>
    <xf numFmtId="0" fontId="123" fillId="0" borderId="0" xfId="0" quotePrefix="1" applyFont="1" applyFill="1" applyBorder="1" applyAlignment="1" applyProtection="1">
      <alignment vertical="center"/>
    </xf>
    <xf numFmtId="164" fontId="110" fillId="0" borderId="0" xfId="1" applyNumberFormat="1" applyFont="1" applyFill="1" applyBorder="1" applyAlignment="1" applyProtection="1">
      <alignment horizontal="center" vertical="center"/>
    </xf>
    <xf numFmtId="0" fontId="100" fillId="0" borderId="0" xfId="0" applyFont="1" applyFill="1" applyBorder="1" applyProtection="1"/>
    <xf numFmtId="0" fontId="123" fillId="0" borderId="0" xfId="0" applyFont="1" applyFill="1" applyBorder="1" applyAlignment="1" applyProtection="1"/>
    <xf numFmtId="0" fontId="100" fillId="0" borderId="0" xfId="0" applyFont="1" applyFill="1" applyBorder="1" applyAlignment="1" applyProtection="1"/>
    <xf numFmtId="165" fontId="123" fillId="0" borderId="0" xfId="1" applyNumberFormat="1" applyFont="1" applyFill="1" applyBorder="1" applyAlignment="1" applyProtection="1">
      <alignment horizontal="center" vertical="center"/>
    </xf>
    <xf numFmtId="166" fontId="100" fillId="0" borderId="0" xfId="1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9" fontId="123" fillId="0" borderId="0" xfId="1" applyNumberFormat="1" applyFont="1" applyFill="1" applyBorder="1" applyAlignment="1" applyProtection="1">
      <alignment horizontal="center" vertical="center"/>
    </xf>
    <xf numFmtId="0" fontId="123" fillId="0" borderId="0" xfId="0" quotePrefix="1" applyFont="1" applyFill="1" applyBorder="1" applyAlignment="1" applyProtection="1">
      <alignment horizontal="left" vertical="center"/>
    </xf>
    <xf numFmtId="10" fontId="100" fillId="0" borderId="0" xfId="10" applyNumberFormat="1" applyFont="1" applyFill="1" applyBorder="1" applyAlignment="1" applyProtection="1">
      <alignment horizontal="center" vertical="center"/>
    </xf>
    <xf numFmtId="0" fontId="101" fillId="0" borderId="0" xfId="0" applyFont="1" applyFill="1" applyBorder="1" applyAlignment="1" applyProtection="1">
      <alignment vertical="center"/>
    </xf>
    <xf numFmtId="0" fontId="100" fillId="0" borderId="0" xfId="0" quotePrefix="1" applyFont="1" applyFill="1" applyBorder="1" applyAlignment="1" applyProtection="1">
      <alignment horizontal="center" vertical="center"/>
    </xf>
    <xf numFmtId="0" fontId="151" fillId="0" borderId="0" xfId="0" applyFont="1" applyFill="1" applyBorder="1" applyAlignment="1" applyProtection="1">
      <alignment vertical="center"/>
    </xf>
    <xf numFmtId="0" fontId="100" fillId="0" borderId="0" xfId="0" applyFont="1" applyFill="1" applyBorder="1" applyAlignment="1" applyProtection="1">
      <alignment horizontal="right"/>
    </xf>
    <xf numFmtId="0" fontId="100" fillId="0" borderId="0" xfId="0" quotePrefix="1" applyFont="1" applyFill="1" applyBorder="1" applyAlignment="1" applyProtection="1"/>
    <xf numFmtId="0" fontId="100" fillId="0" borderId="0" xfId="0" quotePrefix="1" applyFont="1" applyFill="1" applyBorder="1" applyAlignment="1" applyProtection="1">
      <alignment horizontal="right"/>
    </xf>
    <xf numFmtId="0" fontId="100" fillId="0" borderId="0" xfId="0" quotePrefix="1" applyFont="1" applyFill="1" applyBorder="1" applyAlignment="1" applyProtection="1">
      <alignment vertical="center"/>
    </xf>
    <xf numFmtId="0" fontId="123" fillId="0" borderId="0" xfId="0" applyFont="1" applyFill="1" applyBorder="1" applyAlignment="1" applyProtection="1">
      <alignment horizontal="right"/>
    </xf>
    <xf numFmtId="0" fontId="100" fillId="0" borderId="0" xfId="0" applyNumberFormat="1" applyFont="1" applyFill="1" applyBorder="1" applyAlignment="1" applyProtection="1">
      <alignment horizontal="center" vertical="center"/>
    </xf>
    <xf numFmtId="166" fontId="123" fillId="0" borderId="0" xfId="0" applyNumberFormat="1" applyFont="1" applyFill="1" applyBorder="1" applyAlignment="1" applyProtection="1">
      <alignment horizontal="center" vertical="center"/>
    </xf>
    <xf numFmtId="2" fontId="123"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vertical="center" wrapText="1"/>
    </xf>
    <xf numFmtId="9" fontId="151" fillId="0" borderId="0" xfId="0" applyNumberFormat="1" applyFont="1" applyFill="1" applyBorder="1" applyAlignment="1" applyProtection="1">
      <alignment horizontal="center" vertical="center"/>
    </xf>
    <xf numFmtId="0" fontId="151" fillId="0" borderId="0" xfId="0" applyFont="1" applyFill="1" applyBorder="1" applyProtection="1"/>
    <xf numFmtId="0" fontId="101" fillId="0" borderId="0" xfId="0" applyFont="1" applyFill="1" applyBorder="1" applyAlignment="1" applyProtection="1"/>
    <xf numFmtId="0" fontId="152" fillId="0" borderId="0" xfId="0" applyFont="1" applyFill="1" applyBorder="1" applyAlignment="1" applyProtection="1">
      <alignment vertical="top"/>
    </xf>
    <xf numFmtId="164" fontId="123" fillId="0" borderId="0" xfId="1" applyNumberFormat="1" applyFont="1" applyFill="1" applyBorder="1" applyAlignment="1" applyProtection="1">
      <alignment vertical="center"/>
    </xf>
    <xf numFmtId="0" fontId="149" fillId="0" borderId="0" xfId="0" applyFont="1" applyFill="1" applyBorder="1" applyAlignment="1" applyProtection="1">
      <alignment horizontal="center" vertical="center"/>
    </xf>
    <xf numFmtId="0" fontId="159" fillId="0" borderId="0" xfId="0" applyFont="1" applyFill="1" applyBorder="1" applyAlignment="1" applyProtection="1">
      <alignment horizontal="right" vertical="center"/>
    </xf>
    <xf numFmtId="164" fontId="159" fillId="0" borderId="0" xfId="1" applyNumberFormat="1" applyFont="1" applyFill="1" applyBorder="1" applyAlignment="1" applyProtection="1">
      <alignment horizontal="right" vertical="center"/>
    </xf>
    <xf numFmtId="10" fontId="123" fillId="0" borderId="0" xfId="0" applyNumberFormat="1" applyFont="1" applyFill="1" applyBorder="1" applyAlignment="1" applyProtection="1">
      <alignment horizontal="center"/>
    </xf>
    <xf numFmtId="164" fontId="123" fillId="0" borderId="0" xfId="1" applyNumberFormat="1" applyFont="1" applyFill="1" applyBorder="1" applyAlignment="1" applyProtection="1">
      <alignment horizontal="center"/>
    </xf>
    <xf numFmtId="0" fontId="123" fillId="0" borderId="0" xfId="0" applyFont="1" applyFill="1" applyBorder="1" applyAlignment="1" applyProtection="1">
      <alignment horizontal="left" vertical="top"/>
    </xf>
    <xf numFmtId="0" fontId="157" fillId="0" borderId="0" xfId="0" applyFont="1" applyFill="1" applyBorder="1" applyAlignment="1" applyProtection="1">
      <alignment vertical="top"/>
    </xf>
    <xf numFmtId="0" fontId="157" fillId="0" borderId="0" xfId="0" applyFont="1" applyFill="1" applyBorder="1" applyAlignment="1" applyProtection="1">
      <alignment vertical="center"/>
    </xf>
    <xf numFmtId="171" fontId="154" fillId="0" borderId="0" xfId="0" applyNumberFormat="1" applyFont="1" applyFill="1" applyBorder="1" applyAlignment="1" applyProtection="1">
      <alignment horizontal="left" vertical="center"/>
    </xf>
    <xf numFmtId="174" fontId="123" fillId="0" borderId="0" xfId="0" applyNumberFormat="1" applyFont="1" applyFill="1" applyBorder="1" applyAlignment="1" applyProtection="1">
      <alignment horizontal="center"/>
    </xf>
    <xf numFmtId="0" fontId="157" fillId="0" borderId="0" xfId="0" applyFont="1" applyFill="1" applyBorder="1" applyAlignment="1" applyProtection="1">
      <alignment horizontal="right" vertical="center"/>
    </xf>
    <xf numFmtId="164" fontId="123" fillId="0" borderId="0" xfId="1" applyNumberFormat="1" applyFont="1" applyFill="1" applyBorder="1" applyProtection="1"/>
    <xf numFmtId="3" fontId="123" fillId="0" borderId="0" xfId="0" applyNumberFormat="1" applyFont="1" applyFill="1" applyBorder="1" applyAlignment="1" applyProtection="1">
      <alignment vertical="center"/>
    </xf>
    <xf numFmtId="3" fontId="123" fillId="0" borderId="0" xfId="0" applyNumberFormat="1" applyFont="1" applyFill="1" applyBorder="1" applyProtection="1"/>
    <xf numFmtId="3" fontId="123" fillId="0" borderId="0" xfId="0" applyNumberFormat="1" applyFont="1" applyFill="1" applyBorder="1" applyAlignment="1" applyProtection="1">
      <alignment horizontal="center" vertical="center"/>
    </xf>
    <xf numFmtId="0" fontId="159" fillId="0" borderId="0" xfId="0" applyFont="1" applyFill="1" applyBorder="1" applyAlignment="1" applyProtection="1">
      <alignment horizontal="center" vertical="center"/>
    </xf>
    <xf numFmtId="6" fontId="123" fillId="0" borderId="0" xfId="0" applyNumberFormat="1" applyFont="1" applyFill="1" applyBorder="1" applyAlignment="1" applyProtection="1">
      <alignment horizontal="center" vertical="center"/>
    </xf>
    <xf numFmtId="0" fontId="159" fillId="0" borderId="0" xfId="0" applyFont="1" applyFill="1" applyBorder="1" applyAlignment="1" applyProtection="1">
      <alignment horizontal="left" vertical="center"/>
    </xf>
    <xf numFmtId="0" fontId="157" fillId="0" borderId="0" xfId="0" applyFont="1" applyFill="1" applyBorder="1" applyAlignment="1" applyProtection="1">
      <alignment horizontal="center" vertical="center"/>
    </xf>
    <xf numFmtId="164" fontId="123" fillId="0" borderId="0" xfId="1" applyNumberFormat="1" applyFont="1" applyFill="1" applyBorder="1" applyAlignment="1" applyProtection="1">
      <alignment horizontal="left" vertical="center"/>
    </xf>
    <xf numFmtId="0" fontId="152" fillId="0" borderId="0" xfId="0" applyFont="1" applyFill="1" applyBorder="1" applyAlignment="1" applyProtection="1">
      <alignment horizontal="left" vertical="top"/>
    </xf>
    <xf numFmtId="0" fontId="160" fillId="0" borderId="0" xfId="0" applyFont="1" applyFill="1" applyBorder="1" applyAlignment="1" applyProtection="1">
      <alignment horizontal="right" vertical="center"/>
    </xf>
    <xf numFmtId="0" fontId="123" fillId="0" borderId="0" xfId="0" quotePrefix="1" applyFont="1" applyFill="1" applyBorder="1" applyAlignment="1" applyProtection="1">
      <alignment horizontal="right" vertical="center"/>
    </xf>
    <xf numFmtId="0" fontId="152" fillId="0" borderId="0" xfId="0" applyFont="1" applyFill="1" applyBorder="1" applyAlignment="1" applyProtection="1">
      <alignment vertical="center"/>
    </xf>
    <xf numFmtId="0" fontId="120" fillId="0" borderId="0" xfId="0" applyFont="1" applyFill="1" applyBorder="1" applyAlignment="1" applyProtection="1">
      <alignment horizontal="left" vertical="center"/>
    </xf>
    <xf numFmtId="0" fontId="151" fillId="0" borderId="0" xfId="0" applyFont="1" applyFill="1" applyBorder="1" applyAlignment="1" applyProtection="1">
      <alignment vertical="top"/>
    </xf>
    <xf numFmtId="38" fontId="151" fillId="0" borderId="0" xfId="0" applyNumberFormat="1" applyFont="1" applyFill="1" applyBorder="1" applyAlignment="1" applyProtection="1">
      <alignment vertical="center"/>
    </xf>
    <xf numFmtId="0" fontId="163" fillId="0" borderId="0" xfId="0" applyFont="1" applyFill="1" applyBorder="1" applyProtection="1"/>
    <xf numFmtId="0" fontId="97" fillId="0" borderId="0" xfId="0" applyFont="1" applyFill="1" applyBorder="1" applyAlignment="1" applyProtection="1">
      <alignment vertical="center"/>
    </xf>
    <xf numFmtId="0" fontId="97" fillId="0" borderId="0" xfId="0" applyFont="1" applyFill="1" applyBorder="1" applyAlignment="1" applyProtection="1">
      <alignment horizontal="center" vertical="center" wrapText="1"/>
    </xf>
    <xf numFmtId="0" fontId="120" fillId="0" borderId="0" xfId="0" applyFont="1" applyFill="1" applyBorder="1" applyAlignment="1" applyProtection="1">
      <alignment horizontal="center" vertical="center"/>
    </xf>
    <xf numFmtId="164" fontId="111" fillId="0" borderId="0" xfId="1" applyNumberFormat="1" applyFont="1" applyFill="1" applyBorder="1" applyAlignment="1" applyProtection="1">
      <alignment horizontal="center" vertical="center"/>
    </xf>
    <xf numFmtId="3" fontId="111" fillId="0" borderId="0" xfId="0" applyNumberFormat="1" applyFont="1" applyFill="1" applyBorder="1" applyAlignment="1" applyProtection="1">
      <alignment horizontal="center" vertical="center"/>
    </xf>
    <xf numFmtId="10" fontId="111"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right" vertical="center"/>
    </xf>
    <xf numFmtId="10" fontId="107" fillId="0" borderId="0" xfId="0" applyNumberFormat="1" applyFont="1" applyFill="1" applyBorder="1" applyProtection="1"/>
    <xf numFmtId="0" fontId="107" fillId="0" borderId="0" xfId="0" applyFont="1" applyFill="1" applyBorder="1" applyAlignment="1" applyProtection="1"/>
    <xf numFmtId="0" fontId="111" fillId="0" borderId="0" xfId="0" applyFont="1" applyFill="1" applyBorder="1" applyAlignment="1" applyProtection="1">
      <alignment horizontal="left" indent="2"/>
    </xf>
    <xf numFmtId="9" fontId="107" fillId="0" borderId="0" xfId="10" applyFont="1" applyFill="1" applyBorder="1" applyProtection="1"/>
    <xf numFmtId="0" fontId="166" fillId="0" borderId="0" xfId="0" applyFont="1" applyFill="1" applyBorder="1" applyProtection="1"/>
    <xf numFmtId="0" fontId="167" fillId="0" borderId="0" xfId="1" applyNumberFormat="1" applyFont="1" applyFill="1" applyBorder="1" applyAlignment="1" applyProtection="1">
      <alignment horizontal="center"/>
    </xf>
    <xf numFmtId="164" fontId="107" fillId="0" borderId="0" xfId="1" applyNumberFormat="1" applyFont="1" applyFill="1" applyBorder="1" applyProtection="1"/>
    <xf numFmtId="44" fontId="107" fillId="0" borderId="0" xfId="0" applyNumberFormat="1" applyFont="1" applyFill="1" applyBorder="1" applyProtection="1"/>
    <xf numFmtId="0" fontId="166" fillId="0" borderId="0" xfId="0" applyFont="1" applyFill="1" applyBorder="1" applyAlignment="1" applyProtection="1">
      <alignment horizontal="right" vertical="center"/>
    </xf>
    <xf numFmtId="3" fontId="107" fillId="0" borderId="0" xfId="0" applyNumberFormat="1"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 fontId="107" fillId="0" borderId="0" xfId="1" applyNumberFormat="1" applyFont="1" applyFill="1" applyBorder="1" applyAlignment="1" applyProtection="1">
      <alignment vertical="center"/>
    </xf>
    <xf numFmtId="4" fontId="111" fillId="0" borderId="0" xfId="1" applyNumberFormat="1" applyFont="1" applyFill="1" applyBorder="1" applyAlignment="1" applyProtection="1">
      <alignment horizontal="center" vertical="center"/>
    </xf>
    <xf numFmtId="0" fontId="163" fillId="0" borderId="0" xfId="0" applyFont="1" applyFill="1" applyBorder="1" applyAlignment="1" applyProtection="1">
      <alignment vertical="center"/>
    </xf>
    <xf numFmtId="0" fontId="96" fillId="0" borderId="0" xfId="0" applyFont="1" applyFill="1" applyBorder="1" applyAlignment="1" applyProtection="1"/>
    <xf numFmtId="10" fontId="107" fillId="0" borderId="0" xfId="0" applyNumberFormat="1" applyFont="1" applyFill="1" applyBorder="1" applyAlignment="1" applyProtection="1">
      <alignment horizontal="left"/>
    </xf>
    <xf numFmtId="10" fontId="107" fillId="0" borderId="0" xfId="0" applyNumberFormat="1" applyFont="1" applyFill="1" applyBorder="1" applyAlignment="1" applyProtection="1">
      <alignment horizontal="center"/>
    </xf>
    <xf numFmtId="0" fontId="107" fillId="0" borderId="0" xfId="0" applyFont="1" applyFill="1" applyBorder="1" applyAlignment="1" applyProtection="1">
      <alignment horizontal="right"/>
    </xf>
    <xf numFmtId="0" fontId="107" fillId="0" borderId="0" xfId="0" quotePrefix="1" applyFont="1" applyFill="1" applyBorder="1" applyAlignment="1" applyProtection="1">
      <alignment horizontal="left" vertical="center"/>
    </xf>
    <xf numFmtId="43" fontId="107" fillId="0" borderId="0" xfId="1" applyNumberFormat="1" applyFont="1" applyFill="1" applyBorder="1" applyProtection="1"/>
    <xf numFmtId="39" fontId="107" fillId="0" borderId="0" xfId="1" applyNumberFormat="1" applyFont="1" applyFill="1" applyBorder="1" applyAlignment="1" applyProtection="1">
      <alignment horizontal="right"/>
    </xf>
    <xf numFmtId="164" fontId="96" fillId="0" borderId="0" xfId="1" applyNumberFormat="1" applyFont="1" applyFill="1" applyBorder="1" applyProtection="1"/>
    <xf numFmtId="0" fontId="167" fillId="0" borderId="0" xfId="0" applyFont="1" applyFill="1" applyBorder="1" applyProtection="1"/>
    <xf numFmtId="0" fontId="163" fillId="0" borderId="0" xfId="0" applyFont="1" applyFill="1" applyBorder="1" applyAlignment="1" applyProtection="1">
      <alignment horizontal="lef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0" fontId="122" fillId="0" borderId="0" xfId="0" applyFont="1" applyFill="1" applyBorder="1" applyAlignment="1" applyProtection="1">
      <alignment horizontal="right" vertical="top" wrapText="1"/>
    </xf>
    <xf numFmtId="0" fontId="122" fillId="0" borderId="0" xfId="0" applyFont="1" applyFill="1" applyBorder="1" applyAlignment="1" applyProtection="1">
      <alignment horizontal="right" vertical="top"/>
    </xf>
    <xf numFmtId="0" fontId="108" fillId="0" borderId="0" xfId="0" applyFont="1" applyFill="1" applyBorder="1" applyAlignment="1" applyProtection="1">
      <alignment horizontal="right" vertical="center"/>
    </xf>
    <xf numFmtId="0" fontId="122" fillId="0" borderId="0" xfId="0" applyFont="1" applyFill="1" applyBorder="1" applyAlignment="1" applyProtection="1">
      <alignment horizontal="right" vertical="center"/>
    </xf>
    <xf numFmtId="0" fontId="171" fillId="0" borderId="0" xfId="0" applyFont="1" applyFill="1" applyBorder="1" applyAlignment="1" applyProtection="1">
      <alignment vertical="center"/>
    </xf>
    <xf numFmtId="0" fontId="171" fillId="0" borderId="0" xfId="0" applyFont="1" applyFill="1" applyBorder="1" applyAlignment="1" applyProtection="1">
      <alignment vertical="top"/>
    </xf>
    <xf numFmtId="0" fontId="171" fillId="0" borderId="0" xfId="0" applyFont="1" applyFill="1" applyBorder="1" applyAlignment="1" applyProtection="1">
      <alignment vertical="top" wrapText="1"/>
    </xf>
    <xf numFmtId="0" fontId="110" fillId="0" borderId="0" xfId="0" applyFont="1" applyFill="1" applyBorder="1" applyAlignment="1" applyProtection="1">
      <alignment horizontal="right"/>
    </xf>
    <xf numFmtId="0" fontId="108" fillId="0" borderId="0" xfId="0" applyFont="1" applyFill="1" applyBorder="1" applyAlignment="1" applyProtection="1">
      <alignment vertical="top"/>
    </xf>
    <xf numFmtId="0" fontId="97" fillId="0" borderId="0" xfId="0" applyFont="1" applyFill="1" applyBorder="1" applyAlignment="1" applyProtection="1">
      <alignment horizontal="right" vertical="center"/>
    </xf>
    <xf numFmtId="3" fontId="110" fillId="0" borderId="0" xfId="0" applyNumberFormat="1" applyFont="1" applyFill="1" applyBorder="1" applyAlignment="1" applyProtection="1">
      <alignment horizontal="center"/>
    </xf>
    <xf numFmtId="3" fontId="108" fillId="0" borderId="0" xfId="0" applyNumberFormat="1" applyFont="1" applyFill="1" applyBorder="1" applyAlignment="1" applyProtection="1">
      <alignment horizontal="center"/>
    </xf>
    <xf numFmtId="0" fontId="171" fillId="0" borderId="0" xfId="0"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108" fillId="0" borderId="0" xfId="0" applyFont="1" applyFill="1" applyBorder="1" applyAlignment="1" applyProtection="1">
      <alignment horizontal="right" vertical="top"/>
    </xf>
    <xf numFmtId="0" fontId="108" fillId="0" borderId="0" xfId="0" applyFont="1" applyFill="1" applyBorder="1" applyAlignment="1" applyProtection="1">
      <alignment horizontal="center" vertical="top"/>
    </xf>
    <xf numFmtId="0" fontId="108" fillId="0" borderId="0" xfId="0" applyFont="1" applyFill="1" applyBorder="1" applyAlignment="1" applyProtection="1">
      <alignment horizontal="right"/>
    </xf>
    <xf numFmtId="0" fontId="108" fillId="0" borderId="0" xfId="0" applyFont="1" applyFill="1" applyBorder="1" applyAlignment="1" applyProtection="1"/>
    <xf numFmtId="0" fontId="110" fillId="0" borderId="0" xfId="0" applyFont="1" applyFill="1" applyBorder="1" applyAlignment="1" applyProtection="1">
      <alignment horizontal="right" vertical="center"/>
    </xf>
    <xf numFmtId="0" fontId="96" fillId="0" borderId="0" xfId="0" applyFont="1" applyFill="1" applyBorder="1" applyAlignment="1" applyProtection="1">
      <alignment horizontal="left" vertical="top" wrapText="1"/>
    </xf>
    <xf numFmtId="0" fontId="122" fillId="0" borderId="0" xfId="0" applyFont="1" applyFill="1" applyBorder="1" applyProtection="1"/>
    <xf numFmtId="1" fontId="108"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wrapText="1"/>
    </xf>
    <xf numFmtId="0" fontId="148" fillId="0" borderId="0" xfId="0" applyFont="1" applyFill="1" applyBorder="1" applyAlignment="1" applyProtection="1">
      <alignment vertical="center"/>
    </xf>
    <xf numFmtId="0" fontId="16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66" fillId="0" borderId="0" xfId="0" quotePrefix="1" applyFont="1" applyFill="1" applyBorder="1" applyAlignment="1" applyProtection="1">
      <alignment vertical="center"/>
    </xf>
    <xf numFmtId="0" fontId="166" fillId="0" borderId="0" xfId="0" applyFont="1" applyFill="1" applyBorder="1" applyAlignment="1" applyProtection="1">
      <alignment vertical="center"/>
    </xf>
    <xf numFmtId="0" fontId="175" fillId="0" borderId="0" xfId="0" applyFont="1" applyFill="1" applyBorder="1" applyAlignment="1" applyProtection="1">
      <alignment horizontal="center" vertical="center"/>
    </xf>
    <xf numFmtId="0" fontId="176" fillId="0" borderId="0" xfId="0" applyFont="1" applyFill="1" applyBorder="1" applyProtection="1"/>
    <xf numFmtId="0" fontId="167" fillId="0" borderId="0" xfId="0" applyFont="1" applyFill="1" applyBorder="1" applyAlignment="1" applyProtection="1">
      <alignment vertical="center"/>
    </xf>
    <xf numFmtId="0" fontId="107" fillId="0" borderId="0" xfId="0" applyFont="1" applyFill="1" applyBorder="1" applyAlignment="1" applyProtection="1">
      <alignment horizontal="center" vertical="center" wrapText="1"/>
    </xf>
    <xf numFmtId="0" fontId="166" fillId="0" borderId="0" xfId="0" quotePrefix="1" applyFont="1" applyFill="1" applyBorder="1" applyAlignment="1" applyProtection="1"/>
    <xf numFmtId="0" fontId="166" fillId="0" borderId="0" xfId="0" applyFont="1" applyFill="1" applyBorder="1" applyAlignment="1" applyProtection="1"/>
    <xf numFmtId="0" fontId="122" fillId="0" borderId="0" xfId="0" applyFont="1" applyFill="1" applyBorder="1" applyAlignment="1" applyProtection="1"/>
    <xf numFmtId="0" fontId="176" fillId="0" borderId="0" xfId="0" applyFont="1" applyFill="1" applyBorder="1" applyAlignment="1" applyProtection="1"/>
    <xf numFmtId="0" fontId="97" fillId="0" borderId="0" xfId="0" applyFont="1" applyFill="1" applyBorder="1" applyAlignment="1" applyProtection="1">
      <alignment horizontal="right"/>
    </xf>
    <xf numFmtId="1" fontId="108"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0" fontId="110" fillId="0" borderId="0" xfId="0" applyNumberFormat="1" applyFont="1" applyFill="1" applyBorder="1" applyAlignment="1" applyProtection="1">
      <alignment vertical="center"/>
    </xf>
    <xf numFmtId="0" fontId="10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177" fillId="0" borderId="0" xfId="0" applyFont="1" applyFill="1" applyBorder="1" applyProtection="1"/>
    <xf numFmtId="0" fontId="108" fillId="0" borderId="0" xfId="0" quotePrefix="1" applyFont="1" applyFill="1" applyBorder="1" applyAlignment="1" applyProtection="1">
      <alignment horizontal="right" vertical="center"/>
    </xf>
    <xf numFmtId="0" fontId="110" fillId="0" borderId="0" xfId="0" applyFont="1" applyFill="1" applyBorder="1" applyProtection="1"/>
    <xf numFmtId="0" fontId="150" fillId="0" borderId="0" xfId="0" applyFont="1" applyFill="1" applyBorder="1" applyProtection="1"/>
    <xf numFmtId="0" fontId="121" fillId="0" borderId="0" xfId="0" applyFont="1" applyFill="1" applyBorder="1" applyAlignment="1" applyProtection="1">
      <alignment vertical="center"/>
    </xf>
    <xf numFmtId="0" fontId="178" fillId="0" borderId="0" xfId="0" applyFont="1" applyFill="1" applyBorder="1" applyAlignment="1" applyProtection="1">
      <alignment vertical="center"/>
    </xf>
    <xf numFmtId="0" fontId="97" fillId="0" borderId="0" xfId="0" applyFont="1" applyFill="1" applyBorder="1" applyProtection="1"/>
    <xf numFmtId="0" fontId="107" fillId="0" borderId="0" xfId="0" applyFont="1" applyFill="1" applyBorder="1" applyAlignment="1" applyProtection="1">
      <alignment horizontal="center" vertical="top"/>
    </xf>
    <xf numFmtId="0" fontId="108" fillId="0" borderId="0" xfId="0" quotePrefix="1" applyFont="1" applyFill="1" applyBorder="1" applyAlignment="1" applyProtection="1">
      <alignment horizontal="right" vertical="top"/>
    </xf>
    <xf numFmtId="0" fontId="169" fillId="0" borderId="0" xfId="0" applyFont="1" applyFill="1" applyBorder="1" applyAlignment="1" applyProtection="1">
      <alignment horizontal="center" vertical="top"/>
    </xf>
    <xf numFmtId="0" fontId="169" fillId="0" borderId="0" xfId="0" applyFont="1" applyFill="1" applyBorder="1" applyAlignment="1" applyProtection="1">
      <alignment horizontal="center" vertical="center"/>
    </xf>
    <xf numFmtId="0" fontId="176" fillId="0" borderId="0" xfId="0" applyFont="1" applyFill="1" applyBorder="1" applyAlignment="1" applyProtection="1">
      <alignment vertical="center"/>
    </xf>
    <xf numFmtId="0" fontId="179" fillId="0" borderId="0" xfId="0" applyFont="1" applyFill="1" applyBorder="1" applyAlignment="1" applyProtection="1">
      <alignment horizontal="right"/>
    </xf>
    <xf numFmtId="0" fontId="166" fillId="0" borderId="0" xfId="0" applyFont="1" applyFill="1" applyBorder="1" applyAlignment="1" applyProtection="1">
      <alignment horizontal="center" vertical="center"/>
    </xf>
    <xf numFmtId="0" fontId="122" fillId="0" borderId="0" xfId="0" quotePrefix="1" applyFont="1" applyFill="1" applyBorder="1" applyAlignment="1" applyProtection="1">
      <alignment horizontal="center" vertical="center"/>
    </xf>
    <xf numFmtId="0" fontId="108" fillId="0" borderId="0" xfId="0" quotePrefix="1"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66" fillId="0" borderId="0" xfId="0" quotePrefix="1" applyFont="1" applyFill="1" applyBorder="1" applyAlignment="1" applyProtection="1">
      <alignment horizontal="left" vertical="center"/>
    </xf>
    <xf numFmtId="0" fontId="179" fillId="0" borderId="0" xfId="0" applyFont="1" applyFill="1" applyBorder="1" applyProtection="1"/>
    <xf numFmtId="0" fontId="97" fillId="0" borderId="0" xfId="0" applyFont="1" applyFill="1" applyBorder="1" applyAlignment="1" applyProtection="1">
      <alignment horizontal="left" vertical="top"/>
    </xf>
    <xf numFmtId="0" fontId="179" fillId="0" borderId="0" xfId="0" applyFont="1" applyFill="1" applyBorder="1" applyAlignment="1" applyProtection="1">
      <alignment horizontal="center"/>
    </xf>
    <xf numFmtId="10"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80" fillId="0" borderId="0" xfId="0" applyFont="1" applyFill="1" applyBorder="1" applyAlignment="1" applyProtection="1">
      <alignment horizontal="right"/>
    </xf>
    <xf numFmtId="0" fontId="108" fillId="0" borderId="0" xfId="0" quotePrefix="1" applyFont="1" applyFill="1" applyBorder="1" applyAlignment="1" applyProtection="1">
      <alignment horizontal="center" vertical="center"/>
    </xf>
    <xf numFmtId="0" fontId="176" fillId="0" borderId="0" xfId="0" applyFont="1" applyFill="1" applyBorder="1" applyAlignment="1" applyProtection="1">
      <alignment horizontal="center"/>
    </xf>
    <xf numFmtId="0" fontId="163" fillId="0" borderId="0" xfId="0" applyFont="1" applyFill="1" applyBorder="1" applyAlignment="1" applyProtection="1">
      <alignment horizontal="center" vertical="center"/>
    </xf>
    <xf numFmtId="0" fontId="171" fillId="0" borderId="0" xfId="0" applyFont="1" applyFill="1" applyBorder="1" applyProtection="1"/>
    <xf numFmtId="10" fontId="108" fillId="0" borderId="0" xfId="0" applyNumberFormat="1" applyFont="1" applyFill="1" applyBorder="1" applyAlignment="1" applyProtection="1">
      <alignment horizontal="center" vertical="center"/>
    </xf>
    <xf numFmtId="0" fontId="97" fillId="0" borderId="0" xfId="0" quotePrefix="1" applyFont="1" applyFill="1" applyBorder="1" applyAlignment="1" applyProtection="1">
      <alignment horizontal="right" vertical="top"/>
    </xf>
    <xf numFmtId="0" fontId="176" fillId="0" borderId="0" xfId="0" applyFont="1" applyFill="1" applyBorder="1" applyAlignment="1" applyProtection="1">
      <alignment vertical="top"/>
    </xf>
    <xf numFmtId="3" fontId="97"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center" vertical="top"/>
    </xf>
    <xf numFmtId="0" fontId="177" fillId="0" borderId="0" xfId="0" applyFont="1" applyFill="1" applyBorder="1" applyAlignment="1" applyProtection="1">
      <alignment vertical="top"/>
    </xf>
    <xf numFmtId="0" fontId="166" fillId="0" borderId="0" xfId="0" quotePrefix="1" applyFont="1" applyFill="1" applyBorder="1" applyAlignment="1" applyProtection="1">
      <alignment horizontal="left" vertical="top"/>
    </xf>
    <xf numFmtId="0" fontId="108" fillId="0" borderId="0" xfId="0" applyFont="1" applyFill="1" applyBorder="1" applyAlignment="1" applyProtection="1">
      <alignment wrapText="1"/>
    </xf>
    <xf numFmtId="10" fontId="108" fillId="0" borderId="0" xfId="0" applyNumberFormat="1" applyFont="1" applyFill="1" applyBorder="1" applyAlignment="1" applyProtection="1">
      <alignment horizontal="center" vertical="center" wrapText="1"/>
    </xf>
    <xf numFmtId="0" fontId="110" fillId="0" borderId="0" xfId="0" applyFont="1" applyFill="1" applyBorder="1" applyAlignment="1" applyProtection="1">
      <alignment vertical="center" wrapText="1"/>
    </xf>
    <xf numFmtId="0" fontId="180" fillId="0" borderId="0" xfId="0" applyFont="1" applyFill="1" applyBorder="1" applyProtection="1"/>
    <xf numFmtId="0" fontId="112" fillId="0" borderId="0" xfId="0" applyFont="1" applyFill="1" applyBorder="1" applyAlignment="1" applyProtection="1">
      <alignment vertical="center"/>
    </xf>
    <xf numFmtId="38" fontId="112" fillId="0" borderId="0" xfId="0" applyNumberFormat="1" applyFont="1" applyFill="1" applyBorder="1" applyAlignment="1" applyProtection="1">
      <alignment horizontal="center" vertical="center"/>
    </xf>
    <xf numFmtId="38" fontId="14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149" fillId="0" borderId="0" xfId="0" applyFont="1" applyFill="1" applyBorder="1" applyAlignment="1" applyProtection="1">
      <alignment horizontal="center"/>
    </xf>
    <xf numFmtId="0" fontId="150" fillId="0" borderId="0" xfId="0" applyFont="1" applyFill="1" applyBorder="1" applyAlignment="1" applyProtection="1">
      <alignment horizontal="center"/>
    </xf>
    <xf numFmtId="176" fontId="123" fillId="0" borderId="0" xfId="0" applyNumberFormat="1" applyFont="1" applyFill="1" applyBorder="1" applyAlignment="1" applyProtection="1">
      <alignment horizontal="center" vertical="center"/>
    </xf>
    <xf numFmtId="1" fontId="123" fillId="0" borderId="0" xfId="0" applyNumberFormat="1" applyFont="1" applyFill="1" applyBorder="1" applyAlignment="1" applyProtection="1">
      <alignment horizontal="center" vertical="center"/>
    </xf>
    <xf numFmtId="0" fontId="156" fillId="0" borderId="0" xfId="6" applyFont="1" applyFill="1" applyBorder="1" applyAlignment="1" applyProtection="1">
      <alignment vertical="center"/>
    </xf>
    <xf numFmtId="0" fontId="101" fillId="0" borderId="0" xfId="0" applyFont="1" applyFill="1" applyBorder="1" applyAlignment="1" applyProtection="1">
      <alignment horizontal="left" vertical="center"/>
    </xf>
    <xf numFmtId="167" fontId="123" fillId="0" borderId="0" xfId="0" applyNumberFormat="1" applyFont="1" applyFill="1" applyBorder="1" applyAlignment="1" applyProtection="1">
      <alignment vertical="center"/>
    </xf>
    <xf numFmtId="164" fontId="151" fillId="0" borderId="0" xfId="1"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0" fontId="111" fillId="0" borderId="0" xfId="10" applyNumberFormat="1" applyFont="1" applyFill="1" applyBorder="1" applyAlignment="1" applyProtection="1">
      <alignment horizontal="center" vertical="center"/>
    </xf>
    <xf numFmtId="1" fontId="111" fillId="0" borderId="0" xfId="1" applyNumberFormat="1" applyFont="1" applyFill="1" applyBorder="1" applyAlignment="1" applyProtection="1">
      <alignment horizontal="center" vertical="center"/>
    </xf>
    <xf numFmtId="173" fontId="111" fillId="0" borderId="0" xfId="1" applyNumberFormat="1" applyFont="1" applyFill="1" applyBorder="1" applyAlignment="1" applyProtection="1">
      <alignment horizontal="center" vertical="center"/>
    </xf>
    <xf numFmtId="3" fontId="111" fillId="0" borderId="0" xfId="1" applyNumberFormat="1" applyFont="1" applyFill="1" applyBorder="1" applyAlignment="1" applyProtection="1">
      <alignment horizontal="center" vertical="center"/>
    </xf>
    <xf numFmtId="3" fontId="107" fillId="0" borderId="0" xfId="0" applyNumberFormat="1" applyFont="1" applyFill="1" applyBorder="1" applyProtection="1"/>
    <xf numFmtId="164" fontId="107" fillId="0" borderId="0" xfId="1" applyNumberFormat="1" applyFont="1" applyFill="1" applyBorder="1" applyAlignment="1" applyProtection="1">
      <alignment horizontal="right"/>
    </xf>
    <xf numFmtId="0" fontId="107" fillId="0" borderId="0" xfId="0" applyNumberFormat="1" applyFont="1" applyFill="1" applyBorder="1" applyAlignment="1" applyProtection="1">
      <alignment horizontal="right" vertical="center"/>
    </xf>
    <xf numFmtId="3" fontId="107" fillId="0" borderId="0" xfId="10" applyNumberFormat="1" applyFont="1" applyFill="1" applyBorder="1" applyAlignment="1" applyProtection="1">
      <alignment horizontal="right" vertical="center"/>
    </xf>
    <xf numFmtId="166" fontId="107" fillId="0" borderId="0" xfId="10" applyNumberFormat="1" applyFont="1" applyFill="1" applyBorder="1" applyAlignment="1" applyProtection="1">
      <alignment horizontal="right" vertical="center"/>
    </xf>
    <xf numFmtId="0" fontId="153" fillId="0" borderId="0" xfId="0" applyFont="1" applyFill="1" applyBorder="1" applyAlignment="1" applyProtection="1">
      <alignment horizontal="justify" vertical="top"/>
    </xf>
    <xf numFmtId="0" fontId="153" fillId="0" borderId="0" xfId="0" applyFont="1" applyFill="1" applyBorder="1" applyAlignment="1" applyProtection="1">
      <alignment horizontal="right" vertical="top" wrapText="1"/>
    </xf>
    <xf numFmtId="0" fontId="108" fillId="0" borderId="0" xfId="0" applyFont="1" applyFill="1" applyBorder="1" applyAlignment="1" applyProtection="1">
      <alignment horizontal="justify" vertical="top"/>
    </xf>
    <xf numFmtId="38" fontId="108" fillId="0" borderId="0" xfId="0" applyNumberFormat="1" applyFont="1" applyFill="1" applyBorder="1" applyAlignment="1" applyProtection="1">
      <alignment horizontal="right" vertical="top" wrapText="1"/>
    </xf>
    <xf numFmtId="0" fontId="122" fillId="0" borderId="0" xfId="0" applyFont="1" applyFill="1" applyBorder="1" applyAlignment="1" applyProtection="1">
      <alignment horizontal="justify" vertical="top" wrapText="1"/>
    </xf>
    <xf numFmtId="6" fontId="108" fillId="0" borderId="0" xfId="0" applyNumberFormat="1" applyFont="1" applyFill="1" applyBorder="1" applyAlignment="1" applyProtection="1">
      <alignment horizontal="center" vertical="top" wrapText="1"/>
    </xf>
    <xf numFmtId="166" fontId="122" fillId="0" borderId="0" xfId="0" applyNumberFormat="1" applyFont="1" applyFill="1" applyBorder="1" applyAlignment="1" applyProtection="1">
      <alignment horizontal="center" vertical="center"/>
    </xf>
    <xf numFmtId="176" fontId="108"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10" fontId="108" fillId="0" borderId="0" xfId="0" applyNumberFormat="1" applyFont="1" applyFill="1" applyBorder="1" applyProtection="1"/>
    <xf numFmtId="0" fontId="149" fillId="0" borderId="0" xfId="0" applyFont="1" applyAlignment="1" applyProtection="1">
      <alignment horizontal="left"/>
    </xf>
    <xf numFmtId="0" fontId="150" fillId="0" borderId="0" xfId="0" applyFont="1" applyAlignment="1" applyProtection="1">
      <alignment horizontal="left"/>
    </xf>
    <xf numFmtId="0" fontId="181" fillId="0" borderId="89" xfId="0" applyFont="1" applyBorder="1" applyAlignment="1" applyProtection="1">
      <alignment horizontal="left"/>
    </xf>
    <xf numFmtId="0" fontId="108"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center" vertical="center" wrapText="1"/>
    </xf>
    <xf numFmtId="3" fontId="108"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xf>
    <xf numFmtId="0" fontId="122" fillId="0" borderId="0" xfId="0" applyFont="1" applyFill="1" applyBorder="1" applyAlignment="1" applyProtection="1">
      <alignment horizontal="center" vertical="top" wrapText="1"/>
    </xf>
    <xf numFmtId="0" fontId="108"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top"/>
    </xf>
    <xf numFmtId="0" fontId="97" fillId="0" borderId="0" xfId="0" applyFont="1" applyFill="1" applyBorder="1" applyAlignment="1" applyProtection="1">
      <alignment horizontal="center" vertical="center"/>
    </xf>
    <xf numFmtId="0" fontId="108" fillId="0" borderId="0" xfId="0" applyFont="1" applyFill="1" applyBorder="1" applyAlignment="1" applyProtection="1">
      <alignment horizontal="left" wrapText="1"/>
    </xf>
    <xf numFmtId="0" fontId="107" fillId="0" borderId="0" xfId="0" applyFont="1" applyFill="1" applyBorder="1" applyProtection="1"/>
    <xf numFmtId="174" fontId="108"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vertical="top"/>
    </xf>
    <xf numFmtId="0" fontId="108" fillId="0" borderId="0" xfId="0" applyFont="1" applyFill="1" applyBorder="1" applyAlignment="1" applyProtection="1">
      <alignment vertical="center" wrapText="1"/>
    </xf>
    <xf numFmtId="0" fontId="107" fillId="0" borderId="0" xfId="0" applyFont="1" applyFill="1" applyBorder="1" applyAlignment="1" applyProtection="1">
      <alignment vertical="center" wrapText="1"/>
    </xf>
    <xf numFmtId="0" fontId="108" fillId="0" borderId="0" xfId="0" applyFont="1" applyFill="1" applyBorder="1" applyAlignment="1" applyProtection="1">
      <alignment horizontal="left" vertical="top"/>
    </xf>
    <xf numFmtId="0" fontId="171"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left" vertical="top" wrapText="1"/>
    </xf>
    <xf numFmtId="176" fontId="151"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xf>
    <xf numFmtId="0" fontId="108" fillId="0" borderId="0" xfId="0"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00" fillId="0" borderId="0" xfId="0"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51" fillId="0" borderId="0" xfId="0" applyFont="1" applyFill="1" applyBorder="1" applyAlignment="1" applyProtection="1">
      <alignment horizontal="left" vertical="center"/>
    </xf>
    <xf numFmtId="0" fontId="123" fillId="0" borderId="0" xfId="0" applyFont="1" applyFill="1" applyBorder="1" applyAlignment="1" applyProtection="1">
      <alignment horizontal="center" vertical="center"/>
    </xf>
    <xf numFmtId="1" fontId="123" fillId="0" borderId="0" xfId="1" applyNumberFormat="1" applyFont="1" applyFill="1" applyBorder="1" applyAlignment="1" applyProtection="1">
      <alignment horizontal="center" vertical="center"/>
    </xf>
    <xf numFmtId="38"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center"/>
    </xf>
    <xf numFmtId="0"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left"/>
    </xf>
    <xf numFmtId="0" fontId="123" fillId="0" borderId="0" xfId="0" applyFont="1" applyFill="1" applyBorder="1" applyAlignment="1" applyProtection="1">
      <alignment wrapText="1"/>
    </xf>
    <xf numFmtId="167" fontId="123" fillId="0" borderId="0" xfId="0" applyNumberFormat="1" applyFont="1" applyFill="1" applyBorder="1" applyAlignment="1" applyProtection="1">
      <alignment horizontal="center" vertical="center"/>
    </xf>
    <xf numFmtId="0" fontId="123" fillId="0" borderId="0" xfId="0" applyFont="1" applyFill="1" applyBorder="1" applyProtection="1"/>
    <xf numFmtId="0" fontId="100" fillId="0" borderId="0" xfId="0" applyFont="1" applyFill="1" applyBorder="1" applyAlignment="1" applyProtection="1">
      <alignment horizontal="left"/>
    </xf>
    <xf numFmtId="0" fontId="123"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horizontal="center" vertical="center"/>
    </xf>
    <xf numFmtId="0" fontId="123" fillId="0" borderId="0" xfId="0" applyFont="1" applyFill="1" applyBorder="1" applyAlignment="1" applyProtection="1">
      <alignment vertical="top"/>
    </xf>
    <xf numFmtId="0" fontId="123" fillId="0" borderId="0" xfId="0" applyFont="1" applyFill="1" applyBorder="1" applyAlignment="1" applyProtection="1">
      <alignment vertical="center"/>
    </xf>
    <xf numFmtId="3" fontId="123" fillId="0" borderId="0" xfId="1" applyNumberFormat="1" applyFont="1" applyFill="1" applyBorder="1" applyAlignment="1" applyProtection="1">
      <alignment horizontal="center" vertical="center"/>
    </xf>
    <xf numFmtId="0" fontId="123" fillId="0" borderId="0" xfId="0" applyFont="1" applyFill="1" applyBorder="1" applyAlignment="1" applyProtection="1">
      <alignment horizontal="left" wrapText="1"/>
    </xf>
    <xf numFmtId="38" fontId="100" fillId="0" borderId="0" xfId="0" applyNumberFormat="1" applyFont="1" applyFill="1" applyBorder="1" applyAlignment="1" applyProtection="1">
      <alignment horizontal="right" vertical="center"/>
    </xf>
    <xf numFmtId="0" fontId="156" fillId="0" borderId="0" xfId="0" applyFont="1" applyFill="1" applyBorder="1" applyAlignment="1" applyProtection="1">
      <alignment horizontal="center" vertical="center"/>
    </xf>
    <xf numFmtId="38" fontId="100" fillId="0" borderId="0" xfId="0" applyNumberFormat="1" applyFont="1" applyFill="1" applyBorder="1" applyAlignment="1" applyProtection="1">
      <alignment horizontal="center" vertical="center"/>
    </xf>
    <xf numFmtId="171" fontId="100" fillId="0" borderId="0" xfId="0" applyNumberFormat="1" applyFont="1" applyFill="1" applyBorder="1" applyAlignment="1" applyProtection="1">
      <alignment horizontal="center" vertical="center"/>
    </xf>
    <xf numFmtId="4" fontId="157" fillId="0" borderId="0" xfId="1" applyNumberFormat="1" applyFont="1" applyFill="1" applyBorder="1" applyAlignment="1" applyProtection="1">
      <alignment horizontal="right" vertical="center"/>
    </xf>
    <xf numFmtId="164" fontId="123" fillId="0" borderId="0" xfId="1"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center" vertical="center"/>
    </xf>
    <xf numFmtId="38" fontId="123" fillId="0" borderId="0" xfId="0"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96" fillId="0" borderId="0" xfId="0" applyFont="1" applyFill="1" applyBorder="1" applyAlignment="1" applyProtection="1">
      <alignment horizontal="left"/>
    </xf>
    <xf numFmtId="0" fontId="122" fillId="0" borderId="0" xfId="0" applyFont="1" applyFill="1" applyBorder="1" applyAlignment="1" applyProtection="1">
      <alignment horizontal="left"/>
    </xf>
    <xf numFmtId="38" fontId="107"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xf>
    <xf numFmtId="0" fontId="122"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xf>
    <xf numFmtId="0" fontId="96"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center"/>
    </xf>
    <xf numFmtId="0" fontId="111" fillId="0" borderId="0" xfId="0" applyFont="1" applyFill="1" applyBorder="1" applyAlignment="1" applyProtection="1">
      <alignment horizontal="left"/>
    </xf>
    <xf numFmtId="0" fontId="108" fillId="0" borderId="0" xfId="0" applyFont="1" applyFill="1" applyBorder="1" applyAlignment="1" applyProtection="1">
      <alignment vertical="top" wrapText="1"/>
    </xf>
    <xf numFmtId="0" fontId="107" fillId="0" borderId="0" xfId="0" applyFont="1" applyFill="1" applyBorder="1" applyAlignment="1" applyProtection="1">
      <alignment vertical="top" wrapText="1"/>
    </xf>
    <xf numFmtId="0" fontId="122" fillId="0" borderId="0" xfId="0" applyFont="1" applyFill="1" applyBorder="1" applyAlignment="1" applyProtection="1">
      <alignment horizontal="left" vertical="top" wrapText="1"/>
    </xf>
    <xf numFmtId="0" fontId="49" fillId="0" borderId="0" xfId="0" applyFont="1" applyFill="1" applyAlignment="1" applyProtection="1">
      <alignment horizontal="center" vertical="center" wrapText="1"/>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62" fillId="0" borderId="0" xfId="0" applyFont="1" applyFill="1" applyBorder="1" applyAlignment="1" applyProtection="1">
      <alignment horizontal="left"/>
    </xf>
    <xf numFmtId="0" fontId="54" fillId="0" borderId="13"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8" xfId="0"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4" fillId="0" borderId="13" xfId="0" applyFont="1" applyFill="1" applyBorder="1" applyAlignment="1" applyProtection="1">
      <alignment horizontal="left" vertical="center"/>
    </xf>
    <xf numFmtId="0" fontId="54" fillId="0" borderId="85" xfId="0" applyFont="1" applyFill="1" applyBorder="1" applyAlignment="1" applyProtection="1">
      <alignment horizontal="center" vertical="center"/>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8" xfId="0" applyFont="1" applyFill="1" applyBorder="1" applyAlignment="1" applyProtection="1">
      <alignment vertical="center"/>
    </xf>
    <xf numFmtId="0" fontId="8" fillId="0" borderId="0" xfId="0" applyFont="1" applyFill="1" applyAlignment="1" applyProtection="1">
      <alignment horizontal="left"/>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164" fontId="54" fillId="0" borderId="0" xfId="1" applyNumberFormat="1" applyFont="1" applyFill="1" applyBorder="1" applyAlignment="1" applyProtection="1">
      <alignment horizontal="center" vertical="center"/>
    </xf>
    <xf numFmtId="4" fontId="71" fillId="0" borderId="13" xfId="1" applyNumberFormat="1" applyFont="1" applyFill="1" applyBorder="1" applyAlignment="1" applyProtection="1">
      <alignment horizontal="right" vertical="center"/>
    </xf>
    <xf numFmtId="4" fontId="71" fillId="0" borderId="88" xfId="1" applyNumberFormat="1" applyFont="1" applyFill="1" applyBorder="1" applyAlignment="1" applyProtection="1">
      <alignment horizontal="right" vertical="center"/>
    </xf>
    <xf numFmtId="171" fontId="62" fillId="0" borderId="0"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8" fillId="0" borderId="0" xfId="0" applyFont="1" applyAlignment="1" applyProtection="1">
      <alignment horizont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4" fillId="0" borderId="0" xfId="0" applyFont="1" applyAlignment="1" applyProtection="1">
      <alignment horizontal="center" vertical="center"/>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left" wrapText="1"/>
    </xf>
    <xf numFmtId="0" fontId="4" fillId="0" borderId="0" xfId="0" applyFont="1" applyFill="1" applyAlignment="1" applyProtection="1">
      <alignment horizontal="center" vertical="center" wrapText="1"/>
    </xf>
    <xf numFmtId="0" fontId="16" fillId="0" borderId="0" xfId="0" applyFont="1" applyAlignment="1" applyProtection="1">
      <alignment horizontal="center"/>
    </xf>
    <xf numFmtId="0" fontId="8" fillId="13" borderId="16" xfId="0" applyFont="1" applyFill="1" applyBorder="1" applyAlignment="1" applyProtection="1">
      <alignment horizontal="center" vertical="top"/>
    </xf>
    <xf numFmtId="0" fontId="0" fillId="0" borderId="0" xfId="0" applyAlignment="1" applyProtection="1">
      <alignment vertical="center" wrapText="1"/>
    </xf>
    <xf numFmtId="0" fontId="14" fillId="0" borderId="13" xfId="0" applyFont="1" applyFill="1" applyBorder="1" applyAlignment="1" applyProtection="1">
      <alignment horizontal="left" vertical="center"/>
    </xf>
    <xf numFmtId="0" fontId="4" fillId="0" borderId="0" xfId="0" applyFont="1" applyFill="1" applyBorder="1" applyAlignment="1" applyProtection="1">
      <alignment horizontal="left"/>
    </xf>
    <xf numFmtId="0" fontId="4" fillId="0" borderId="0" xfId="0" applyFont="1" applyFill="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0" fontId="96"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54" fillId="0" borderId="7"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7" xfId="0" applyFont="1" applyBorder="1" applyAlignment="1" applyProtection="1">
      <alignment horizontal="center"/>
    </xf>
    <xf numFmtId="0" fontId="54" fillId="0" borderId="8" xfId="0" applyFont="1" applyBorder="1" applyAlignment="1" applyProtection="1">
      <alignment horizontal="center"/>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62" fillId="0" borderId="86" xfId="0" applyFont="1" applyFill="1" applyBorder="1" applyAlignment="1" applyProtection="1">
      <alignment horizontal="center" vertical="center"/>
    </xf>
    <xf numFmtId="0" fontId="54" fillId="0" borderId="0" xfId="0" applyFont="1" applyFill="1" applyBorder="1" applyAlignment="1" applyProtection="1">
      <alignment horizontal="center" wrapText="1"/>
    </xf>
    <xf numFmtId="0" fontId="54" fillId="0" borderId="13" xfId="0" applyFont="1" applyBorder="1" applyAlignment="1" applyProtection="1">
      <alignment wrapText="1"/>
    </xf>
    <xf numFmtId="0" fontId="63" fillId="8" borderId="54" xfId="0" applyFont="1" applyFill="1" applyBorder="1" applyAlignment="1" applyProtection="1">
      <alignment horizontal="center" vertical="center"/>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54" fillId="0" borderId="13" xfId="0" applyFont="1" applyFill="1" applyBorder="1" applyAlignment="1" applyProtection="1">
      <alignment horizontal="center" vertical="center"/>
    </xf>
    <xf numFmtId="0" fontId="54" fillId="0" borderId="13" xfId="0" applyFont="1" applyFill="1" applyBorder="1" applyAlignment="1" applyProtection="1">
      <alignment horizontal="center"/>
    </xf>
    <xf numFmtId="42" fontId="54" fillId="0" borderId="36" xfId="2" applyNumberFormat="1" applyFont="1" applyFill="1" applyBorder="1" applyAlignment="1" applyProtection="1">
      <alignment horizontal="center" vertical="center"/>
    </xf>
    <xf numFmtId="42" fontId="54"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4" fillId="0" borderId="83" xfId="0" applyFont="1" applyFill="1" applyBorder="1" applyAlignment="1" applyProtection="1">
      <alignment horizontal="center" vertical="center"/>
    </xf>
    <xf numFmtId="0" fontId="54" fillId="0" borderId="84" xfId="0" applyFont="1" applyFill="1" applyBorder="1" applyAlignment="1" applyProtection="1">
      <alignment horizontal="center" vertical="center"/>
    </xf>
    <xf numFmtId="0" fontId="110" fillId="5" borderId="36" xfId="0" applyFont="1" applyFill="1" applyBorder="1" applyAlignment="1" applyProtection="1">
      <alignment horizontal="left"/>
    </xf>
    <xf numFmtId="0" fontId="110" fillId="5" borderId="2" xfId="0" applyFont="1" applyFill="1" applyBorder="1" applyAlignment="1" applyProtection="1">
      <alignment horizontal="left"/>
    </xf>
    <xf numFmtId="0" fontId="110" fillId="5" borderId="37" xfId="0" applyFont="1" applyFill="1" applyBorder="1" applyAlignment="1" applyProtection="1">
      <alignment horizontal="left"/>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0" fontId="134" fillId="0" borderId="0" xfId="6" applyFont="1" applyFill="1" applyBorder="1" applyAlignment="1" applyProtection="1">
      <alignment horizontal="left" vertical="center"/>
    </xf>
    <xf numFmtId="0" fontId="135" fillId="0" borderId="0" xfId="6" applyFont="1" applyFill="1" applyBorder="1" applyAlignment="1" applyProtection="1">
      <alignment horizontal="left" vertical="center"/>
    </xf>
    <xf numFmtId="0" fontId="62" fillId="0" borderId="0" xfId="0" applyFont="1" applyFill="1" applyBorder="1" applyAlignment="1" applyProtection="1">
      <alignment horizontal="left" wrapText="1"/>
    </xf>
    <xf numFmtId="174" fontId="62" fillId="0" borderId="33" xfId="10" applyNumberFormat="1" applyFont="1" applyFill="1" applyBorder="1" applyAlignment="1" applyProtection="1">
      <alignment horizontal="right" vertical="center"/>
    </xf>
    <xf numFmtId="174" fontId="62" fillId="0" borderId="34" xfId="0" applyNumberFormat="1" applyFont="1" applyFill="1" applyBorder="1" applyAlignment="1" applyProtection="1">
      <alignment horizontal="right"/>
    </xf>
    <xf numFmtId="0" fontId="54" fillId="0" borderId="9" xfId="0" applyFont="1" applyFill="1" applyBorder="1" applyAlignment="1" applyProtection="1">
      <alignment horizontal="left" vertical="center"/>
    </xf>
    <xf numFmtId="0" fontId="54" fillId="0" borderId="13" xfId="0" applyFont="1" applyFill="1" applyBorder="1" applyAlignment="1" applyProtection="1">
      <alignment horizontal="left" vertical="center"/>
    </xf>
    <xf numFmtId="0" fontId="54" fillId="0" borderId="14" xfId="0" applyFont="1" applyFill="1" applyBorder="1" applyAlignment="1" applyProtection="1">
      <alignment horizontal="left" vertical="center"/>
    </xf>
    <xf numFmtId="0" fontId="54" fillId="0" borderId="7" xfId="0" applyFont="1" applyFill="1" applyBorder="1" applyAlignment="1" applyProtection="1">
      <alignment horizontal="left" vertical="center"/>
    </xf>
    <xf numFmtId="0" fontId="54" fillId="0" borderId="8" xfId="0" applyFont="1" applyFill="1" applyBorder="1" applyAlignment="1" applyProtection="1">
      <alignment horizontal="left" vertical="center"/>
    </xf>
    <xf numFmtId="0" fontId="62" fillId="0" borderId="83" xfId="0" applyFont="1" applyFill="1" applyBorder="1" applyAlignment="1" applyProtection="1">
      <alignment horizontal="center" vertical="top" wrapText="1"/>
    </xf>
    <xf numFmtId="0" fontId="62" fillId="0" borderId="88" xfId="0" applyFont="1" applyFill="1" applyBorder="1" applyAlignment="1" applyProtection="1">
      <alignment horizontal="center" vertical="top" wrapText="1"/>
    </xf>
    <xf numFmtId="0" fontId="62" fillId="0" borderId="84"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8" xfId="0" applyFont="1" applyFill="1" applyBorder="1" applyAlignment="1" applyProtection="1">
      <alignment horizontal="center" vertical="top" wrapText="1"/>
    </xf>
    <xf numFmtId="0" fontId="62" fillId="0" borderId="9" xfId="0" applyFont="1" applyFill="1" applyBorder="1" applyAlignment="1" applyProtection="1">
      <alignment horizontal="center" vertical="top" wrapText="1"/>
    </xf>
    <xf numFmtId="0" fontId="62" fillId="0" borderId="13" xfId="0" applyFont="1" applyFill="1" applyBorder="1" applyAlignment="1" applyProtection="1">
      <alignment horizontal="center" vertical="top" wrapText="1"/>
    </xf>
    <xf numFmtId="0" fontId="62" fillId="0" borderId="14" xfId="0" applyFont="1" applyFill="1" applyBorder="1" applyAlignment="1" applyProtection="1">
      <alignment horizontal="center" vertical="top" wrapText="1"/>
    </xf>
    <xf numFmtId="0" fontId="62" fillId="0" borderId="4" xfId="0" applyFont="1" applyFill="1" applyBorder="1" applyAlignment="1" applyProtection="1">
      <alignment horizontal="center" vertical="top" wrapText="1"/>
    </xf>
    <xf numFmtId="0" fontId="54" fillId="0" borderId="6" xfId="0" applyFont="1" applyBorder="1" applyAlignment="1" applyProtection="1">
      <alignment vertical="top"/>
    </xf>
    <xf numFmtId="0" fontId="54" fillId="0" borderId="8" xfId="0" applyFont="1" applyBorder="1" applyAlignment="1" applyProtection="1">
      <alignment vertical="top"/>
    </xf>
    <xf numFmtId="0" fontId="54" fillId="0" borderId="7" xfId="0" applyFont="1" applyBorder="1" applyAlignment="1" applyProtection="1">
      <alignment vertical="top"/>
    </xf>
    <xf numFmtId="0" fontId="54" fillId="0" borderId="9" xfId="0" applyFont="1" applyBorder="1" applyAlignment="1" applyProtection="1">
      <alignment vertical="top"/>
    </xf>
    <xf numFmtId="0" fontId="54" fillId="0" borderId="14" xfId="0" applyFont="1" applyBorder="1" applyAlignment="1" applyProtection="1">
      <alignment vertical="top"/>
    </xf>
    <xf numFmtId="0" fontId="63" fillId="8" borderId="36"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7" xfId="0" applyFont="1" applyFill="1" applyBorder="1" applyAlignment="1" applyProtection="1">
      <alignment horizontal="center" vertical="center"/>
    </xf>
    <xf numFmtId="0" fontId="54" fillId="0" borderId="83" xfId="0" applyFont="1" applyFill="1" applyBorder="1" applyAlignment="1" applyProtection="1">
      <alignment horizontal="left" vertical="center"/>
    </xf>
    <xf numFmtId="0" fontId="54" fillId="0" borderId="88" xfId="0" applyFont="1" applyFill="1" applyBorder="1" applyAlignment="1" applyProtection="1">
      <alignment horizontal="left" vertical="center"/>
    </xf>
    <xf numFmtId="0" fontId="54" fillId="0" borderId="84" xfId="0" applyFont="1" applyFill="1" applyBorder="1" applyAlignment="1" applyProtection="1">
      <alignment horizontal="left" vertical="center"/>
    </xf>
    <xf numFmtId="0" fontId="54" fillId="0" borderId="88"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9" xfId="0" applyFont="1" applyFill="1" applyBorder="1" applyAlignment="1" applyProtection="1">
      <alignment horizontal="center" vertical="center"/>
    </xf>
    <xf numFmtId="0" fontId="54" fillId="0" borderId="14" xfId="0" applyFont="1" applyFill="1" applyBorder="1" applyAlignment="1" applyProtection="1">
      <alignment horizontal="center" vertical="center"/>
    </xf>
    <xf numFmtId="0" fontId="54" fillId="0" borderId="83"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62" fillId="0" borderId="83" xfId="0" applyFont="1" applyFill="1" applyBorder="1" applyAlignment="1" applyProtection="1">
      <alignment horizontal="left" vertical="top" wrapText="1"/>
    </xf>
    <xf numFmtId="0" fontId="62" fillId="0" borderId="88" xfId="0" applyFont="1" applyFill="1" applyBorder="1" applyAlignment="1" applyProtection="1">
      <alignment horizontal="left" vertical="top" wrapText="1"/>
    </xf>
    <xf numFmtId="0" fontId="62" fillId="0" borderId="7" xfId="0" applyFont="1" applyFill="1" applyBorder="1" applyAlignment="1" applyProtection="1">
      <alignment horizontal="left" vertical="top" wrapText="1"/>
    </xf>
    <xf numFmtId="0" fontId="62" fillId="0" borderId="0" xfId="0" applyFont="1" applyFill="1" applyBorder="1" applyAlignment="1" applyProtection="1">
      <alignment horizontal="left" vertical="top" wrapText="1"/>
    </xf>
    <xf numFmtId="0" fontId="62" fillId="0" borderId="9" xfId="0" applyFont="1" applyFill="1" applyBorder="1" applyAlignment="1" applyProtection="1">
      <alignment horizontal="left" vertical="top" wrapText="1"/>
    </xf>
    <xf numFmtId="0" fontId="62" fillId="0" borderId="13" xfId="0" applyFont="1" applyFill="1" applyBorder="1" applyAlignment="1" applyProtection="1">
      <alignment horizontal="left" vertical="top" wrapText="1"/>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49" fillId="0" borderId="0" xfId="0" applyFont="1" applyFill="1" applyAlignment="1" applyProtection="1">
      <alignment horizontal="left" vertical="center" wrapText="1"/>
    </xf>
    <xf numFmtId="0" fontId="101" fillId="12" borderId="0" xfId="0" applyFont="1" applyFill="1" applyAlignment="1" applyProtection="1">
      <alignment horizontal="center" vertical="center"/>
    </xf>
    <xf numFmtId="0" fontId="8" fillId="0" borderId="0" xfId="0" applyFont="1" applyFill="1" applyAlignment="1" applyProtection="1">
      <alignment horizontal="left"/>
    </xf>
    <xf numFmtId="0" fontId="54" fillId="0" borderId="4" xfId="0" applyFont="1" applyFill="1" applyBorder="1" applyAlignment="1" applyProtection="1">
      <alignment vertical="center"/>
    </xf>
    <xf numFmtId="0" fontId="54" fillId="0" borderId="5" xfId="0" applyFont="1" applyFill="1" applyBorder="1" applyAlignment="1" applyProtection="1">
      <alignment vertical="center"/>
    </xf>
    <xf numFmtId="166" fontId="54" fillId="0" borderId="7"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7"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 fontId="50" fillId="0" borderId="7" xfId="0" applyNumberFormat="1" applyFont="1" applyFill="1" applyBorder="1" applyAlignment="1" applyProtection="1">
      <alignment horizontal="center" vertical="center"/>
    </xf>
    <xf numFmtId="3" fontId="50" fillId="0" borderId="0" xfId="0" applyNumberFormat="1" applyFont="1" applyFill="1" applyBorder="1" applyAlignment="1" applyProtection="1">
      <alignment horizontal="center" vertical="center"/>
    </xf>
    <xf numFmtId="0" fontId="54" fillId="0" borderId="0" xfId="0" applyFont="1" applyFill="1" applyAlignment="1" applyProtection="1">
      <alignment horizontal="center" vertical="center" wrapText="1"/>
    </xf>
    <xf numFmtId="0" fontId="54" fillId="0" borderId="13" xfId="0" applyFont="1" applyFill="1" applyBorder="1" applyAlignment="1" applyProtection="1">
      <alignment horizontal="center" vertical="center" wrapText="1"/>
    </xf>
    <xf numFmtId="38" fontId="62" fillId="0" borderId="57" xfId="0" applyNumberFormat="1" applyFont="1" applyFill="1" applyBorder="1" applyAlignment="1" applyProtection="1">
      <alignment horizontal="center" vertical="center"/>
    </xf>
    <xf numFmtId="38" fontId="62" fillId="0" borderId="35" xfId="0" applyNumberFormat="1" applyFont="1" applyFill="1" applyBorder="1" applyAlignment="1" applyProtection="1">
      <alignment horizontal="center" vertical="center"/>
    </xf>
    <xf numFmtId="0" fontId="54" fillId="0" borderId="7" xfId="0" applyFont="1" applyFill="1" applyBorder="1" applyAlignment="1" applyProtection="1">
      <alignment horizontal="left" wrapText="1"/>
    </xf>
    <xf numFmtId="0" fontId="54" fillId="0" borderId="0" xfId="0" applyFont="1" applyFill="1" applyAlignment="1" applyProtection="1">
      <alignment horizontal="left" wrapText="1"/>
    </xf>
    <xf numFmtId="38" fontId="62" fillId="0" borderId="36" xfId="2" applyNumberFormat="1" applyFont="1" applyFill="1" applyBorder="1" applyAlignment="1" applyProtection="1">
      <alignment horizontal="right" vertical="center"/>
    </xf>
    <xf numFmtId="38" fontId="62" fillId="0" borderId="37" xfId="2"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0" fontId="54" fillId="0" borderId="6" xfId="0" applyFont="1" applyFill="1" applyBorder="1" applyAlignment="1" applyProtection="1">
      <alignment vertical="center"/>
    </xf>
    <xf numFmtId="0" fontId="54" fillId="0" borderId="8" xfId="0" applyFont="1" applyFill="1" applyBorder="1" applyAlignment="1" applyProtection="1">
      <alignment vertical="center"/>
    </xf>
    <xf numFmtId="38" fontId="62" fillId="0" borderId="36" xfId="2" applyNumberFormat="1" applyFont="1" applyFill="1" applyBorder="1" applyAlignment="1" applyProtection="1">
      <alignment horizontal="center" vertical="center"/>
    </xf>
    <xf numFmtId="38" fontId="62" fillId="0" borderId="37" xfId="2" applyNumberFormat="1" applyFont="1" applyFill="1" applyBorder="1" applyAlignment="1" applyProtection="1">
      <alignment horizontal="center" vertical="center"/>
    </xf>
    <xf numFmtId="38" fontId="62" fillId="0" borderId="9" xfId="2" applyNumberFormat="1" applyFont="1" applyFill="1" applyBorder="1" applyAlignment="1" applyProtection="1">
      <alignment horizontal="center" vertical="center"/>
    </xf>
    <xf numFmtId="38" fontId="62" fillId="0" borderId="14" xfId="2" applyNumberFormat="1" applyFont="1" applyFill="1" applyBorder="1" applyAlignment="1" applyProtection="1">
      <alignment horizontal="center" vertical="center"/>
    </xf>
    <xf numFmtId="0" fontId="54" fillId="0" borderId="85" xfId="0" applyFont="1" applyFill="1" applyBorder="1" applyAlignment="1" applyProtection="1">
      <alignment horizontal="center" vertical="center"/>
    </xf>
    <xf numFmtId="38" fontId="54"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4" fillId="0" borderId="0" xfId="1" applyNumberFormat="1" applyFont="1" applyFill="1" applyBorder="1" applyAlignment="1" applyProtection="1">
      <alignment horizontal="center" vertical="center"/>
    </xf>
    <xf numFmtId="164" fontId="62" fillId="0" borderId="63" xfId="1" applyNumberFormat="1" applyFont="1" applyFill="1" applyBorder="1" applyAlignment="1" applyProtection="1">
      <alignment horizontal="center" vertical="center" wrapText="1"/>
    </xf>
    <xf numFmtId="164" fontId="62" fillId="0" borderId="64" xfId="1" applyNumberFormat="1" applyFont="1" applyFill="1" applyBorder="1" applyAlignment="1" applyProtection="1">
      <alignment horizontal="center" vertical="center" wrapText="1"/>
    </xf>
    <xf numFmtId="164" fontId="62" fillId="0" borderId="46"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54" fillId="0" borderId="61" xfId="1" applyNumberFormat="1" applyFont="1" applyFill="1" applyBorder="1" applyAlignment="1" applyProtection="1">
      <alignment horizontal="right" vertical="center"/>
    </xf>
    <xf numFmtId="164" fontId="54" fillId="0" borderId="62" xfId="1" applyNumberFormat="1" applyFont="1" applyFill="1" applyBorder="1" applyAlignment="1" applyProtection="1">
      <alignment horizontal="right" vertical="center"/>
    </xf>
    <xf numFmtId="0" fontId="62" fillId="0" borderId="63" xfId="0"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46"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85"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50" fillId="0" borderId="91" xfId="0"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38" fontId="54" fillId="0" borderId="4" xfId="0" applyNumberFormat="1" applyFont="1" applyFill="1" applyBorder="1" applyAlignment="1" applyProtection="1">
      <alignment horizontal="center" vertical="center"/>
    </xf>
    <xf numFmtId="38" fontId="54" fillId="0" borderId="6" xfId="0" applyNumberFormat="1"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10" fontId="62" fillId="0" borderId="36"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69"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0" fontId="74" fillId="0" borderId="63" xfId="0" applyFont="1" applyFill="1" applyBorder="1" applyAlignment="1" applyProtection="1">
      <alignment horizontal="justify" vertical="top" wrapText="1"/>
    </xf>
    <xf numFmtId="0" fontId="74" fillId="0" borderId="73" xfId="0" applyFont="1" applyFill="1" applyBorder="1" applyAlignment="1" applyProtection="1">
      <alignment horizontal="justify" vertical="top" wrapText="1"/>
    </xf>
    <xf numFmtId="0" fontId="74" fillId="0" borderId="64" xfId="0" applyFont="1" applyFill="1" applyBorder="1" applyAlignment="1" applyProtection="1">
      <alignment horizontal="justify" vertical="top" wrapText="1"/>
    </xf>
    <xf numFmtId="0" fontId="74" fillId="0" borderId="45"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8" xfId="0" applyFont="1" applyFill="1" applyBorder="1" applyAlignment="1" applyProtection="1">
      <alignment horizontal="justify" vertical="top" wrapText="1"/>
    </xf>
    <xf numFmtId="0" fontId="74" fillId="0" borderId="63" xfId="0" applyFont="1" applyFill="1" applyBorder="1" applyAlignment="1" applyProtection="1">
      <alignment horizontal="center" vertical="center" wrapText="1"/>
    </xf>
    <xf numFmtId="0" fontId="74" fillId="0" borderId="64" xfId="0" applyFont="1" applyFill="1" applyBorder="1" applyAlignment="1" applyProtection="1">
      <alignment horizontal="center" vertical="center" wrapText="1"/>
    </xf>
    <xf numFmtId="0" fontId="74" fillId="0" borderId="45" xfId="0" applyFont="1" applyFill="1" applyBorder="1" applyAlignment="1" applyProtection="1">
      <alignment horizontal="center" vertical="center" wrapText="1"/>
    </xf>
    <xf numFmtId="0" fontId="74" fillId="0" borderId="48"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3" fontId="54" fillId="0" borderId="81" xfId="1" applyNumberFormat="1" applyFont="1" applyFill="1" applyBorder="1" applyAlignment="1" applyProtection="1">
      <alignment horizontal="center" vertical="center"/>
    </xf>
    <xf numFmtId="3" fontId="54" fillId="0" borderId="85" xfId="1" applyNumberFormat="1"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50" fillId="0" borderId="90" xfId="0"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168" fontId="54" fillId="0" borderId="74"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64" fontId="62" fillId="0" borderId="57" xfId="1" applyNumberFormat="1" applyFont="1" applyFill="1" applyBorder="1" applyAlignment="1" applyProtection="1">
      <alignment horizontal="center" vertical="center"/>
    </xf>
    <xf numFmtId="164" fontId="62" fillId="0" borderId="35" xfId="1" applyNumberFormat="1" applyFont="1" applyFill="1" applyBorder="1" applyAlignment="1" applyProtection="1">
      <alignment horizontal="center" vertical="center"/>
    </xf>
    <xf numFmtId="4" fontId="54" fillId="0" borderId="85" xfId="1" applyNumberFormat="1" applyFont="1" applyFill="1" applyBorder="1" applyAlignment="1" applyProtection="1">
      <alignment vertical="center"/>
    </xf>
    <xf numFmtId="164" fontId="54" fillId="0" borderId="68" xfId="1" applyNumberFormat="1" applyFont="1" applyFill="1" applyBorder="1" applyAlignment="1" applyProtection="1">
      <alignment horizontal="right" vertical="center"/>
    </xf>
    <xf numFmtId="171" fontId="71" fillId="0" borderId="88" xfId="0" applyNumberFormat="1" applyFont="1" applyFill="1" applyBorder="1" applyAlignment="1" applyProtection="1">
      <alignment horizontal="left" vertical="center"/>
    </xf>
    <xf numFmtId="0" fontId="71" fillId="0" borderId="13" xfId="0" applyFont="1" applyFill="1" applyBorder="1" applyAlignment="1" applyProtection="1">
      <alignment horizontal="left" vertical="center"/>
    </xf>
    <xf numFmtId="4" fontId="71" fillId="0" borderId="88" xfId="1" applyNumberFormat="1" applyFont="1" applyFill="1" applyBorder="1" applyAlignment="1" applyProtection="1">
      <alignment horizontal="right" vertical="center"/>
    </xf>
    <xf numFmtId="0" fontId="100" fillId="14" borderId="0" xfId="0" applyFont="1" applyFill="1" applyAlignment="1" applyProtection="1">
      <alignment horizontal="center" vertical="center"/>
    </xf>
    <xf numFmtId="0" fontId="63" fillId="8" borderId="7"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0" fontId="62" fillId="0" borderId="57" xfId="0" applyFont="1" applyFill="1" applyBorder="1" applyAlignment="1" applyProtection="1">
      <alignment horizontal="center" vertical="center"/>
    </xf>
    <xf numFmtId="0" fontId="62" fillId="0" borderId="35" xfId="0" applyFont="1" applyFill="1" applyBorder="1" applyAlignment="1" applyProtection="1">
      <alignment horizontal="center" vertical="center"/>
    </xf>
    <xf numFmtId="4" fontId="71" fillId="0" borderId="13" xfId="1" applyNumberFormat="1" applyFont="1" applyFill="1" applyBorder="1" applyAlignment="1" applyProtection="1">
      <alignment horizontal="right" vertical="center"/>
    </xf>
    <xf numFmtId="0" fontId="62" fillId="0" borderId="83" xfId="0" applyFont="1" applyFill="1" applyBorder="1" applyAlignment="1" applyProtection="1">
      <alignment horizontal="center" vertical="center" wrapText="1"/>
    </xf>
    <xf numFmtId="0" fontId="62" fillId="0" borderId="9" xfId="0" applyFont="1" applyFill="1" applyBorder="1" applyAlignment="1" applyProtection="1">
      <alignment horizontal="center" vertical="center" wrapText="1"/>
    </xf>
    <xf numFmtId="4" fontId="71" fillId="0" borderId="9"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8" xfId="1" applyNumberFormat="1" applyFont="1" applyFill="1" applyBorder="1" applyAlignment="1" applyProtection="1">
      <alignment horizontal="center" vertical="center"/>
    </xf>
    <xf numFmtId="4" fontId="54" fillId="0" borderId="82" xfId="1" applyNumberFormat="1" applyFont="1" applyFill="1" applyBorder="1" applyAlignment="1" applyProtection="1">
      <alignment vertical="center"/>
    </xf>
    <xf numFmtId="0" fontId="71" fillId="0" borderId="88" xfId="0" applyFont="1" applyFill="1" applyBorder="1" applyAlignment="1" applyProtection="1">
      <alignment horizontal="left" vertical="center"/>
    </xf>
    <xf numFmtId="0" fontId="71" fillId="0" borderId="84" xfId="0" applyFont="1" applyFill="1" applyBorder="1" applyAlignment="1" applyProtection="1">
      <alignment horizontal="left" vertical="center"/>
    </xf>
    <xf numFmtId="0" fontId="62" fillId="0" borderId="0" xfId="0" applyFont="1" applyFill="1" applyAlignment="1" applyProtection="1">
      <alignment horizontal="left"/>
    </xf>
    <xf numFmtId="0" fontId="54" fillId="0" borderId="62"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31" fillId="0" borderId="0" xfId="0" applyFont="1" applyFill="1" applyAlignment="1" applyProtection="1">
      <alignment horizontal="left"/>
    </xf>
    <xf numFmtId="0" fontId="96" fillId="15" borderId="0" xfId="0" applyFont="1" applyFill="1" applyAlignment="1" applyProtection="1">
      <alignment horizontal="center" vertical="center"/>
    </xf>
    <xf numFmtId="0" fontId="14" fillId="0" borderId="0" xfId="0" applyFont="1" applyFill="1" applyAlignment="1" applyProtection="1">
      <alignment horizontal="left"/>
    </xf>
    <xf numFmtId="0" fontId="107" fillId="0" borderId="0" xfId="0" applyFont="1" applyFill="1" applyAlignment="1" applyProtection="1">
      <alignment horizontal="center" wrapText="1"/>
    </xf>
    <xf numFmtId="0" fontId="111"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36" fillId="0" borderId="0" xfId="0" applyFont="1" applyFill="1" applyAlignment="1" applyProtection="1">
      <alignment horizontal="center" textRotation="90"/>
    </xf>
    <xf numFmtId="3" fontId="114" fillId="0" borderId="0" xfId="0" applyNumberFormat="1" applyFont="1" applyFill="1" applyBorder="1" applyAlignment="1" applyProtection="1">
      <alignment horizontal="left"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7" fillId="0" borderId="0" xfId="0" applyFont="1" applyFill="1" applyAlignment="1" applyProtection="1">
      <alignment horizontal="left"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90" fillId="0" borderId="0" xfId="0" applyFont="1" applyFill="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2" fillId="0" borderId="0" xfId="0" applyFont="1" applyFill="1" applyAlignment="1" applyProtection="1">
      <alignment horizontal="left" vertical="center" wrapText="1"/>
    </xf>
    <xf numFmtId="0" fontId="12" fillId="0" borderId="0" xfId="0" applyFont="1" applyAlignment="1" applyProtection="1">
      <alignment horizontal="left" vertical="center" wrapText="1"/>
    </xf>
    <xf numFmtId="0" fontId="96"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23" fillId="0" borderId="0" xfId="0" applyFont="1" applyFill="1" applyAlignment="1" applyProtection="1">
      <alignment horizontal="left" vertical="center"/>
    </xf>
    <xf numFmtId="0" fontId="51" fillId="13" borderId="30" xfId="0" applyFont="1" applyFill="1" applyBorder="1" applyAlignment="1" applyProtection="1">
      <alignment horizontal="justify" vertical="top" wrapText="1"/>
    </xf>
    <xf numFmtId="0" fontId="51" fillId="13" borderId="21" xfId="0" applyFont="1" applyFill="1" applyBorder="1" applyAlignment="1" applyProtection="1">
      <alignment horizontal="justify" vertical="top" wrapText="1"/>
    </xf>
    <xf numFmtId="0" fontId="51" fillId="13" borderId="31" xfId="0" applyFont="1" applyFill="1" applyBorder="1" applyAlignment="1" applyProtection="1">
      <alignment horizontal="justify" vertical="top" wrapText="1"/>
    </xf>
    <xf numFmtId="0" fontId="115" fillId="13" borderId="36" xfId="0" applyFont="1" applyFill="1" applyBorder="1" applyAlignment="1" applyProtection="1">
      <alignment horizontal="center" vertical="center"/>
    </xf>
    <xf numFmtId="0" fontId="115" fillId="13" borderId="37" xfId="0" applyFont="1" applyFill="1" applyBorder="1" applyAlignment="1" applyProtection="1">
      <alignment horizontal="center" vertical="center"/>
    </xf>
    <xf numFmtId="0" fontId="51" fillId="13" borderId="28" xfId="0" applyFont="1" applyFill="1" applyBorder="1" applyAlignment="1" applyProtection="1">
      <alignment horizontal="justify" vertical="top" wrapText="1"/>
    </xf>
    <xf numFmtId="0" fontId="51" fillId="13" borderId="58" xfId="0" applyFont="1" applyFill="1" applyBorder="1" applyAlignment="1" applyProtection="1">
      <alignment horizontal="justify" vertical="top" wrapText="1"/>
    </xf>
    <xf numFmtId="0" fontId="51" fillId="13" borderId="29"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 fillId="0" borderId="19"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0" fillId="0" borderId="81" xfId="0" applyNumberFormat="1" applyFont="1" applyFill="1" applyBorder="1" applyAlignment="1" applyProtection="1">
      <alignment horizontal="center" vertical="top" wrapText="1"/>
    </xf>
    <xf numFmtId="3" fontId="10" fillId="0" borderId="82" xfId="0" applyNumberFormat="1" applyFont="1" applyFill="1" applyBorder="1" applyAlignment="1" applyProtection="1">
      <alignment horizontal="center" vertical="top" wrapText="1"/>
    </xf>
    <xf numFmtId="0" fontId="14" fillId="0" borderId="42" xfId="0" applyFont="1" applyFill="1" applyBorder="1" applyAlignment="1" applyProtection="1">
      <alignment horizontal="center"/>
    </xf>
    <xf numFmtId="0" fontId="14" fillId="0" borderId="20" xfId="0" applyFont="1" applyFill="1" applyBorder="1" applyAlignment="1" applyProtection="1">
      <alignment horizontal="center"/>
    </xf>
    <xf numFmtId="0" fontId="14" fillId="0" borderId="60" xfId="0" applyFont="1" applyFill="1" applyBorder="1" applyAlignment="1" applyProtection="1">
      <alignment horizontal="center"/>
    </xf>
    <xf numFmtId="0" fontId="138" fillId="0" borderId="0" xfId="0" applyFont="1" applyFill="1" applyBorder="1" applyAlignment="1" applyProtection="1">
      <alignment horizontal="center" vertical="center" wrapText="1"/>
    </xf>
    <xf numFmtId="0" fontId="114" fillId="0" borderId="0" xfId="0" applyFont="1" applyFill="1" applyAlignment="1" applyProtection="1">
      <alignment horizontal="center"/>
    </xf>
    <xf numFmtId="0" fontId="10" fillId="13" borderId="6" xfId="0" applyFont="1" applyFill="1" applyBorder="1" applyAlignment="1" applyProtection="1">
      <alignment horizontal="center" vertical="center"/>
    </xf>
    <xf numFmtId="0" fontId="49"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6" xfId="0" applyFont="1" applyFill="1" applyBorder="1" applyAlignment="1" applyProtection="1">
      <alignment horizontal="left" vertical="center"/>
    </xf>
    <xf numFmtId="0" fontId="14" fillId="13" borderId="37" xfId="0" applyFont="1" applyFill="1" applyBorder="1" applyAlignment="1" applyProtection="1">
      <alignment horizontal="left" vertical="center"/>
    </xf>
    <xf numFmtId="0" fontId="4" fillId="13" borderId="33" xfId="0" applyFont="1" applyFill="1" applyBorder="1" applyAlignment="1" applyProtection="1">
      <alignment horizontal="left" vertical="top" wrapText="1"/>
    </xf>
    <xf numFmtId="0" fontId="4" fillId="13" borderId="59"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51" fillId="13" borderId="33" xfId="0" applyFont="1" applyFill="1" applyBorder="1" applyAlignment="1" applyProtection="1">
      <alignment horizontal="justify" vertical="top" wrapText="1"/>
    </xf>
    <xf numFmtId="0" fontId="51" fillId="13" borderId="59" xfId="0" applyFont="1" applyFill="1" applyBorder="1" applyAlignment="1" applyProtection="1">
      <alignment horizontal="justify" vertical="top" wrapText="1"/>
    </xf>
    <xf numFmtId="0" fontId="51" fillId="13" borderId="34"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7" fillId="0" borderId="0" xfId="0" applyFont="1" applyFill="1" applyAlignment="1" applyProtection="1">
      <alignment horizontal="left" vertical="top"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175" fontId="14" fillId="13" borderId="36" xfId="0" applyNumberFormat="1" applyFont="1" applyFill="1" applyBorder="1" applyAlignment="1" applyProtection="1">
      <alignment horizontal="left" vertical="center"/>
    </xf>
    <xf numFmtId="175" fontId="14" fillId="13" borderId="37" xfId="0" applyNumberFormat="1" applyFont="1" applyFill="1" applyBorder="1" applyAlignment="1" applyProtection="1">
      <alignment horizontal="left" vertical="center"/>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0" borderId="0" xfId="0" applyFont="1" applyFill="1" applyBorder="1" applyAlignment="1" applyProtection="1">
      <alignment horizontal="left" vertical="top" wrapText="1"/>
    </xf>
    <xf numFmtId="0" fontId="117" fillId="0" borderId="0" xfId="0" applyFont="1" applyFill="1" applyAlignment="1" applyProtection="1">
      <alignment horizontal="justify"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51" fillId="0" borderId="88" xfId="0" applyFont="1" applyFill="1" applyBorder="1" applyAlignment="1" applyProtection="1">
      <alignment horizontal="center" vertical="center" wrapText="1"/>
    </xf>
    <xf numFmtId="0" fontId="51" fillId="0" borderId="0" xfId="0" applyFont="1" applyFill="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0" borderId="33"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28" xfId="0" applyFont="1" applyFill="1" applyBorder="1" applyAlignment="1" applyProtection="1">
      <alignment horizontal="center"/>
    </xf>
    <xf numFmtId="0" fontId="4" fillId="0" borderId="58" xfId="0" applyFont="1" applyFill="1" applyBorder="1" applyAlignment="1" applyProtection="1">
      <alignment horizontal="center"/>
    </xf>
    <xf numFmtId="0" fontId="4" fillId="0" borderId="89" xfId="0" applyFont="1" applyFill="1" applyBorder="1" applyAlignment="1" applyProtection="1">
      <alignment horizontal="center" vertical="center"/>
    </xf>
    <xf numFmtId="0" fontId="4" fillId="0" borderId="30" xfId="0" applyFont="1" applyFill="1" applyBorder="1" applyAlignment="1" applyProtection="1">
      <alignment horizontal="center"/>
    </xf>
    <xf numFmtId="0" fontId="4" fillId="0" borderId="21" xfId="0" applyFont="1" applyFill="1" applyBorder="1" applyAlignment="1" applyProtection="1">
      <alignment horizontal="center"/>
    </xf>
    <xf numFmtId="0" fontId="10" fillId="0" borderId="99" xfId="0" applyFont="1" applyFill="1" applyBorder="1" applyAlignment="1" applyProtection="1">
      <alignment horizontal="center"/>
    </xf>
    <xf numFmtId="0" fontId="10" fillId="0" borderId="79" xfId="0" applyFont="1" applyFill="1" applyBorder="1" applyAlignment="1" applyProtection="1">
      <alignment horizontal="center"/>
    </xf>
    <xf numFmtId="0" fontId="4" fillId="0" borderId="33" xfId="0" applyFont="1" applyFill="1" applyBorder="1" applyAlignment="1" applyProtection="1">
      <alignment horizontal="center"/>
    </xf>
    <xf numFmtId="0" fontId="4" fillId="0" borderId="59" xfId="0" applyFont="1" applyFill="1" applyBorder="1" applyAlignment="1" applyProtection="1">
      <alignment horizontal="center"/>
    </xf>
    <xf numFmtId="0" fontId="4" fillId="0" borderId="19" xfId="0" applyFont="1" applyFill="1" applyBorder="1" applyAlignment="1" applyProtection="1">
      <alignment horizontal="justify" wrapText="1"/>
    </xf>
    <xf numFmtId="0" fontId="4" fillId="0" borderId="0" xfId="0" applyFont="1" applyFill="1" applyAlignment="1" applyProtection="1">
      <alignment vertical="center" wrapText="1"/>
    </xf>
    <xf numFmtId="0" fontId="0" fillId="0" borderId="0" xfId="0" applyAlignment="1" applyProtection="1">
      <alignment vertical="center" wrapText="1"/>
    </xf>
    <xf numFmtId="0" fontId="8" fillId="13" borderId="16" xfId="0" applyFont="1" applyFill="1" applyBorder="1" applyAlignment="1" applyProtection="1">
      <alignment horizontal="center" vertical="top"/>
    </xf>
    <xf numFmtId="0" fontId="8" fillId="13" borderId="18" xfId="0" applyFont="1" applyFill="1" applyBorder="1" applyAlignment="1" applyProtection="1">
      <alignment horizontal="center" vertical="top"/>
    </xf>
    <xf numFmtId="0" fontId="106" fillId="0" borderId="89" xfId="0" applyFont="1" applyFill="1" applyBorder="1" applyAlignment="1" applyProtection="1">
      <alignment horizontal="center" vertical="center" wrapText="1"/>
    </xf>
    <xf numFmtId="0" fontId="4" fillId="0" borderId="0" xfId="0" applyFont="1" applyFill="1" applyBorder="1" applyAlignment="1" applyProtection="1">
      <alignment horizontal="left"/>
    </xf>
    <xf numFmtId="0" fontId="4" fillId="0" borderId="0" xfId="0" applyFont="1" applyFill="1" applyAlignment="1" applyProtection="1">
      <alignment horizontal="center" vertical="center"/>
    </xf>
    <xf numFmtId="0" fontId="4" fillId="0" borderId="29" xfId="0" applyFont="1" applyFill="1" applyBorder="1" applyAlignment="1" applyProtection="1">
      <alignment horizontal="center"/>
    </xf>
    <xf numFmtId="0" fontId="4" fillId="0" borderId="31" xfId="0" applyFont="1" applyFill="1" applyBorder="1" applyAlignment="1" applyProtection="1">
      <alignment horizontal="center"/>
    </xf>
    <xf numFmtId="0" fontId="4" fillId="0" borderId="34" xfId="0" applyFont="1" applyFill="1" applyBorder="1" applyAlignment="1" applyProtection="1">
      <alignment horizontal="center"/>
    </xf>
    <xf numFmtId="0" fontId="4" fillId="0" borderId="87"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10" fillId="0" borderId="44" xfId="0" applyFont="1" applyFill="1" applyBorder="1" applyAlignment="1" applyProtection="1">
      <alignment horizontal="center"/>
    </xf>
    <xf numFmtId="0" fontId="10" fillId="0" borderId="39" xfId="0" applyFont="1" applyFill="1" applyBorder="1" applyAlignment="1" applyProtection="1">
      <alignment horizontal="center"/>
    </xf>
    <xf numFmtId="0" fontId="51" fillId="13" borderId="51" xfId="0" applyFont="1" applyFill="1" applyBorder="1" applyAlignment="1" applyProtection="1">
      <alignment horizontal="left" vertical="top" wrapText="1"/>
    </xf>
    <xf numFmtId="0" fontId="51" fillId="13" borderId="38" xfId="0" applyFont="1" applyFill="1" applyBorder="1" applyAlignment="1" applyProtection="1">
      <alignment horizontal="left" vertical="top" wrapText="1"/>
    </xf>
    <xf numFmtId="0" fontId="51"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1" fillId="13" borderId="52" xfId="0" applyFont="1" applyFill="1" applyBorder="1" applyAlignment="1" applyProtection="1">
      <alignment horizontal="left" vertical="top" wrapText="1"/>
    </xf>
    <xf numFmtId="0" fontId="51" fillId="13" borderId="53" xfId="0" applyFont="1" applyFill="1" applyBorder="1" applyAlignment="1" applyProtection="1">
      <alignment horizontal="left" vertical="top" wrapText="1"/>
    </xf>
    <xf numFmtId="0" fontId="51"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0" fontId="51" fillId="13" borderId="49" xfId="0" applyFont="1" applyFill="1" applyBorder="1" applyAlignment="1" applyProtection="1">
      <alignment horizontal="left" vertical="top" wrapText="1"/>
    </xf>
    <xf numFmtId="0" fontId="51" fillId="13" borderId="50"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0" fontId="10" fillId="0" borderId="0" xfId="0" applyFont="1" applyFill="1" applyAlignment="1" applyProtection="1">
      <alignment horizontal="left" vertical="top" wrapText="1"/>
    </xf>
    <xf numFmtId="0" fontId="51"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4" fillId="0" borderId="0" xfId="0" applyFont="1" applyBorder="1" applyAlignment="1" applyProtection="1">
      <alignment horizontal="left" vertical="top" wrapText="1"/>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58" fillId="0" borderId="5" xfId="0" applyFont="1" applyBorder="1" applyAlignment="1" applyProtection="1">
      <alignment horizontal="center" wrapText="1"/>
    </xf>
    <xf numFmtId="0" fontId="58" fillId="0" borderId="0" xfId="0" applyFont="1" applyAlignment="1" applyProtection="1">
      <alignment horizontal="center" wrapText="1"/>
    </xf>
    <xf numFmtId="0" fontId="4" fillId="0" borderId="0" xfId="0" applyFont="1" applyBorder="1" applyAlignment="1" applyProtection="1">
      <alignment horizontal="justify" vertical="top" wrapText="1"/>
    </xf>
    <xf numFmtId="49" fontId="87" fillId="0" borderId="0" xfId="0" applyNumberFormat="1" applyFont="1" applyBorder="1" applyAlignment="1" applyProtection="1">
      <alignment horizontal="left"/>
    </xf>
    <xf numFmtId="0" fontId="87" fillId="0" borderId="0" xfId="0" applyFont="1" applyBorder="1" applyAlignment="1" applyProtection="1">
      <alignment horizontal="left"/>
    </xf>
    <xf numFmtId="0" fontId="4" fillId="0" borderId="0" xfId="0" applyFont="1" applyAlignment="1" applyProtection="1">
      <alignment horizontal="left" vertical="top" wrapText="1"/>
    </xf>
    <xf numFmtId="0" fontId="7" fillId="0" borderId="0" xfId="0" applyFont="1" applyFill="1" applyBorder="1" applyAlignment="1" applyProtection="1">
      <alignment horizontal="left" vertical="center" wrapText="1"/>
    </xf>
    <xf numFmtId="174" fontId="87" fillId="0" borderId="81" xfId="0" applyNumberFormat="1" applyFont="1" applyFill="1" applyBorder="1" applyAlignment="1" applyProtection="1">
      <alignment horizontal="center" vertical="center"/>
    </xf>
    <xf numFmtId="174" fontId="87" fillId="0" borderId="82" xfId="0" applyNumberFormat="1" applyFont="1" applyFill="1" applyBorder="1" applyAlignment="1" applyProtection="1">
      <alignment horizontal="center" vertical="center"/>
    </xf>
    <xf numFmtId="0" fontId="4" fillId="0" borderId="19" xfId="0" applyFont="1" applyFill="1" applyBorder="1" applyAlignment="1" applyProtection="1">
      <alignment horizontal="justify" vertical="top" wrapText="1"/>
    </xf>
    <xf numFmtId="0" fontId="16" fillId="0" borderId="0" xfId="0" applyFont="1" applyAlignment="1" applyProtection="1">
      <alignment horizontal="center"/>
    </xf>
    <xf numFmtId="174" fontId="87" fillId="0" borderId="36" xfId="0" applyNumberFormat="1" applyFont="1" applyFill="1" applyBorder="1" applyAlignment="1" applyProtection="1">
      <alignment horizontal="center" vertical="center"/>
    </xf>
    <xf numFmtId="174" fontId="87" fillId="0" borderId="37" xfId="0" applyNumberFormat="1" applyFont="1" applyFill="1" applyBorder="1" applyAlignment="1" applyProtection="1">
      <alignment horizontal="center" vertical="center"/>
    </xf>
    <xf numFmtId="0" fontId="4" fillId="0" borderId="0" xfId="0" applyFont="1" applyFill="1" applyBorder="1" applyAlignment="1" applyProtection="1">
      <alignment horizontal="justify" wrapText="1"/>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38" fontId="17" fillId="0" borderId="81" xfId="0" applyNumberFormat="1" applyFont="1" applyFill="1" applyBorder="1" applyAlignment="1" applyProtection="1">
      <alignment horizont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left" wrapText="1"/>
    </xf>
    <xf numFmtId="0" fontId="10" fillId="0" borderId="44" xfId="0" applyFont="1" applyFill="1" applyBorder="1" applyAlignment="1" applyProtection="1">
      <alignment horizontal="center" vertical="center"/>
    </xf>
    <xf numFmtId="0" fontId="10" fillId="0" borderId="39" xfId="0" applyFont="1" applyFill="1" applyBorder="1" applyAlignment="1" applyProtection="1">
      <alignment horizontal="center" vertical="center"/>
    </xf>
    <xf numFmtId="0" fontId="147" fillId="0" borderId="0" xfId="0" applyFont="1" applyFill="1" applyBorder="1" applyAlignment="1" applyProtection="1">
      <alignment horizontal="left" wrapText="1"/>
    </xf>
    <xf numFmtId="0" fontId="147" fillId="0" borderId="41" xfId="0" applyFont="1" applyFill="1" applyBorder="1" applyAlignment="1" applyProtection="1">
      <alignment horizontal="left" wrapText="1"/>
    </xf>
    <xf numFmtId="0" fontId="4" fillId="0" borderId="0" xfId="0" applyFont="1" applyFill="1" applyAlignment="1" applyProtection="1">
      <alignment horizontal="center" vertical="center" wrapText="1"/>
    </xf>
    <xf numFmtId="0" fontId="49" fillId="0" borderId="0" xfId="0" applyFont="1" applyFill="1" applyBorder="1" applyAlignment="1" applyProtection="1">
      <alignment horizontal="center" vertical="center" wrapText="1"/>
    </xf>
    <xf numFmtId="9" fontId="51" fillId="0" borderId="3" xfId="10" applyFont="1" applyBorder="1" applyAlignment="1" applyProtection="1">
      <alignment horizontal="center" vertical="center"/>
    </xf>
    <xf numFmtId="0" fontId="53" fillId="0" borderId="3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3" fontId="51" fillId="0" borderId="36" xfId="1" applyNumberFormat="1" applyFont="1" applyFill="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0" fontId="123" fillId="0" borderId="0" xfId="0" applyFont="1" applyBorder="1" applyAlignment="1" applyProtection="1">
      <alignment horizontal="justify" vertical="top" wrapText="1"/>
    </xf>
    <xf numFmtId="0" fontId="108"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top" wrapText="1"/>
    </xf>
    <xf numFmtId="0" fontId="108" fillId="0" borderId="0" xfId="0" applyFont="1" applyFill="1" applyBorder="1" applyAlignment="1" applyProtection="1">
      <alignment vertical="top" wrapText="1"/>
    </xf>
    <xf numFmtId="0" fontId="107" fillId="0" borderId="0" xfId="0" applyFont="1" applyFill="1" applyBorder="1" applyAlignment="1" applyProtection="1">
      <alignment vertical="top" wrapText="1"/>
    </xf>
    <xf numFmtId="0" fontId="122" fillId="0" borderId="0" xfId="0" applyFont="1" applyFill="1" applyBorder="1" applyAlignment="1" applyProtection="1">
      <alignment horizontal="left" vertical="top" wrapText="1"/>
    </xf>
    <xf numFmtId="0" fontId="122"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justify" vertical="top" wrapText="1"/>
    </xf>
    <xf numFmtId="0" fontId="110" fillId="0" borderId="0" xfId="0" applyFont="1" applyFill="1" applyBorder="1" applyAlignment="1" applyProtection="1">
      <alignment horizontal="justify" vertical="top" wrapText="1"/>
    </xf>
    <xf numFmtId="0" fontId="97" fillId="0" borderId="0" xfId="0" applyFont="1" applyFill="1" applyBorder="1" applyAlignment="1" applyProtection="1">
      <alignment horizontal="center" vertical="center"/>
    </xf>
    <xf numFmtId="0" fontId="108"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xf>
    <xf numFmtId="0" fontId="122" fillId="0" borderId="0" xfId="0" applyFont="1" applyFill="1" applyBorder="1" applyAlignment="1" applyProtection="1">
      <alignment horizontal="center" vertical="top"/>
    </xf>
    <xf numFmtId="0" fontId="122" fillId="0" borderId="0" xfId="0" applyFont="1" applyFill="1" applyBorder="1" applyAlignment="1" applyProtection="1">
      <alignment horizontal="left" vertical="center"/>
    </xf>
    <xf numFmtId="0" fontId="110" fillId="0" borderId="0" xfId="0" applyFont="1" applyFill="1" applyBorder="1" applyAlignment="1" applyProtection="1">
      <alignment horizontal="center"/>
    </xf>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center" vertical="center"/>
    </xf>
    <xf numFmtId="0" fontId="111"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176" fontId="107" fillId="0" borderId="0" xfId="0" applyNumberFormat="1" applyFont="1" applyFill="1" applyBorder="1" applyAlignment="1" applyProtection="1">
      <alignment horizontal="center"/>
    </xf>
    <xf numFmtId="0" fontId="122"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center" wrapText="1"/>
    </xf>
    <xf numFmtId="3" fontId="97" fillId="0" borderId="0" xfId="0" applyNumberFormat="1" applyFont="1" applyFill="1" applyBorder="1" applyAlignment="1" applyProtection="1">
      <alignment horizontal="center" vertical="top" wrapText="1"/>
    </xf>
    <xf numFmtId="0" fontId="96" fillId="0" borderId="0" xfId="0" applyFont="1" applyFill="1" applyBorder="1" applyAlignment="1" applyProtection="1">
      <alignment horizontal="center" vertical="center"/>
    </xf>
    <xf numFmtId="0" fontId="168"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69" fillId="0" borderId="0" xfId="0" applyFont="1" applyFill="1" applyBorder="1" applyAlignment="1" applyProtection="1">
      <alignment horizontal="left" vertical="center"/>
    </xf>
    <xf numFmtId="0" fontId="170" fillId="0" borderId="0" xfId="0" applyFont="1" applyFill="1" applyBorder="1" applyAlignment="1" applyProtection="1">
      <alignment horizontal="center" vertical="center"/>
    </xf>
    <xf numFmtId="0" fontId="108"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justify" vertical="top" wrapText="1"/>
    </xf>
    <xf numFmtId="175" fontId="122" fillId="0" borderId="0" xfId="0" applyNumberFormat="1" applyFont="1" applyFill="1" applyBorder="1" applyAlignment="1" applyProtection="1">
      <alignment horizontal="left" vertical="center"/>
    </xf>
    <xf numFmtId="10" fontId="122" fillId="0" borderId="0" xfId="0" applyNumberFormat="1" applyFont="1" applyFill="1" applyBorder="1" applyAlignment="1" applyProtection="1">
      <alignment horizontal="left" vertical="center"/>
    </xf>
    <xf numFmtId="10" fontId="107"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center"/>
    </xf>
    <xf numFmtId="0" fontId="122" fillId="0" borderId="0" xfId="0" applyFont="1" applyFill="1" applyBorder="1" applyAlignment="1" applyProtection="1">
      <alignment horizontal="center" vertical="center"/>
    </xf>
    <xf numFmtId="0" fontId="172" fillId="0" borderId="0" xfId="0" applyFont="1" applyFill="1" applyBorder="1" applyAlignment="1" applyProtection="1">
      <alignment horizontal="justify" vertical="top" wrapText="1"/>
    </xf>
    <xf numFmtId="0" fontId="167" fillId="0" borderId="0" xfId="0" applyFont="1" applyFill="1" applyBorder="1" applyAlignment="1" applyProtection="1">
      <alignment horizontal="center" vertical="center" wrapText="1"/>
    </xf>
    <xf numFmtId="38" fontId="107" fillId="0" borderId="0" xfId="1" applyNumberFormat="1" applyFont="1" applyFill="1" applyBorder="1" applyAlignment="1" applyProtection="1">
      <alignment horizontal="right" vertical="center"/>
    </xf>
    <xf numFmtId="0" fontId="167" fillId="0" borderId="0" xfId="0" applyFont="1" applyFill="1" applyBorder="1" applyAlignment="1" applyProtection="1">
      <alignment horizontal="left" vertical="center" wrapText="1"/>
    </xf>
    <xf numFmtId="0" fontId="107" fillId="0" borderId="0" xfId="0" applyFont="1" applyFill="1" applyBorder="1" applyProtection="1"/>
    <xf numFmtId="0" fontId="151"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vertical="center"/>
    </xf>
    <xf numFmtId="38" fontId="108" fillId="0" borderId="0" xfId="0" applyNumberFormat="1" applyFont="1" applyFill="1" applyBorder="1" applyAlignment="1" applyProtection="1">
      <alignment horizontal="left" vertical="center" wrapText="1"/>
    </xf>
    <xf numFmtId="3" fontId="107" fillId="0" borderId="0" xfId="0" applyNumberFormat="1" applyFont="1" applyFill="1" applyBorder="1" applyAlignment="1" applyProtection="1">
      <alignment horizontal="right" vertical="center"/>
    </xf>
    <xf numFmtId="0" fontId="108" fillId="0" borderId="0" xfId="0" applyFont="1" applyFill="1" applyBorder="1" applyAlignment="1" applyProtection="1">
      <alignment horizontal="left"/>
    </xf>
    <xf numFmtId="0" fontId="111" fillId="0" borderId="0" xfId="0" applyFont="1" applyFill="1" applyBorder="1" applyAlignment="1" applyProtection="1">
      <alignment horizontal="left" vertical="top" wrapText="1"/>
    </xf>
    <xf numFmtId="0" fontId="97" fillId="0" borderId="0" xfId="0" applyFont="1" applyFill="1" applyBorder="1" applyAlignment="1" applyProtection="1">
      <alignment horizontal="left"/>
    </xf>
    <xf numFmtId="164" fontId="107" fillId="0" borderId="0" xfId="0" applyNumberFormat="1" applyFont="1" applyFill="1" applyBorder="1" applyAlignment="1" applyProtection="1">
      <alignment horizontal="center"/>
    </xf>
    <xf numFmtId="0" fontId="124" fillId="0" borderId="0" xfId="0" applyFont="1" applyFill="1" applyBorder="1" applyAlignment="1" applyProtection="1">
      <alignment horizontal="left" vertical="center" wrapText="1"/>
    </xf>
    <xf numFmtId="0" fontId="110" fillId="0" borderId="0" xfId="0" applyFont="1" applyFill="1" applyBorder="1" applyAlignment="1" applyProtection="1">
      <alignment horizontal="left" vertical="center" wrapText="1"/>
    </xf>
    <xf numFmtId="0" fontId="122"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textRotation="90"/>
    </xf>
    <xf numFmtId="0" fontId="111" fillId="0" borderId="0" xfId="0" applyFont="1" applyFill="1" applyBorder="1" applyAlignment="1" applyProtection="1">
      <alignment horizontal="center" wrapText="1"/>
    </xf>
    <xf numFmtId="0" fontId="107" fillId="0" borderId="0" xfId="0" applyFont="1" applyFill="1" applyBorder="1" applyAlignment="1" applyProtection="1">
      <alignment horizontal="left"/>
    </xf>
    <xf numFmtId="175" fontId="107" fillId="0" borderId="0" xfId="0" applyNumberFormat="1" applyFont="1" applyFill="1" applyBorder="1" applyAlignment="1" applyProtection="1">
      <alignment horizontal="left"/>
    </xf>
    <xf numFmtId="38" fontId="100"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vertical="top" wrapText="1"/>
    </xf>
    <xf numFmtId="0" fontId="123" fillId="0" borderId="0" xfId="0" applyFont="1" applyFill="1" applyBorder="1" applyAlignment="1" applyProtection="1">
      <alignment horizontal="center" vertical="center"/>
    </xf>
    <xf numFmtId="38" fontId="123" fillId="0" borderId="0" xfId="0" applyNumberFormat="1" applyFont="1" applyFill="1" applyBorder="1" applyAlignment="1" applyProtection="1">
      <alignment horizontal="center" vertical="center"/>
    </xf>
    <xf numFmtId="168" fontId="123" fillId="0" borderId="0" xfId="0" applyNumberFormat="1" applyFont="1" applyFill="1" applyBorder="1" applyAlignment="1" applyProtection="1">
      <alignment horizontal="center" vertical="center"/>
    </xf>
    <xf numFmtId="170" fontId="123"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horizontal="center" vertical="center"/>
    </xf>
    <xf numFmtId="38" fontId="151"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center" vertical="center"/>
    </xf>
    <xf numFmtId="3" fontId="123" fillId="0" borderId="0" xfId="1"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164" fontId="123" fillId="0" borderId="0" xfId="1" applyNumberFormat="1" applyFont="1" applyFill="1" applyBorder="1" applyAlignment="1" applyProtection="1">
      <alignment horizontal="right" vertical="center"/>
    </xf>
    <xf numFmtId="0" fontId="123" fillId="0" borderId="0" xfId="0" applyFont="1" applyFill="1" applyBorder="1" applyAlignment="1" applyProtection="1">
      <alignment horizontal="left" vertical="center"/>
    </xf>
    <xf numFmtId="4" fontId="123" fillId="0" borderId="0" xfId="1" applyNumberFormat="1" applyFont="1" applyFill="1" applyBorder="1" applyAlignment="1" applyProtection="1">
      <alignment vertical="center"/>
    </xf>
    <xf numFmtId="0" fontId="100" fillId="0" borderId="0" xfId="0" applyFont="1" applyFill="1" applyBorder="1" applyAlignment="1" applyProtection="1">
      <alignment horizontal="center" vertical="center" wrapText="1"/>
    </xf>
    <xf numFmtId="164" fontId="100" fillId="0" borderId="0" xfId="1" applyNumberFormat="1" applyFont="1" applyFill="1" applyBorder="1" applyAlignment="1" applyProtection="1">
      <alignment horizontal="center" vertical="center"/>
    </xf>
    <xf numFmtId="164" fontId="123" fillId="0" borderId="0" xfId="1" applyNumberFormat="1" applyFont="1" applyFill="1" applyBorder="1" applyAlignment="1" applyProtection="1">
      <alignment horizontal="center" vertical="center"/>
    </xf>
    <xf numFmtId="164" fontId="157" fillId="0" borderId="0" xfId="1"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center" vertical="center" wrapText="1"/>
    </xf>
    <xf numFmtId="0" fontId="100" fillId="0" borderId="0" xfId="0" applyFont="1" applyFill="1" applyBorder="1" applyAlignment="1" applyProtection="1">
      <alignment horizontal="center" vertical="center"/>
    </xf>
    <xf numFmtId="4" fontId="157" fillId="0" borderId="0" xfId="1" applyNumberFormat="1" applyFont="1" applyFill="1" applyBorder="1" applyAlignment="1" applyProtection="1">
      <alignment horizontal="right" vertical="center"/>
    </xf>
    <xf numFmtId="171" fontId="157" fillId="0" borderId="0" xfId="0" applyNumberFormat="1" applyFont="1" applyFill="1" applyBorder="1" applyAlignment="1" applyProtection="1">
      <alignment horizontal="left" vertical="center"/>
    </xf>
    <xf numFmtId="0" fontId="157" fillId="0" borderId="0" xfId="0" applyFont="1" applyFill="1" applyBorder="1" applyAlignment="1" applyProtection="1">
      <alignment horizontal="left" vertical="center"/>
    </xf>
    <xf numFmtId="4" fontId="157" fillId="0" borderId="0" xfId="0" applyNumberFormat="1" applyFont="1" applyFill="1" applyBorder="1" applyAlignment="1" applyProtection="1">
      <alignment horizontal="left" vertical="center"/>
    </xf>
    <xf numFmtId="171" fontId="100" fillId="0" borderId="0" xfId="0" applyNumberFormat="1" applyFont="1" applyFill="1" applyBorder="1" applyAlignment="1" applyProtection="1">
      <alignment horizontal="center" vertical="center"/>
    </xf>
    <xf numFmtId="0" fontId="123" fillId="0" borderId="0" xfId="0" applyFont="1" applyFill="1" applyBorder="1" applyProtection="1"/>
    <xf numFmtId="0" fontId="123" fillId="0" borderId="0" xfId="0" applyFont="1" applyFill="1" applyBorder="1" applyAlignment="1" applyProtection="1">
      <alignment vertical="center"/>
    </xf>
    <xf numFmtId="38" fontId="123" fillId="0" borderId="0" xfId="0" applyNumberFormat="1" applyFont="1" applyFill="1" applyBorder="1" applyAlignment="1" applyProtection="1">
      <alignment horizontal="right" vertical="center"/>
    </xf>
    <xf numFmtId="38" fontId="100" fillId="0" borderId="0" xfId="2" applyNumberFormat="1" applyFont="1" applyFill="1" applyBorder="1" applyAlignment="1" applyProtection="1">
      <alignment horizontal="center" vertical="center"/>
    </xf>
    <xf numFmtId="3" fontId="151" fillId="0" borderId="0" xfId="0" applyNumberFormat="1" applyFont="1" applyFill="1" applyBorder="1" applyAlignment="1" applyProtection="1">
      <alignment horizontal="center" vertical="center"/>
    </xf>
    <xf numFmtId="4" fontId="151" fillId="0" borderId="0" xfId="0" applyNumberFormat="1" applyFont="1" applyFill="1" applyBorder="1" applyAlignment="1" applyProtection="1">
      <alignment horizontal="center" vertical="center"/>
    </xf>
    <xf numFmtId="0" fontId="156" fillId="0" borderId="0" xfId="0" applyFont="1" applyFill="1" applyBorder="1" applyAlignment="1" applyProtection="1">
      <alignment horizontal="center" vertical="center"/>
    </xf>
    <xf numFmtId="0" fontId="158" fillId="0" borderId="0" xfId="0" quotePrefix="1" applyFont="1" applyFill="1" applyBorder="1" applyAlignment="1" applyProtection="1">
      <alignment horizontal="center" vertical="center"/>
    </xf>
    <xf numFmtId="38" fontId="123" fillId="0" borderId="0" xfId="2" applyNumberFormat="1" applyFont="1" applyFill="1" applyBorder="1" applyAlignment="1" applyProtection="1">
      <alignment horizontal="center" vertical="center"/>
    </xf>
    <xf numFmtId="38" fontId="100" fillId="0" borderId="0" xfId="2" applyNumberFormat="1" applyFont="1" applyFill="1" applyBorder="1" applyAlignment="1" applyProtection="1">
      <alignment horizontal="right" vertical="center"/>
    </xf>
    <xf numFmtId="0" fontId="123" fillId="0" borderId="0" xfId="0" applyFont="1" applyFill="1" applyBorder="1" applyAlignment="1" applyProtection="1">
      <alignment horizontal="left" wrapText="1"/>
    </xf>
    <xf numFmtId="38" fontId="100" fillId="0" borderId="0" xfId="0" applyNumberFormat="1" applyFont="1" applyFill="1" applyBorder="1" applyAlignment="1" applyProtection="1">
      <alignment horizontal="right" vertical="center"/>
    </xf>
    <xf numFmtId="0" fontId="123" fillId="0" borderId="0" xfId="0" applyFont="1" applyFill="1" applyBorder="1" applyAlignment="1" applyProtection="1">
      <alignment horizontal="center" wrapText="1"/>
    </xf>
    <xf numFmtId="0" fontId="123" fillId="0" borderId="0" xfId="0" applyFont="1" applyFill="1" applyBorder="1" applyAlignment="1" applyProtection="1">
      <alignment horizontal="center" vertical="center" wrapText="1"/>
    </xf>
    <xf numFmtId="166" fontId="123" fillId="0" borderId="0" xfId="10" applyNumberFormat="1" applyFont="1" applyFill="1" applyBorder="1" applyAlignment="1" applyProtection="1">
      <alignment vertical="center"/>
    </xf>
    <xf numFmtId="166" fontId="123" fillId="0" borderId="0" xfId="10" applyNumberFormat="1" applyFont="1" applyFill="1" applyBorder="1" applyAlignment="1" applyProtection="1">
      <alignment horizontal="center" vertical="center"/>
    </xf>
    <xf numFmtId="37" fontId="123"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horizontal="center" vertical="center"/>
    </xf>
    <xf numFmtId="0" fontId="123" fillId="0" borderId="0" xfId="0" applyNumberFormat="1" applyFont="1" applyFill="1" applyBorder="1" applyAlignment="1" applyProtection="1">
      <alignment horizontal="center" vertical="center"/>
    </xf>
    <xf numFmtId="174" fontId="100" fillId="0" borderId="0" xfId="10" applyNumberFormat="1" applyFont="1" applyFill="1" applyBorder="1" applyAlignment="1" applyProtection="1">
      <alignment horizontal="right" vertical="center"/>
    </xf>
    <xf numFmtId="174" fontId="100" fillId="0" borderId="0" xfId="0" applyNumberFormat="1" applyFont="1" applyFill="1" applyBorder="1" applyAlignment="1" applyProtection="1">
      <alignment horizontal="right"/>
    </xf>
    <xf numFmtId="167" fontId="123" fillId="0" borderId="0" xfId="0" applyNumberFormat="1" applyFont="1" applyFill="1" applyBorder="1" applyAlignment="1" applyProtection="1">
      <alignment horizontal="left" vertical="center"/>
    </xf>
    <xf numFmtId="167" fontId="123" fillId="0" borderId="0" xfId="0" applyNumberFormat="1" applyFont="1" applyFill="1" applyBorder="1" applyAlignment="1" applyProtection="1">
      <alignment horizontal="center" vertical="center"/>
    </xf>
    <xf numFmtId="0"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left" vertical="center" wrapText="1"/>
    </xf>
    <xf numFmtId="0" fontId="123" fillId="0" borderId="0" xfId="0" applyFont="1" applyFill="1" applyBorder="1" applyAlignment="1" applyProtection="1">
      <alignment horizontal="center" vertical="top" wrapText="1"/>
    </xf>
    <xf numFmtId="0" fontId="100"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top" wrapText="1"/>
    </xf>
    <xf numFmtId="0" fontId="123" fillId="0" borderId="0" xfId="0" applyFont="1" applyFill="1" applyBorder="1" applyAlignment="1" applyProtection="1">
      <alignment vertical="top"/>
    </xf>
    <xf numFmtId="174" fontId="123" fillId="0" borderId="0" xfId="10" applyNumberFormat="1" applyFont="1" applyFill="1" applyBorder="1" applyAlignment="1" applyProtection="1">
      <alignment horizontal="right" vertical="center"/>
    </xf>
    <xf numFmtId="174" fontId="123" fillId="0" borderId="0" xfId="0" applyNumberFormat="1" applyFont="1" applyFill="1" applyBorder="1" applyAlignment="1" applyProtection="1">
      <alignment horizontal="right"/>
    </xf>
    <xf numFmtId="169" fontId="123"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xf>
    <xf numFmtId="175" fontId="123" fillId="0" borderId="0" xfId="0" applyNumberFormat="1" applyFont="1" applyFill="1" applyBorder="1" applyAlignment="1" applyProtection="1">
      <alignment horizontal="left" vertical="center"/>
    </xf>
    <xf numFmtId="0" fontId="151" fillId="0" borderId="0" xfId="0" applyFont="1" applyFill="1" applyBorder="1" applyAlignment="1" applyProtection="1">
      <alignment horizontal="center"/>
    </xf>
    <xf numFmtId="8" fontId="123"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0" fontId="123" fillId="0" borderId="0" xfId="0" applyFont="1" applyFill="1" applyBorder="1" applyAlignment="1" applyProtection="1">
      <alignment horizontal="left"/>
    </xf>
    <xf numFmtId="0" fontId="151" fillId="0" borderId="0" xfId="0" applyFont="1" applyFill="1" applyBorder="1" applyAlignment="1" applyProtection="1">
      <alignment horizontal="left" vertical="center"/>
    </xf>
    <xf numFmtId="0" fontId="100" fillId="0" borderId="0" xfId="0" applyFont="1" applyFill="1" applyBorder="1" applyAlignment="1" applyProtection="1">
      <alignment horizontal="left" wrapText="1"/>
    </xf>
    <xf numFmtId="0" fontId="123" fillId="0" borderId="0" xfId="0" applyFont="1" applyFill="1" applyBorder="1" applyAlignment="1" applyProtection="1">
      <alignment wrapText="1"/>
    </xf>
    <xf numFmtId="38" fontId="123" fillId="0" borderId="0" xfId="0" applyNumberFormat="1" applyFont="1" applyFill="1" applyBorder="1" applyAlignment="1" applyProtection="1">
      <alignment horizontal="left" vertical="center"/>
    </xf>
    <xf numFmtId="1" fontId="123" fillId="0" borderId="0" xfId="1" applyNumberFormat="1" applyFont="1" applyFill="1" applyBorder="1" applyAlignment="1" applyProtection="1">
      <alignment horizontal="center" vertical="center"/>
    </xf>
    <xf numFmtId="0" fontId="145" fillId="0" borderId="0" xfId="6" applyFont="1" applyFill="1" applyBorder="1" applyAlignment="1" applyProtection="1">
      <alignment horizontal="left" vertical="center"/>
    </xf>
    <xf numFmtId="0" fontId="153" fillId="0" borderId="0" xfId="6" applyFont="1" applyFill="1" applyBorder="1" applyAlignment="1" applyProtection="1">
      <alignment horizontal="left" vertical="center"/>
    </xf>
    <xf numFmtId="178"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justify" vertical="top" wrapText="1"/>
    </xf>
    <xf numFmtId="42" fontId="123" fillId="0" borderId="0" xfId="2" applyNumberFormat="1" applyFont="1" applyFill="1" applyBorder="1" applyAlignment="1" applyProtection="1">
      <alignment horizontal="center" vertical="center"/>
    </xf>
    <xf numFmtId="42" fontId="107" fillId="0" borderId="0" xfId="2" applyNumberFormat="1" applyFont="1" applyFill="1" applyBorder="1" applyAlignment="1" applyProtection="1">
      <alignment horizontal="center" vertical="center"/>
    </xf>
    <xf numFmtId="3" fontId="123"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vertical="top" wrapText="1"/>
    </xf>
    <xf numFmtId="0" fontId="120" fillId="0" borderId="0" xfId="0" applyFont="1" applyFill="1" applyBorder="1" applyAlignment="1" applyProtection="1">
      <alignment horizontal="center" wrapText="1"/>
    </xf>
    <xf numFmtId="0" fontId="97"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vertical="center"/>
    </xf>
    <xf numFmtId="49" fontId="108" fillId="0" borderId="0" xfId="0" applyNumberFormat="1" applyFont="1" applyFill="1" applyBorder="1" applyAlignment="1" applyProtection="1">
      <alignment horizontal="left"/>
    </xf>
    <xf numFmtId="176" fontId="151"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xf>
    <xf numFmtId="0" fontId="171"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vertical="center"/>
    </xf>
    <xf numFmtId="174" fontId="108" fillId="0" borderId="0" xfId="0" applyNumberFormat="1" applyFont="1" applyFill="1" applyBorder="1" applyAlignment="1" applyProtection="1">
      <alignment horizontal="center" vertical="center"/>
    </xf>
    <xf numFmtId="3" fontId="108" fillId="0" borderId="0" xfId="0" applyNumberFormat="1" applyFont="1" applyFill="1" applyBorder="1" applyAlignment="1" applyProtection="1">
      <alignment horizontal="left" vertical="center" wrapText="1"/>
    </xf>
    <xf numFmtId="0" fontId="107" fillId="0" borderId="0" xfId="0" applyFont="1" applyFill="1" applyBorder="1" applyAlignment="1" applyProtection="1">
      <alignment vertical="top"/>
    </xf>
    <xf numFmtId="0" fontId="108" fillId="0" borderId="0" xfId="0" applyFont="1" applyFill="1" applyBorder="1" applyAlignment="1" applyProtection="1">
      <alignment vertical="center" wrapText="1"/>
    </xf>
    <xf numFmtId="0" fontId="107" fillId="0" borderId="0" xfId="0" applyFont="1" applyFill="1" applyBorder="1" applyAlignment="1" applyProtection="1">
      <alignment vertical="center" wrapText="1"/>
    </xf>
    <xf numFmtId="0" fontId="108" fillId="0" borderId="0" xfId="0" applyFont="1" applyFill="1" applyBorder="1" applyAlignment="1" applyProtection="1">
      <alignment horizontal="left" vertical="top"/>
    </xf>
    <xf numFmtId="38" fontId="177" fillId="0" borderId="0" xfId="0" applyNumberFormat="1" applyFont="1" applyFill="1" applyBorder="1" applyAlignment="1" applyProtection="1">
      <alignment horizontal="center"/>
    </xf>
    <xf numFmtId="0" fontId="108" fillId="0" borderId="0" xfId="0" applyFont="1" applyFill="1" applyBorder="1" applyAlignment="1" applyProtection="1">
      <alignment horizontal="justify" wrapText="1"/>
    </xf>
    <xf numFmtId="0" fontId="96" fillId="0" borderId="0" xfId="0" applyFont="1" applyFill="1" applyBorder="1" applyAlignment="1" applyProtection="1">
      <alignment horizontal="center" vertical="top"/>
    </xf>
    <xf numFmtId="0" fontId="97" fillId="0" borderId="0" xfId="0" applyFont="1" applyFill="1" applyBorder="1" applyAlignment="1" applyProtection="1">
      <alignment horizontal="center"/>
    </xf>
    <xf numFmtId="0" fontId="108" fillId="0" borderId="0" xfId="0" applyFont="1" applyFill="1" applyBorder="1" applyAlignment="1" applyProtection="1">
      <alignment horizontal="left" wrapText="1"/>
    </xf>
    <xf numFmtId="0" fontId="122" fillId="0" borderId="0" xfId="0" applyFont="1" applyFill="1" applyBorder="1" applyAlignment="1" applyProtection="1">
      <alignment horizontal="center" vertical="top" wrapText="1"/>
    </xf>
    <xf numFmtId="0" fontId="108" fillId="0" borderId="0" xfId="0" applyFont="1" applyFill="1" applyBorder="1" applyAlignment="1" applyProtection="1">
      <alignment horizontal="center" vertical="top" wrapText="1"/>
    </xf>
    <xf numFmtId="0" fontId="122"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center" vertical="center" wrapText="1"/>
    </xf>
    <xf numFmtId="3" fontId="108" fillId="0" borderId="0" xfId="0" applyNumberFormat="1" applyFont="1" applyFill="1" applyBorder="1" applyAlignment="1" applyProtection="1">
      <alignment horizontal="center" vertical="center"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54" fillId="5" borderId="16" xfId="1"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54" fillId="5" borderId="17"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54" fillId="5" borderId="18" xfId="1"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0" fontId="51" fillId="0" borderId="0" xfId="0" applyFont="1" applyAlignment="1" applyProtection="1">
      <alignment horizontal="left" vertical="center" wrapText="1"/>
    </xf>
    <xf numFmtId="164" fontId="12" fillId="5" borderId="16" xfId="1" applyNumberFormat="1" applyFont="1" applyFill="1" applyBorder="1" applyAlignment="1" applyProtection="1">
      <alignment horizontal="right" vertical="center"/>
    </xf>
    <xf numFmtId="164" fontId="12"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Protection="1"/>
    <xf numFmtId="3" fontId="12" fillId="5" borderId="16" xfId="10" applyNumberFormat="1" applyFont="1" applyFill="1" applyBorder="1" applyProtection="1"/>
    <xf numFmtId="0" fontId="4" fillId="5" borderId="36" xfId="0" applyFont="1" applyFill="1" applyBorder="1" applyAlignment="1" applyProtection="1">
      <alignment horizontal="left"/>
    </xf>
    <xf numFmtId="0" fontId="4" fillId="5" borderId="2" xfId="0" applyFont="1" applyFill="1" applyBorder="1" applyAlignment="1" applyProtection="1">
      <alignment horizontal="left"/>
    </xf>
    <xf numFmtId="0" fontId="4" fillId="5" borderId="37" xfId="0" applyFont="1" applyFill="1" applyBorder="1" applyAlignment="1" applyProtection="1">
      <alignment horizontal="left"/>
    </xf>
    <xf numFmtId="3" fontId="12" fillId="5" borderId="18" xfId="0" applyNumberFormat="1" applyFont="1" applyFill="1" applyBorder="1" applyProtection="1"/>
    <xf numFmtId="3" fontId="12" fillId="5" borderId="18" xfId="10" applyNumberFormat="1" applyFont="1" applyFill="1" applyBorder="1" applyProtection="1"/>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5" borderId="15" xfId="1" applyNumberFormat="1" applyFont="1" applyFill="1" applyBorder="1" applyAlignment="1" applyProtection="1">
      <alignmen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4" borderId="36"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112" fillId="14" borderId="81" xfId="12" applyFont="1" applyFill="1" applyBorder="1" applyAlignment="1" applyProtection="1">
      <alignment horizontal="center"/>
    </xf>
    <xf numFmtId="0" fontId="112" fillId="14" borderId="85" xfId="12" applyFont="1" applyFill="1" applyBorder="1" applyAlignment="1" applyProtection="1">
      <alignment horizontal="center"/>
    </xf>
    <xf numFmtId="0" fontId="112" fillId="14" borderId="82" xfId="12" applyFont="1" applyFill="1" applyBorder="1" applyAlignment="1" applyProtection="1">
      <alignment horizontal="center"/>
    </xf>
    <xf numFmtId="0" fontId="126" fillId="0" borderId="0" xfId="12" applyFont="1" applyProtection="1"/>
    <xf numFmtId="0" fontId="137" fillId="0" borderId="88" xfId="12" applyFont="1" applyBorder="1" applyAlignment="1" applyProtection="1">
      <alignment horizontal="center" vertical="center" wrapText="1"/>
    </xf>
    <xf numFmtId="0" fontId="127" fillId="0" borderId="0" xfId="12" applyFont="1" applyProtection="1"/>
    <xf numFmtId="0" fontId="127" fillId="0" borderId="0" xfId="12" applyFont="1" applyBorder="1" applyAlignment="1" applyProtection="1">
      <alignment horizontal="center" wrapText="1"/>
    </xf>
    <xf numFmtId="0" fontId="129" fillId="0" borderId="0" xfId="12" applyFont="1" applyBorder="1" applyAlignment="1" applyProtection="1">
      <alignment horizontal="left"/>
    </xf>
    <xf numFmtId="0" fontId="129" fillId="0" borderId="0" xfId="12" applyFont="1" applyBorder="1" applyAlignment="1" applyProtection="1">
      <alignment horizontal="center" wrapText="1"/>
    </xf>
    <xf numFmtId="0" fontId="129" fillId="0" borderId="0" xfId="12" applyFont="1" applyBorder="1" applyProtection="1"/>
    <xf numFmtId="0" fontId="129" fillId="0" borderId="0" xfId="12" applyFont="1" applyBorder="1" applyAlignment="1" applyProtection="1">
      <alignment horizontal="right"/>
    </xf>
    <xf numFmtId="0" fontId="129" fillId="0" borderId="0" xfId="12" applyFont="1" applyProtection="1"/>
    <xf numFmtId="0" fontId="127" fillId="0" borderId="86" xfId="12" applyFont="1" applyBorder="1" applyAlignment="1" applyProtection="1">
      <alignment horizontal="center" wrapText="1"/>
    </xf>
    <xf numFmtId="0" fontId="129" fillId="0" borderId="86" xfId="12" applyFont="1" applyBorder="1" applyAlignment="1" applyProtection="1">
      <alignment horizontal="left"/>
    </xf>
    <xf numFmtId="0" fontId="129" fillId="0" borderId="86" xfId="12" applyFont="1" applyBorder="1" applyAlignment="1" applyProtection="1">
      <alignment horizontal="center" wrapText="1"/>
    </xf>
    <xf numFmtId="0" fontId="129" fillId="0" borderId="86" xfId="12" applyFont="1" applyBorder="1" applyProtection="1"/>
    <xf numFmtId="49" fontId="127" fillId="0" borderId="0" xfId="12" applyNumberFormat="1" applyFont="1" applyAlignment="1" applyProtection="1">
      <alignment vertical="top"/>
    </xf>
    <xf numFmtId="49" fontId="127" fillId="0" borderId="0" xfId="12" applyNumberFormat="1" applyFont="1" applyAlignment="1" applyProtection="1">
      <alignment horizontal="left" vertical="top"/>
    </xf>
    <xf numFmtId="49" fontId="127" fillId="0" borderId="73" xfId="12" quotePrefix="1" applyNumberFormat="1" applyFont="1" applyBorder="1" applyAlignment="1" applyProtection="1">
      <alignment horizontal="center" vertical="top"/>
    </xf>
    <xf numFmtId="0" fontId="127" fillId="0" borderId="0" xfId="12" applyFont="1" applyAlignment="1" applyProtection="1">
      <alignment vertical="top"/>
    </xf>
    <xf numFmtId="0" fontId="127" fillId="0" borderId="0" xfId="12" applyFont="1" applyAlignment="1" applyProtection="1">
      <alignment horizontal="right" vertical="top"/>
    </xf>
    <xf numFmtId="0" fontId="127" fillId="10" borderId="12" xfId="12" applyFont="1" applyFill="1" applyBorder="1" applyAlignment="1" applyProtection="1">
      <alignment vertical="top"/>
    </xf>
    <xf numFmtId="49" fontId="127" fillId="0" borderId="0" xfId="12" quotePrefix="1" applyNumberFormat="1" applyFont="1" applyAlignment="1" applyProtection="1">
      <alignment vertical="top"/>
    </xf>
    <xf numFmtId="49" fontId="127" fillId="0" borderId="95" xfId="12" quotePrefix="1" applyNumberFormat="1" applyFont="1" applyBorder="1" applyAlignment="1" applyProtection="1">
      <alignment horizontal="center" vertical="top"/>
    </xf>
    <xf numFmtId="0" fontId="127" fillId="10" borderId="89" xfId="12" applyFont="1" applyFill="1" applyBorder="1" applyAlignment="1" applyProtection="1">
      <alignment vertical="top"/>
    </xf>
    <xf numFmtId="49" fontId="127" fillId="0" borderId="93" xfId="12" quotePrefix="1" applyNumberFormat="1" applyFont="1" applyBorder="1" applyAlignment="1" applyProtection="1">
      <alignment horizontal="center" vertical="top"/>
    </xf>
    <xf numFmtId="0" fontId="127" fillId="0" borderId="0" xfId="12" applyFont="1" applyAlignment="1" applyProtection="1">
      <alignment horizontal="left" vertical="top"/>
    </xf>
    <xf numFmtId="0" fontId="127" fillId="10" borderId="87" xfId="12" applyFont="1" applyFill="1" applyBorder="1" applyAlignment="1" applyProtection="1">
      <alignment vertical="top"/>
    </xf>
    <xf numFmtId="49" fontId="127" fillId="0" borderId="94" xfId="12" quotePrefix="1" applyNumberFormat="1" applyFont="1" applyBorder="1" applyAlignment="1" applyProtection="1">
      <alignment horizontal="center" vertical="top"/>
    </xf>
    <xf numFmtId="49" fontId="128" fillId="0" borderId="88" xfId="12" applyNumberFormat="1" applyFont="1" applyBorder="1" applyAlignment="1" applyProtection="1">
      <alignment horizontal="center" vertical="top"/>
    </xf>
    <xf numFmtId="49" fontId="127" fillId="0" borderId="19" xfId="12" quotePrefix="1" applyNumberFormat="1" applyFont="1" applyBorder="1" applyAlignment="1" applyProtection="1">
      <alignment vertical="top"/>
    </xf>
    <xf numFmtId="49" fontId="127" fillId="0" borderId="19" xfId="12" applyNumberFormat="1" applyFont="1" applyBorder="1" applyAlignment="1" applyProtection="1">
      <alignment vertical="top"/>
    </xf>
    <xf numFmtId="49" fontId="127" fillId="0" borderId="19" xfId="12" applyNumberFormat="1" applyFont="1" applyBorder="1" applyAlignment="1" applyProtection="1">
      <alignment horizontal="left" vertical="top"/>
    </xf>
    <xf numFmtId="0" fontId="127" fillId="0" borderId="19" xfId="12" applyFont="1" applyBorder="1" applyAlignment="1" applyProtection="1">
      <alignment vertical="top"/>
    </xf>
    <xf numFmtId="49" fontId="127" fillId="0" borderId="0" xfId="12" applyNumberFormat="1" applyFont="1" applyAlignment="1" applyProtection="1">
      <alignment horizontal="right" vertical="top"/>
    </xf>
    <xf numFmtId="0" fontId="127" fillId="0" borderId="0" xfId="12" applyFont="1" applyAlignment="1" applyProtection="1">
      <alignment horizontal="justify" vertical="top" wrapText="1"/>
    </xf>
    <xf numFmtId="0" fontId="127" fillId="0" borderId="0" xfId="12" applyFont="1" applyFill="1" applyAlignment="1" applyProtection="1">
      <alignment horizontal="right" vertical="top" wrapText="1"/>
    </xf>
    <xf numFmtId="0" fontId="127" fillId="0" borderId="0" xfId="12" applyFont="1" applyFill="1" applyAlignment="1" applyProtection="1">
      <alignment horizontal="left" vertical="top" wrapText="1"/>
    </xf>
    <xf numFmtId="0" fontId="127" fillId="0" borderId="0" xfId="12" applyFont="1" applyAlignment="1" applyProtection="1">
      <alignment horizontal="justify" vertical="top" wrapText="1"/>
    </xf>
    <xf numFmtId="0" fontId="127" fillId="0" borderId="0" xfId="12" applyFont="1" applyFill="1" applyAlignment="1" applyProtection="1">
      <alignment vertical="top"/>
    </xf>
    <xf numFmtId="49" fontId="127" fillId="0" borderId="93" xfId="12" applyNumberFormat="1" applyFont="1" applyBorder="1" applyAlignment="1" applyProtection="1">
      <alignment horizontal="center" vertical="top"/>
    </xf>
    <xf numFmtId="0" fontId="127" fillId="0" borderId="0" xfId="12" applyFont="1" applyFill="1" applyAlignment="1" applyProtection="1">
      <alignment horizontal="right" vertical="top"/>
    </xf>
    <xf numFmtId="0" fontId="127" fillId="0" borderId="0" xfId="12" applyFont="1" applyFill="1" applyAlignment="1" applyProtection="1">
      <alignment horizontal="left" vertical="top"/>
    </xf>
    <xf numFmtId="49" fontId="127" fillId="0" borderId="0" xfId="12" applyNumberFormat="1" applyFont="1" applyAlignment="1" applyProtection="1">
      <alignment horizontal="center" vertical="top"/>
    </xf>
    <xf numFmtId="0" fontId="127" fillId="0" borderId="19" xfId="12" applyFont="1" applyBorder="1" applyAlignment="1" applyProtection="1">
      <alignment horizontal="left" vertical="top" wrapText="1"/>
    </xf>
    <xf numFmtId="0" fontId="127" fillId="0" borderId="19" xfId="12" applyFont="1" applyBorder="1" applyAlignment="1" applyProtection="1">
      <alignment horizontal="right" vertical="top"/>
    </xf>
    <xf numFmtId="0" fontId="127" fillId="0" borderId="19" xfId="12" applyFont="1" applyBorder="1" applyAlignment="1" applyProtection="1">
      <alignment horizontal="left" vertical="top"/>
    </xf>
    <xf numFmtId="0" fontId="127" fillId="0" borderId="32" xfId="12" applyFont="1" applyBorder="1" applyAlignment="1" applyProtection="1">
      <alignment vertical="top"/>
    </xf>
    <xf numFmtId="49" fontId="105" fillId="0" borderId="0" xfId="12" applyNumberFormat="1" applyFont="1" applyFill="1" applyBorder="1" applyAlignment="1" applyProtection="1">
      <alignment horizontal="left" vertical="top" wrapText="1"/>
    </xf>
    <xf numFmtId="49" fontId="105" fillId="0" borderId="0" xfId="12" applyNumberFormat="1" applyFont="1" applyFill="1" applyAlignment="1" applyProtection="1">
      <alignment vertical="top"/>
    </xf>
    <xf numFmtId="49" fontId="127" fillId="0" borderId="96" xfId="12" quotePrefix="1" applyNumberFormat="1" applyFont="1" applyBorder="1" applyAlignment="1" applyProtection="1">
      <alignment horizontal="center" vertical="top"/>
    </xf>
    <xf numFmtId="0" fontId="127" fillId="10" borderId="21" xfId="12" applyFont="1" applyFill="1" applyBorder="1" applyAlignment="1" applyProtection="1">
      <alignment horizontal="left" vertical="top" wrapText="1"/>
    </xf>
    <xf numFmtId="0" fontId="127"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7" fillId="0" borderId="19" xfId="12" applyFont="1" applyBorder="1" applyAlignment="1" applyProtection="1">
      <alignment horizontal="justify" vertical="top" wrapText="1"/>
    </xf>
    <xf numFmtId="49" fontId="127" fillId="0" borderId="20" xfId="12" applyNumberFormat="1" applyFont="1" applyBorder="1" applyAlignment="1" applyProtection="1">
      <alignment vertical="top"/>
    </xf>
    <xf numFmtId="49" fontId="127" fillId="0" borderId="20" xfId="12" applyNumberFormat="1" applyFont="1" applyBorder="1" applyAlignment="1" applyProtection="1">
      <alignment horizontal="left" vertical="top"/>
    </xf>
    <xf numFmtId="0" fontId="127" fillId="0" borderId="20" xfId="12" applyFont="1" applyBorder="1" applyAlignment="1" applyProtection="1">
      <alignment vertical="top"/>
    </xf>
    <xf numFmtId="49" fontId="127" fillId="0" borderId="0" xfId="12" quotePrefix="1" applyNumberFormat="1" applyFont="1" applyBorder="1" applyAlignment="1" applyProtection="1">
      <alignment vertical="top"/>
    </xf>
    <xf numFmtId="49" fontId="127" fillId="0" borderId="0" xfId="12" applyNumberFormat="1" applyFont="1" applyBorder="1" applyAlignment="1" applyProtection="1">
      <alignment horizontal="left" vertical="top"/>
    </xf>
    <xf numFmtId="0" fontId="127" fillId="0" borderId="0" xfId="12" applyFont="1" applyBorder="1" applyAlignment="1" applyProtection="1">
      <alignment vertical="top"/>
    </xf>
    <xf numFmtId="0" fontId="127" fillId="0" borderId="0" xfId="12" applyFont="1" applyBorder="1" applyAlignment="1" applyProtection="1">
      <alignment horizontal="right" vertical="top"/>
    </xf>
    <xf numFmtId="0" fontId="127" fillId="0" borderId="0" xfId="12" applyFont="1" applyBorder="1" applyAlignment="1" applyProtection="1">
      <alignment horizontal="left" vertical="top"/>
    </xf>
    <xf numFmtId="0" fontId="127" fillId="0" borderId="8" xfId="12" applyFont="1" applyBorder="1" applyAlignment="1" applyProtection="1">
      <alignment vertical="top"/>
    </xf>
    <xf numFmtId="49" fontId="127" fillId="0" borderId="20" xfId="12" quotePrefix="1" applyNumberFormat="1" applyFont="1" applyBorder="1" applyAlignment="1" applyProtection="1">
      <alignment vertical="top"/>
    </xf>
    <xf numFmtId="0" fontId="127" fillId="0" borderId="20" xfId="12" applyFont="1" applyBorder="1" applyAlignment="1" applyProtection="1">
      <alignment horizontal="right" vertical="top"/>
    </xf>
    <xf numFmtId="0" fontId="127" fillId="0" borderId="20" xfId="12" applyFont="1" applyBorder="1" applyAlignment="1" applyProtection="1">
      <alignment horizontal="left" vertical="top"/>
    </xf>
    <xf numFmtId="0" fontId="127" fillId="0" borderId="97" xfId="12" applyFont="1" applyBorder="1" applyAlignment="1" applyProtection="1">
      <alignment vertical="top"/>
    </xf>
    <xf numFmtId="49" fontId="127" fillId="0" borderId="19" xfId="12" applyNumberFormat="1" applyFont="1" applyBorder="1" applyAlignment="1" applyProtection="1">
      <alignment horizontal="left" vertical="top" wrapText="1"/>
    </xf>
    <xf numFmtId="49" fontId="127" fillId="0" borderId="0" xfId="12" applyNumberFormat="1" applyFont="1" applyBorder="1" applyAlignment="1" applyProtection="1">
      <alignment horizontal="left" vertical="top" wrapText="1"/>
    </xf>
    <xf numFmtId="0" fontId="4" fillId="0" borderId="19" xfId="12" applyFont="1" applyBorder="1" applyAlignment="1" applyProtection="1">
      <alignment vertical="top"/>
    </xf>
    <xf numFmtId="0" fontId="105" fillId="0" borderId="19" xfId="12" applyFont="1" applyBorder="1" applyAlignment="1" applyProtection="1">
      <alignment vertical="top"/>
    </xf>
    <xf numFmtId="49" fontId="127" fillId="0" borderId="20" xfId="12" applyNumberFormat="1" applyFont="1" applyBorder="1" applyAlignment="1" applyProtection="1">
      <alignment horizontal="left" vertical="top" wrapText="1"/>
    </xf>
    <xf numFmtId="49" fontId="127" fillId="0" borderId="0" xfId="12" applyNumberFormat="1" applyFont="1" applyBorder="1" applyAlignment="1" applyProtection="1">
      <alignment vertical="top"/>
    </xf>
    <xf numFmtId="49" fontId="127" fillId="0" borderId="0" xfId="12" applyNumberFormat="1" applyFont="1" applyFill="1" applyBorder="1" applyAlignment="1" applyProtection="1">
      <alignment horizontal="left" vertical="top"/>
    </xf>
    <xf numFmtId="0" fontId="127" fillId="0" borderId="0" xfId="12" applyFont="1" applyAlignment="1" applyProtection="1">
      <alignment horizontal="left" vertical="top" wrapText="1"/>
    </xf>
    <xf numFmtId="0" fontId="127" fillId="0" borderId="0" xfId="12" applyFont="1" applyBorder="1" applyAlignment="1" applyProtection="1">
      <alignment horizontal="left" vertical="top" wrapText="1"/>
    </xf>
    <xf numFmtId="0" fontId="127" fillId="0" borderId="42" xfId="12" applyFont="1" applyBorder="1" applyAlignment="1" applyProtection="1">
      <alignment horizontal="left" vertical="top" wrapText="1"/>
    </xf>
    <xf numFmtId="0" fontId="127" fillId="0" borderId="20" xfId="12" applyFont="1" applyBorder="1" applyAlignment="1" applyProtection="1">
      <alignment horizontal="left" vertical="top" wrapText="1"/>
    </xf>
    <xf numFmtId="0" fontId="127" fillId="0" borderId="97" xfId="12" applyFont="1" applyBorder="1" applyAlignment="1" applyProtection="1">
      <alignment horizontal="left" vertical="top" wrapText="1"/>
    </xf>
    <xf numFmtId="49" fontId="127" fillId="0" borderId="19" xfId="12" applyNumberFormat="1" applyFont="1" applyFill="1" applyBorder="1" applyAlignment="1" applyProtection="1">
      <alignment vertical="top"/>
    </xf>
    <xf numFmtId="49" fontId="127" fillId="0" borderId="19" xfId="12" applyNumberFormat="1" applyFont="1" applyFill="1" applyBorder="1" applyAlignment="1" applyProtection="1">
      <alignment horizontal="left" vertical="top" wrapText="1"/>
    </xf>
    <xf numFmtId="49" fontId="127" fillId="0" borderId="19" xfId="12" applyNumberFormat="1" applyFont="1" applyFill="1" applyBorder="1" applyAlignment="1" applyProtection="1">
      <alignment horizontal="left" vertical="top"/>
    </xf>
    <xf numFmtId="0" fontId="127" fillId="0" borderId="19" xfId="12" applyFont="1" applyFill="1" applyBorder="1" applyAlignment="1" applyProtection="1">
      <alignment vertical="top"/>
    </xf>
    <xf numFmtId="49" fontId="127" fillId="0" borderId="0" xfId="12" applyNumberFormat="1" applyFont="1" applyFill="1" applyAlignment="1" applyProtection="1">
      <alignment vertical="top"/>
    </xf>
    <xf numFmtId="49" fontId="127" fillId="0" borderId="0" xfId="12" applyNumberFormat="1" applyFont="1" applyFill="1" applyBorder="1" applyAlignment="1" applyProtection="1">
      <alignment horizontal="left" vertical="top" wrapText="1"/>
    </xf>
    <xf numFmtId="49" fontId="127" fillId="0" borderId="0" xfId="12" applyNumberFormat="1" applyFont="1" applyFill="1" applyAlignment="1" applyProtection="1">
      <alignment horizontal="center" vertical="top"/>
    </xf>
    <xf numFmtId="49" fontId="127" fillId="0" borderId="0" xfId="12" applyNumberFormat="1" applyFont="1" applyFill="1" applyAlignment="1" applyProtection="1">
      <alignment horizontal="left" vertical="top"/>
    </xf>
    <xf numFmtId="49" fontId="127" fillId="0" borderId="39" xfId="12" applyNumberFormat="1" applyFont="1" applyBorder="1" applyAlignment="1" applyProtection="1">
      <alignment horizontal="left" vertical="top"/>
    </xf>
    <xf numFmtId="0" fontId="127" fillId="0" borderId="44" xfId="12" applyFont="1" applyBorder="1" applyAlignment="1" applyProtection="1">
      <alignment vertical="top"/>
    </xf>
    <xf numFmtId="49" fontId="127" fillId="0" borderId="41" xfId="12" applyNumberFormat="1" applyFont="1" applyBorder="1" applyAlignment="1" applyProtection="1">
      <alignment horizontal="left" vertical="top"/>
    </xf>
    <xf numFmtId="0" fontId="127" fillId="0" borderId="8" xfId="12" applyFont="1" applyBorder="1" applyAlignment="1" applyProtection="1">
      <alignment horizontal="left" vertical="top" wrapText="1"/>
    </xf>
    <xf numFmtId="0" fontId="127" fillId="0" borderId="40" xfId="12" applyFont="1" applyBorder="1" applyAlignment="1" applyProtection="1">
      <alignment vertical="top"/>
    </xf>
    <xf numFmtId="0" fontId="4" fillId="0" borderId="0" xfId="12" applyFont="1" applyAlignment="1" applyProtection="1">
      <alignment vertical="top"/>
    </xf>
    <xf numFmtId="0" fontId="127" fillId="10" borderId="0" xfId="12" applyFont="1" applyFill="1" applyAlignment="1" applyProtection="1">
      <alignment vertical="top"/>
    </xf>
    <xf numFmtId="0" fontId="127" fillId="0" borderId="39" xfId="12" applyFont="1" applyBorder="1" applyAlignment="1" applyProtection="1">
      <alignment vertical="top"/>
    </xf>
    <xf numFmtId="49" fontId="127" fillId="0" borderId="0" xfId="12" applyNumberFormat="1" applyFont="1" applyBorder="1" applyAlignment="1" applyProtection="1">
      <alignment vertical="top" wrapText="1"/>
    </xf>
    <xf numFmtId="49" fontId="127" fillId="0" borderId="38" xfId="12" quotePrefix="1" applyNumberFormat="1" applyFont="1" applyBorder="1" applyAlignment="1" applyProtection="1">
      <alignment horizontal="center" vertical="top"/>
    </xf>
    <xf numFmtId="49" fontId="127" fillId="0" borderId="0" xfId="12" applyNumberFormat="1" applyFont="1" applyBorder="1" applyAlignment="1" applyProtection="1">
      <alignment horizontal="left" vertical="top" wrapText="1"/>
    </xf>
    <xf numFmtId="0" fontId="127" fillId="17" borderId="44" xfId="12" applyFont="1" applyFill="1" applyBorder="1" applyAlignment="1" applyProtection="1">
      <alignment horizontal="left" vertical="top" wrapText="1"/>
    </xf>
    <xf numFmtId="0" fontId="127" fillId="17" borderId="19" xfId="12" applyFont="1" applyFill="1" applyBorder="1" applyAlignment="1" applyProtection="1">
      <alignment horizontal="left" vertical="top" wrapText="1"/>
    </xf>
    <xf numFmtId="0" fontId="127" fillId="17" borderId="32" xfId="12" applyFont="1" applyFill="1" applyBorder="1" applyAlignment="1" applyProtection="1">
      <alignment horizontal="left" vertical="top" wrapText="1"/>
    </xf>
    <xf numFmtId="0" fontId="127" fillId="17" borderId="0" xfId="12" applyFont="1" applyFill="1" applyAlignment="1" applyProtection="1">
      <alignment vertical="top"/>
    </xf>
    <xf numFmtId="49" fontId="127" fillId="0" borderId="19" xfId="12" applyNumberFormat="1" applyFont="1" applyBorder="1" applyAlignment="1" applyProtection="1">
      <alignment horizontal="right" vertical="top"/>
    </xf>
    <xf numFmtId="49" fontId="127" fillId="0" borderId="88" xfId="12" applyNumberFormat="1" applyFont="1" applyBorder="1" applyAlignment="1" applyProtection="1">
      <alignment vertical="top"/>
    </xf>
    <xf numFmtId="49" fontId="127" fillId="0" borderId="88" xfId="12" applyNumberFormat="1" applyFont="1" applyBorder="1" applyAlignment="1" applyProtection="1">
      <alignment horizontal="left" vertical="top"/>
    </xf>
    <xf numFmtId="0" fontId="127" fillId="0" borderId="88" xfId="12" applyFont="1" applyBorder="1" applyAlignment="1" applyProtection="1">
      <alignment horizontal="center" wrapText="1"/>
    </xf>
    <xf numFmtId="0" fontId="127" fillId="0" borderId="88" xfId="12" applyFont="1" applyBorder="1" applyAlignment="1" applyProtection="1">
      <alignment vertical="top"/>
    </xf>
    <xf numFmtId="0" fontId="139" fillId="0" borderId="88" xfId="12" applyFont="1" applyBorder="1" applyAlignment="1" applyProtection="1">
      <alignment vertical="top"/>
    </xf>
    <xf numFmtId="49" fontId="127" fillId="0" borderId="13" xfId="12" applyNumberFormat="1" applyFont="1" applyBorder="1" applyAlignment="1" applyProtection="1">
      <alignment horizontal="center"/>
    </xf>
    <xf numFmtId="49" fontId="127" fillId="0" borderId="13" xfId="12" applyNumberFormat="1" applyFont="1" applyBorder="1" applyAlignment="1" applyProtection="1">
      <alignment horizontal="left"/>
    </xf>
    <xf numFmtId="0" fontId="127" fillId="0" borderId="13" xfId="12" applyFont="1" applyBorder="1" applyAlignment="1" applyProtection="1">
      <alignment horizontal="center" wrapText="1"/>
    </xf>
    <xf numFmtId="0" fontId="127" fillId="0" borderId="13" xfId="12" applyFont="1" applyBorder="1" applyAlignment="1" applyProtection="1"/>
    <xf numFmtId="0" fontId="127" fillId="0" borderId="13" xfId="12" applyFont="1" applyBorder="1" applyAlignment="1" applyProtection="1">
      <alignment vertical="top"/>
    </xf>
    <xf numFmtId="49" fontId="127" fillId="10" borderId="52" xfId="12" applyNumberFormat="1" applyFont="1" applyFill="1" applyBorder="1" applyAlignment="1" applyProtection="1">
      <alignment horizontal="left" vertical="top" wrapText="1"/>
    </xf>
    <xf numFmtId="49" fontId="127" fillId="10" borderId="53" xfId="12" applyNumberFormat="1" applyFont="1" applyFill="1" applyBorder="1" applyAlignment="1" applyProtection="1">
      <alignment horizontal="left" vertical="top" wrapText="1"/>
    </xf>
    <xf numFmtId="49" fontId="127" fillId="10" borderId="23" xfId="12" applyNumberFormat="1" applyFont="1" applyFill="1" applyBorder="1" applyAlignment="1" applyProtection="1">
      <alignment horizontal="left" vertical="top"/>
    </xf>
    <xf numFmtId="49" fontId="127" fillId="10" borderId="16" xfId="12" quotePrefix="1" applyNumberFormat="1" applyFont="1" applyFill="1" applyBorder="1" applyAlignment="1" applyProtection="1">
      <alignment horizontal="center" vertical="top"/>
    </xf>
    <xf numFmtId="0" fontId="127" fillId="10" borderId="17" xfId="12" applyFont="1" applyFill="1" applyBorder="1" applyAlignment="1" applyProtection="1">
      <alignment horizontal="left" vertical="top"/>
    </xf>
    <xf numFmtId="49" fontId="127" fillId="10" borderId="51" xfId="12" applyNumberFormat="1" applyFont="1" applyFill="1" applyBorder="1" applyAlignment="1" applyProtection="1">
      <alignment horizontal="left" vertical="top" wrapText="1"/>
    </xf>
    <xf numFmtId="49" fontId="127" fillId="10" borderId="38" xfId="12" applyNumberFormat="1" applyFont="1" applyFill="1" applyBorder="1" applyAlignment="1" applyProtection="1">
      <alignment horizontal="left" vertical="top" wrapText="1"/>
    </xf>
    <xf numFmtId="49" fontId="127" fillId="10" borderId="25" xfId="12" applyNumberFormat="1" applyFont="1" applyFill="1" applyBorder="1" applyAlignment="1" applyProtection="1">
      <alignment horizontal="left" vertical="top"/>
    </xf>
    <xf numFmtId="49" fontId="127" fillId="10" borderId="17" xfId="12" quotePrefix="1" applyNumberFormat="1" applyFont="1" applyFill="1" applyBorder="1" applyAlignment="1" applyProtection="1">
      <alignment horizontal="center" vertical="top"/>
    </xf>
    <xf numFmtId="49" fontId="127" fillId="10" borderId="49" xfId="12" applyNumberFormat="1" applyFont="1" applyFill="1" applyBorder="1" applyAlignment="1" applyProtection="1">
      <alignment horizontal="left" vertical="top" wrapText="1"/>
    </xf>
    <xf numFmtId="49" fontId="127" fillId="10" borderId="50" xfId="12" applyNumberFormat="1" applyFont="1" applyFill="1" applyBorder="1" applyAlignment="1" applyProtection="1">
      <alignment horizontal="left" vertical="top" wrapText="1"/>
    </xf>
    <xf numFmtId="49" fontId="127" fillId="10" borderId="24" xfId="12" applyNumberFormat="1" applyFont="1" applyFill="1" applyBorder="1" applyAlignment="1" applyProtection="1">
      <alignment horizontal="left" vertical="top"/>
    </xf>
    <xf numFmtId="49" fontId="127" fillId="10" borderId="18" xfId="12" quotePrefix="1" applyNumberFormat="1" applyFont="1" applyFill="1" applyBorder="1" applyAlignment="1" applyProtection="1">
      <alignment horizontal="center" vertical="top"/>
    </xf>
    <xf numFmtId="0" fontId="127" fillId="10" borderId="18" xfId="12" applyFont="1" applyFill="1" applyBorder="1" applyAlignment="1" applyProtection="1">
      <alignment horizontal="left" vertical="top"/>
    </xf>
    <xf numFmtId="0" fontId="140" fillId="0" borderId="0" xfId="12" applyNumberFormat="1" applyFont="1" applyAlignment="1" applyProtection="1">
      <alignment horizontal="justify" vertical="top" wrapText="1"/>
    </xf>
    <xf numFmtId="49" fontId="127" fillId="0" borderId="0" xfId="12" applyNumberFormat="1" applyFont="1" applyProtection="1"/>
    <xf numFmtId="49" fontId="127" fillId="0" borderId="0" xfId="12" applyNumberFormat="1" applyFont="1" applyAlignment="1" applyProtection="1">
      <alignment horizontal="left"/>
    </xf>
    <xf numFmtId="49" fontId="127" fillId="0" borderId="0" xfId="12" applyNumberFormat="1" applyFont="1" applyAlignment="1" applyProtection="1">
      <alignment horizontal="center"/>
    </xf>
    <xf numFmtId="0" fontId="127" fillId="0" borderId="0" xfId="12" applyFont="1" applyAlignment="1" applyProtection="1">
      <alignment horizontal="right"/>
    </xf>
    <xf numFmtId="0" fontId="127" fillId="0" borderId="0" xfId="12" applyFont="1" applyAlignment="1" applyProtection="1">
      <alignment horizontal="left"/>
    </xf>
    <xf numFmtId="0" fontId="127" fillId="0" borderId="0" xfId="12" applyFont="1" applyAlignment="1" applyProtection="1">
      <alignment horizontal="center"/>
    </xf>
    <xf numFmtId="0" fontId="86" fillId="0" borderId="0" xfId="0" applyFont="1" applyAlignment="1" applyProtection="1">
      <alignment horizontal="center"/>
    </xf>
    <xf numFmtId="0" fontId="85" fillId="0" borderId="0" xfId="0" applyFont="1" applyAlignment="1" applyProtection="1">
      <alignment horizontal="center"/>
    </xf>
    <xf numFmtId="0" fontId="54" fillId="0" borderId="0" xfId="0" applyFont="1" applyBorder="1" applyAlignment="1" applyProtection="1">
      <alignment horizontal="justify" vertical="top" wrapText="1"/>
    </xf>
    <xf numFmtId="0" fontId="64" fillId="16" borderId="57" xfId="0" applyFont="1" applyFill="1" applyBorder="1" applyAlignment="1" applyProtection="1">
      <alignment horizontal="center" vertical="center"/>
    </xf>
    <xf numFmtId="0" fontId="64" fillId="16" borderId="35" xfId="0" applyFont="1" applyFill="1" applyBorder="1" applyAlignment="1" applyProtection="1">
      <alignment horizontal="center" vertical="center"/>
    </xf>
    <xf numFmtId="0" fontId="50" fillId="5" borderId="36"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7" xfId="0" applyFont="1" applyFill="1" applyBorder="1" applyAlignment="1" applyProtection="1">
      <alignment horizontal="left" vertical="center"/>
    </xf>
    <xf numFmtId="0" fontId="54" fillId="5" borderId="36"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0" fillId="5" borderId="81"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0" fontId="54" fillId="5" borderId="81" xfId="0" applyFont="1" applyFill="1" applyBorder="1" applyAlignment="1" applyProtection="1">
      <alignment horizontal="left" vertical="center"/>
    </xf>
    <xf numFmtId="0" fontId="54" fillId="5" borderId="85" xfId="0"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9" xfId="0" applyFont="1" applyFill="1" applyBorder="1" applyAlignment="1" applyProtection="1">
      <alignment horizontal="left" vertical="center"/>
    </xf>
    <xf numFmtId="0" fontId="54" fillId="5" borderId="13"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0" fontId="54" fillId="5" borderId="3" xfId="0" applyFont="1" applyFill="1" applyBorder="1" applyAlignment="1" applyProtection="1">
      <alignment horizontal="left"/>
    </xf>
    <xf numFmtId="169" fontId="54" fillId="5" borderId="36" xfId="0" applyNumberFormat="1" applyFont="1" applyFill="1" applyBorder="1" applyAlignment="1" applyProtection="1">
      <alignment horizontal="center" vertical="center"/>
    </xf>
    <xf numFmtId="169" fontId="54" fillId="5" borderId="37" xfId="0" applyNumberFormat="1" applyFont="1" applyFill="1" applyBorder="1" applyAlignment="1" applyProtection="1">
      <alignment horizontal="center" vertical="center"/>
    </xf>
    <xf numFmtId="167" fontId="54" fillId="5" borderId="36" xfId="0" applyNumberFormat="1" applyFont="1" applyFill="1" applyBorder="1" applyAlignment="1" applyProtection="1">
      <alignment horizontal="left" vertical="center"/>
    </xf>
    <xf numFmtId="167" fontId="54" fillId="5" borderId="2"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0" fontId="54" fillId="5" borderId="3" xfId="0" applyFont="1" applyFill="1" applyBorder="1" applyAlignment="1" applyProtection="1">
      <alignment horizontal="center" vertical="center"/>
    </xf>
    <xf numFmtId="0" fontId="54" fillId="5" borderId="36"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7" xfId="0" applyNumberFormat="1" applyFont="1" applyFill="1" applyBorder="1" applyAlignment="1" applyProtection="1">
      <alignment horizontal="left" vertical="center"/>
    </xf>
    <xf numFmtId="3" fontId="54" fillId="5" borderId="36"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178" fontId="54" fillId="5" borderId="36"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49" fontId="54" fillId="5" borderId="36" xfId="0" applyNumberFormat="1" applyFont="1" applyFill="1" applyBorder="1" applyAlignment="1" applyProtection="1">
      <alignment horizontal="left" vertical="center"/>
    </xf>
    <xf numFmtId="49" fontId="0" fillId="0" borderId="37" xfId="0" applyNumberFormat="1" applyBorder="1" applyProtection="1"/>
    <xf numFmtId="0" fontId="54" fillId="6" borderId="36" xfId="0" applyNumberFormat="1"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164" fontId="54" fillId="5" borderId="3" xfId="1" applyNumberFormat="1" applyFont="1" applyFill="1" applyBorder="1" applyAlignment="1" applyProtection="1">
      <alignment vertical="center"/>
    </xf>
    <xf numFmtId="0" fontId="54" fillId="5" borderId="12" xfId="0" applyFont="1" applyFill="1" applyBorder="1" applyAlignment="1" applyProtection="1">
      <alignment horizontal="left" vertical="center"/>
    </xf>
    <xf numFmtId="0" fontId="54" fillId="6" borderId="81" xfId="0" applyFont="1" applyFill="1" applyBorder="1" applyAlignment="1" applyProtection="1">
      <alignment horizontal="left" vertical="center"/>
    </xf>
    <xf numFmtId="0" fontId="54" fillId="6" borderId="82" xfId="0" applyFont="1" applyFill="1" applyBorder="1" applyAlignment="1" applyProtection="1">
      <alignment horizontal="left" vertical="center"/>
    </xf>
    <xf numFmtId="1" fontId="54" fillId="5" borderId="36" xfId="1" applyNumberFormat="1" applyFont="1" applyFill="1" applyBorder="1" applyAlignment="1" applyProtection="1">
      <alignment horizontal="center" vertical="center"/>
    </xf>
    <xf numFmtId="1" fontId="54" fillId="5" borderId="37" xfId="1" applyNumberFormat="1" applyFont="1" applyFill="1" applyBorder="1" applyAlignment="1" applyProtection="1">
      <alignment horizontal="center" vertical="center"/>
    </xf>
    <xf numFmtId="38" fontId="54" fillId="5" borderId="36"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8" xfId="0" applyNumberFormat="1" applyFont="1" applyFill="1" applyBorder="1" applyAlignment="1" applyProtection="1">
      <alignment horizontal="left" vertical="center"/>
    </xf>
    <xf numFmtId="38" fontId="54" fillId="5" borderId="84" xfId="0" applyNumberFormat="1" applyFont="1" applyFill="1" applyBorder="1" applyAlignment="1" applyProtection="1">
      <alignment horizontal="left" vertical="center"/>
    </xf>
    <xf numFmtId="38" fontId="54" fillId="5" borderId="81"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38" fontId="54" fillId="5" borderId="1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169" fontId="54" fillId="5" borderId="36"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167" fontId="54" fillId="5" borderId="36"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7" xfId="0" applyNumberFormat="1" applyFont="1" applyFill="1" applyBorder="1" applyAlignment="1" applyProtection="1">
      <alignment horizontal="center" vertical="center"/>
    </xf>
    <xf numFmtId="167" fontId="54" fillId="5" borderId="81" xfId="0" applyNumberFormat="1" applyFont="1" applyFill="1" applyBorder="1" applyAlignment="1" applyProtection="1">
      <alignment horizontal="left" vertical="center"/>
    </xf>
    <xf numFmtId="167" fontId="54" fillId="5" borderId="82" xfId="0" applyNumberFormat="1"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6" xfId="0" applyFont="1" applyFill="1" applyBorder="1" applyAlignment="1" applyProtection="1">
      <alignment horizontal="left"/>
    </xf>
    <xf numFmtId="0" fontId="54" fillId="5" borderId="37" xfId="0" applyFont="1" applyFill="1" applyBorder="1" applyAlignment="1" applyProtection="1">
      <alignment horizontal="left"/>
    </xf>
    <xf numFmtId="0" fontId="54" fillId="5" borderId="81" xfId="0" applyFont="1" applyFill="1" applyBorder="1" applyAlignment="1" applyProtection="1">
      <alignment horizontal="left"/>
    </xf>
    <xf numFmtId="0" fontId="54" fillId="5" borderId="85" xfId="0" applyFont="1" applyFill="1" applyBorder="1" applyAlignment="1" applyProtection="1">
      <alignment horizontal="left"/>
    </xf>
    <xf numFmtId="0" fontId="54" fillId="5" borderId="82" xfId="0" applyFont="1" applyFill="1" applyBorder="1" applyAlignment="1" applyProtection="1">
      <alignment horizontal="left"/>
    </xf>
    <xf numFmtId="175" fontId="54" fillId="5" borderId="36" xfId="0" applyNumberFormat="1" applyFont="1" applyFill="1" applyBorder="1" applyAlignment="1" applyProtection="1">
      <alignment horizontal="left" vertical="center"/>
    </xf>
    <xf numFmtId="175" fontId="54" fillId="5" borderId="37" xfId="0" applyNumberFormat="1" applyFont="1" applyFill="1" applyBorder="1" applyAlignment="1" applyProtection="1">
      <alignment horizontal="left" vertical="center"/>
    </xf>
    <xf numFmtId="0" fontId="54" fillId="0" borderId="2" xfId="0" applyFont="1" applyBorder="1" applyProtection="1"/>
    <xf numFmtId="0" fontId="54" fillId="0" borderId="37" xfId="0" applyFont="1" applyBorder="1" applyProtection="1"/>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0" fontId="50" fillId="5" borderId="52" xfId="0" applyFont="1" applyFill="1" applyBorder="1" applyAlignment="1" applyProtection="1">
      <alignment horizontal="left" vertical="center"/>
    </xf>
    <xf numFmtId="0" fontId="50" fillId="5" borderId="53"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0" fontId="50" fillId="5" borderId="49"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1" fontId="54" fillId="5" borderId="3" xfId="0" applyNumberFormat="1" applyFont="1" applyFill="1" applyBorder="1" applyAlignment="1" applyProtection="1">
      <alignment horizontal="center" vertical="center"/>
    </xf>
    <xf numFmtId="0" fontId="54" fillId="5" borderId="6" xfId="0" applyFont="1" applyFill="1" applyBorder="1" applyAlignment="1" applyProtection="1">
      <alignment horizontal="left" vertical="center"/>
    </xf>
    <xf numFmtId="0" fontId="54" fillId="5" borderId="3" xfId="1" applyNumberFormat="1" applyFont="1" applyFill="1" applyBorder="1" applyAlignment="1" applyProtection="1">
      <alignment horizontal="center" vertical="center"/>
    </xf>
    <xf numFmtId="0" fontId="50" fillId="5" borderId="81" xfId="0" applyFont="1" applyFill="1" applyBorder="1" applyAlignment="1" applyProtection="1">
      <alignment horizontal="center"/>
    </xf>
    <xf numFmtId="0" fontId="50" fillId="5" borderId="82" xfId="0" applyFont="1" applyFill="1" applyBorder="1" applyAlignment="1" applyProtection="1">
      <alignment horizontal="center"/>
    </xf>
    <xf numFmtId="8" fontId="54" fillId="5" borderId="36" xfId="0" applyNumberFormat="1" applyFont="1" applyFill="1" applyBorder="1" applyAlignment="1" applyProtection="1">
      <alignment horizontal="center" vertical="center"/>
    </xf>
    <xf numFmtId="8" fontId="54" fillId="5" borderId="37" xfId="0" applyNumberFormat="1" applyFont="1" applyFill="1" applyBorder="1" applyAlignment="1" applyProtection="1">
      <alignment horizontal="center" vertical="center"/>
    </xf>
    <xf numFmtId="0" fontId="108" fillId="0" borderId="0" xfId="0" applyFont="1" applyBorder="1" applyAlignment="1" applyProtection="1">
      <alignment horizontal="center"/>
    </xf>
    <xf numFmtId="0" fontId="108" fillId="0" borderId="0" xfId="0" applyFont="1" applyAlignment="1" applyProtection="1">
      <alignment horizontal="center"/>
    </xf>
    <xf numFmtId="0" fontId="51" fillId="0" borderId="0" xfId="0" quotePrefix="1" applyNumberFormat="1" applyFont="1" applyProtection="1"/>
    <xf numFmtId="0" fontId="98" fillId="0" borderId="0" xfId="0" applyNumberFormat="1" applyFont="1" applyProtection="1"/>
    <xf numFmtId="0" fontId="98" fillId="0" borderId="0" xfId="0" applyFont="1" applyProtection="1"/>
    <xf numFmtId="0" fontId="124" fillId="0" borderId="0" xfId="0" applyFont="1" applyProtection="1"/>
    <xf numFmtId="0" fontId="124" fillId="0" borderId="0" xfId="0" applyNumberFormat="1" applyFont="1" applyProtection="1"/>
    <xf numFmtId="0" fontId="110" fillId="0" borderId="0" xfId="0" applyNumberFormat="1" applyFont="1" applyProtection="1"/>
    <xf numFmtId="0" fontId="68" fillId="0" borderId="0" xfId="0" applyFont="1" applyFill="1" applyAlignment="1" applyProtection="1">
      <alignment horizontal="center" vertical="center"/>
    </xf>
    <xf numFmtId="0" fontId="54" fillId="5" borderId="81" xfId="0" applyFont="1" applyFill="1" applyBorder="1" applyAlignment="1" applyProtection="1">
      <alignment horizontal="center"/>
    </xf>
    <xf numFmtId="0" fontId="54" fillId="5" borderId="82" xfId="0" applyFont="1" applyFill="1" applyBorder="1" applyAlignment="1" applyProtection="1">
      <alignment horizontal="center"/>
    </xf>
    <xf numFmtId="0" fontId="54" fillId="5" borderId="37" xfId="0" applyFont="1" applyFill="1" applyBorder="1" applyAlignment="1" applyProtection="1">
      <alignment horizontal="center"/>
    </xf>
    <xf numFmtId="0" fontId="54" fillId="0" borderId="14" xfId="0" applyFont="1" applyBorder="1" applyProtection="1"/>
    <xf numFmtId="0" fontId="50" fillId="0" borderId="0" xfId="0" applyFont="1" applyFill="1" applyBorder="1" applyAlignment="1" applyProtection="1">
      <alignment vertical="center"/>
    </xf>
    <xf numFmtId="0" fontId="77" fillId="0" borderId="0" xfId="6" applyFont="1" applyFill="1" applyAlignment="1" applyProtection="1">
      <alignment vertical="center"/>
    </xf>
    <xf numFmtId="0" fontId="135" fillId="0" borderId="0" xfId="6" applyFont="1" applyFill="1" applyBorder="1" applyAlignment="1" applyProtection="1">
      <alignment vertical="center"/>
    </xf>
    <xf numFmtId="167" fontId="54" fillId="0" borderId="13" xfId="0" applyNumberFormat="1" applyFont="1" applyFill="1" applyBorder="1" applyAlignment="1" applyProtection="1">
      <alignment vertical="center"/>
    </xf>
    <xf numFmtId="167" fontId="54" fillId="0" borderId="0" xfId="0" applyNumberFormat="1" applyFont="1" applyFill="1" applyBorder="1" applyAlignment="1" applyProtection="1">
      <alignment vertical="center"/>
    </xf>
    <xf numFmtId="167" fontId="54" fillId="0" borderId="2" xfId="0" applyNumberFormat="1" applyFont="1" applyFill="1" applyBorder="1" applyAlignment="1" applyProtection="1">
      <alignment vertical="center"/>
    </xf>
    <xf numFmtId="1" fontId="54" fillId="0" borderId="0" xfId="0" applyNumberFormat="1" applyFont="1" applyFill="1" applyBorder="1" applyAlignment="1" applyProtection="1">
      <alignment horizontal="center" vertical="center"/>
    </xf>
    <xf numFmtId="0" fontId="54" fillId="0" borderId="0" xfId="0" applyFont="1" applyBorder="1" applyProtection="1"/>
    <xf numFmtId="0" fontId="54" fillId="5" borderId="17" xfId="0" applyFont="1" applyFill="1" applyBorder="1" applyAlignment="1" applyProtection="1">
      <alignment horizontal="center" vertical="center"/>
    </xf>
    <xf numFmtId="0" fontId="54" fillId="5" borderId="30" xfId="0" applyFont="1" applyFill="1" applyBorder="1" applyAlignment="1" applyProtection="1">
      <alignment horizontal="left" vertical="center" wrapText="1"/>
    </xf>
    <xf numFmtId="0" fontId="54" fillId="5" borderId="21" xfId="0" applyFont="1" applyFill="1" applyBorder="1" applyAlignment="1" applyProtection="1">
      <alignment horizontal="left" vertical="center" wrapText="1"/>
    </xf>
    <xf numFmtId="0" fontId="54" fillId="5" borderId="31" xfId="0" applyFont="1" applyFill="1" applyBorder="1" applyAlignment="1" applyProtection="1">
      <alignment horizontal="left" vertical="center" wrapText="1"/>
    </xf>
    <xf numFmtId="0" fontId="54" fillId="5" borderId="18" xfId="0" applyFont="1" applyFill="1" applyBorder="1" applyAlignment="1" applyProtection="1">
      <alignment horizontal="center" vertical="center"/>
    </xf>
    <xf numFmtId="0" fontId="54" fillId="5" borderId="33" xfId="0" applyFont="1" applyFill="1" applyBorder="1" applyAlignment="1" applyProtection="1">
      <alignment horizontal="left" vertical="center" wrapText="1"/>
    </xf>
    <xf numFmtId="0" fontId="54" fillId="5" borderId="59" xfId="0" applyFont="1" applyFill="1" applyBorder="1" applyAlignment="1" applyProtection="1">
      <alignment horizontal="left" vertical="center" wrapText="1"/>
    </xf>
    <xf numFmtId="0" fontId="54"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4" fillId="5" borderId="16" xfId="0" applyFont="1" applyFill="1" applyBorder="1" applyAlignment="1" applyProtection="1">
      <alignment horizontal="center" vertical="center"/>
    </xf>
    <xf numFmtId="0" fontId="54" fillId="5" borderId="28" xfId="0" applyNumberFormat="1" applyFont="1" applyFill="1" applyBorder="1" applyAlignment="1" applyProtection="1">
      <alignment horizontal="center" vertical="center"/>
    </xf>
    <xf numFmtId="0" fontId="54" fillId="5" borderId="29" xfId="0" applyNumberFormat="1" applyFont="1" applyFill="1" applyBorder="1" applyAlignment="1" applyProtection="1">
      <alignment horizontal="center" vertical="center"/>
    </xf>
    <xf numFmtId="174" fontId="54" fillId="5" borderId="28" xfId="10" applyNumberFormat="1" applyFont="1" applyFill="1" applyBorder="1" applyAlignment="1" applyProtection="1">
      <alignment horizontal="right" vertical="center"/>
    </xf>
    <xf numFmtId="174" fontId="54" fillId="5" borderId="29" xfId="0" applyNumberFormat="1" applyFont="1" applyFill="1" applyBorder="1" applyAlignment="1" applyProtection="1">
      <alignment horizontal="right"/>
    </xf>
    <xf numFmtId="0" fontId="54" fillId="5" borderId="17" xfId="0" applyFont="1" applyFill="1" applyBorder="1" applyAlignment="1" applyProtection="1">
      <alignment horizontal="center" vertical="center"/>
    </xf>
    <xf numFmtId="0" fontId="54" fillId="5" borderId="30" xfId="0" applyNumberFormat="1" applyFont="1" applyFill="1" applyBorder="1" applyAlignment="1" applyProtection="1">
      <alignment horizontal="center" vertical="center"/>
    </xf>
    <xf numFmtId="0" fontId="54" fillId="5" borderId="31" xfId="0" applyNumberFormat="1" applyFont="1" applyFill="1" applyBorder="1" applyAlignment="1" applyProtection="1">
      <alignment horizontal="center" vertical="center"/>
    </xf>
    <xf numFmtId="174" fontId="54" fillId="5" borderId="30" xfId="10" applyNumberFormat="1" applyFont="1" applyFill="1" applyBorder="1" applyAlignment="1" applyProtection="1">
      <alignment horizontal="right" vertical="center"/>
    </xf>
    <xf numFmtId="174" fontId="54" fillId="5" borderId="31" xfId="0" applyNumberFormat="1" applyFont="1" applyFill="1" applyBorder="1" applyAlignment="1" applyProtection="1">
      <alignment horizontal="right"/>
    </xf>
    <xf numFmtId="0" fontId="54" fillId="5" borderId="18" xfId="0" applyFont="1" applyFill="1" applyBorder="1" applyAlignment="1" applyProtection="1">
      <alignment horizontal="center" vertical="center"/>
    </xf>
    <xf numFmtId="0" fontId="54" fillId="5" borderId="33" xfId="0" applyNumberFormat="1" applyFont="1" applyFill="1" applyBorder="1" applyAlignment="1" applyProtection="1">
      <alignment horizontal="center" vertical="center"/>
    </xf>
    <xf numFmtId="0" fontId="54" fillId="5" borderId="34" xfId="0" applyNumberFormat="1" applyFont="1" applyFill="1" applyBorder="1" applyAlignment="1" applyProtection="1">
      <alignment horizontal="center" vertical="center"/>
    </xf>
    <xf numFmtId="174" fontId="54" fillId="5" borderId="33" xfId="10" applyNumberFormat="1" applyFont="1" applyFill="1" applyBorder="1" applyAlignment="1" applyProtection="1">
      <alignment horizontal="right" vertical="center"/>
    </xf>
    <xf numFmtId="174" fontId="54" fillId="5" borderId="34" xfId="0" applyNumberFormat="1" applyFont="1" applyFill="1" applyBorder="1" applyAlignment="1" applyProtection="1">
      <alignment horizontal="right"/>
    </xf>
    <xf numFmtId="0" fontId="69" fillId="0" borderId="0" xfId="0" applyFont="1" applyAlignment="1" applyProtection="1">
      <alignment vertical="center"/>
    </xf>
    <xf numFmtId="0" fontId="67" fillId="0" borderId="0" xfId="0" applyFont="1" applyProtection="1"/>
    <xf numFmtId="37" fontId="54" fillId="5" borderId="81" xfId="0" applyNumberFormat="1" applyFont="1" applyFill="1" applyBorder="1" applyAlignment="1" applyProtection="1">
      <alignment horizontal="center" vertical="center"/>
    </xf>
    <xf numFmtId="0" fontId="0" fillId="0" borderId="82" xfId="0" applyBorder="1" applyProtection="1"/>
    <xf numFmtId="0" fontId="50" fillId="13" borderId="44" xfId="0" applyFont="1" applyFill="1" applyBorder="1" applyAlignment="1" applyProtection="1">
      <alignment horizontal="left" vertical="top" wrapText="1"/>
    </xf>
    <xf numFmtId="0" fontId="50" fillId="13" borderId="39" xfId="0" applyFont="1" applyFill="1" applyBorder="1" applyAlignment="1" applyProtection="1">
      <alignment horizontal="left" vertical="top" wrapText="1"/>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1" fillId="10" borderId="81" xfId="0" applyFont="1" applyFill="1" applyBorder="1" applyAlignment="1" applyProtection="1">
      <alignment horizontal="center" vertical="center"/>
    </xf>
    <xf numFmtId="0" fontId="51" fillId="10" borderId="82" xfId="0" applyFont="1" applyFill="1" applyBorder="1" applyAlignment="1" applyProtection="1">
      <alignment horizontal="center" vertical="center"/>
    </xf>
    <xf numFmtId="0" fontId="50" fillId="13" borderId="42" xfId="0" applyFont="1" applyFill="1" applyBorder="1" applyAlignment="1" applyProtection="1">
      <alignment horizontal="left" vertical="top" wrapText="1"/>
    </xf>
    <xf numFmtId="0" fontId="50" fillId="13" borderId="60" xfId="0" applyFont="1" applyFill="1" applyBorder="1" applyAlignment="1" applyProtection="1">
      <alignment horizontal="left" vertical="top" wrapText="1"/>
    </xf>
    <xf numFmtId="164" fontId="54" fillId="5" borderId="36" xfId="1" applyNumberFormat="1" applyFont="1" applyFill="1" applyBorder="1" applyAlignment="1" applyProtection="1">
      <alignment horizontal="right" vertical="center"/>
    </xf>
    <xf numFmtId="164" fontId="54" fillId="5" borderId="37" xfId="1" applyNumberFormat="1" applyFont="1" applyFill="1" applyBorder="1" applyAlignment="1" applyProtection="1">
      <alignment horizontal="right" vertical="center"/>
    </xf>
    <xf numFmtId="166" fontId="54" fillId="5" borderId="36" xfId="10" applyNumberFormat="1" applyFont="1" applyFill="1" applyBorder="1" applyAlignment="1" applyProtection="1">
      <alignment horizontal="center" vertical="center"/>
    </xf>
    <xf numFmtId="166" fontId="54" fillId="5" borderId="37" xfId="10" applyNumberFormat="1" applyFont="1" applyFill="1" applyBorder="1" applyAlignment="1" applyProtection="1">
      <alignment horizontal="center" vertical="center"/>
    </xf>
    <xf numFmtId="3" fontId="54" fillId="5" borderId="36" xfId="1" applyNumberFormat="1" applyFont="1" applyFill="1" applyBorder="1" applyAlignment="1" applyProtection="1">
      <alignment horizontal="center" vertical="center"/>
    </xf>
    <xf numFmtId="3" fontId="54" fillId="5" borderId="37" xfId="1" applyNumberFormat="1" applyFont="1" applyFill="1" applyBorder="1" applyAlignment="1" applyProtection="1">
      <alignment horizontal="center" vertical="center"/>
    </xf>
    <xf numFmtId="3" fontId="54" fillId="5" borderId="36" xfId="0" applyNumberFormat="1" applyFont="1" applyFill="1" applyBorder="1" applyAlignment="1" applyProtection="1">
      <alignment horizontal="center" vertical="center"/>
    </xf>
    <xf numFmtId="3" fontId="54" fillId="5" borderId="37"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38" fontId="62" fillId="11" borderId="36" xfId="2" applyNumberFormat="1" applyFont="1" applyFill="1" applyBorder="1" applyAlignment="1" applyProtection="1">
      <alignment horizontal="right" vertical="center"/>
    </xf>
    <xf numFmtId="38" fontId="62" fillId="11" borderId="37" xfId="2" applyNumberFormat="1" applyFont="1" applyFill="1" applyBorder="1" applyAlignment="1" applyProtection="1">
      <alignment horizontal="right" vertical="center"/>
    </xf>
    <xf numFmtId="0" fontId="54" fillId="0" borderId="13" xfId="0" applyFont="1" applyBorder="1" applyAlignment="1" applyProtection="1">
      <alignment horizontal="center" wrapText="1"/>
    </xf>
    <xf numFmtId="0" fontId="54" fillId="5" borderId="85" xfId="0" applyFont="1" applyFill="1" applyBorder="1" applyAlignment="1" applyProtection="1">
      <alignment vertical="center"/>
    </xf>
    <xf numFmtId="0" fontId="54" fillId="5" borderId="82" xfId="0" applyFont="1" applyFill="1" applyBorder="1" applyAlignment="1" applyProtection="1">
      <alignment vertical="center"/>
    </xf>
    <xf numFmtId="38" fontId="54" fillId="5" borderId="85" xfId="0" applyNumberFormat="1" applyFont="1" applyFill="1" applyBorder="1" applyAlignment="1" applyProtection="1">
      <alignment horizontal="right" vertical="center"/>
    </xf>
    <xf numFmtId="0" fontId="54" fillId="5" borderId="37" xfId="0" applyFont="1" applyFill="1" applyBorder="1" applyAlignment="1" applyProtection="1">
      <alignment vertical="center"/>
    </xf>
    <xf numFmtId="166" fontId="54" fillId="5" borderId="3" xfId="0" applyNumberFormat="1" applyFont="1" applyFill="1" applyBorder="1" applyAlignment="1" applyProtection="1">
      <alignment horizontal="center" vertical="center"/>
    </xf>
    <xf numFmtId="38" fontId="54" fillId="6" borderId="81" xfId="2"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2" fontId="54" fillId="5" borderId="3" xfId="0" applyNumberFormat="1" applyFont="1" applyFill="1" applyBorder="1" applyAlignment="1" applyProtection="1">
      <alignment horizontal="center" vertical="center"/>
    </xf>
    <xf numFmtId="0" fontId="54" fillId="5" borderId="13" xfId="0" applyFont="1" applyFill="1" applyBorder="1" applyAlignment="1" applyProtection="1">
      <alignment vertical="center"/>
    </xf>
    <xf numFmtId="0" fontId="54" fillId="5" borderId="14" xfId="0" applyFont="1" applyFill="1" applyBorder="1" applyAlignment="1" applyProtection="1">
      <alignment vertical="center"/>
    </xf>
    <xf numFmtId="38" fontId="54" fillId="5" borderId="36" xfId="0" applyNumberFormat="1" applyFont="1" applyFill="1" applyBorder="1" applyAlignment="1" applyProtection="1">
      <alignment horizontal="right" vertical="center"/>
    </xf>
    <xf numFmtId="0" fontId="54" fillId="5" borderId="2" xfId="0" applyFont="1" applyFill="1" applyBorder="1" applyAlignment="1" applyProtection="1">
      <alignment vertical="center"/>
    </xf>
    <xf numFmtId="38" fontId="54" fillId="5" borderId="3" xfId="0" applyNumberFormat="1" applyFont="1" applyFill="1" applyBorder="1" applyAlignment="1" applyProtection="1">
      <alignment horizontal="right" vertical="center"/>
    </xf>
    <xf numFmtId="0" fontId="54" fillId="5" borderId="3" xfId="0" applyFont="1" applyFill="1" applyBorder="1" applyAlignment="1" applyProtection="1">
      <alignment vertical="center"/>
    </xf>
    <xf numFmtId="38" fontId="54" fillId="5" borderId="37" xfId="0" applyNumberFormat="1" applyFont="1" applyFill="1" applyBorder="1" applyAlignment="1" applyProtection="1">
      <alignment horizontal="right" vertical="center"/>
    </xf>
    <xf numFmtId="0" fontId="50"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4"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4" fillId="13" borderId="38" xfId="0" applyNumberFormat="1" applyFont="1" applyFill="1" applyBorder="1" applyAlignment="1" applyProtection="1">
      <alignment horizontal="left" vertical="center"/>
    </xf>
    <xf numFmtId="164" fontId="54" fillId="5" borderId="4" xfId="1" applyNumberFormat="1" applyFont="1" applyFill="1" applyBorder="1" applyAlignment="1" applyProtection="1">
      <alignment horizontal="right" vertical="center"/>
    </xf>
    <xf numFmtId="164" fontId="54" fillId="5" borderId="6" xfId="1" applyNumberFormat="1" applyFont="1" applyFill="1" applyBorder="1" applyAlignment="1" applyProtection="1">
      <alignment horizontal="right" vertical="center"/>
    </xf>
    <xf numFmtId="3" fontId="54"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4" fillId="5" borderId="66" xfId="1" applyNumberFormat="1" applyFont="1" applyFill="1" applyBorder="1" applyAlignment="1" applyProtection="1">
      <alignment horizontal="right" vertical="center"/>
    </xf>
    <xf numFmtId="164" fontId="54" fillId="5" borderId="67" xfId="1" applyNumberFormat="1" applyFont="1" applyFill="1" applyBorder="1" applyAlignment="1" applyProtection="1">
      <alignment horizontal="right" vertical="center"/>
    </xf>
    <xf numFmtId="0" fontId="0" fillId="0" borderId="13"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71" fillId="5" borderId="3" xfId="0" applyFont="1" applyFill="1" applyBorder="1" applyAlignment="1" applyProtection="1">
      <alignment horizontal="center" vertical="center"/>
    </xf>
    <xf numFmtId="3" fontId="54"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2" fillId="5" borderId="36" xfId="0" applyNumberFormat="1" applyFont="1" applyFill="1" applyBorder="1" applyAlignment="1" applyProtection="1">
      <alignment horizontal="center" vertical="center"/>
    </xf>
    <xf numFmtId="38" fontId="62" fillId="5" borderId="37" xfId="0" applyNumberFormat="1" applyFont="1" applyFill="1" applyBorder="1" applyAlignment="1" applyProtection="1">
      <alignment horizontal="center" vertical="center"/>
    </xf>
    <xf numFmtId="10" fontId="54" fillId="5" borderId="36"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3" fontId="54" fillId="13" borderId="95" xfId="0" applyNumberFormat="1" applyFont="1" applyFill="1" applyBorder="1" applyAlignment="1" applyProtection="1">
      <alignment vertical="center"/>
    </xf>
    <xf numFmtId="38" fontId="54" fillId="11" borderId="36"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5" xfId="0" applyNumberFormat="1" applyFont="1" applyFill="1" applyBorder="1" applyAlignment="1" applyProtection="1">
      <alignment horizontal="center" vertical="center"/>
    </xf>
    <xf numFmtId="164" fontId="50" fillId="5" borderId="47" xfId="1" applyNumberFormat="1" applyFont="1" applyFill="1" applyBorder="1" applyAlignment="1" applyProtection="1">
      <alignment horizontal="center" vertical="center"/>
    </xf>
    <xf numFmtId="170" fontId="54" fillId="5" borderId="36" xfId="0"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38" fontId="62" fillId="10" borderId="36"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0" fontId="54" fillId="0" borderId="0" xfId="0" applyFont="1" applyAlignment="1" applyProtection="1"/>
    <xf numFmtId="0" fontId="50" fillId="5" borderId="36"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7" xfId="0" applyFont="1" applyBorder="1" applyAlignment="1" applyProtection="1">
      <alignment vertical="top" wrapText="1"/>
    </xf>
    <xf numFmtId="0" fontId="50" fillId="13" borderId="36" xfId="0" applyFont="1" applyFill="1" applyBorder="1" applyAlignment="1" applyProtection="1">
      <alignment vertical="top" wrapText="1"/>
    </xf>
    <xf numFmtId="0" fontId="50" fillId="13" borderId="2" xfId="0" applyFont="1" applyFill="1" applyBorder="1" applyAlignment="1" applyProtection="1">
      <alignment vertical="top" wrapText="1"/>
    </xf>
    <xf numFmtId="0" fontId="50" fillId="13" borderId="37" xfId="0" applyFont="1" applyFill="1" applyBorder="1" applyAlignment="1" applyProtection="1">
      <alignment vertical="top" wrapText="1"/>
    </xf>
    <xf numFmtId="0" fontId="12"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50" fillId="0" borderId="2" xfId="0" applyFont="1" applyBorder="1" applyAlignment="1" applyProtection="1">
      <alignment horizontal="left" vertical="top" wrapText="1"/>
    </xf>
    <xf numFmtId="0" fontId="50" fillId="0" borderId="37"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0" borderId="44" xfId="0" applyFont="1" applyBorder="1" applyAlignment="1" applyProtection="1">
      <alignment horizontal="center" vertical="top"/>
    </xf>
    <xf numFmtId="0" fontId="14" fillId="0" borderId="19" xfId="0" applyFont="1" applyBorder="1" applyAlignment="1" applyProtection="1">
      <alignment horizontal="center" vertical="top"/>
    </xf>
    <xf numFmtId="0" fontId="14" fillId="0" borderId="39" xfId="0" applyFont="1" applyBorder="1" applyAlignment="1" applyProtection="1">
      <alignment horizontal="center" vertical="top"/>
    </xf>
    <xf numFmtId="0" fontId="14" fillId="0" borderId="40" xfId="0" applyFont="1" applyBorder="1" applyAlignment="1" applyProtection="1">
      <alignment horizontal="center" vertical="top"/>
    </xf>
    <xf numFmtId="0" fontId="14" fillId="0" borderId="0" xfId="0" applyFont="1" applyBorder="1" applyAlignment="1" applyProtection="1">
      <alignment horizontal="center" vertical="top"/>
    </xf>
    <xf numFmtId="0" fontId="14" fillId="0" borderId="41" xfId="0" applyFont="1" applyBorder="1" applyAlignment="1" applyProtection="1">
      <alignment horizontal="center" vertical="top"/>
    </xf>
    <xf numFmtId="0" fontId="14" fillId="0" borderId="42" xfId="0" applyFont="1" applyBorder="1" applyAlignment="1" applyProtection="1">
      <alignment horizontal="center" vertical="top"/>
    </xf>
    <xf numFmtId="0" fontId="14" fillId="0" borderId="20" xfId="0" applyFont="1" applyBorder="1" applyAlignment="1" applyProtection="1">
      <alignment horizontal="center" vertical="top"/>
    </xf>
    <xf numFmtId="0" fontId="14" fillId="0" borderId="60" xfId="0" applyFont="1" applyBorder="1" applyAlignment="1" applyProtection="1">
      <alignment horizontal="center" vertical="top"/>
    </xf>
    <xf numFmtId="0" fontId="4" fillId="0" borderId="19" xfId="0" applyFont="1" applyBorder="1" applyAlignment="1" applyProtection="1">
      <alignment horizontal="center" wrapText="1"/>
    </xf>
    <xf numFmtId="0" fontId="91" fillId="0" borderId="13" xfId="0" applyFont="1" applyBorder="1" applyAlignment="1" applyProtection="1">
      <alignment horizontal="justify" vertical="top"/>
    </xf>
    <xf numFmtId="0" fontId="4" fillId="0" borderId="13" xfId="0" applyFont="1" applyBorder="1" applyAlignment="1" applyProtection="1">
      <alignment horizontal="center" wrapText="1"/>
    </xf>
    <xf numFmtId="0" fontId="91" fillId="0" borderId="0" xfId="0" applyFont="1" applyBorder="1" applyAlignment="1" applyProtection="1">
      <alignment horizontal="right" vertical="top" wrapText="1"/>
    </xf>
    <xf numFmtId="0" fontId="4" fillId="0" borderId="0" xfId="0" applyFont="1" applyAlignment="1" applyProtection="1">
      <alignment horizontal="justify" vertical="top"/>
    </xf>
    <xf numFmtId="38" fontId="4" fillId="0" borderId="0" xfId="0" applyNumberFormat="1" applyFont="1" applyAlignment="1" applyProtection="1">
      <alignment horizontal="right" vertical="top" wrapText="1"/>
    </xf>
    <xf numFmtId="0" fontId="4" fillId="0" borderId="13" xfId="0" applyFont="1" applyBorder="1" applyAlignment="1" applyProtection="1">
      <alignment horizontal="justify" vertical="top"/>
    </xf>
    <xf numFmtId="0" fontId="116" fillId="0" borderId="0" xfId="0" applyFont="1" applyAlignment="1" applyProtection="1">
      <alignment horizontal="justify" vertical="top" wrapText="1"/>
    </xf>
    <xf numFmtId="6" fontId="4" fillId="0" borderId="0" xfId="0" applyNumberFormat="1" applyFont="1" applyAlignment="1" applyProtection="1">
      <alignment horizontal="center"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14" fillId="5" borderId="31"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4" fillId="5" borderId="89" xfId="0"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2"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2" xfId="0" applyFont="1" applyFill="1" applyBorder="1" applyAlignment="1" applyProtection="1">
      <alignment horizontal="left" vertical="center"/>
    </xf>
    <xf numFmtId="176" fontId="3"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176" fontId="4" fillId="10" borderId="87" xfId="0" applyNumberFormat="1" applyFont="1" applyFill="1" applyBorder="1" applyAlignment="1" applyProtection="1">
      <alignment horizontal="center"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1" fillId="10" borderId="81" xfId="0" applyFont="1" applyFill="1" applyBorder="1" applyAlignment="1" applyProtection="1">
      <alignment horizontal="center"/>
    </xf>
    <xf numFmtId="0" fontId="51" fillId="10" borderId="85" xfId="0" applyFont="1" applyFill="1" applyBorder="1" applyAlignment="1" applyProtection="1">
      <alignment horizontal="center"/>
    </xf>
    <xf numFmtId="0" fontId="51"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6" xfId="0" applyNumberFormat="1" applyFont="1" applyFill="1" applyBorder="1" applyAlignment="1" applyProtection="1">
      <alignment horizontal="left" vertical="center"/>
    </xf>
    <xf numFmtId="175" fontId="14" fillId="5" borderId="2" xfId="0" applyNumberFormat="1" applyFont="1" applyFill="1" applyBorder="1" applyAlignment="1" applyProtection="1">
      <alignment horizontal="left" vertical="center"/>
    </xf>
    <xf numFmtId="175" fontId="14" fillId="5" borderId="37" xfId="0" applyNumberFormat="1" applyFont="1" applyFill="1" applyBorder="1" applyAlignment="1" applyProtection="1">
      <alignment horizontal="left" vertical="center"/>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4" fillId="5" borderId="81" xfId="0" applyFont="1" applyFill="1" applyBorder="1" applyAlignment="1" applyProtection="1">
      <alignment horizontal="center"/>
    </xf>
    <xf numFmtId="0" fontId="14" fillId="5" borderId="85" xfId="0" applyFont="1" applyFill="1" applyBorder="1" applyAlignment="1" applyProtection="1">
      <alignment horizontal="center"/>
    </xf>
    <xf numFmtId="0" fontId="14" fillId="5" borderId="82" xfId="0" applyFont="1" applyFill="1" applyBorder="1" applyAlignment="1" applyProtection="1">
      <alignment horizontal="center"/>
    </xf>
    <xf numFmtId="0" fontId="4" fillId="7" borderId="0" xfId="0" applyFont="1" applyFill="1" applyProtection="1"/>
    <xf numFmtId="0" fontId="108" fillId="7" borderId="0" xfId="0" applyFont="1" applyFill="1" applyProtection="1"/>
    <xf numFmtId="0" fontId="146" fillId="0" borderId="0" xfId="0" applyFont="1" applyProtection="1"/>
    <xf numFmtId="38" fontId="8" fillId="5" borderId="1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1" fontId="4" fillId="5" borderId="16" xfId="0" applyNumberFormat="1" applyFont="1" applyFill="1" applyBorder="1" applyAlignment="1" applyProtection="1">
      <alignment horizontal="center" vertical="center"/>
    </xf>
    <xf numFmtId="1" fontId="4" fillId="5" borderId="18"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0" fontId="8" fillId="5" borderId="17" xfId="0" applyFont="1" applyFill="1" applyBorder="1" applyAlignment="1" applyProtection="1">
      <alignment horizontal="center" vertical="top"/>
    </xf>
    <xf numFmtId="0" fontId="8" fillId="5" borderId="17" xfId="0" applyFont="1" applyFill="1" applyBorder="1" applyAlignment="1" applyProtection="1">
      <alignment horizontal="center" vertical="center"/>
    </xf>
    <xf numFmtId="0" fontId="8" fillId="5" borderId="18" xfId="0" applyFont="1" applyFill="1" applyBorder="1" applyAlignment="1" applyProtection="1">
      <alignment horizontal="center" vertical="center"/>
    </xf>
    <xf numFmtId="0" fontId="8" fillId="5" borderId="89" xfId="0" applyFont="1" applyFill="1" applyBorder="1" applyAlignment="1" applyProtection="1">
      <alignment horizontal="center" vertical="center"/>
    </xf>
    <xf numFmtId="0" fontId="8" fillId="5" borderId="3" xfId="0" applyFont="1" applyFill="1" applyBorder="1" applyAlignment="1" applyProtection="1">
      <alignment horizontal="center" vertical="center"/>
    </xf>
    <xf numFmtId="0" fontId="7" fillId="5" borderId="2" xfId="0" applyFont="1" applyFill="1" applyBorder="1" applyAlignment="1" applyProtection="1">
      <alignment horizontal="left" vertical="center"/>
    </xf>
    <xf numFmtId="0" fontId="7" fillId="5" borderId="37" xfId="0" applyFont="1" applyFill="1" applyBorder="1" applyAlignment="1" applyProtection="1">
      <alignment horizontal="left" vertical="center"/>
    </xf>
    <xf numFmtId="0" fontId="7" fillId="5" borderId="36" xfId="0" applyFont="1" applyFill="1" applyBorder="1" applyAlignment="1" applyProtection="1">
      <alignment horizontal="left" vertical="center"/>
    </xf>
    <xf numFmtId="0" fontId="50" fillId="5" borderId="85" xfId="0"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16" xfId="0" applyNumberFormat="1" applyFont="1" applyFill="1" applyBorder="1" applyProtection="1"/>
    <xf numFmtId="0" fontId="4" fillId="10" borderId="17" xfId="0" applyFont="1" applyFill="1" applyBorder="1" applyProtection="1"/>
    <xf numFmtId="10" fontId="4" fillId="10" borderId="18" xfId="0" applyNumberFormat="1" applyFont="1" applyFill="1" applyBorder="1" applyAlignment="1" applyProtection="1">
      <alignment horizontal="center"/>
    </xf>
    <xf numFmtId="0" fontId="130" fillId="5" borderId="81" xfId="0" applyFont="1" applyFill="1" applyBorder="1" applyAlignment="1" applyProtection="1">
      <alignment horizontal="center" vertical="center"/>
    </xf>
    <xf numFmtId="0" fontId="130" fillId="5" borderId="85" xfId="0" applyFont="1" applyFill="1" applyBorder="1" applyAlignment="1" applyProtection="1">
      <alignment horizontal="center" vertical="center"/>
    </xf>
    <xf numFmtId="0" fontId="130" fillId="5" borderId="82" xfId="0" applyFont="1" applyFill="1" applyBorder="1" applyAlignment="1" applyProtection="1">
      <alignment horizontal="center" vertical="center"/>
    </xf>
    <xf numFmtId="0" fontId="51" fillId="5" borderId="81" xfId="0" applyFont="1" applyFill="1" applyBorder="1" applyAlignment="1" applyProtection="1">
      <alignment horizontal="left" vertical="center" wrapText="1"/>
    </xf>
    <xf numFmtId="0" fontId="51" fillId="5" borderId="85" xfId="0" applyFont="1" applyFill="1" applyBorder="1" applyAlignment="1" applyProtection="1">
      <alignment horizontal="left" vertical="center" wrapText="1"/>
    </xf>
    <xf numFmtId="0" fontId="51" fillId="5" borderId="82" xfId="0" applyFont="1" applyFill="1" applyBorder="1" applyAlignment="1" applyProtection="1">
      <alignment horizontal="left" vertical="center" wrapText="1"/>
    </xf>
    <xf numFmtId="176" fontId="50" fillId="5" borderId="87" xfId="0" applyNumberFormat="1" applyFont="1" applyFill="1" applyBorder="1" applyAlignment="1" applyProtection="1">
      <alignment horizontal="left" vertical="center"/>
    </xf>
    <xf numFmtId="176" fontId="50" fillId="5" borderId="81" xfId="0" applyNumberFormat="1" applyFont="1" applyFill="1" applyBorder="1" applyAlignment="1" applyProtection="1">
      <alignment horizontal="left" vertical="center"/>
    </xf>
    <xf numFmtId="176" fontId="50" fillId="5" borderId="82" xfId="0" applyNumberFormat="1" applyFont="1" applyFill="1" applyBorder="1" applyAlignment="1" applyProtection="1">
      <alignment horizontal="left" vertical="center"/>
    </xf>
    <xf numFmtId="0" fontId="51" fillId="10" borderId="81" xfId="0" applyFont="1" applyFill="1" applyBorder="1" applyAlignment="1" applyProtection="1">
      <alignment horizontal="left"/>
    </xf>
    <xf numFmtId="0" fontId="51" fillId="10" borderId="82" xfId="0" applyFont="1" applyFill="1" applyBorder="1" applyAlignment="1" applyProtection="1">
      <alignment horizontal="left"/>
    </xf>
    <xf numFmtId="0" fontId="51" fillId="10" borderId="22" xfId="0" applyFont="1" applyFill="1" applyBorder="1" applyAlignment="1" applyProtection="1">
      <alignment horizontal="left" vertical="center"/>
    </xf>
    <xf numFmtId="0" fontId="51" fillId="10" borderId="17" xfId="0" applyFont="1" applyFill="1" applyBorder="1" applyAlignment="1" applyProtection="1">
      <alignment horizontal="left" vertical="center"/>
    </xf>
    <xf numFmtId="0" fontId="51" fillId="10" borderId="18" xfId="0" applyFont="1" applyFill="1" applyBorder="1" applyAlignment="1" applyProtection="1">
      <alignment horizontal="left" vertical="center"/>
    </xf>
    <xf numFmtId="0" fontId="51" fillId="10" borderId="16" xfId="0" applyFont="1" applyFill="1" applyBorder="1" applyAlignment="1" applyProtection="1">
      <alignment horizontal="left" vertical="center"/>
    </xf>
    <xf numFmtId="0" fontId="13" fillId="5" borderId="3" xfId="0" applyFont="1" applyFill="1" applyBorder="1" applyAlignment="1" applyProtection="1">
      <alignment horizontal="center"/>
    </xf>
    <xf numFmtId="0" fontId="4" fillId="5" borderId="36" xfId="0" applyFont="1" applyFill="1" applyBorder="1" applyAlignment="1" applyProtection="1">
      <alignment horizontal="center"/>
    </xf>
    <xf numFmtId="0" fontId="7" fillId="5" borderId="2" xfId="0" applyFont="1" applyFill="1" applyBorder="1" applyAlignment="1" applyProtection="1">
      <alignment horizontal="center"/>
    </xf>
    <xf numFmtId="0" fontId="7" fillId="5" borderId="37" xfId="0" applyFont="1" applyFill="1" applyBorder="1" applyAlignment="1" applyProtection="1">
      <alignment horizontal="center"/>
    </xf>
    <xf numFmtId="0" fontId="4" fillId="5" borderId="89" xfId="0" applyFont="1" applyFill="1" applyBorder="1" applyAlignment="1" applyProtection="1">
      <alignment horizontal="center" vertical="center"/>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0" borderId="26" xfId="0" applyNumberFormat="1" applyFont="1" applyFill="1" applyBorder="1" applyAlignment="1" applyProtection="1">
      <alignment horizontal="center" vertical="center"/>
    </xf>
    <xf numFmtId="3" fontId="4" fillId="10" borderId="32"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3" fontId="4" fillId="5" borderId="36" xfId="0" applyNumberFormat="1" applyFont="1" applyFill="1" applyBorder="1" applyAlignment="1" applyProtection="1">
      <alignment horizontal="left" vertical="center" wrapText="1"/>
    </xf>
    <xf numFmtId="3" fontId="4" fillId="5" borderId="37" xfId="0" applyNumberFormat="1" applyFont="1" applyFill="1" applyBorder="1" applyAlignment="1" applyProtection="1">
      <alignment horizontal="left" vertical="center" wrapText="1"/>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51"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8" fillId="5" borderId="87" xfId="0" applyFont="1" applyFill="1" applyBorder="1" applyAlignment="1" applyProtection="1">
      <alignment horizontal="center" vertical="center"/>
    </xf>
    <xf numFmtId="0" fontId="4" fillId="10" borderId="81" xfId="0" applyFont="1" applyFill="1" applyBorder="1" applyAlignment="1" applyProtection="1">
      <alignment horizontal="left"/>
    </xf>
    <xf numFmtId="0" fontId="4" fillId="10" borderId="85" xfId="0" applyFont="1" applyFill="1" applyBorder="1" applyAlignment="1" applyProtection="1">
      <alignment horizontal="left"/>
    </xf>
    <xf numFmtId="0" fontId="4" fillId="10" borderId="82" xfId="0" applyFont="1" applyFill="1" applyBorder="1" applyAlignment="1" applyProtection="1">
      <alignment horizontal="left"/>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8" fillId="10" borderId="16" xfId="0" applyFont="1" applyFill="1" applyBorder="1" applyAlignment="1" applyProtection="1">
      <alignment horizontal="center" vertical="top"/>
    </xf>
    <xf numFmtId="0" fontId="8" fillId="10" borderId="18" xfId="0" applyFont="1" applyFill="1" applyBorder="1" applyAlignment="1" applyProtection="1">
      <alignment horizontal="center" vertical="top"/>
    </xf>
    <xf numFmtId="0" fontId="8" fillId="10" borderId="89" xfId="0"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89" xfId="0" applyFont="1" applyFill="1" applyBorder="1" applyAlignment="1" applyProtection="1">
      <alignment horizontal="center" vertical="center" wrapText="1"/>
    </xf>
    <xf numFmtId="10" fontId="4" fillId="10" borderId="52" xfId="0" applyNumberFormat="1" applyFont="1" applyFill="1" applyBorder="1" applyAlignment="1" applyProtection="1">
      <alignment horizontal="center" vertical="center" wrapText="1"/>
    </xf>
    <xf numFmtId="10" fontId="4" fillId="10" borderId="23" xfId="0" applyNumberFormat="1" applyFont="1" applyFill="1" applyBorder="1" applyAlignment="1" applyProtection="1">
      <alignment horizontal="center" vertical="center" wrapText="1"/>
    </xf>
    <xf numFmtId="10" fontId="4" fillId="10" borderId="51" xfId="0" applyNumberFormat="1" applyFont="1" applyFill="1" applyBorder="1" applyAlignment="1" applyProtection="1">
      <alignment horizontal="center" vertical="center" wrapText="1"/>
    </xf>
    <xf numFmtId="10" fontId="4" fillId="10" borderId="25" xfId="0" applyNumberFormat="1" applyFont="1" applyFill="1" applyBorder="1" applyAlignment="1" applyProtection="1">
      <alignment horizontal="center" vertical="center" wrapText="1"/>
    </xf>
    <xf numFmtId="10" fontId="4" fillId="10" borderId="51" xfId="0" applyNumberFormat="1" applyFont="1" applyFill="1" applyBorder="1" applyAlignment="1" applyProtection="1">
      <alignment horizontal="center" vertical="center"/>
    </xf>
    <xf numFmtId="10" fontId="4" fillId="10" borderId="25" xfId="0" applyNumberFormat="1" applyFont="1" applyFill="1" applyBorder="1" applyAlignment="1" applyProtection="1">
      <alignment horizontal="center" vertical="center"/>
    </xf>
    <xf numFmtId="10" fontId="4" fillId="10" borderId="49" xfId="0" applyNumberFormat="1" applyFont="1" applyFill="1" applyBorder="1" applyAlignment="1" applyProtection="1">
      <alignment horizontal="center" vertical="center" wrapText="1"/>
    </xf>
    <xf numFmtId="10" fontId="4" fillId="10" borderId="2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4" fillId="0" borderId="95"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14" fillId="0" borderId="96" xfId="0" applyFont="1" applyBorder="1" applyAlignment="1" applyProtection="1">
      <alignment horizontal="center" vertical="top" wrapText="1"/>
    </xf>
    <xf numFmtId="0" fontId="4" fillId="0" borderId="96" xfId="0" applyFont="1" applyBorder="1" applyAlignment="1" applyProtection="1">
      <alignment horizontal="center" vertical="top" wrapText="1"/>
    </xf>
    <xf numFmtId="3" fontId="4" fillId="0" borderId="38" xfId="0" applyNumberFormat="1" applyFont="1" applyBorder="1" applyAlignment="1" applyProtection="1">
      <alignment horizontal="center" vertical="center" wrapText="1"/>
    </xf>
    <xf numFmtId="3" fontId="4" fillId="0" borderId="38" xfId="0" applyNumberFormat="1" applyFont="1" applyBorder="1" applyAlignment="1" applyProtection="1">
      <alignment horizontal="center" vertical="center" wrapText="1"/>
    </xf>
    <xf numFmtId="3" fontId="8" fillId="5" borderId="18" xfId="0" applyNumberFormat="1" applyFont="1" applyFill="1" applyBorder="1" applyAlignment="1" applyProtection="1">
      <alignment horizontal="center" vertical="center"/>
    </xf>
    <xf numFmtId="0" fontId="118" fillId="0" borderId="89" xfId="0" applyFont="1" applyBorder="1" applyAlignment="1" applyProtection="1">
      <alignment horizont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9" fillId="0" borderId="0" xfId="13" applyFont="1" applyAlignment="1" applyProtection="1">
      <alignment vertical="top"/>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Alignment="1" applyProtection="1">
      <alignment horizontal="center"/>
    </xf>
  </cellXfs>
  <cellStyles count="55949">
    <cellStyle name="Comma" xfId="1" builtinId="3"/>
    <cellStyle name="Currency" xfId="2" builtinId="4"/>
    <cellStyle name="Grey" xfId="3"/>
    <cellStyle name="Header1" xfId="4"/>
    <cellStyle name="Header2" xfId="5"/>
    <cellStyle name="Header2 2" xfId="42"/>
    <cellStyle name="Header2 2 10" xfId="80"/>
    <cellStyle name="Header2 2 10 10" xfId="581"/>
    <cellStyle name="Header2 2 10 10 10" xfId="7150"/>
    <cellStyle name="Header2 2 10 10 10 2" xfId="18347"/>
    <cellStyle name="Header2 2 10 10 10 3" xfId="29515"/>
    <cellStyle name="Header2 2 10 10 10 4" xfId="40680"/>
    <cellStyle name="Header2 2 10 10 10 5" xfId="51873"/>
    <cellStyle name="Header2 2 10 10 11" xfId="7784"/>
    <cellStyle name="Header2 2 10 10 11 2" xfId="18981"/>
    <cellStyle name="Header2 2 10 10 11 3" xfId="30149"/>
    <cellStyle name="Header2 2 10 10 11 4" xfId="41314"/>
    <cellStyle name="Header2 2 10 10 11 5" xfId="52507"/>
    <cellStyle name="Header2 2 10 10 12" xfId="8418"/>
    <cellStyle name="Header2 2 10 10 12 2" xfId="19615"/>
    <cellStyle name="Header2 2 10 10 12 3" xfId="30783"/>
    <cellStyle name="Header2 2 10 10 12 4" xfId="41948"/>
    <cellStyle name="Header2 2 10 10 12 5" xfId="53141"/>
    <cellStyle name="Header2 2 10 10 13" xfId="9469"/>
    <cellStyle name="Header2 2 10 10 13 2" xfId="20666"/>
    <cellStyle name="Header2 2 10 10 13 3" xfId="31834"/>
    <cellStyle name="Header2 2 10 10 13 4" xfId="42999"/>
    <cellStyle name="Header2 2 10 10 13 5" xfId="54192"/>
    <cellStyle name="Header2 2 10 10 14" xfId="10302"/>
    <cellStyle name="Header2 2 10 10 14 2" xfId="21499"/>
    <cellStyle name="Header2 2 10 10 14 3" xfId="32667"/>
    <cellStyle name="Header2 2 10 10 14 4" xfId="43832"/>
    <cellStyle name="Header2 2 10 10 14 5" xfId="55025"/>
    <cellStyle name="Header2 2 10 10 15" xfId="11134"/>
    <cellStyle name="Header2 2 10 10 15 2" xfId="22331"/>
    <cellStyle name="Header2 2 10 10 15 3" xfId="33499"/>
    <cellStyle name="Header2 2 10 10 15 4" xfId="44664"/>
    <cellStyle name="Header2 2 10 10 15 5" xfId="55857"/>
    <cellStyle name="Header2 2 10 10 16" xfId="11781"/>
    <cellStyle name="Header2 2 10 10 17" xfId="22951"/>
    <cellStyle name="Header2 2 10 10 18" xfId="34118"/>
    <cellStyle name="Header2 2 10 10 19" xfId="45304"/>
    <cellStyle name="Header2 2 10 10 2" xfId="1230"/>
    <cellStyle name="Header2 2 10 10 2 2" xfId="12427"/>
    <cellStyle name="Header2 2 10 10 2 3" xfId="23595"/>
    <cellStyle name="Header2 2 10 10 2 4" xfId="34760"/>
    <cellStyle name="Header2 2 10 10 2 5" xfId="45953"/>
    <cellStyle name="Header2 2 10 10 3" xfId="1687"/>
    <cellStyle name="Header2 2 10 10 3 2" xfId="12884"/>
    <cellStyle name="Header2 2 10 10 3 3" xfId="24052"/>
    <cellStyle name="Header2 2 10 10 3 4" xfId="35217"/>
    <cellStyle name="Header2 2 10 10 3 5" xfId="46410"/>
    <cellStyle name="Header2 2 10 10 4" xfId="2931"/>
    <cellStyle name="Header2 2 10 10 4 2" xfId="14128"/>
    <cellStyle name="Header2 2 10 10 4 3" xfId="25296"/>
    <cellStyle name="Header2 2 10 10 4 4" xfId="36461"/>
    <cellStyle name="Header2 2 10 10 4 5" xfId="47654"/>
    <cellStyle name="Header2 2 10 10 5" xfId="3565"/>
    <cellStyle name="Header2 2 10 10 5 2" xfId="14762"/>
    <cellStyle name="Header2 2 10 10 5 3" xfId="25930"/>
    <cellStyle name="Header2 2 10 10 5 4" xfId="37095"/>
    <cellStyle name="Header2 2 10 10 5 5" xfId="48288"/>
    <cellStyle name="Header2 2 10 10 6" xfId="4199"/>
    <cellStyle name="Header2 2 10 10 6 2" xfId="15396"/>
    <cellStyle name="Header2 2 10 10 6 3" xfId="26564"/>
    <cellStyle name="Header2 2 10 10 6 4" xfId="37729"/>
    <cellStyle name="Header2 2 10 10 6 5" xfId="48922"/>
    <cellStyle name="Header2 2 10 10 7" xfId="4832"/>
    <cellStyle name="Header2 2 10 10 7 2" xfId="16029"/>
    <cellStyle name="Header2 2 10 10 7 3" xfId="27197"/>
    <cellStyle name="Header2 2 10 10 7 4" xfId="38362"/>
    <cellStyle name="Header2 2 10 10 7 5" xfId="49555"/>
    <cellStyle name="Header2 2 10 10 8" xfId="5463"/>
    <cellStyle name="Header2 2 10 10 8 2" xfId="16660"/>
    <cellStyle name="Header2 2 10 10 8 3" xfId="27828"/>
    <cellStyle name="Header2 2 10 10 8 4" xfId="38993"/>
    <cellStyle name="Header2 2 10 10 8 5" xfId="50186"/>
    <cellStyle name="Header2 2 10 10 9" xfId="6517"/>
    <cellStyle name="Header2 2 10 10 9 2" xfId="17714"/>
    <cellStyle name="Header2 2 10 10 9 3" xfId="28882"/>
    <cellStyle name="Header2 2 10 10 9 4" xfId="40047"/>
    <cellStyle name="Header2 2 10 10 9 5" xfId="51240"/>
    <cellStyle name="Header2 2 10 11" xfId="647"/>
    <cellStyle name="Header2 2 10 11 10" xfId="7216"/>
    <cellStyle name="Header2 2 10 11 10 2" xfId="18413"/>
    <cellStyle name="Header2 2 10 11 10 3" xfId="29581"/>
    <cellStyle name="Header2 2 10 11 10 4" xfId="40746"/>
    <cellStyle name="Header2 2 10 11 10 5" xfId="51939"/>
    <cellStyle name="Header2 2 10 11 11" xfId="7850"/>
    <cellStyle name="Header2 2 10 11 11 2" xfId="19047"/>
    <cellStyle name="Header2 2 10 11 11 3" xfId="30215"/>
    <cellStyle name="Header2 2 10 11 11 4" xfId="41380"/>
    <cellStyle name="Header2 2 10 11 11 5" xfId="52573"/>
    <cellStyle name="Header2 2 10 11 12" xfId="8484"/>
    <cellStyle name="Header2 2 10 11 12 2" xfId="19681"/>
    <cellStyle name="Header2 2 10 11 12 3" xfId="30849"/>
    <cellStyle name="Header2 2 10 11 12 4" xfId="42014"/>
    <cellStyle name="Header2 2 10 11 12 5" xfId="53207"/>
    <cellStyle name="Header2 2 10 11 13" xfId="9535"/>
    <cellStyle name="Header2 2 10 11 13 2" xfId="20732"/>
    <cellStyle name="Header2 2 10 11 13 3" xfId="31900"/>
    <cellStyle name="Header2 2 10 11 13 4" xfId="43065"/>
    <cellStyle name="Header2 2 10 11 13 5" xfId="54258"/>
    <cellStyle name="Header2 2 10 11 14" xfId="10341"/>
    <cellStyle name="Header2 2 10 11 14 2" xfId="21538"/>
    <cellStyle name="Header2 2 10 11 14 3" xfId="32706"/>
    <cellStyle name="Header2 2 10 11 14 4" xfId="43871"/>
    <cellStyle name="Header2 2 10 11 14 5" xfId="55064"/>
    <cellStyle name="Header2 2 10 11 15" xfId="11200"/>
    <cellStyle name="Header2 2 10 11 15 2" xfId="22397"/>
    <cellStyle name="Header2 2 10 11 15 3" xfId="33565"/>
    <cellStyle name="Header2 2 10 11 15 4" xfId="44730"/>
    <cellStyle name="Header2 2 10 11 15 5" xfId="55923"/>
    <cellStyle name="Header2 2 10 11 16" xfId="11847"/>
    <cellStyle name="Header2 2 10 11 17" xfId="23017"/>
    <cellStyle name="Header2 2 10 11 18" xfId="34184"/>
    <cellStyle name="Header2 2 10 11 19" xfId="45370"/>
    <cellStyle name="Header2 2 10 11 2" xfId="1296"/>
    <cellStyle name="Header2 2 10 11 2 2" xfId="12493"/>
    <cellStyle name="Header2 2 10 11 2 3" xfId="23661"/>
    <cellStyle name="Header2 2 10 11 2 4" xfId="34826"/>
    <cellStyle name="Header2 2 10 11 2 5" xfId="46019"/>
    <cellStyle name="Header2 2 10 11 3" xfId="1603"/>
    <cellStyle name="Header2 2 10 11 3 2" xfId="12800"/>
    <cellStyle name="Header2 2 10 11 3 3" xfId="23968"/>
    <cellStyle name="Header2 2 10 11 3 4" xfId="35133"/>
    <cellStyle name="Header2 2 10 11 3 5" xfId="46326"/>
    <cellStyle name="Header2 2 10 11 4" xfId="2997"/>
    <cellStyle name="Header2 2 10 11 4 2" xfId="14194"/>
    <cellStyle name="Header2 2 10 11 4 3" xfId="25362"/>
    <cellStyle name="Header2 2 10 11 4 4" xfId="36527"/>
    <cellStyle name="Header2 2 10 11 4 5" xfId="47720"/>
    <cellStyle name="Header2 2 10 11 5" xfId="3631"/>
    <cellStyle name="Header2 2 10 11 5 2" xfId="14828"/>
    <cellStyle name="Header2 2 10 11 5 3" xfId="25996"/>
    <cellStyle name="Header2 2 10 11 5 4" xfId="37161"/>
    <cellStyle name="Header2 2 10 11 5 5" xfId="48354"/>
    <cellStyle name="Header2 2 10 11 6" xfId="4265"/>
    <cellStyle name="Header2 2 10 11 6 2" xfId="15462"/>
    <cellStyle name="Header2 2 10 11 6 3" xfId="26630"/>
    <cellStyle name="Header2 2 10 11 6 4" xfId="37795"/>
    <cellStyle name="Header2 2 10 11 6 5" xfId="48988"/>
    <cellStyle name="Header2 2 10 11 7" xfId="4898"/>
    <cellStyle name="Header2 2 10 11 7 2" xfId="16095"/>
    <cellStyle name="Header2 2 10 11 7 3" xfId="27263"/>
    <cellStyle name="Header2 2 10 11 7 4" xfId="38428"/>
    <cellStyle name="Header2 2 10 11 7 5" xfId="49621"/>
    <cellStyle name="Header2 2 10 11 8" xfId="5529"/>
    <cellStyle name="Header2 2 10 11 8 2" xfId="16726"/>
    <cellStyle name="Header2 2 10 11 8 3" xfId="27894"/>
    <cellStyle name="Header2 2 10 11 8 4" xfId="39059"/>
    <cellStyle name="Header2 2 10 11 8 5" xfId="50252"/>
    <cellStyle name="Header2 2 10 11 9" xfId="6583"/>
    <cellStyle name="Header2 2 10 11 9 2" xfId="17780"/>
    <cellStyle name="Header2 2 10 11 9 3" xfId="28948"/>
    <cellStyle name="Header2 2 10 11 9 4" xfId="40113"/>
    <cellStyle name="Header2 2 10 11 9 5" xfId="51306"/>
    <cellStyle name="Header2 2 10 12" xfId="729"/>
    <cellStyle name="Header2 2 10 12 2" xfId="11927"/>
    <cellStyle name="Header2 2 10 12 3" xfId="23095"/>
    <cellStyle name="Header2 2 10 12 4" xfId="34260"/>
    <cellStyle name="Header2 2 10 12 5" xfId="45452"/>
    <cellStyle name="Header2 2 10 13" xfId="1607"/>
    <cellStyle name="Header2 2 10 13 2" xfId="12804"/>
    <cellStyle name="Header2 2 10 13 3" xfId="23972"/>
    <cellStyle name="Header2 2 10 13 4" xfId="35137"/>
    <cellStyle name="Header2 2 10 13 5" xfId="46330"/>
    <cellStyle name="Header2 2 10 14" xfId="1965"/>
    <cellStyle name="Header2 2 10 14 2" xfId="13162"/>
    <cellStyle name="Header2 2 10 14 3" xfId="24330"/>
    <cellStyle name="Header2 2 10 14 4" xfId="35495"/>
    <cellStyle name="Header2 2 10 14 5" xfId="46688"/>
    <cellStyle name="Header2 2 10 15" xfId="3064"/>
    <cellStyle name="Header2 2 10 15 2" xfId="14261"/>
    <cellStyle name="Header2 2 10 15 3" xfId="25429"/>
    <cellStyle name="Header2 2 10 15 4" xfId="36594"/>
    <cellStyle name="Header2 2 10 15 5" xfId="47787"/>
    <cellStyle name="Header2 2 10 16" xfId="3698"/>
    <cellStyle name="Header2 2 10 16 2" xfId="14895"/>
    <cellStyle name="Header2 2 10 16 3" xfId="26063"/>
    <cellStyle name="Header2 2 10 16 4" xfId="37228"/>
    <cellStyle name="Header2 2 10 16 5" xfId="48421"/>
    <cellStyle name="Header2 2 10 17" xfId="4331"/>
    <cellStyle name="Header2 2 10 17 2" xfId="15528"/>
    <cellStyle name="Header2 2 10 17 3" xfId="26696"/>
    <cellStyle name="Header2 2 10 17 4" xfId="37861"/>
    <cellStyle name="Header2 2 10 17 5" xfId="49054"/>
    <cellStyle name="Header2 2 10 18" xfId="4963"/>
    <cellStyle name="Header2 2 10 18 2" xfId="16160"/>
    <cellStyle name="Header2 2 10 18 3" xfId="27328"/>
    <cellStyle name="Header2 2 10 18 4" xfId="38493"/>
    <cellStyle name="Header2 2 10 18 5" xfId="49686"/>
    <cellStyle name="Header2 2 10 19" xfId="5717"/>
    <cellStyle name="Header2 2 10 19 2" xfId="16914"/>
    <cellStyle name="Header2 2 10 19 3" xfId="28082"/>
    <cellStyle name="Header2 2 10 19 4" xfId="39247"/>
    <cellStyle name="Header2 2 10 19 5" xfId="50440"/>
    <cellStyle name="Header2 2 10 2" xfId="144"/>
    <cellStyle name="Header2 2 10 2 10" xfId="6713"/>
    <cellStyle name="Header2 2 10 2 10 2" xfId="17910"/>
    <cellStyle name="Header2 2 10 2 10 3" xfId="29078"/>
    <cellStyle name="Header2 2 10 2 10 4" xfId="40243"/>
    <cellStyle name="Header2 2 10 2 10 5" xfId="51436"/>
    <cellStyle name="Header2 2 10 2 11" xfId="7347"/>
    <cellStyle name="Header2 2 10 2 11 2" xfId="18544"/>
    <cellStyle name="Header2 2 10 2 11 3" xfId="29712"/>
    <cellStyle name="Header2 2 10 2 11 4" xfId="40877"/>
    <cellStyle name="Header2 2 10 2 11 5" xfId="52070"/>
    <cellStyle name="Header2 2 10 2 12" xfId="7981"/>
    <cellStyle name="Header2 2 10 2 12 2" xfId="19178"/>
    <cellStyle name="Header2 2 10 2 12 3" xfId="30346"/>
    <cellStyle name="Header2 2 10 2 12 4" xfId="41511"/>
    <cellStyle name="Header2 2 10 2 12 5" xfId="52704"/>
    <cellStyle name="Header2 2 10 2 13" xfId="8926"/>
    <cellStyle name="Header2 2 10 2 13 2" xfId="20123"/>
    <cellStyle name="Header2 2 10 2 13 3" xfId="31291"/>
    <cellStyle name="Header2 2 10 2 13 4" xfId="42456"/>
    <cellStyle name="Header2 2 10 2 13 5" xfId="53649"/>
    <cellStyle name="Header2 2 10 2 14" xfId="10362"/>
    <cellStyle name="Header2 2 10 2 14 2" xfId="21559"/>
    <cellStyle name="Header2 2 10 2 14 3" xfId="32727"/>
    <cellStyle name="Header2 2 10 2 14 4" xfId="43892"/>
    <cellStyle name="Header2 2 10 2 14 5" xfId="55085"/>
    <cellStyle name="Header2 2 10 2 15" xfId="10697"/>
    <cellStyle name="Header2 2 10 2 15 2" xfId="21894"/>
    <cellStyle name="Header2 2 10 2 15 3" xfId="33062"/>
    <cellStyle name="Header2 2 10 2 15 4" xfId="44227"/>
    <cellStyle name="Header2 2 10 2 15 5" xfId="55420"/>
    <cellStyle name="Header2 2 10 2 16" xfId="11344"/>
    <cellStyle name="Header2 2 10 2 17" xfId="22514"/>
    <cellStyle name="Header2 2 10 2 18" xfId="33681"/>
    <cellStyle name="Header2 2 10 2 19" xfId="44867"/>
    <cellStyle name="Header2 2 10 2 2" xfId="793"/>
    <cellStyle name="Header2 2 10 2 2 2" xfId="11990"/>
    <cellStyle name="Header2 2 10 2 2 3" xfId="23158"/>
    <cellStyle name="Header2 2 10 2 2 4" xfId="34323"/>
    <cellStyle name="Header2 2 10 2 2 5" xfId="45516"/>
    <cellStyle name="Header2 2 10 2 3" xfId="1637"/>
    <cellStyle name="Header2 2 10 2 3 2" xfId="12834"/>
    <cellStyle name="Header2 2 10 2 3 3" xfId="24002"/>
    <cellStyle name="Header2 2 10 2 3 4" xfId="35167"/>
    <cellStyle name="Header2 2 10 2 3 5" xfId="46360"/>
    <cellStyle name="Header2 2 10 2 4" xfId="2269"/>
    <cellStyle name="Header2 2 10 2 4 2" xfId="13466"/>
    <cellStyle name="Header2 2 10 2 4 3" xfId="24634"/>
    <cellStyle name="Header2 2 10 2 4 4" xfId="35799"/>
    <cellStyle name="Header2 2 10 2 4 5" xfId="46992"/>
    <cellStyle name="Header2 2 10 2 5" xfId="3128"/>
    <cellStyle name="Header2 2 10 2 5 2" xfId="14325"/>
    <cellStyle name="Header2 2 10 2 5 3" xfId="25493"/>
    <cellStyle name="Header2 2 10 2 5 4" xfId="36658"/>
    <cellStyle name="Header2 2 10 2 5 5" xfId="47851"/>
    <cellStyle name="Header2 2 10 2 6" xfId="3762"/>
    <cellStyle name="Header2 2 10 2 6 2" xfId="14959"/>
    <cellStyle name="Header2 2 10 2 6 3" xfId="26127"/>
    <cellStyle name="Header2 2 10 2 6 4" xfId="37292"/>
    <cellStyle name="Header2 2 10 2 6 5" xfId="48485"/>
    <cellStyle name="Header2 2 10 2 7" xfId="4395"/>
    <cellStyle name="Header2 2 10 2 7 2" xfId="15592"/>
    <cellStyle name="Header2 2 10 2 7 3" xfId="26760"/>
    <cellStyle name="Header2 2 10 2 7 4" xfId="37925"/>
    <cellStyle name="Header2 2 10 2 7 5" xfId="49118"/>
    <cellStyle name="Header2 2 10 2 8" xfId="5026"/>
    <cellStyle name="Header2 2 10 2 8 2" xfId="16223"/>
    <cellStyle name="Header2 2 10 2 8 3" xfId="27391"/>
    <cellStyle name="Header2 2 10 2 8 4" xfId="38556"/>
    <cellStyle name="Header2 2 10 2 8 5" xfId="49749"/>
    <cellStyle name="Header2 2 10 2 9" xfId="5859"/>
    <cellStyle name="Header2 2 10 2 9 2" xfId="17056"/>
    <cellStyle name="Header2 2 10 2 9 3" xfId="28224"/>
    <cellStyle name="Header2 2 10 2 9 4" xfId="39389"/>
    <cellStyle name="Header2 2 10 2 9 5" xfId="50582"/>
    <cellStyle name="Header2 2 10 20" xfId="6650"/>
    <cellStyle name="Header2 2 10 20 2" xfId="17847"/>
    <cellStyle name="Header2 2 10 20 3" xfId="29015"/>
    <cellStyle name="Header2 2 10 20 4" xfId="40180"/>
    <cellStyle name="Header2 2 10 20 5" xfId="51373"/>
    <cellStyle name="Header2 2 10 21" xfId="7283"/>
    <cellStyle name="Header2 2 10 21 2" xfId="18480"/>
    <cellStyle name="Header2 2 10 21 3" xfId="29648"/>
    <cellStyle name="Header2 2 10 21 4" xfId="40813"/>
    <cellStyle name="Header2 2 10 21 5" xfId="52006"/>
    <cellStyle name="Header2 2 10 22" xfId="7917"/>
    <cellStyle name="Header2 2 10 22 2" xfId="19114"/>
    <cellStyle name="Header2 2 10 22 3" xfId="30282"/>
    <cellStyle name="Header2 2 10 22 4" xfId="41447"/>
    <cellStyle name="Header2 2 10 22 5" xfId="52640"/>
    <cellStyle name="Header2 2 10 23" xfId="8863"/>
    <cellStyle name="Header2 2 10 23 2" xfId="20060"/>
    <cellStyle name="Header2 2 10 23 3" xfId="31228"/>
    <cellStyle name="Header2 2 10 23 4" xfId="42393"/>
    <cellStyle name="Header2 2 10 23 5" xfId="53586"/>
    <cellStyle name="Header2 2 10 24" xfId="10295"/>
    <cellStyle name="Header2 2 10 24 2" xfId="21492"/>
    <cellStyle name="Header2 2 10 24 3" xfId="32660"/>
    <cellStyle name="Header2 2 10 24 4" xfId="43825"/>
    <cellStyle name="Header2 2 10 24 5" xfId="55018"/>
    <cellStyle name="Header2 2 10 25" xfId="10634"/>
    <cellStyle name="Header2 2 10 25 2" xfId="21831"/>
    <cellStyle name="Header2 2 10 25 3" xfId="32999"/>
    <cellStyle name="Header2 2 10 25 4" xfId="44164"/>
    <cellStyle name="Header2 2 10 25 5" xfId="55357"/>
    <cellStyle name="Header2 2 10 26" xfId="11281"/>
    <cellStyle name="Header2 2 10 27" xfId="22451"/>
    <cellStyle name="Header2 2 10 28" xfId="33618"/>
    <cellStyle name="Header2 2 10 29" xfId="44803"/>
    <cellStyle name="Header2 2 10 3" xfId="200"/>
    <cellStyle name="Header2 2 10 3 10" xfId="6769"/>
    <cellStyle name="Header2 2 10 3 10 2" xfId="17966"/>
    <cellStyle name="Header2 2 10 3 10 3" xfId="29134"/>
    <cellStyle name="Header2 2 10 3 10 4" xfId="40299"/>
    <cellStyle name="Header2 2 10 3 10 5" xfId="51492"/>
    <cellStyle name="Header2 2 10 3 11" xfId="7403"/>
    <cellStyle name="Header2 2 10 3 11 2" xfId="18600"/>
    <cellStyle name="Header2 2 10 3 11 3" xfId="29768"/>
    <cellStyle name="Header2 2 10 3 11 4" xfId="40933"/>
    <cellStyle name="Header2 2 10 3 11 5" xfId="52126"/>
    <cellStyle name="Header2 2 10 3 12" xfId="8037"/>
    <cellStyle name="Header2 2 10 3 12 2" xfId="19234"/>
    <cellStyle name="Header2 2 10 3 12 3" xfId="30402"/>
    <cellStyle name="Header2 2 10 3 12 4" xfId="41567"/>
    <cellStyle name="Header2 2 10 3 12 5" xfId="52760"/>
    <cellStyle name="Header2 2 10 3 13" xfId="9025"/>
    <cellStyle name="Header2 2 10 3 13 2" xfId="20222"/>
    <cellStyle name="Header2 2 10 3 13 3" xfId="31390"/>
    <cellStyle name="Header2 2 10 3 13 4" xfId="42555"/>
    <cellStyle name="Header2 2 10 3 13 5" xfId="53748"/>
    <cellStyle name="Header2 2 10 3 14" xfId="10322"/>
    <cellStyle name="Header2 2 10 3 14 2" xfId="21519"/>
    <cellStyle name="Header2 2 10 3 14 3" xfId="32687"/>
    <cellStyle name="Header2 2 10 3 14 4" xfId="43852"/>
    <cellStyle name="Header2 2 10 3 14 5" xfId="55045"/>
    <cellStyle name="Header2 2 10 3 15" xfId="10753"/>
    <cellStyle name="Header2 2 10 3 15 2" xfId="21950"/>
    <cellStyle name="Header2 2 10 3 15 3" xfId="33118"/>
    <cellStyle name="Header2 2 10 3 15 4" xfId="44283"/>
    <cellStyle name="Header2 2 10 3 15 5" xfId="55476"/>
    <cellStyle name="Header2 2 10 3 16" xfId="11400"/>
    <cellStyle name="Header2 2 10 3 17" xfId="22570"/>
    <cellStyle name="Header2 2 10 3 18" xfId="33737"/>
    <cellStyle name="Header2 2 10 3 19" xfId="44923"/>
    <cellStyle name="Header2 2 10 3 2" xfId="849"/>
    <cellStyle name="Header2 2 10 3 2 2" xfId="12046"/>
    <cellStyle name="Header2 2 10 3 2 3" xfId="23214"/>
    <cellStyle name="Header2 2 10 3 2 4" xfId="34379"/>
    <cellStyle name="Header2 2 10 3 2 5" xfId="45572"/>
    <cellStyle name="Header2 2 10 3 3" xfId="1601"/>
    <cellStyle name="Header2 2 10 3 3 2" xfId="12798"/>
    <cellStyle name="Header2 2 10 3 3 3" xfId="23966"/>
    <cellStyle name="Header2 2 10 3 3 4" xfId="35131"/>
    <cellStyle name="Header2 2 10 3 3 5" xfId="46324"/>
    <cellStyle name="Header2 2 10 3 4" xfId="2222"/>
    <cellStyle name="Header2 2 10 3 4 2" xfId="13419"/>
    <cellStyle name="Header2 2 10 3 4 3" xfId="24587"/>
    <cellStyle name="Header2 2 10 3 4 4" xfId="35752"/>
    <cellStyle name="Header2 2 10 3 4 5" xfId="46945"/>
    <cellStyle name="Header2 2 10 3 5" xfId="3184"/>
    <cellStyle name="Header2 2 10 3 5 2" xfId="14381"/>
    <cellStyle name="Header2 2 10 3 5 3" xfId="25549"/>
    <cellStyle name="Header2 2 10 3 5 4" xfId="36714"/>
    <cellStyle name="Header2 2 10 3 5 5" xfId="47907"/>
    <cellStyle name="Header2 2 10 3 6" xfId="3818"/>
    <cellStyle name="Header2 2 10 3 6 2" xfId="15015"/>
    <cellStyle name="Header2 2 10 3 6 3" xfId="26183"/>
    <cellStyle name="Header2 2 10 3 6 4" xfId="37348"/>
    <cellStyle name="Header2 2 10 3 6 5" xfId="48541"/>
    <cellStyle name="Header2 2 10 3 7" xfId="4451"/>
    <cellStyle name="Header2 2 10 3 7 2" xfId="15648"/>
    <cellStyle name="Header2 2 10 3 7 3" xfId="26816"/>
    <cellStyle name="Header2 2 10 3 7 4" xfId="37981"/>
    <cellStyle name="Header2 2 10 3 7 5" xfId="49174"/>
    <cellStyle name="Header2 2 10 3 8" xfId="5082"/>
    <cellStyle name="Header2 2 10 3 8 2" xfId="16279"/>
    <cellStyle name="Header2 2 10 3 8 3" xfId="27447"/>
    <cellStyle name="Header2 2 10 3 8 4" xfId="38612"/>
    <cellStyle name="Header2 2 10 3 8 5" xfId="49805"/>
    <cellStyle name="Header2 2 10 3 9" xfId="5813"/>
    <cellStyle name="Header2 2 10 3 9 2" xfId="17010"/>
    <cellStyle name="Header2 2 10 3 9 3" xfId="28178"/>
    <cellStyle name="Header2 2 10 3 9 4" xfId="39343"/>
    <cellStyle name="Header2 2 10 3 9 5" xfId="50536"/>
    <cellStyle name="Header2 2 10 4" xfId="269"/>
    <cellStyle name="Header2 2 10 4 10" xfId="6838"/>
    <cellStyle name="Header2 2 10 4 10 2" xfId="18035"/>
    <cellStyle name="Header2 2 10 4 10 3" xfId="29203"/>
    <cellStyle name="Header2 2 10 4 10 4" xfId="40368"/>
    <cellStyle name="Header2 2 10 4 10 5" xfId="51561"/>
    <cellStyle name="Header2 2 10 4 11" xfId="7472"/>
    <cellStyle name="Header2 2 10 4 11 2" xfId="18669"/>
    <cellStyle name="Header2 2 10 4 11 3" xfId="29837"/>
    <cellStyle name="Header2 2 10 4 11 4" xfId="41002"/>
    <cellStyle name="Header2 2 10 4 11 5" xfId="52195"/>
    <cellStyle name="Header2 2 10 4 12" xfId="8106"/>
    <cellStyle name="Header2 2 10 4 12 2" xfId="19303"/>
    <cellStyle name="Header2 2 10 4 12 3" xfId="30471"/>
    <cellStyle name="Header2 2 10 4 12 4" xfId="41636"/>
    <cellStyle name="Header2 2 10 4 12 5" xfId="52829"/>
    <cellStyle name="Header2 2 10 4 13" xfId="9157"/>
    <cellStyle name="Header2 2 10 4 13 2" xfId="20354"/>
    <cellStyle name="Header2 2 10 4 13 3" xfId="31522"/>
    <cellStyle name="Header2 2 10 4 13 4" xfId="42687"/>
    <cellStyle name="Header2 2 10 4 13 5" xfId="53880"/>
    <cellStyle name="Header2 2 10 4 14" xfId="8510"/>
    <cellStyle name="Header2 2 10 4 14 2" xfId="19707"/>
    <cellStyle name="Header2 2 10 4 14 3" xfId="30875"/>
    <cellStyle name="Header2 2 10 4 14 4" xfId="42040"/>
    <cellStyle name="Header2 2 10 4 14 5" xfId="53233"/>
    <cellStyle name="Header2 2 10 4 15" xfId="10822"/>
    <cellStyle name="Header2 2 10 4 15 2" xfId="22019"/>
    <cellStyle name="Header2 2 10 4 15 3" xfId="33187"/>
    <cellStyle name="Header2 2 10 4 15 4" xfId="44352"/>
    <cellStyle name="Header2 2 10 4 15 5" xfId="55545"/>
    <cellStyle name="Header2 2 10 4 16" xfId="11469"/>
    <cellStyle name="Header2 2 10 4 17" xfId="22639"/>
    <cellStyle name="Header2 2 10 4 18" xfId="33806"/>
    <cellStyle name="Header2 2 10 4 19" xfId="44992"/>
    <cellStyle name="Header2 2 10 4 2" xfId="918"/>
    <cellStyle name="Header2 2 10 4 2 2" xfId="12115"/>
    <cellStyle name="Header2 2 10 4 2 3" xfId="23283"/>
    <cellStyle name="Header2 2 10 4 2 4" xfId="34448"/>
    <cellStyle name="Header2 2 10 4 2 5" xfId="45641"/>
    <cellStyle name="Header2 2 10 4 3" xfId="1473"/>
    <cellStyle name="Header2 2 10 4 3 2" xfId="12670"/>
    <cellStyle name="Header2 2 10 4 3 3" xfId="23838"/>
    <cellStyle name="Header2 2 10 4 3 4" xfId="35003"/>
    <cellStyle name="Header2 2 10 4 3 5" xfId="46196"/>
    <cellStyle name="Header2 2 10 4 4" xfId="2619"/>
    <cellStyle name="Header2 2 10 4 4 2" xfId="13816"/>
    <cellStyle name="Header2 2 10 4 4 3" xfId="24984"/>
    <cellStyle name="Header2 2 10 4 4 4" xfId="36149"/>
    <cellStyle name="Header2 2 10 4 4 5" xfId="47342"/>
    <cellStyle name="Header2 2 10 4 5" xfId="3253"/>
    <cellStyle name="Header2 2 10 4 5 2" xfId="14450"/>
    <cellStyle name="Header2 2 10 4 5 3" xfId="25618"/>
    <cellStyle name="Header2 2 10 4 5 4" xfId="36783"/>
    <cellStyle name="Header2 2 10 4 5 5" xfId="47976"/>
    <cellStyle name="Header2 2 10 4 6" xfId="3887"/>
    <cellStyle name="Header2 2 10 4 6 2" xfId="15084"/>
    <cellStyle name="Header2 2 10 4 6 3" xfId="26252"/>
    <cellStyle name="Header2 2 10 4 6 4" xfId="37417"/>
    <cellStyle name="Header2 2 10 4 6 5" xfId="48610"/>
    <cellStyle name="Header2 2 10 4 7" xfId="4520"/>
    <cellStyle name="Header2 2 10 4 7 2" xfId="15717"/>
    <cellStyle name="Header2 2 10 4 7 3" xfId="26885"/>
    <cellStyle name="Header2 2 10 4 7 4" xfId="38050"/>
    <cellStyle name="Header2 2 10 4 7 5" xfId="49243"/>
    <cellStyle name="Header2 2 10 4 8" xfId="5151"/>
    <cellStyle name="Header2 2 10 4 8 2" xfId="16348"/>
    <cellStyle name="Header2 2 10 4 8 3" xfId="27516"/>
    <cellStyle name="Header2 2 10 4 8 4" xfId="38681"/>
    <cellStyle name="Header2 2 10 4 8 5" xfId="49874"/>
    <cellStyle name="Header2 2 10 4 9" xfId="6205"/>
    <cellStyle name="Header2 2 10 4 9 2" xfId="17402"/>
    <cellStyle name="Header2 2 10 4 9 3" xfId="28570"/>
    <cellStyle name="Header2 2 10 4 9 4" xfId="39735"/>
    <cellStyle name="Header2 2 10 4 9 5" xfId="50928"/>
    <cellStyle name="Header2 2 10 5" xfId="277"/>
    <cellStyle name="Header2 2 10 5 10" xfId="6846"/>
    <cellStyle name="Header2 2 10 5 10 2" xfId="18043"/>
    <cellStyle name="Header2 2 10 5 10 3" xfId="29211"/>
    <cellStyle name="Header2 2 10 5 10 4" xfId="40376"/>
    <cellStyle name="Header2 2 10 5 10 5" xfId="51569"/>
    <cellStyle name="Header2 2 10 5 11" xfId="7480"/>
    <cellStyle name="Header2 2 10 5 11 2" xfId="18677"/>
    <cellStyle name="Header2 2 10 5 11 3" xfId="29845"/>
    <cellStyle name="Header2 2 10 5 11 4" xfId="41010"/>
    <cellStyle name="Header2 2 10 5 11 5" xfId="52203"/>
    <cellStyle name="Header2 2 10 5 12" xfId="8114"/>
    <cellStyle name="Header2 2 10 5 12 2" xfId="19311"/>
    <cellStyle name="Header2 2 10 5 12 3" xfId="30479"/>
    <cellStyle name="Header2 2 10 5 12 4" xfId="41644"/>
    <cellStyle name="Header2 2 10 5 12 5" xfId="52837"/>
    <cellStyle name="Header2 2 10 5 13" xfId="9165"/>
    <cellStyle name="Header2 2 10 5 13 2" xfId="20362"/>
    <cellStyle name="Header2 2 10 5 13 3" xfId="31530"/>
    <cellStyle name="Header2 2 10 5 13 4" xfId="42695"/>
    <cellStyle name="Header2 2 10 5 13 5" xfId="53888"/>
    <cellStyle name="Header2 2 10 5 14" xfId="10246"/>
    <cellStyle name="Header2 2 10 5 14 2" xfId="21443"/>
    <cellStyle name="Header2 2 10 5 14 3" xfId="32611"/>
    <cellStyle name="Header2 2 10 5 14 4" xfId="43776"/>
    <cellStyle name="Header2 2 10 5 14 5" xfId="54969"/>
    <cellStyle name="Header2 2 10 5 15" xfId="10830"/>
    <cellStyle name="Header2 2 10 5 15 2" xfId="22027"/>
    <cellStyle name="Header2 2 10 5 15 3" xfId="33195"/>
    <cellStyle name="Header2 2 10 5 15 4" xfId="44360"/>
    <cellStyle name="Header2 2 10 5 15 5" xfId="55553"/>
    <cellStyle name="Header2 2 10 5 16" xfId="11477"/>
    <cellStyle name="Header2 2 10 5 17" xfId="22647"/>
    <cellStyle name="Header2 2 10 5 18" xfId="33814"/>
    <cellStyle name="Header2 2 10 5 19" xfId="45000"/>
    <cellStyle name="Header2 2 10 5 2" xfId="926"/>
    <cellStyle name="Header2 2 10 5 2 2" xfId="12123"/>
    <cellStyle name="Header2 2 10 5 2 3" xfId="23291"/>
    <cellStyle name="Header2 2 10 5 2 4" xfId="34456"/>
    <cellStyle name="Header2 2 10 5 2 5" xfId="45649"/>
    <cellStyle name="Header2 2 10 5 3" xfId="1649"/>
    <cellStyle name="Header2 2 10 5 3 2" xfId="12846"/>
    <cellStyle name="Header2 2 10 5 3 3" xfId="24014"/>
    <cellStyle name="Header2 2 10 5 3 4" xfId="35179"/>
    <cellStyle name="Header2 2 10 5 3 5" xfId="46372"/>
    <cellStyle name="Header2 2 10 5 4" xfId="2627"/>
    <cellStyle name="Header2 2 10 5 4 2" xfId="13824"/>
    <cellStyle name="Header2 2 10 5 4 3" xfId="24992"/>
    <cellStyle name="Header2 2 10 5 4 4" xfId="36157"/>
    <cellStyle name="Header2 2 10 5 4 5" xfId="47350"/>
    <cellStyle name="Header2 2 10 5 5" xfId="3261"/>
    <cellStyle name="Header2 2 10 5 5 2" xfId="14458"/>
    <cellStyle name="Header2 2 10 5 5 3" xfId="25626"/>
    <cellStyle name="Header2 2 10 5 5 4" xfId="36791"/>
    <cellStyle name="Header2 2 10 5 5 5" xfId="47984"/>
    <cellStyle name="Header2 2 10 5 6" xfId="3895"/>
    <cellStyle name="Header2 2 10 5 6 2" xfId="15092"/>
    <cellStyle name="Header2 2 10 5 6 3" xfId="26260"/>
    <cellStyle name="Header2 2 10 5 6 4" xfId="37425"/>
    <cellStyle name="Header2 2 10 5 6 5" xfId="48618"/>
    <cellStyle name="Header2 2 10 5 7" xfId="4528"/>
    <cellStyle name="Header2 2 10 5 7 2" xfId="15725"/>
    <cellStyle name="Header2 2 10 5 7 3" xfId="26893"/>
    <cellStyle name="Header2 2 10 5 7 4" xfId="38058"/>
    <cellStyle name="Header2 2 10 5 7 5" xfId="49251"/>
    <cellStyle name="Header2 2 10 5 8" xfId="5159"/>
    <cellStyle name="Header2 2 10 5 8 2" xfId="16356"/>
    <cellStyle name="Header2 2 10 5 8 3" xfId="27524"/>
    <cellStyle name="Header2 2 10 5 8 4" xfId="38689"/>
    <cellStyle name="Header2 2 10 5 8 5" xfId="49882"/>
    <cellStyle name="Header2 2 10 5 9" xfId="6213"/>
    <cellStyle name="Header2 2 10 5 9 2" xfId="17410"/>
    <cellStyle name="Header2 2 10 5 9 3" xfId="28578"/>
    <cellStyle name="Header2 2 10 5 9 4" xfId="39743"/>
    <cellStyle name="Header2 2 10 5 9 5" xfId="50936"/>
    <cellStyle name="Header2 2 10 6" xfId="304"/>
    <cellStyle name="Header2 2 10 6 10" xfId="6873"/>
    <cellStyle name="Header2 2 10 6 10 2" xfId="18070"/>
    <cellStyle name="Header2 2 10 6 10 3" xfId="29238"/>
    <cellStyle name="Header2 2 10 6 10 4" xfId="40403"/>
    <cellStyle name="Header2 2 10 6 10 5" xfId="51596"/>
    <cellStyle name="Header2 2 10 6 11" xfId="7507"/>
    <cellStyle name="Header2 2 10 6 11 2" xfId="18704"/>
    <cellStyle name="Header2 2 10 6 11 3" xfId="29872"/>
    <cellStyle name="Header2 2 10 6 11 4" xfId="41037"/>
    <cellStyle name="Header2 2 10 6 11 5" xfId="52230"/>
    <cellStyle name="Header2 2 10 6 12" xfId="8141"/>
    <cellStyle name="Header2 2 10 6 12 2" xfId="19338"/>
    <cellStyle name="Header2 2 10 6 12 3" xfId="30506"/>
    <cellStyle name="Header2 2 10 6 12 4" xfId="41671"/>
    <cellStyle name="Header2 2 10 6 12 5" xfId="52864"/>
    <cellStyle name="Header2 2 10 6 13" xfId="9192"/>
    <cellStyle name="Header2 2 10 6 13 2" xfId="20389"/>
    <cellStyle name="Header2 2 10 6 13 3" xfId="31557"/>
    <cellStyle name="Header2 2 10 6 13 4" xfId="42722"/>
    <cellStyle name="Header2 2 10 6 13 5" xfId="53915"/>
    <cellStyle name="Header2 2 10 6 14" xfId="10216"/>
    <cellStyle name="Header2 2 10 6 14 2" xfId="21413"/>
    <cellStyle name="Header2 2 10 6 14 3" xfId="32581"/>
    <cellStyle name="Header2 2 10 6 14 4" xfId="43746"/>
    <cellStyle name="Header2 2 10 6 14 5" xfId="54939"/>
    <cellStyle name="Header2 2 10 6 15" xfId="10857"/>
    <cellStyle name="Header2 2 10 6 15 2" xfId="22054"/>
    <cellStyle name="Header2 2 10 6 15 3" xfId="33222"/>
    <cellStyle name="Header2 2 10 6 15 4" xfId="44387"/>
    <cellStyle name="Header2 2 10 6 15 5" xfId="55580"/>
    <cellStyle name="Header2 2 10 6 16" xfId="11504"/>
    <cellStyle name="Header2 2 10 6 17" xfId="22674"/>
    <cellStyle name="Header2 2 10 6 18" xfId="33841"/>
    <cellStyle name="Header2 2 10 6 19" xfId="45027"/>
    <cellStyle name="Header2 2 10 6 2" xfId="953"/>
    <cellStyle name="Header2 2 10 6 2 2" xfId="12150"/>
    <cellStyle name="Header2 2 10 6 2 3" xfId="23318"/>
    <cellStyle name="Header2 2 10 6 2 4" xfId="34483"/>
    <cellStyle name="Header2 2 10 6 2 5" xfId="45676"/>
    <cellStyle name="Header2 2 10 6 3" xfId="1558"/>
    <cellStyle name="Header2 2 10 6 3 2" xfId="12755"/>
    <cellStyle name="Header2 2 10 6 3 3" xfId="23923"/>
    <cellStyle name="Header2 2 10 6 3 4" xfId="35088"/>
    <cellStyle name="Header2 2 10 6 3 5" xfId="46281"/>
    <cellStyle name="Header2 2 10 6 4" xfId="2654"/>
    <cellStyle name="Header2 2 10 6 4 2" xfId="13851"/>
    <cellStyle name="Header2 2 10 6 4 3" xfId="25019"/>
    <cellStyle name="Header2 2 10 6 4 4" xfId="36184"/>
    <cellStyle name="Header2 2 10 6 4 5" xfId="47377"/>
    <cellStyle name="Header2 2 10 6 5" xfId="3288"/>
    <cellStyle name="Header2 2 10 6 5 2" xfId="14485"/>
    <cellStyle name="Header2 2 10 6 5 3" xfId="25653"/>
    <cellStyle name="Header2 2 10 6 5 4" xfId="36818"/>
    <cellStyle name="Header2 2 10 6 5 5" xfId="48011"/>
    <cellStyle name="Header2 2 10 6 6" xfId="3922"/>
    <cellStyle name="Header2 2 10 6 6 2" xfId="15119"/>
    <cellStyle name="Header2 2 10 6 6 3" xfId="26287"/>
    <cellStyle name="Header2 2 10 6 6 4" xfId="37452"/>
    <cellStyle name="Header2 2 10 6 6 5" xfId="48645"/>
    <cellStyle name="Header2 2 10 6 7" xfId="4555"/>
    <cellStyle name="Header2 2 10 6 7 2" xfId="15752"/>
    <cellStyle name="Header2 2 10 6 7 3" xfId="26920"/>
    <cellStyle name="Header2 2 10 6 7 4" xfId="38085"/>
    <cellStyle name="Header2 2 10 6 7 5" xfId="49278"/>
    <cellStyle name="Header2 2 10 6 8" xfId="5186"/>
    <cellStyle name="Header2 2 10 6 8 2" xfId="16383"/>
    <cellStyle name="Header2 2 10 6 8 3" xfId="27551"/>
    <cellStyle name="Header2 2 10 6 8 4" xfId="38716"/>
    <cellStyle name="Header2 2 10 6 8 5" xfId="49909"/>
    <cellStyle name="Header2 2 10 6 9" xfId="6240"/>
    <cellStyle name="Header2 2 10 6 9 2" xfId="17437"/>
    <cellStyle name="Header2 2 10 6 9 3" xfId="28605"/>
    <cellStyle name="Header2 2 10 6 9 4" xfId="39770"/>
    <cellStyle name="Header2 2 10 6 9 5" xfId="50963"/>
    <cellStyle name="Header2 2 10 7" xfId="437"/>
    <cellStyle name="Header2 2 10 7 10" xfId="7006"/>
    <cellStyle name="Header2 2 10 7 10 2" xfId="18203"/>
    <cellStyle name="Header2 2 10 7 10 3" xfId="29371"/>
    <cellStyle name="Header2 2 10 7 10 4" xfId="40536"/>
    <cellStyle name="Header2 2 10 7 10 5" xfId="51729"/>
    <cellStyle name="Header2 2 10 7 11" xfId="7640"/>
    <cellStyle name="Header2 2 10 7 11 2" xfId="18837"/>
    <cellStyle name="Header2 2 10 7 11 3" xfId="30005"/>
    <cellStyle name="Header2 2 10 7 11 4" xfId="41170"/>
    <cellStyle name="Header2 2 10 7 11 5" xfId="52363"/>
    <cellStyle name="Header2 2 10 7 12" xfId="8274"/>
    <cellStyle name="Header2 2 10 7 12 2" xfId="19471"/>
    <cellStyle name="Header2 2 10 7 12 3" xfId="30639"/>
    <cellStyle name="Header2 2 10 7 12 4" xfId="41804"/>
    <cellStyle name="Header2 2 10 7 12 5" xfId="52997"/>
    <cellStyle name="Header2 2 10 7 13" xfId="9325"/>
    <cellStyle name="Header2 2 10 7 13 2" xfId="20522"/>
    <cellStyle name="Header2 2 10 7 13 3" xfId="31690"/>
    <cellStyle name="Header2 2 10 7 13 4" xfId="42855"/>
    <cellStyle name="Header2 2 10 7 13 5" xfId="54048"/>
    <cellStyle name="Header2 2 10 7 14" xfId="9895"/>
    <cellStyle name="Header2 2 10 7 14 2" xfId="21092"/>
    <cellStyle name="Header2 2 10 7 14 3" xfId="32260"/>
    <cellStyle name="Header2 2 10 7 14 4" xfId="43425"/>
    <cellStyle name="Header2 2 10 7 14 5" xfId="54618"/>
    <cellStyle name="Header2 2 10 7 15" xfId="10990"/>
    <cellStyle name="Header2 2 10 7 15 2" xfId="22187"/>
    <cellStyle name="Header2 2 10 7 15 3" xfId="33355"/>
    <cellStyle name="Header2 2 10 7 15 4" xfId="44520"/>
    <cellStyle name="Header2 2 10 7 15 5" xfId="55713"/>
    <cellStyle name="Header2 2 10 7 16" xfId="11637"/>
    <cellStyle name="Header2 2 10 7 17" xfId="22807"/>
    <cellStyle name="Header2 2 10 7 18" xfId="33974"/>
    <cellStyle name="Header2 2 10 7 19" xfId="45160"/>
    <cellStyle name="Header2 2 10 7 2" xfId="1086"/>
    <cellStyle name="Header2 2 10 7 2 2" xfId="12283"/>
    <cellStyle name="Header2 2 10 7 2 3" xfId="23451"/>
    <cellStyle name="Header2 2 10 7 2 4" xfId="34616"/>
    <cellStyle name="Header2 2 10 7 2 5" xfId="45809"/>
    <cellStyle name="Header2 2 10 7 3" xfId="1895"/>
    <cellStyle name="Header2 2 10 7 3 2" xfId="13092"/>
    <cellStyle name="Header2 2 10 7 3 3" xfId="24260"/>
    <cellStyle name="Header2 2 10 7 3 4" xfId="35425"/>
    <cellStyle name="Header2 2 10 7 3 5" xfId="46618"/>
    <cellStyle name="Header2 2 10 7 4" xfId="2787"/>
    <cellStyle name="Header2 2 10 7 4 2" xfId="13984"/>
    <cellStyle name="Header2 2 10 7 4 3" xfId="25152"/>
    <cellStyle name="Header2 2 10 7 4 4" xfId="36317"/>
    <cellStyle name="Header2 2 10 7 4 5" xfId="47510"/>
    <cellStyle name="Header2 2 10 7 5" xfId="3421"/>
    <cellStyle name="Header2 2 10 7 5 2" xfId="14618"/>
    <cellStyle name="Header2 2 10 7 5 3" xfId="25786"/>
    <cellStyle name="Header2 2 10 7 5 4" xfId="36951"/>
    <cellStyle name="Header2 2 10 7 5 5" xfId="48144"/>
    <cellStyle name="Header2 2 10 7 6" xfId="4055"/>
    <cellStyle name="Header2 2 10 7 6 2" xfId="15252"/>
    <cellStyle name="Header2 2 10 7 6 3" xfId="26420"/>
    <cellStyle name="Header2 2 10 7 6 4" xfId="37585"/>
    <cellStyle name="Header2 2 10 7 6 5" xfId="48778"/>
    <cellStyle name="Header2 2 10 7 7" xfId="4688"/>
    <cellStyle name="Header2 2 10 7 7 2" xfId="15885"/>
    <cellStyle name="Header2 2 10 7 7 3" xfId="27053"/>
    <cellStyle name="Header2 2 10 7 7 4" xfId="38218"/>
    <cellStyle name="Header2 2 10 7 7 5" xfId="49411"/>
    <cellStyle name="Header2 2 10 7 8" xfId="5319"/>
    <cellStyle name="Header2 2 10 7 8 2" xfId="16516"/>
    <cellStyle name="Header2 2 10 7 8 3" xfId="27684"/>
    <cellStyle name="Header2 2 10 7 8 4" xfId="38849"/>
    <cellStyle name="Header2 2 10 7 8 5" xfId="50042"/>
    <cellStyle name="Header2 2 10 7 9" xfId="6373"/>
    <cellStyle name="Header2 2 10 7 9 2" xfId="17570"/>
    <cellStyle name="Header2 2 10 7 9 3" xfId="28738"/>
    <cellStyle name="Header2 2 10 7 9 4" xfId="39903"/>
    <cellStyle name="Header2 2 10 7 9 5" xfId="51096"/>
    <cellStyle name="Header2 2 10 8" xfId="489"/>
    <cellStyle name="Header2 2 10 8 10" xfId="7058"/>
    <cellStyle name="Header2 2 10 8 10 2" xfId="18255"/>
    <cellStyle name="Header2 2 10 8 10 3" xfId="29423"/>
    <cellStyle name="Header2 2 10 8 10 4" xfId="40588"/>
    <cellStyle name="Header2 2 10 8 10 5" xfId="51781"/>
    <cellStyle name="Header2 2 10 8 11" xfId="7692"/>
    <cellStyle name="Header2 2 10 8 11 2" xfId="18889"/>
    <cellStyle name="Header2 2 10 8 11 3" xfId="30057"/>
    <cellStyle name="Header2 2 10 8 11 4" xfId="41222"/>
    <cellStyle name="Header2 2 10 8 11 5" xfId="52415"/>
    <cellStyle name="Header2 2 10 8 12" xfId="8326"/>
    <cellStyle name="Header2 2 10 8 12 2" xfId="19523"/>
    <cellStyle name="Header2 2 10 8 12 3" xfId="30691"/>
    <cellStyle name="Header2 2 10 8 12 4" xfId="41856"/>
    <cellStyle name="Header2 2 10 8 12 5" xfId="53049"/>
    <cellStyle name="Header2 2 10 8 13" xfId="9377"/>
    <cellStyle name="Header2 2 10 8 13 2" xfId="20574"/>
    <cellStyle name="Header2 2 10 8 13 3" xfId="31742"/>
    <cellStyle name="Header2 2 10 8 13 4" xfId="42907"/>
    <cellStyle name="Header2 2 10 8 13 5" xfId="54100"/>
    <cellStyle name="Header2 2 10 8 14" xfId="9596"/>
    <cellStyle name="Header2 2 10 8 14 2" xfId="20793"/>
    <cellStyle name="Header2 2 10 8 14 3" xfId="31961"/>
    <cellStyle name="Header2 2 10 8 14 4" xfId="43126"/>
    <cellStyle name="Header2 2 10 8 14 5" xfId="54319"/>
    <cellStyle name="Header2 2 10 8 15" xfId="11042"/>
    <cellStyle name="Header2 2 10 8 15 2" xfId="22239"/>
    <cellStyle name="Header2 2 10 8 15 3" xfId="33407"/>
    <cellStyle name="Header2 2 10 8 15 4" xfId="44572"/>
    <cellStyle name="Header2 2 10 8 15 5" xfId="55765"/>
    <cellStyle name="Header2 2 10 8 16" xfId="11689"/>
    <cellStyle name="Header2 2 10 8 17" xfId="22859"/>
    <cellStyle name="Header2 2 10 8 18" xfId="34026"/>
    <cellStyle name="Header2 2 10 8 19" xfId="45212"/>
    <cellStyle name="Header2 2 10 8 2" xfId="1138"/>
    <cellStyle name="Header2 2 10 8 2 2" xfId="12335"/>
    <cellStyle name="Header2 2 10 8 2 3" xfId="23503"/>
    <cellStyle name="Header2 2 10 8 2 4" xfId="34668"/>
    <cellStyle name="Header2 2 10 8 2 5" xfId="45861"/>
    <cellStyle name="Header2 2 10 8 3" xfId="1824"/>
    <cellStyle name="Header2 2 10 8 3 2" xfId="13021"/>
    <cellStyle name="Header2 2 10 8 3 3" xfId="24189"/>
    <cellStyle name="Header2 2 10 8 3 4" xfId="35354"/>
    <cellStyle name="Header2 2 10 8 3 5" xfId="46547"/>
    <cellStyle name="Header2 2 10 8 4" xfId="2839"/>
    <cellStyle name="Header2 2 10 8 4 2" xfId="14036"/>
    <cellStyle name="Header2 2 10 8 4 3" xfId="25204"/>
    <cellStyle name="Header2 2 10 8 4 4" xfId="36369"/>
    <cellStyle name="Header2 2 10 8 4 5" xfId="47562"/>
    <cellStyle name="Header2 2 10 8 5" xfId="3473"/>
    <cellStyle name="Header2 2 10 8 5 2" xfId="14670"/>
    <cellStyle name="Header2 2 10 8 5 3" xfId="25838"/>
    <cellStyle name="Header2 2 10 8 5 4" xfId="37003"/>
    <cellStyle name="Header2 2 10 8 5 5" xfId="48196"/>
    <cellStyle name="Header2 2 10 8 6" xfId="4107"/>
    <cellStyle name="Header2 2 10 8 6 2" xfId="15304"/>
    <cellStyle name="Header2 2 10 8 6 3" xfId="26472"/>
    <cellStyle name="Header2 2 10 8 6 4" xfId="37637"/>
    <cellStyle name="Header2 2 10 8 6 5" xfId="48830"/>
    <cellStyle name="Header2 2 10 8 7" xfId="4740"/>
    <cellStyle name="Header2 2 10 8 7 2" xfId="15937"/>
    <cellStyle name="Header2 2 10 8 7 3" xfId="27105"/>
    <cellStyle name="Header2 2 10 8 7 4" xfId="38270"/>
    <cellStyle name="Header2 2 10 8 7 5" xfId="49463"/>
    <cellStyle name="Header2 2 10 8 8" xfId="5371"/>
    <cellStyle name="Header2 2 10 8 8 2" xfId="16568"/>
    <cellStyle name="Header2 2 10 8 8 3" xfId="27736"/>
    <cellStyle name="Header2 2 10 8 8 4" xfId="38901"/>
    <cellStyle name="Header2 2 10 8 8 5" xfId="50094"/>
    <cellStyle name="Header2 2 10 8 9" xfId="6425"/>
    <cellStyle name="Header2 2 10 8 9 2" xfId="17622"/>
    <cellStyle name="Header2 2 10 8 9 3" xfId="28790"/>
    <cellStyle name="Header2 2 10 8 9 4" xfId="39955"/>
    <cellStyle name="Header2 2 10 8 9 5" xfId="51148"/>
    <cellStyle name="Header2 2 10 9" xfId="547"/>
    <cellStyle name="Header2 2 10 9 10" xfId="7116"/>
    <cellStyle name="Header2 2 10 9 10 2" xfId="18313"/>
    <cellStyle name="Header2 2 10 9 10 3" xfId="29481"/>
    <cellStyle name="Header2 2 10 9 10 4" xfId="40646"/>
    <cellStyle name="Header2 2 10 9 10 5" xfId="51839"/>
    <cellStyle name="Header2 2 10 9 11" xfId="7750"/>
    <cellStyle name="Header2 2 10 9 11 2" xfId="18947"/>
    <cellStyle name="Header2 2 10 9 11 3" xfId="30115"/>
    <cellStyle name="Header2 2 10 9 11 4" xfId="41280"/>
    <cellStyle name="Header2 2 10 9 11 5" xfId="52473"/>
    <cellStyle name="Header2 2 10 9 12" xfId="8384"/>
    <cellStyle name="Header2 2 10 9 12 2" xfId="19581"/>
    <cellStyle name="Header2 2 10 9 12 3" xfId="30749"/>
    <cellStyle name="Header2 2 10 9 12 4" xfId="41914"/>
    <cellStyle name="Header2 2 10 9 12 5" xfId="53107"/>
    <cellStyle name="Header2 2 10 9 13" xfId="9435"/>
    <cellStyle name="Header2 2 10 9 13 2" xfId="20632"/>
    <cellStyle name="Header2 2 10 9 13 3" xfId="31800"/>
    <cellStyle name="Header2 2 10 9 13 4" xfId="42965"/>
    <cellStyle name="Header2 2 10 9 13 5" xfId="54158"/>
    <cellStyle name="Header2 2 10 9 14" xfId="10343"/>
    <cellStyle name="Header2 2 10 9 14 2" xfId="21540"/>
    <cellStyle name="Header2 2 10 9 14 3" xfId="32708"/>
    <cellStyle name="Header2 2 10 9 14 4" xfId="43873"/>
    <cellStyle name="Header2 2 10 9 14 5" xfId="55066"/>
    <cellStyle name="Header2 2 10 9 15" xfId="11100"/>
    <cellStyle name="Header2 2 10 9 15 2" xfId="22297"/>
    <cellStyle name="Header2 2 10 9 15 3" xfId="33465"/>
    <cellStyle name="Header2 2 10 9 15 4" xfId="44630"/>
    <cellStyle name="Header2 2 10 9 15 5" xfId="55823"/>
    <cellStyle name="Header2 2 10 9 16" xfId="11747"/>
    <cellStyle name="Header2 2 10 9 17" xfId="22917"/>
    <cellStyle name="Header2 2 10 9 18" xfId="34084"/>
    <cellStyle name="Header2 2 10 9 19" xfId="45270"/>
    <cellStyle name="Header2 2 10 9 2" xfId="1196"/>
    <cellStyle name="Header2 2 10 9 2 2" xfId="12393"/>
    <cellStyle name="Header2 2 10 9 2 3" xfId="23561"/>
    <cellStyle name="Header2 2 10 9 2 4" xfId="34726"/>
    <cellStyle name="Header2 2 10 9 2 5" xfId="45919"/>
    <cellStyle name="Header2 2 10 9 3" xfId="1627"/>
    <cellStyle name="Header2 2 10 9 3 2" xfId="12824"/>
    <cellStyle name="Header2 2 10 9 3 3" xfId="23992"/>
    <cellStyle name="Header2 2 10 9 3 4" xfId="35157"/>
    <cellStyle name="Header2 2 10 9 3 5" xfId="46350"/>
    <cellStyle name="Header2 2 10 9 4" xfId="2897"/>
    <cellStyle name="Header2 2 10 9 4 2" xfId="14094"/>
    <cellStyle name="Header2 2 10 9 4 3" xfId="25262"/>
    <cellStyle name="Header2 2 10 9 4 4" xfId="36427"/>
    <cellStyle name="Header2 2 10 9 4 5" xfId="47620"/>
    <cellStyle name="Header2 2 10 9 5" xfId="3531"/>
    <cellStyle name="Header2 2 10 9 5 2" xfId="14728"/>
    <cellStyle name="Header2 2 10 9 5 3" xfId="25896"/>
    <cellStyle name="Header2 2 10 9 5 4" xfId="37061"/>
    <cellStyle name="Header2 2 10 9 5 5" xfId="48254"/>
    <cellStyle name="Header2 2 10 9 6" xfId="4165"/>
    <cellStyle name="Header2 2 10 9 6 2" xfId="15362"/>
    <cellStyle name="Header2 2 10 9 6 3" xfId="26530"/>
    <cellStyle name="Header2 2 10 9 6 4" xfId="37695"/>
    <cellStyle name="Header2 2 10 9 6 5" xfId="48888"/>
    <cellStyle name="Header2 2 10 9 7" xfId="4798"/>
    <cellStyle name="Header2 2 10 9 7 2" xfId="15995"/>
    <cellStyle name="Header2 2 10 9 7 3" xfId="27163"/>
    <cellStyle name="Header2 2 10 9 7 4" xfId="38328"/>
    <cellStyle name="Header2 2 10 9 7 5" xfId="49521"/>
    <cellStyle name="Header2 2 10 9 8" xfId="5429"/>
    <cellStyle name="Header2 2 10 9 8 2" xfId="16626"/>
    <cellStyle name="Header2 2 10 9 8 3" xfId="27794"/>
    <cellStyle name="Header2 2 10 9 8 4" xfId="38959"/>
    <cellStyle name="Header2 2 10 9 8 5" xfId="50152"/>
    <cellStyle name="Header2 2 10 9 9" xfId="6483"/>
    <cellStyle name="Header2 2 10 9 9 2" xfId="17680"/>
    <cellStyle name="Header2 2 10 9 9 3" xfId="28848"/>
    <cellStyle name="Header2 2 10 9 9 4" xfId="40013"/>
    <cellStyle name="Header2 2 10 9 9 5" xfId="51206"/>
    <cellStyle name="Header2 2 11" xfId="83"/>
    <cellStyle name="Header2 2 11 10" xfId="622"/>
    <cellStyle name="Header2 2 11 10 10" xfId="7191"/>
    <cellStyle name="Header2 2 11 10 10 2" xfId="18388"/>
    <cellStyle name="Header2 2 11 10 10 3" xfId="29556"/>
    <cellStyle name="Header2 2 11 10 10 4" xfId="40721"/>
    <cellStyle name="Header2 2 11 10 10 5" xfId="51914"/>
    <cellStyle name="Header2 2 11 10 11" xfId="7825"/>
    <cellStyle name="Header2 2 11 10 11 2" xfId="19022"/>
    <cellStyle name="Header2 2 11 10 11 3" xfId="30190"/>
    <cellStyle name="Header2 2 11 10 11 4" xfId="41355"/>
    <cellStyle name="Header2 2 11 10 11 5" xfId="52548"/>
    <cellStyle name="Header2 2 11 10 12" xfId="8459"/>
    <cellStyle name="Header2 2 11 10 12 2" xfId="19656"/>
    <cellStyle name="Header2 2 11 10 12 3" xfId="30824"/>
    <cellStyle name="Header2 2 11 10 12 4" xfId="41989"/>
    <cellStyle name="Header2 2 11 10 12 5" xfId="53182"/>
    <cellStyle name="Header2 2 11 10 13" xfId="9510"/>
    <cellStyle name="Header2 2 11 10 13 2" xfId="20707"/>
    <cellStyle name="Header2 2 11 10 13 3" xfId="31875"/>
    <cellStyle name="Header2 2 11 10 13 4" xfId="43040"/>
    <cellStyle name="Header2 2 11 10 13 5" xfId="54233"/>
    <cellStyle name="Header2 2 11 10 14" xfId="9652"/>
    <cellStyle name="Header2 2 11 10 14 2" xfId="20849"/>
    <cellStyle name="Header2 2 11 10 14 3" xfId="32017"/>
    <cellStyle name="Header2 2 11 10 14 4" xfId="43182"/>
    <cellStyle name="Header2 2 11 10 14 5" xfId="54375"/>
    <cellStyle name="Header2 2 11 10 15" xfId="11175"/>
    <cellStyle name="Header2 2 11 10 15 2" xfId="22372"/>
    <cellStyle name="Header2 2 11 10 15 3" xfId="33540"/>
    <cellStyle name="Header2 2 11 10 15 4" xfId="44705"/>
    <cellStyle name="Header2 2 11 10 15 5" xfId="55898"/>
    <cellStyle name="Header2 2 11 10 16" xfId="11822"/>
    <cellStyle name="Header2 2 11 10 17" xfId="22992"/>
    <cellStyle name="Header2 2 11 10 18" xfId="34159"/>
    <cellStyle name="Header2 2 11 10 19" xfId="45345"/>
    <cellStyle name="Header2 2 11 10 2" xfId="1271"/>
    <cellStyle name="Header2 2 11 10 2 2" xfId="12468"/>
    <cellStyle name="Header2 2 11 10 2 3" xfId="23636"/>
    <cellStyle name="Header2 2 11 10 2 4" xfId="34801"/>
    <cellStyle name="Header2 2 11 10 2 5" xfId="45994"/>
    <cellStyle name="Header2 2 11 10 3" xfId="1843"/>
    <cellStyle name="Header2 2 11 10 3 2" xfId="13040"/>
    <cellStyle name="Header2 2 11 10 3 3" xfId="24208"/>
    <cellStyle name="Header2 2 11 10 3 4" xfId="35373"/>
    <cellStyle name="Header2 2 11 10 3 5" xfId="46566"/>
    <cellStyle name="Header2 2 11 10 4" xfId="2972"/>
    <cellStyle name="Header2 2 11 10 4 2" xfId="14169"/>
    <cellStyle name="Header2 2 11 10 4 3" xfId="25337"/>
    <cellStyle name="Header2 2 11 10 4 4" xfId="36502"/>
    <cellStyle name="Header2 2 11 10 4 5" xfId="47695"/>
    <cellStyle name="Header2 2 11 10 5" xfId="3606"/>
    <cellStyle name="Header2 2 11 10 5 2" xfId="14803"/>
    <cellStyle name="Header2 2 11 10 5 3" xfId="25971"/>
    <cellStyle name="Header2 2 11 10 5 4" xfId="37136"/>
    <cellStyle name="Header2 2 11 10 5 5" xfId="48329"/>
    <cellStyle name="Header2 2 11 10 6" xfId="4240"/>
    <cellStyle name="Header2 2 11 10 6 2" xfId="15437"/>
    <cellStyle name="Header2 2 11 10 6 3" xfId="26605"/>
    <cellStyle name="Header2 2 11 10 6 4" xfId="37770"/>
    <cellStyle name="Header2 2 11 10 6 5" xfId="48963"/>
    <cellStyle name="Header2 2 11 10 7" xfId="4873"/>
    <cellStyle name="Header2 2 11 10 7 2" xfId="16070"/>
    <cellStyle name="Header2 2 11 10 7 3" xfId="27238"/>
    <cellStyle name="Header2 2 11 10 7 4" xfId="38403"/>
    <cellStyle name="Header2 2 11 10 7 5" xfId="49596"/>
    <cellStyle name="Header2 2 11 10 8" xfId="5504"/>
    <cellStyle name="Header2 2 11 10 8 2" xfId="16701"/>
    <cellStyle name="Header2 2 11 10 8 3" xfId="27869"/>
    <cellStyle name="Header2 2 11 10 8 4" xfId="39034"/>
    <cellStyle name="Header2 2 11 10 8 5" xfId="50227"/>
    <cellStyle name="Header2 2 11 10 9" xfId="6558"/>
    <cellStyle name="Header2 2 11 10 9 2" xfId="17755"/>
    <cellStyle name="Header2 2 11 10 9 3" xfId="28923"/>
    <cellStyle name="Header2 2 11 10 9 4" xfId="40088"/>
    <cellStyle name="Header2 2 11 10 9 5" xfId="51281"/>
    <cellStyle name="Header2 2 11 11" xfId="459"/>
    <cellStyle name="Header2 2 11 11 10" xfId="7028"/>
    <cellStyle name="Header2 2 11 11 10 2" xfId="18225"/>
    <cellStyle name="Header2 2 11 11 10 3" xfId="29393"/>
    <cellStyle name="Header2 2 11 11 10 4" xfId="40558"/>
    <cellStyle name="Header2 2 11 11 10 5" xfId="51751"/>
    <cellStyle name="Header2 2 11 11 11" xfId="7662"/>
    <cellStyle name="Header2 2 11 11 11 2" xfId="18859"/>
    <cellStyle name="Header2 2 11 11 11 3" xfId="30027"/>
    <cellStyle name="Header2 2 11 11 11 4" xfId="41192"/>
    <cellStyle name="Header2 2 11 11 11 5" xfId="52385"/>
    <cellStyle name="Header2 2 11 11 12" xfId="8296"/>
    <cellStyle name="Header2 2 11 11 12 2" xfId="19493"/>
    <cellStyle name="Header2 2 11 11 12 3" xfId="30661"/>
    <cellStyle name="Header2 2 11 11 12 4" xfId="41826"/>
    <cellStyle name="Header2 2 11 11 12 5" xfId="53019"/>
    <cellStyle name="Header2 2 11 11 13" xfId="9347"/>
    <cellStyle name="Header2 2 11 11 13 2" xfId="20544"/>
    <cellStyle name="Header2 2 11 11 13 3" xfId="31712"/>
    <cellStyle name="Header2 2 11 11 13 4" xfId="42877"/>
    <cellStyle name="Header2 2 11 11 13 5" xfId="54070"/>
    <cellStyle name="Header2 2 11 11 14" xfId="10354"/>
    <cellStyle name="Header2 2 11 11 14 2" xfId="21551"/>
    <cellStyle name="Header2 2 11 11 14 3" xfId="32719"/>
    <cellStyle name="Header2 2 11 11 14 4" xfId="43884"/>
    <cellStyle name="Header2 2 11 11 14 5" xfId="55077"/>
    <cellStyle name="Header2 2 11 11 15" xfId="11012"/>
    <cellStyle name="Header2 2 11 11 15 2" xfId="22209"/>
    <cellStyle name="Header2 2 11 11 15 3" xfId="33377"/>
    <cellStyle name="Header2 2 11 11 15 4" xfId="44542"/>
    <cellStyle name="Header2 2 11 11 15 5" xfId="55735"/>
    <cellStyle name="Header2 2 11 11 16" xfId="11659"/>
    <cellStyle name="Header2 2 11 11 17" xfId="22829"/>
    <cellStyle name="Header2 2 11 11 18" xfId="33996"/>
    <cellStyle name="Header2 2 11 11 19" xfId="45182"/>
    <cellStyle name="Header2 2 11 11 2" xfId="1108"/>
    <cellStyle name="Header2 2 11 11 2 2" xfId="12305"/>
    <cellStyle name="Header2 2 11 11 2 3" xfId="23473"/>
    <cellStyle name="Header2 2 11 11 2 4" xfId="34638"/>
    <cellStyle name="Header2 2 11 11 2 5" xfId="45831"/>
    <cellStyle name="Header2 2 11 11 3" xfId="1666"/>
    <cellStyle name="Header2 2 11 11 3 2" xfId="12863"/>
    <cellStyle name="Header2 2 11 11 3 3" xfId="24031"/>
    <cellStyle name="Header2 2 11 11 3 4" xfId="35196"/>
    <cellStyle name="Header2 2 11 11 3 5" xfId="46389"/>
    <cellStyle name="Header2 2 11 11 4" xfId="2809"/>
    <cellStyle name="Header2 2 11 11 4 2" xfId="14006"/>
    <cellStyle name="Header2 2 11 11 4 3" xfId="25174"/>
    <cellStyle name="Header2 2 11 11 4 4" xfId="36339"/>
    <cellStyle name="Header2 2 11 11 4 5" xfId="47532"/>
    <cellStyle name="Header2 2 11 11 5" xfId="3443"/>
    <cellStyle name="Header2 2 11 11 5 2" xfId="14640"/>
    <cellStyle name="Header2 2 11 11 5 3" xfId="25808"/>
    <cellStyle name="Header2 2 11 11 5 4" xfId="36973"/>
    <cellStyle name="Header2 2 11 11 5 5" xfId="48166"/>
    <cellStyle name="Header2 2 11 11 6" xfId="4077"/>
    <cellStyle name="Header2 2 11 11 6 2" xfId="15274"/>
    <cellStyle name="Header2 2 11 11 6 3" xfId="26442"/>
    <cellStyle name="Header2 2 11 11 6 4" xfId="37607"/>
    <cellStyle name="Header2 2 11 11 6 5" xfId="48800"/>
    <cellStyle name="Header2 2 11 11 7" xfId="4710"/>
    <cellStyle name="Header2 2 11 11 7 2" xfId="15907"/>
    <cellStyle name="Header2 2 11 11 7 3" xfId="27075"/>
    <cellStyle name="Header2 2 11 11 7 4" xfId="38240"/>
    <cellStyle name="Header2 2 11 11 7 5" xfId="49433"/>
    <cellStyle name="Header2 2 11 11 8" xfId="5341"/>
    <cellStyle name="Header2 2 11 11 8 2" xfId="16538"/>
    <cellStyle name="Header2 2 11 11 8 3" xfId="27706"/>
    <cellStyle name="Header2 2 11 11 8 4" xfId="38871"/>
    <cellStyle name="Header2 2 11 11 8 5" xfId="50064"/>
    <cellStyle name="Header2 2 11 11 9" xfId="6395"/>
    <cellStyle name="Header2 2 11 11 9 2" xfId="17592"/>
    <cellStyle name="Header2 2 11 11 9 3" xfId="28760"/>
    <cellStyle name="Header2 2 11 11 9 4" xfId="39925"/>
    <cellStyle name="Header2 2 11 11 9 5" xfId="51118"/>
    <cellStyle name="Header2 2 11 12" xfId="732"/>
    <cellStyle name="Header2 2 11 12 2" xfId="11930"/>
    <cellStyle name="Header2 2 11 12 3" xfId="23098"/>
    <cellStyle name="Header2 2 11 12 4" xfId="34263"/>
    <cellStyle name="Header2 2 11 12 5" xfId="45455"/>
    <cellStyle name="Header2 2 11 13" xfId="1417"/>
    <cellStyle name="Header2 2 11 13 2" xfId="12614"/>
    <cellStyle name="Header2 2 11 13 3" xfId="23782"/>
    <cellStyle name="Header2 2 11 13 4" xfId="34947"/>
    <cellStyle name="Header2 2 11 13 5" xfId="46140"/>
    <cellStyle name="Header2 2 11 14" xfId="2596"/>
    <cellStyle name="Header2 2 11 14 2" xfId="13793"/>
    <cellStyle name="Header2 2 11 14 3" xfId="24961"/>
    <cellStyle name="Header2 2 11 14 4" xfId="36126"/>
    <cellStyle name="Header2 2 11 14 5" xfId="47319"/>
    <cellStyle name="Header2 2 11 15" xfId="3067"/>
    <cellStyle name="Header2 2 11 15 2" xfId="14264"/>
    <cellStyle name="Header2 2 11 15 3" xfId="25432"/>
    <cellStyle name="Header2 2 11 15 4" xfId="36597"/>
    <cellStyle name="Header2 2 11 15 5" xfId="47790"/>
    <cellStyle name="Header2 2 11 16" xfId="3701"/>
    <cellStyle name="Header2 2 11 16 2" xfId="14898"/>
    <cellStyle name="Header2 2 11 16 3" xfId="26066"/>
    <cellStyle name="Header2 2 11 16 4" xfId="37231"/>
    <cellStyle name="Header2 2 11 16 5" xfId="48424"/>
    <cellStyle name="Header2 2 11 17" xfId="4334"/>
    <cellStyle name="Header2 2 11 17 2" xfId="15531"/>
    <cellStyle name="Header2 2 11 17 3" xfId="26699"/>
    <cellStyle name="Header2 2 11 17 4" xfId="37864"/>
    <cellStyle name="Header2 2 11 17 5" xfId="49057"/>
    <cellStyle name="Header2 2 11 18" xfId="4966"/>
    <cellStyle name="Header2 2 11 18 2" xfId="16163"/>
    <cellStyle name="Header2 2 11 18 3" xfId="27331"/>
    <cellStyle name="Header2 2 11 18 4" xfId="38496"/>
    <cellStyle name="Header2 2 11 18 5" xfId="49689"/>
    <cellStyle name="Header2 2 11 19" xfId="5880"/>
    <cellStyle name="Header2 2 11 19 2" xfId="17077"/>
    <cellStyle name="Header2 2 11 19 3" xfId="28245"/>
    <cellStyle name="Header2 2 11 19 4" xfId="39410"/>
    <cellStyle name="Header2 2 11 19 5" xfId="50603"/>
    <cellStyle name="Header2 2 11 2" xfId="147"/>
    <cellStyle name="Header2 2 11 2 10" xfId="6716"/>
    <cellStyle name="Header2 2 11 2 10 2" xfId="17913"/>
    <cellStyle name="Header2 2 11 2 10 3" xfId="29081"/>
    <cellStyle name="Header2 2 11 2 10 4" xfId="40246"/>
    <cellStyle name="Header2 2 11 2 10 5" xfId="51439"/>
    <cellStyle name="Header2 2 11 2 11" xfId="7350"/>
    <cellStyle name="Header2 2 11 2 11 2" xfId="18547"/>
    <cellStyle name="Header2 2 11 2 11 3" xfId="29715"/>
    <cellStyle name="Header2 2 11 2 11 4" xfId="40880"/>
    <cellStyle name="Header2 2 11 2 11 5" xfId="52073"/>
    <cellStyle name="Header2 2 11 2 12" xfId="7984"/>
    <cellStyle name="Header2 2 11 2 12 2" xfId="19181"/>
    <cellStyle name="Header2 2 11 2 12 3" xfId="30349"/>
    <cellStyle name="Header2 2 11 2 12 4" xfId="41514"/>
    <cellStyle name="Header2 2 11 2 12 5" xfId="52707"/>
    <cellStyle name="Header2 2 11 2 13" xfId="8810"/>
    <cellStyle name="Header2 2 11 2 13 2" xfId="20007"/>
    <cellStyle name="Header2 2 11 2 13 3" xfId="31175"/>
    <cellStyle name="Header2 2 11 2 13 4" xfId="42340"/>
    <cellStyle name="Header2 2 11 2 13 5" xfId="53533"/>
    <cellStyle name="Header2 2 11 2 14" xfId="9866"/>
    <cellStyle name="Header2 2 11 2 14 2" xfId="21063"/>
    <cellStyle name="Header2 2 11 2 14 3" xfId="32231"/>
    <cellStyle name="Header2 2 11 2 14 4" xfId="43396"/>
    <cellStyle name="Header2 2 11 2 14 5" xfId="54589"/>
    <cellStyle name="Header2 2 11 2 15" xfId="10700"/>
    <cellStyle name="Header2 2 11 2 15 2" xfId="21897"/>
    <cellStyle name="Header2 2 11 2 15 3" xfId="33065"/>
    <cellStyle name="Header2 2 11 2 15 4" xfId="44230"/>
    <cellStyle name="Header2 2 11 2 15 5" xfId="55423"/>
    <cellStyle name="Header2 2 11 2 16" xfId="11347"/>
    <cellStyle name="Header2 2 11 2 17" xfId="22517"/>
    <cellStyle name="Header2 2 11 2 18" xfId="33684"/>
    <cellStyle name="Header2 2 11 2 19" xfId="44870"/>
    <cellStyle name="Header2 2 11 2 2" xfId="796"/>
    <cellStyle name="Header2 2 11 2 2 2" xfId="11993"/>
    <cellStyle name="Header2 2 11 2 2 3" xfId="23161"/>
    <cellStyle name="Header2 2 11 2 2 4" xfId="34326"/>
    <cellStyle name="Header2 2 11 2 2 5" xfId="45519"/>
    <cellStyle name="Header2 2 11 2 3" xfId="1508"/>
    <cellStyle name="Header2 2 11 2 3 2" xfId="12705"/>
    <cellStyle name="Header2 2 11 2 3 3" xfId="23873"/>
    <cellStyle name="Header2 2 11 2 3 4" xfId="35038"/>
    <cellStyle name="Header2 2 11 2 3 5" xfId="46231"/>
    <cellStyle name="Header2 2 11 2 4" xfId="2044"/>
    <cellStyle name="Header2 2 11 2 4 2" xfId="13241"/>
    <cellStyle name="Header2 2 11 2 4 3" xfId="24409"/>
    <cellStyle name="Header2 2 11 2 4 4" xfId="35574"/>
    <cellStyle name="Header2 2 11 2 4 5" xfId="46767"/>
    <cellStyle name="Header2 2 11 2 5" xfId="3131"/>
    <cellStyle name="Header2 2 11 2 5 2" xfId="14328"/>
    <cellStyle name="Header2 2 11 2 5 3" xfId="25496"/>
    <cellStyle name="Header2 2 11 2 5 4" xfId="36661"/>
    <cellStyle name="Header2 2 11 2 5 5" xfId="47854"/>
    <cellStyle name="Header2 2 11 2 6" xfId="3765"/>
    <cellStyle name="Header2 2 11 2 6 2" xfId="14962"/>
    <cellStyle name="Header2 2 11 2 6 3" xfId="26130"/>
    <cellStyle name="Header2 2 11 2 6 4" xfId="37295"/>
    <cellStyle name="Header2 2 11 2 6 5" xfId="48488"/>
    <cellStyle name="Header2 2 11 2 7" xfId="4398"/>
    <cellStyle name="Header2 2 11 2 7 2" xfId="15595"/>
    <cellStyle name="Header2 2 11 2 7 3" xfId="26763"/>
    <cellStyle name="Header2 2 11 2 7 4" xfId="37928"/>
    <cellStyle name="Header2 2 11 2 7 5" xfId="49121"/>
    <cellStyle name="Header2 2 11 2 8" xfId="5029"/>
    <cellStyle name="Header2 2 11 2 8 2" xfId="16226"/>
    <cellStyle name="Header2 2 11 2 8 3" xfId="27394"/>
    <cellStyle name="Header2 2 11 2 8 4" xfId="38559"/>
    <cellStyle name="Header2 2 11 2 8 5" xfId="49752"/>
    <cellStyle name="Header2 2 11 2 9" xfId="5598"/>
    <cellStyle name="Header2 2 11 2 9 2" xfId="16795"/>
    <cellStyle name="Header2 2 11 2 9 3" xfId="27963"/>
    <cellStyle name="Header2 2 11 2 9 4" xfId="39128"/>
    <cellStyle name="Header2 2 11 2 9 5" xfId="50321"/>
    <cellStyle name="Header2 2 11 20" xfId="6653"/>
    <cellStyle name="Header2 2 11 20 2" xfId="17850"/>
    <cellStyle name="Header2 2 11 20 3" xfId="29018"/>
    <cellStyle name="Header2 2 11 20 4" xfId="40183"/>
    <cellStyle name="Header2 2 11 20 5" xfId="51376"/>
    <cellStyle name="Header2 2 11 21" xfId="7286"/>
    <cellStyle name="Header2 2 11 21 2" xfId="18483"/>
    <cellStyle name="Header2 2 11 21 3" xfId="29651"/>
    <cellStyle name="Header2 2 11 21 4" xfId="40816"/>
    <cellStyle name="Header2 2 11 21 5" xfId="52009"/>
    <cellStyle name="Header2 2 11 22" xfId="7920"/>
    <cellStyle name="Header2 2 11 22 2" xfId="19117"/>
    <cellStyle name="Header2 2 11 22 3" xfId="30285"/>
    <cellStyle name="Header2 2 11 22 4" xfId="41450"/>
    <cellStyle name="Header2 2 11 22 5" xfId="52643"/>
    <cellStyle name="Header2 2 11 23" xfId="7257"/>
    <cellStyle name="Header2 2 11 23 2" xfId="18454"/>
    <cellStyle name="Header2 2 11 23 3" xfId="29622"/>
    <cellStyle name="Header2 2 11 23 4" xfId="40787"/>
    <cellStyle name="Header2 2 11 23 5" xfId="51980"/>
    <cellStyle name="Header2 2 11 24" xfId="7886"/>
    <cellStyle name="Header2 2 11 24 2" xfId="19083"/>
    <cellStyle name="Header2 2 11 24 3" xfId="30251"/>
    <cellStyle name="Header2 2 11 24 4" xfId="41416"/>
    <cellStyle name="Header2 2 11 24 5" xfId="52609"/>
    <cellStyle name="Header2 2 11 25" xfId="10637"/>
    <cellStyle name="Header2 2 11 25 2" xfId="21834"/>
    <cellStyle name="Header2 2 11 25 3" xfId="33002"/>
    <cellStyle name="Header2 2 11 25 4" xfId="44167"/>
    <cellStyle name="Header2 2 11 25 5" xfId="55360"/>
    <cellStyle name="Header2 2 11 26" xfId="11284"/>
    <cellStyle name="Header2 2 11 27" xfId="22454"/>
    <cellStyle name="Header2 2 11 28" xfId="33621"/>
    <cellStyle name="Header2 2 11 29" xfId="44806"/>
    <cellStyle name="Header2 2 11 3" xfId="203"/>
    <cellStyle name="Header2 2 11 3 10" xfId="6772"/>
    <cellStyle name="Header2 2 11 3 10 2" xfId="17969"/>
    <cellStyle name="Header2 2 11 3 10 3" xfId="29137"/>
    <cellStyle name="Header2 2 11 3 10 4" xfId="40302"/>
    <cellStyle name="Header2 2 11 3 10 5" xfId="51495"/>
    <cellStyle name="Header2 2 11 3 11" xfId="7406"/>
    <cellStyle name="Header2 2 11 3 11 2" xfId="18603"/>
    <cellStyle name="Header2 2 11 3 11 3" xfId="29771"/>
    <cellStyle name="Header2 2 11 3 11 4" xfId="40936"/>
    <cellStyle name="Header2 2 11 3 11 5" xfId="52129"/>
    <cellStyle name="Header2 2 11 3 12" xfId="8040"/>
    <cellStyle name="Header2 2 11 3 12 2" xfId="19237"/>
    <cellStyle name="Header2 2 11 3 12 3" xfId="30405"/>
    <cellStyle name="Header2 2 11 3 12 4" xfId="41570"/>
    <cellStyle name="Header2 2 11 3 12 5" xfId="52763"/>
    <cellStyle name="Header2 2 11 3 13" xfId="8763"/>
    <cellStyle name="Header2 2 11 3 13 2" xfId="19960"/>
    <cellStyle name="Header2 2 11 3 13 3" xfId="31128"/>
    <cellStyle name="Header2 2 11 3 13 4" xfId="42293"/>
    <cellStyle name="Header2 2 11 3 13 5" xfId="53486"/>
    <cellStyle name="Header2 2 11 3 14" xfId="9731"/>
    <cellStyle name="Header2 2 11 3 14 2" xfId="20928"/>
    <cellStyle name="Header2 2 11 3 14 3" xfId="32096"/>
    <cellStyle name="Header2 2 11 3 14 4" xfId="43261"/>
    <cellStyle name="Header2 2 11 3 14 5" xfId="54454"/>
    <cellStyle name="Header2 2 11 3 15" xfId="10756"/>
    <cellStyle name="Header2 2 11 3 15 2" xfId="21953"/>
    <cellStyle name="Header2 2 11 3 15 3" xfId="33121"/>
    <cellStyle name="Header2 2 11 3 15 4" xfId="44286"/>
    <cellStyle name="Header2 2 11 3 15 5" xfId="55479"/>
    <cellStyle name="Header2 2 11 3 16" xfId="11403"/>
    <cellStyle name="Header2 2 11 3 17" xfId="22573"/>
    <cellStyle name="Header2 2 11 3 18" xfId="33740"/>
    <cellStyle name="Header2 2 11 3 19" xfId="44926"/>
    <cellStyle name="Header2 2 11 3 2" xfId="852"/>
    <cellStyle name="Header2 2 11 3 2 2" xfId="12049"/>
    <cellStyle name="Header2 2 11 3 2 3" xfId="23217"/>
    <cellStyle name="Header2 2 11 3 2 4" xfId="34382"/>
    <cellStyle name="Header2 2 11 3 2 5" xfId="45575"/>
    <cellStyle name="Header2 2 11 3 3" xfId="1438"/>
    <cellStyle name="Header2 2 11 3 3 2" xfId="12635"/>
    <cellStyle name="Header2 2 11 3 3 3" xfId="23803"/>
    <cellStyle name="Header2 2 11 3 3 4" xfId="34968"/>
    <cellStyle name="Header2 2 11 3 3 5" xfId="46161"/>
    <cellStyle name="Header2 2 11 3 4" xfId="2138"/>
    <cellStyle name="Header2 2 11 3 4 2" xfId="13335"/>
    <cellStyle name="Header2 2 11 3 4 3" xfId="24503"/>
    <cellStyle name="Header2 2 11 3 4 4" xfId="35668"/>
    <cellStyle name="Header2 2 11 3 4 5" xfId="46861"/>
    <cellStyle name="Header2 2 11 3 5" xfId="3187"/>
    <cellStyle name="Header2 2 11 3 5 2" xfId="14384"/>
    <cellStyle name="Header2 2 11 3 5 3" xfId="25552"/>
    <cellStyle name="Header2 2 11 3 5 4" xfId="36717"/>
    <cellStyle name="Header2 2 11 3 5 5" xfId="47910"/>
    <cellStyle name="Header2 2 11 3 6" xfId="3821"/>
    <cellStyle name="Header2 2 11 3 6 2" xfId="15018"/>
    <cellStyle name="Header2 2 11 3 6 3" xfId="26186"/>
    <cellStyle name="Header2 2 11 3 6 4" xfId="37351"/>
    <cellStyle name="Header2 2 11 3 6 5" xfId="48544"/>
    <cellStyle name="Header2 2 11 3 7" xfId="4454"/>
    <cellStyle name="Header2 2 11 3 7 2" xfId="15651"/>
    <cellStyle name="Header2 2 11 3 7 3" xfId="26819"/>
    <cellStyle name="Header2 2 11 3 7 4" xfId="37984"/>
    <cellStyle name="Header2 2 11 3 7 5" xfId="49177"/>
    <cellStyle name="Header2 2 11 3 8" xfId="5085"/>
    <cellStyle name="Header2 2 11 3 8 2" xfId="16282"/>
    <cellStyle name="Header2 2 11 3 8 3" xfId="27450"/>
    <cellStyle name="Header2 2 11 3 8 4" xfId="38615"/>
    <cellStyle name="Header2 2 11 3 8 5" xfId="49808"/>
    <cellStyle name="Header2 2 11 3 9" xfId="6002"/>
    <cellStyle name="Header2 2 11 3 9 2" xfId="17199"/>
    <cellStyle name="Header2 2 11 3 9 3" xfId="28367"/>
    <cellStyle name="Header2 2 11 3 9 4" xfId="39532"/>
    <cellStyle name="Header2 2 11 3 9 5" xfId="50725"/>
    <cellStyle name="Header2 2 11 4" xfId="274"/>
    <cellStyle name="Header2 2 11 4 10" xfId="6843"/>
    <cellStyle name="Header2 2 11 4 10 2" xfId="18040"/>
    <cellStyle name="Header2 2 11 4 10 3" xfId="29208"/>
    <cellStyle name="Header2 2 11 4 10 4" xfId="40373"/>
    <cellStyle name="Header2 2 11 4 10 5" xfId="51566"/>
    <cellStyle name="Header2 2 11 4 11" xfId="7477"/>
    <cellStyle name="Header2 2 11 4 11 2" xfId="18674"/>
    <cellStyle name="Header2 2 11 4 11 3" xfId="29842"/>
    <cellStyle name="Header2 2 11 4 11 4" xfId="41007"/>
    <cellStyle name="Header2 2 11 4 11 5" xfId="52200"/>
    <cellStyle name="Header2 2 11 4 12" xfId="8111"/>
    <cellStyle name="Header2 2 11 4 12 2" xfId="19308"/>
    <cellStyle name="Header2 2 11 4 12 3" xfId="30476"/>
    <cellStyle name="Header2 2 11 4 12 4" xfId="41641"/>
    <cellStyle name="Header2 2 11 4 12 5" xfId="52834"/>
    <cellStyle name="Header2 2 11 4 13" xfId="9162"/>
    <cellStyle name="Header2 2 11 4 13 2" xfId="20359"/>
    <cellStyle name="Header2 2 11 4 13 3" xfId="31527"/>
    <cellStyle name="Header2 2 11 4 13 4" xfId="42692"/>
    <cellStyle name="Header2 2 11 4 13 5" xfId="53885"/>
    <cellStyle name="Header2 2 11 4 14" xfId="10167"/>
    <cellStyle name="Header2 2 11 4 14 2" xfId="21364"/>
    <cellStyle name="Header2 2 11 4 14 3" xfId="32532"/>
    <cellStyle name="Header2 2 11 4 14 4" xfId="43697"/>
    <cellStyle name="Header2 2 11 4 14 5" xfId="54890"/>
    <cellStyle name="Header2 2 11 4 15" xfId="10827"/>
    <cellStyle name="Header2 2 11 4 15 2" xfId="22024"/>
    <cellStyle name="Header2 2 11 4 15 3" xfId="33192"/>
    <cellStyle name="Header2 2 11 4 15 4" xfId="44357"/>
    <cellStyle name="Header2 2 11 4 15 5" xfId="55550"/>
    <cellStyle name="Header2 2 11 4 16" xfId="11474"/>
    <cellStyle name="Header2 2 11 4 17" xfId="22644"/>
    <cellStyle name="Header2 2 11 4 18" xfId="33811"/>
    <cellStyle name="Header2 2 11 4 19" xfId="44997"/>
    <cellStyle name="Header2 2 11 4 2" xfId="923"/>
    <cellStyle name="Header2 2 11 4 2 2" xfId="12120"/>
    <cellStyle name="Header2 2 11 4 2 3" xfId="23288"/>
    <cellStyle name="Header2 2 11 4 2 4" xfId="34453"/>
    <cellStyle name="Header2 2 11 4 2 5" xfId="45646"/>
    <cellStyle name="Header2 2 11 4 3" xfId="1812"/>
    <cellStyle name="Header2 2 11 4 3 2" xfId="13009"/>
    <cellStyle name="Header2 2 11 4 3 3" xfId="24177"/>
    <cellStyle name="Header2 2 11 4 3 4" xfId="35342"/>
    <cellStyle name="Header2 2 11 4 3 5" xfId="46535"/>
    <cellStyle name="Header2 2 11 4 4" xfId="2624"/>
    <cellStyle name="Header2 2 11 4 4 2" xfId="13821"/>
    <cellStyle name="Header2 2 11 4 4 3" xfId="24989"/>
    <cellStyle name="Header2 2 11 4 4 4" xfId="36154"/>
    <cellStyle name="Header2 2 11 4 4 5" xfId="47347"/>
    <cellStyle name="Header2 2 11 4 5" xfId="3258"/>
    <cellStyle name="Header2 2 11 4 5 2" xfId="14455"/>
    <cellStyle name="Header2 2 11 4 5 3" xfId="25623"/>
    <cellStyle name="Header2 2 11 4 5 4" xfId="36788"/>
    <cellStyle name="Header2 2 11 4 5 5" xfId="47981"/>
    <cellStyle name="Header2 2 11 4 6" xfId="3892"/>
    <cellStyle name="Header2 2 11 4 6 2" xfId="15089"/>
    <cellStyle name="Header2 2 11 4 6 3" xfId="26257"/>
    <cellStyle name="Header2 2 11 4 6 4" xfId="37422"/>
    <cellStyle name="Header2 2 11 4 6 5" xfId="48615"/>
    <cellStyle name="Header2 2 11 4 7" xfId="4525"/>
    <cellStyle name="Header2 2 11 4 7 2" xfId="15722"/>
    <cellStyle name="Header2 2 11 4 7 3" xfId="26890"/>
    <cellStyle name="Header2 2 11 4 7 4" xfId="38055"/>
    <cellStyle name="Header2 2 11 4 7 5" xfId="49248"/>
    <cellStyle name="Header2 2 11 4 8" xfId="5156"/>
    <cellStyle name="Header2 2 11 4 8 2" xfId="16353"/>
    <cellStyle name="Header2 2 11 4 8 3" xfId="27521"/>
    <cellStyle name="Header2 2 11 4 8 4" xfId="38686"/>
    <cellStyle name="Header2 2 11 4 8 5" xfId="49879"/>
    <cellStyle name="Header2 2 11 4 9" xfId="6210"/>
    <cellStyle name="Header2 2 11 4 9 2" xfId="17407"/>
    <cellStyle name="Header2 2 11 4 9 3" xfId="28575"/>
    <cellStyle name="Header2 2 11 4 9 4" xfId="39740"/>
    <cellStyle name="Header2 2 11 4 9 5" xfId="50933"/>
    <cellStyle name="Header2 2 11 5" xfId="228"/>
    <cellStyle name="Header2 2 11 5 10" xfId="6797"/>
    <cellStyle name="Header2 2 11 5 10 2" xfId="17994"/>
    <cellStyle name="Header2 2 11 5 10 3" xfId="29162"/>
    <cellStyle name="Header2 2 11 5 10 4" xfId="40327"/>
    <cellStyle name="Header2 2 11 5 10 5" xfId="51520"/>
    <cellStyle name="Header2 2 11 5 11" xfId="7431"/>
    <cellStyle name="Header2 2 11 5 11 2" xfId="18628"/>
    <cellStyle name="Header2 2 11 5 11 3" xfId="29796"/>
    <cellStyle name="Header2 2 11 5 11 4" xfId="40961"/>
    <cellStyle name="Header2 2 11 5 11 5" xfId="52154"/>
    <cellStyle name="Header2 2 11 5 12" xfId="8065"/>
    <cellStyle name="Header2 2 11 5 12 2" xfId="19262"/>
    <cellStyle name="Header2 2 11 5 12 3" xfId="30430"/>
    <cellStyle name="Header2 2 11 5 12 4" xfId="41595"/>
    <cellStyle name="Header2 2 11 5 12 5" xfId="52788"/>
    <cellStyle name="Header2 2 11 5 13" xfId="8671"/>
    <cellStyle name="Header2 2 11 5 13 2" xfId="19868"/>
    <cellStyle name="Header2 2 11 5 13 3" xfId="31036"/>
    <cellStyle name="Header2 2 11 5 13 4" xfId="42201"/>
    <cellStyle name="Header2 2 11 5 13 5" xfId="53394"/>
    <cellStyle name="Header2 2 11 5 14" xfId="10507"/>
    <cellStyle name="Header2 2 11 5 14 2" xfId="21704"/>
    <cellStyle name="Header2 2 11 5 14 3" xfId="32872"/>
    <cellStyle name="Header2 2 11 5 14 4" xfId="44037"/>
    <cellStyle name="Header2 2 11 5 14 5" xfId="55230"/>
    <cellStyle name="Header2 2 11 5 15" xfId="10781"/>
    <cellStyle name="Header2 2 11 5 15 2" xfId="21978"/>
    <cellStyle name="Header2 2 11 5 15 3" xfId="33146"/>
    <cellStyle name="Header2 2 11 5 15 4" xfId="44311"/>
    <cellStyle name="Header2 2 11 5 15 5" xfId="55504"/>
    <cellStyle name="Header2 2 11 5 16" xfId="11428"/>
    <cellStyle name="Header2 2 11 5 17" xfId="22598"/>
    <cellStyle name="Header2 2 11 5 18" xfId="33765"/>
    <cellStyle name="Header2 2 11 5 19" xfId="44951"/>
    <cellStyle name="Header2 2 11 5 2" xfId="877"/>
    <cellStyle name="Header2 2 11 5 2 2" xfId="12074"/>
    <cellStyle name="Header2 2 11 5 2 3" xfId="23242"/>
    <cellStyle name="Header2 2 11 5 2 4" xfId="34407"/>
    <cellStyle name="Header2 2 11 5 2 5" xfId="45600"/>
    <cellStyle name="Header2 2 11 5 3" xfId="1370"/>
    <cellStyle name="Header2 2 11 5 3 2" xfId="12567"/>
    <cellStyle name="Header2 2 11 5 3 3" xfId="23735"/>
    <cellStyle name="Header2 2 11 5 3 4" xfId="34900"/>
    <cellStyle name="Header2 2 11 5 3 5" xfId="46093"/>
    <cellStyle name="Header2 2 11 5 4" xfId="2547"/>
    <cellStyle name="Header2 2 11 5 4 2" xfId="13744"/>
    <cellStyle name="Header2 2 11 5 4 3" xfId="24912"/>
    <cellStyle name="Header2 2 11 5 4 4" xfId="36077"/>
    <cellStyle name="Header2 2 11 5 4 5" xfId="47270"/>
    <cellStyle name="Header2 2 11 5 5" xfId="3212"/>
    <cellStyle name="Header2 2 11 5 5 2" xfId="14409"/>
    <cellStyle name="Header2 2 11 5 5 3" xfId="25577"/>
    <cellStyle name="Header2 2 11 5 5 4" xfId="36742"/>
    <cellStyle name="Header2 2 11 5 5 5" xfId="47935"/>
    <cellStyle name="Header2 2 11 5 6" xfId="3846"/>
    <cellStyle name="Header2 2 11 5 6 2" xfId="15043"/>
    <cellStyle name="Header2 2 11 5 6 3" xfId="26211"/>
    <cellStyle name="Header2 2 11 5 6 4" xfId="37376"/>
    <cellStyle name="Header2 2 11 5 6 5" xfId="48569"/>
    <cellStyle name="Header2 2 11 5 7" xfId="4479"/>
    <cellStyle name="Header2 2 11 5 7 2" xfId="15676"/>
    <cellStyle name="Header2 2 11 5 7 3" xfId="26844"/>
    <cellStyle name="Header2 2 11 5 7 4" xfId="38009"/>
    <cellStyle name="Header2 2 11 5 7 5" xfId="49202"/>
    <cellStyle name="Header2 2 11 5 8" xfId="5110"/>
    <cellStyle name="Header2 2 11 5 8 2" xfId="16307"/>
    <cellStyle name="Header2 2 11 5 8 3" xfId="27475"/>
    <cellStyle name="Header2 2 11 5 8 4" xfId="38640"/>
    <cellStyle name="Header2 2 11 5 8 5" xfId="49833"/>
    <cellStyle name="Header2 2 11 5 9" xfId="6030"/>
    <cellStyle name="Header2 2 11 5 9 2" xfId="17227"/>
    <cellStyle name="Header2 2 11 5 9 3" xfId="28395"/>
    <cellStyle name="Header2 2 11 5 9 4" xfId="39560"/>
    <cellStyle name="Header2 2 11 5 9 5" xfId="50753"/>
    <cellStyle name="Header2 2 11 6" xfId="317"/>
    <cellStyle name="Header2 2 11 6 10" xfId="6886"/>
    <cellStyle name="Header2 2 11 6 10 2" xfId="18083"/>
    <cellStyle name="Header2 2 11 6 10 3" xfId="29251"/>
    <cellStyle name="Header2 2 11 6 10 4" xfId="40416"/>
    <cellStyle name="Header2 2 11 6 10 5" xfId="51609"/>
    <cellStyle name="Header2 2 11 6 11" xfId="7520"/>
    <cellStyle name="Header2 2 11 6 11 2" xfId="18717"/>
    <cellStyle name="Header2 2 11 6 11 3" xfId="29885"/>
    <cellStyle name="Header2 2 11 6 11 4" xfId="41050"/>
    <cellStyle name="Header2 2 11 6 11 5" xfId="52243"/>
    <cellStyle name="Header2 2 11 6 12" xfId="8154"/>
    <cellStyle name="Header2 2 11 6 12 2" xfId="19351"/>
    <cellStyle name="Header2 2 11 6 12 3" xfId="30519"/>
    <cellStyle name="Header2 2 11 6 12 4" xfId="41684"/>
    <cellStyle name="Header2 2 11 6 12 5" xfId="52877"/>
    <cellStyle name="Header2 2 11 6 13" xfId="9205"/>
    <cellStyle name="Header2 2 11 6 13 2" xfId="20402"/>
    <cellStyle name="Header2 2 11 6 13 3" xfId="31570"/>
    <cellStyle name="Header2 2 11 6 13 4" xfId="42735"/>
    <cellStyle name="Header2 2 11 6 13 5" xfId="53928"/>
    <cellStyle name="Header2 2 11 6 14" xfId="10201"/>
    <cellStyle name="Header2 2 11 6 14 2" xfId="21398"/>
    <cellStyle name="Header2 2 11 6 14 3" xfId="32566"/>
    <cellStyle name="Header2 2 11 6 14 4" xfId="43731"/>
    <cellStyle name="Header2 2 11 6 14 5" xfId="54924"/>
    <cellStyle name="Header2 2 11 6 15" xfId="10870"/>
    <cellStyle name="Header2 2 11 6 15 2" xfId="22067"/>
    <cellStyle name="Header2 2 11 6 15 3" xfId="33235"/>
    <cellStyle name="Header2 2 11 6 15 4" xfId="44400"/>
    <cellStyle name="Header2 2 11 6 15 5" xfId="55593"/>
    <cellStyle name="Header2 2 11 6 16" xfId="11517"/>
    <cellStyle name="Header2 2 11 6 17" xfId="22687"/>
    <cellStyle name="Header2 2 11 6 18" xfId="33854"/>
    <cellStyle name="Header2 2 11 6 19" xfId="45040"/>
    <cellStyle name="Header2 2 11 6 2" xfId="966"/>
    <cellStyle name="Header2 2 11 6 2 2" xfId="12163"/>
    <cellStyle name="Header2 2 11 6 2 3" xfId="23331"/>
    <cellStyle name="Header2 2 11 6 2 4" xfId="34496"/>
    <cellStyle name="Header2 2 11 6 2 5" xfId="45689"/>
    <cellStyle name="Header2 2 11 6 3" xfId="1331"/>
    <cellStyle name="Header2 2 11 6 3 2" xfId="12528"/>
    <cellStyle name="Header2 2 11 6 3 3" xfId="23696"/>
    <cellStyle name="Header2 2 11 6 3 4" xfId="34861"/>
    <cellStyle name="Header2 2 11 6 3 5" xfId="46054"/>
    <cellStyle name="Header2 2 11 6 4" xfId="2667"/>
    <cellStyle name="Header2 2 11 6 4 2" xfId="13864"/>
    <cellStyle name="Header2 2 11 6 4 3" xfId="25032"/>
    <cellStyle name="Header2 2 11 6 4 4" xfId="36197"/>
    <cellStyle name="Header2 2 11 6 4 5" xfId="47390"/>
    <cellStyle name="Header2 2 11 6 5" xfId="3301"/>
    <cellStyle name="Header2 2 11 6 5 2" xfId="14498"/>
    <cellStyle name="Header2 2 11 6 5 3" xfId="25666"/>
    <cellStyle name="Header2 2 11 6 5 4" xfId="36831"/>
    <cellStyle name="Header2 2 11 6 5 5" xfId="48024"/>
    <cellStyle name="Header2 2 11 6 6" xfId="3935"/>
    <cellStyle name="Header2 2 11 6 6 2" xfId="15132"/>
    <cellStyle name="Header2 2 11 6 6 3" xfId="26300"/>
    <cellStyle name="Header2 2 11 6 6 4" xfId="37465"/>
    <cellStyle name="Header2 2 11 6 6 5" xfId="48658"/>
    <cellStyle name="Header2 2 11 6 7" xfId="4568"/>
    <cellStyle name="Header2 2 11 6 7 2" xfId="15765"/>
    <cellStyle name="Header2 2 11 6 7 3" xfId="26933"/>
    <cellStyle name="Header2 2 11 6 7 4" xfId="38098"/>
    <cellStyle name="Header2 2 11 6 7 5" xfId="49291"/>
    <cellStyle name="Header2 2 11 6 8" xfId="5199"/>
    <cellStyle name="Header2 2 11 6 8 2" xfId="16396"/>
    <cellStyle name="Header2 2 11 6 8 3" xfId="27564"/>
    <cellStyle name="Header2 2 11 6 8 4" xfId="38729"/>
    <cellStyle name="Header2 2 11 6 8 5" xfId="49922"/>
    <cellStyle name="Header2 2 11 6 9" xfId="6253"/>
    <cellStyle name="Header2 2 11 6 9 2" xfId="17450"/>
    <cellStyle name="Header2 2 11 6 9 3" xfId="28618"/>
    <cellStyle name="Header2 2 11 6 9 4" xfId="39783"/>
    <cellStyle name="Header2 2 11 6 9 5" xfId="50976"/>
    <cellStyle name="Header2 2 11 7" xfId="410"/>
    <cellStyle name="Header2 2 11 7 10" xfId="6979"/>
    <cellStyle name="Header2 2 11 7 10 2" xfId="18176"/>
    <cellStyle name="Header2 2 11 7 10 3" xfId="29344"/>
    <cellStyle name="Header2 2 11 7 10 4" xfId="40509"/>
    <cellStyle name="Header2 2 11 7 10 5" xfId="51702"/>
    <cellStyle name="Header2 2 11 7 11" xfId="7613"/>
    <cellStyle name="Header2 2 11 7 11 2" xfId="18810"/>
    <cellStyle name="Header2 2 11 7 11 3" xfId="29978"/>
    <cellStyle name="Header2 2 11 7 11 4" xfId="41143"/>
    <cellStyle name="Header2 2 11 7 11 5" xfId="52336"/>
    <cellStyle name="Header2 2 11 7 12" xfId="8247"/>
    <cellStyle name="Header2 2 11 7 12 2" xfId="19444"/>
    <cellStyle name="Header2 2 11 7 12 3" xfId="30612"/>
    <cellStyle name="Header2 2 11 7 12 4" xfId="41777"/>
    <cellStyle name="Header2 2 11 7 12 5" xfId="52970"/>
    <cellStyle name="Header2 2 11 7 13" xfId="9298"/>
    <cellStyle name="Header2 2 11 7 13 2" xfId="20495"/>
    <cellStyle name="Header2 2 11 7 13 3" xfId="31663"/>
    <cellStyle name="Header2 2 11 7 13 4" xfId="42828"/>
    <cellStyle name="Header2 2 11 7 13 5" xfId="54021"/>
    <cellStyle name="Header2 2 11 7 14" xfId="10385"/>
    <cellStyle name="Header2 2 11 7 14 2" xfId="21582"/>
    <cellStyle name="Header2 2 11 7 14 3" xfId="32750"/>
    <cellStyle name="Header2 2 11 7 14 4" xfId="43915"/>
    <cellStyle name="Header2 2 11 7 14 5" xfId="55108"/>
    <cellStyle name="Header2 2 11 7 15" xfId="10963"/>
    <cellStyle name="Header2 2 11 7 15 2" xfId="22160"/>
    <cellStyle name="Header2 2 11 7 15 3" xfId="33328"/>
    <cellStyle name="Header2 2 11 7 15 4" xfId="44493"/>
    <cellStyle name="Header2 2 11 7 15 5" xfId="55686"/>
    <cellStyle name="Header2 2 11 7 16" xfId="11610"/>
    <cellStyle name="Header2 2 11 7 17" xfId="22780"/>
    <cellStyle name="Header2 2 11 7 18" xfId="33947"/>
    <cellStyle name="Header2 2 11 7 19" xfId="45133"/>
    <cellStyle name="Header2 2 11 7 2" xfId="1059"/>
    <cellStyle name="Header2 2 11 7 2 2" xfId="12256"/>
    <cellStyle name="Header2 2 11 7 2 3" xfId="23424"/>
    <cellStyle name="Header2 2 11 7 2 4" xfId="34589"/>
    <cellStyle name="Header2 2 11 7 2 5" xfId="45782"/>
    <cellStyle name="Header2 2 11 7 3" xfId="1645"/>
    <cellStyle name="Header2 2 11 7 3 2" xfId="12842"/>
    <cellStyle name="Header2 2 11 7 3 3" xfId="24010"/>
    <cellStyle name="Header2 2 11 7 3 4" xfId="35175"/>
    <cellStyle name="Header2 2 11 7 3 5" xfId="46368"/>
    <cellStyle name="Header2 2 11 7 4" xfId="2760"/>
    <cellStyle name="Header2 2 11 7 4 2" xfId="13957"/>
    <cellStyle name="Header2 2 11 7 4 3" xfId="25125"/>
    <cellStyle name="Header2 2 11 7 4 4" xfId="36290"/>
    <cellStyle name="Header2 2 11 7 4 5" xfId="47483"/>
    <cellStyle name="Header2 2 11 7 5" xfId="3394"/>
    <cellStyle name="Header2 2 11 7 5 2" xfId="14591"/>
    <cellStyle name="Header2 2 11 7 5 3" xfId="25759"/>
    <cellStyle name="Header2 2 11 7 5 4" xfId="36924"/>
    <cellStyle name="Header2 2 11 7 5 5" xfId="48117"/>
    <cellStyle name="Header2 2 11 7 6" xfId="4028"/>
    <cellStyle name="Header2 2 11 7 6 2" xfId="15225"/>
    <cellStyle name="Header2 2 11 7 6 3" xfId="26393"/>
    <cellStyle name="Header2 2 11 7 6 4" xfId="37558"/>
    <cellStyle name="Header2 2 11 7 6 5" xfId="48751"/>
    <cellStyle name="Header2 2 11 7 7" xfId="4661"/>
    <cellStyle name="Header2 2 11 7 7 2" xfId="15858"/>
    <cellStyle name="Header2 2 11 7 7 3" xfId="27026"/>
    <cellStyle name="Header2 2 11 7 7 4" xfId="38191"/>
    <cellStyle name="Header2 2 11 7 7 5" xfId="49384"/>
    <cellStyle name="Header2 2 11 7 8" xfId="5292"/>
    <cellStyle name="Header2 2 11 7 8 2" xfId="16489"/>
    <cellStyle name="Header2 2 11 7 8 3" xfId="27657"/>
    <cellStyle name="Header2 2 11 7 8 4" xfId="38822"/>
    <cellStyle name="Header2 2 11 7 8 5" xfId="50015"/>
    <cellStyle name="Header2 2 11 7 9" xfId="6346"/>
    <cellStyle name="Header2 2 11 7 9 2" xfId="17543"/>
    <cellStyle name="Header2 2 11 7 9 3" xfId="28711"/>
    <cellStyle name="Header2 2 11 7 9 4" xfId="39876"/>
    <cellStyle name="Header2 2 11 7 9 5" xfId="51069"/>
    <cellStyle name="Header2 2 11 8" xfId="492"/>
    <cellStyle name="Header2 2 11 8 10" xfId="7061"/>
    <cellStyle name="Header2 2 11 8 10 2" xfId="18258"/>
    <cellStyle name="Header2 2 11 8 10 3" xfId="29426"/>
    <cellStyle name="Header2 2 11 8 10 4" xfId="40591"/>
    <cellStyle name="Header2 2 11 8 10 5" xfId="51784"/>
    <cellStyle name="Header2 2 11 8 11" xfId="7695"/>
    <cellStyle name="Header2 2 11 8 11 2" xfId="18892"/>
    <cellStyle name="Header2 2 11 8 11 3" xfId="30060"/>
    <cellStyle name="Header2 2 11 8 11 4" xfId="41225"/>
    <cellStyle name="Header2 2 11 8 11 5" xfId="52418"/>
    <cellStyle name="Header2 2 11 8 12" xfId="8329"/>
    <cellStyle name="Header2 2 11 8 12 2" xfId="19526"/>
    <cellStyle name="Header2 2 11 8 12 3" xfId="30694"/>
    <cellStyle name="Header2 2 11 8 12 4" xfId="41859"/>
    <cellStyle name="Header2 2 11 8 12 5" xfId="53052"/>
    <cellStyle name="Header2 2 11 8 13" xfId="9380"/>
    <cellStyle name="Header2 2 11 8 13 2" xfId="20577"/>
    <cellStyle name="Header2 2 11 8 13 3" xfId="31745"/>
    <cellStyle name="Header2 2 11 8 13 4" xfId="42910"/>
    <cellStyle name="Header2 2 11 8 13 5" xfId="54103"/>
    <cellStyle name="Header2 2 11 8 14" xfId="10378"/>
    <cellStyle name="Header2 2 11 8 14 2" xfId="21575"/>
    <cellStyle name="Header2 2 11 8 14 3" xfId="32743"/>
    <cellStyle name="Header2 2 11 8 14 4" xfId="43908"/>
    <cellStyle name="Header2 2 11 8 14 5" xfId="55101"/>
    <cellStyle name="Header2 2 11 8 15" xfId="11045"/>
    <cellStyle name="Header2 2 11 8 15 2" xfId="22242"/>
    <cellStyle name="Header2 2 11 8 15 3" xfId="33410"/>
    <cellStyle name="Header2 2 11 8 15 4" xfId="44575"/>
    <cellStyle name="Header2 2 11 8 15 5" xfId="55768"/>
    <cellStyle name="Header2 2 11 8 16" xfId="11692"/>
    <cellStyle name="Header2 2 11 8 17" xfId="22862"/>
    <cellStyle name="Header2 2 11 8 18" xfId="34029"/>
    <cellStyle name="Header2 2 11 8 19" xfId="45215"/>
    <cellStyle name="Header2 2 11 8 2" xfId="1141"/>
    <cellStyle name="Header2 2 11 8 2 2" xfId="12338"/>
    <cellStyle name="Header2 2 11 8 2 3" xfId="23506"/>
    <cellStyle name="Header2 2 11 8 2 4" xfId="34671"/>
    <cellStyle name="Header2 2 11 8 2 5" xfId="45864"/>
    <cellStyle name="Header2 2 11 8 3" xfId="1657"/>
    <cellStyle name="Header2 2 11 8 3 2" xfId="12854"/>
    <cellStyle name="Header2 2 11 8 3 3" xfId="24022"/>
    <cellStyle name="Header2 2 11 8 3 4" xfId="35187"/>
    <cellStyle name="Header2 2 11 8 3 5" xfId="46380"/>
    <cellStyle name="Header2 2 11 8 4" xfId="2842"/>
    <cellStyle name="Header2 2 11 8 4 2" xfId="14039"/>
    <cellStyle name="Header2 2 11 8 4 3" xfId="25207"/>
    <cellStyle name="Header2 2 11 8 4 4" xfId="36372"/>
    <cellStyle name="Header2 2 11 8 4 5" xfId="47565"/>
    <cellStyle name="Header2 2 11 8 5" xfId="3476"/>
    <cellStyle name="Header2 2 11 8 5 2" xfId="14673"/>
    <cellStyle name="Header2 2 11 8 5 3" xfId="25841"/>
    <cellStyle name="Header2 2 11 8 5 4" xfId="37006"/>
    <cellStyle name="Header2 2 11 8 5 5" xfId="48199"/>
    <cellStyle name="Header2 2 11 8 6" xfId="4110"/>
    <cellStyle name="Header2 2 11 8 6 2" xfId="15307"/>
    <cellStyle name="Header2 2 11 8 6 3" xfId="26475"/>
    <cellStyle name="Header2 2 11 8 6 4" xfId="37640"/>
    <cellStyle name="Header2 2 11 8 6 5" xfId="48833"/>
    <cellStyle name="Header2 2 11 8 7" xfId="4743"/>
    <cellStyle name="Header2 2 11 8 7 2" xfId="15940"/>
    <cellStyle name="Header2 2 11 8 7 3" xfId="27108"/>
    <cellStyle name="Header2 2 11 8 7 4" xfId="38273"/>
    <cellStyle name="Header2 2 11 8 7 5" xfId="49466"/>
    <cellStyle name="Header2 2 11 8 8" xfId="5374"/>
    <cellStyle name="Header2 2 11 8 8 2" xfId="16571"/>
    <cellStyle name="Header2 2 11 8 8 3" xfId="27739"/>
    <cellStyle name="Header2 2 11 8 8 4" xfId="38904"/>
    <cellStyle name="Header2 2 11 8 8 5" xfId="50097"/>
    <cellStyle name="Header2 2 11 8 9" xfId="6428"/>
    <cellStyle name="Header2 2 11 8 9 2" xfId="17625"/>
    <cellStyle name="Header2 2 11 8 9 3" xfId="28793"/>
    <cellStyle name="Header2 2 11 8 9 4" xfId="39958"/>
    <cellStyle name="Header2 2 11 8 9 5" xfId="51151"/>
    <cellStyle name="Header2 2 11 9" xfId="550"/>
    <cellStyle name="Header2 2 11 9 10" xfId="7119"/>
    <cellStyle name="Header2 2 11 9 10 2" xfId="18316"/>
    <cellStyle name="Header2 2 11 9 10 3" xfId="29484"/>
    <cellStyle name="Header2 2 11 9 10 4" xfId="40649"/>
    <cellStyle name="Header2 2 11 9 10 5" xfId="51842"/>
    <cellStyle name="Header2 2 11 9 11" xfId="7753"/>
    <cellStyle name="Header2 2 11 9 11 2" xfId="18950"/>
    <cellStyle name="Header2 2 11 9 11 3" xfId="30118"/>
    <cellStyle name="Header2 2 11 9 11 4" xfId="41283"/>
    <cellStyle name="Header2 2 11 9 11 5" xfId="52476"/>
    <cellStyle name="Header2 2 11 9 12" xfId="8387"/>
    <cellStyle name="Header2 2 11 9 12 2" xfId="19584"/>
    <cellStyle name="Header2 2 11 9 12 3" xfId="30752"/>
    <cellStyle name="Header2 2 11 9 12 4" xfId="41917"/>
    <cellStyle name="Header2 2 11 9 12 5" xfId="53110"/>
    <cellStyle name="Header2 2 11 9 13" xfId="9438"/>
    <cellStyle name="Header2 2 11 9 13 2" xfId="20635"/>
    <cellStyle name="Header2 2 11 9 13 3" xfId="31803"/>
    <cellStyle name="Header2 2 11 9 13 4" xfId="42968"/>
    <cellStyle name="Header2 2 11 9 13 5" xfId="54161"/>
    <cellStyle name="Header2 2 11 9 14" xfId="9565"/>
    <cellStyle name="Header2 2 11 9 14 2" xfId="20762"/>
    <cellStyle name="Header2 2 11 9 14 3" xfId="31930"/>
    <cellStyle name="Header2 2 11 9 14 4" xfId="43095"/>
    <cellStyle name="Header2 2 11 9 14 5" xfId="54288"/>
    <cellStyle name="Header2 2 11 9 15" xfId="11103"/>
    <cellStyle name="Header2 2 11 9 15 2" xfId="22300"/>
    <cellStyle name="Header2 2 11 9 15 3" xfId="33468"/>
    <cellStyle name="Header2 2 11 9 15 4" xfId="44633"/>
    <cellStyle name="Header2 2 11 9 15 5" xfId="55826"/>
    <cellStyle name="Header2 2 11 9 16" xfId="11750"/>
    <cellStyle name="Header2 2 11 9 17" xfId="22920"/>
    <cellStyle name="Header2 2 11 9 18" xfId="34087"/>
    <cellStyle name="Header2 2 11 9 19" xfId="45273"/>
    <cellStyle name="Header2 2 11 9 2" xfId="1199"/>
    <cellStyle name="Header2 2 11 9 2 2" xfId="12396"/>
    <cellStyle name="Header2 2 11 9 2 3" xfId="23564"/>
    <cellStyle name="Header2 2 11 9 2 4" xfId="34729"/>
    <cellStyle name="Header2 2 11 9 2 5" xfId="45922"/>
    <cellStyle name="Header2 2 11 9 3" xfId="1465"/>
    <cellStyle name="Header2 2 11 9 3 2" xfId="12662"/>
    <cellStyle name="Header2 2 11 9 3 3" xfId="23830"/>
    <cellStyle name="Header2 2 11 9 3 4" xfId="34995"/>
    <cellStyle name="Header2 2 11 9 3 5" xfId="46188"/>
    <cellStyle name="Header2 2 11 9 4" xfId="2900"/>
    <cellStyle name="Header2 2 11 9 4 2" xfId="14097"/>
    <cellStyle name="Header2 2 11 9 4 3" xfId="25265"/>
    <cellStyle name="Header2 2 11 9 4 4" xfId="36430"/>
    <cellStyle name="Header2 2 11 9 4 5" xfId="47623"/>
    <cellStyle name="Header2 2 11 9 5" xfId="3534"/>
    <cellStyle name="Header2 2 11 9 5 2" xfId="14731"/>
    <cellStyle name="Header2 2 11 9 5 3" xfId="25899"/>
    <cellStyle name="Header2 2 11 9 5 4" xfId="37064"/>
    <cellStyle name="Header2 2 11 9 5 5" xfId="48257"/>
    <cellStyle name="Header2 2 11 9 6" xfId="4168"/>
    <cellStyle name="Header2 2 11 9 6 2" xfId="15365"/>
    <cellStyle name="Header2 2 11 9 6 3" xfId="26533"/>
    <cellStyle name="Header2 2 11 9 6 4" xfId="37698"/>
    <cellStyle name="Header2 2 11 9 6 5" xfId="48891"/>
    <cellStyle name="Header2 2 11 9 7" xfId="4801"/>
    <cellStyle name="Header2 2 11 9 7 2" xfId="15998"/>
    <cellStyle name="Header2 2 11 9 7 3" xfId="27166"/>
    <cellStyle name="Header2 2 11 9 7 4" xfId="38331"/>
    <cellStyle name="Header2 2 11 9 7 5" xfId="49524"/>
    <cellStyle name="Header2 2 11 9 8" xfId="5432"/>
    <cellStyle name="Header2 2 11 9 8 2" xfId="16629"/>
    <cellStyle name="Header2 2 11 9 8 3" xfId="27797"/>
    <cellStyle name="Header2 2 11 9 8 4" xfId="38962"/>
    <cellStyle name="Header2 2 11 9 8 5" xfId="50155"/>
    <cellStyle name="Header2 2 11 9 9" xfId="6486"/>
    <cellStyle name="Header2 2 11 9 9 2" xfId="17683"/>
    <cellStyle name="Header2 2 11 9 9 3" xfId="28851"/>
    <cellStyle name="Header2 2 11 9 9 4" xfId="40016"/>
    <cellStyle name="Header2 2 11 9 9 5" xfId="51209"/>
    <cellStyle name="Header2 2 12" xfId="87"/>
    <cellStyle name="Header2 2 12 10" xfId="621"/>
    <cellStyle name="Header2 2 12 10 10" xfId="7190"/>
    <cellStyle name="Header2 2 12 10 10 2" xfId="18387"/>
    <cellStyle name="Header2 2 12 10 10 3" xfId="29555"/>
    <cellStyle name="Header2 2 12 10 10 4" xfId="40720"/>
    <cellStyle name="Header2 2 12 10 10 5" xfId="51913"/>
    <cellStyle name="Header2 2 12 10 11" xfId="7824"/>
    <cellStyle name="Header2 2 12 10 11 2" xfId="19021"/>
    <cellStyle name="Header2 2 12 10 11 3" xfId="30189"/>
    <cellStyle name="Header2 2 12 10 11 4" xfId="41354"/>
    <cellStyle name="Header2 2 12 10 11 5" xfId="52547"/>
    <cellStyle name="Header2 2 12 10 12" xfId="8458"/>
    <cellStyle name="Header2 2 12 10 12 2" xfId="19655"/>
    <cellStyle name="Header2 2 12 10 12 3" xfId="30823"/>
    <cellStyle name="Header2 2 12 10 12 4" xfId="41988"/>
    <cellStyle name="Header2 2 12 10 12 5" xfId="53181"/>
    <cellStyle name="Header2 2 12 10 13" xfId="9509"/>
    <cellStyle name="Header2 2 12 10 13 2" xfId="20706"/>
    <cellStyle name="Header2 2 12 10 13 3" xfId="31874"/>
    <cellStyle name="Header2 2 12 10 13 4" xfId="43039"/>
    <cellStyle name="Header2 2 12 10 13 5" xfId="54232"/>
    <cellStyle name="Header2 2 12 10 14" xfId="10451"/>
    <cellStyle name="Header2 2 12 10 14 2" xfId="21648"/>
    <cellStyle name="Header2 2 12 10 14 3" xfId="32816"/>
    <cellStyle name="Header2 2 12 10 14 4" xfId="43981"/>
    <cellStyle name="Header2 2 12 10 14 5" xfId="55174"/>
    <cellStyle name="Header2 2 12 10 15" xfId="11174"/>
    <cellStyle name="Header2 2 12 10 15 2" xfId="22371"/>
    <cellStyle name="Header2 2 12 10 15 3" xfId="33539"/>
    <cellStyle name="Header2 2 12 10 15 4" xfId="44704"/>
    <cellStyle name="Header2 2 12 10 15 5" xfId="55897"/>
    <cellStyle name="Header2 2 12 10 16" xfId="11821"/>
    <cellStyle name="Header2 2 12 10 17" xfId="22991"/>
    <cellStyle name="Header2 2 12 10 18" xfId="34158"/>
    <cellStyle name="Header2 2 12 10 19" xfId="45344"/>
    <cellStyle name="Header2 2 12 10 2" xfId="1270"/>
    <cellStyle name="Header2 2 12 10 2 2" xfId="12467"/>
    <cellStyle name="Header2 2 12 10 2 3" xfId="23635"/>
    <cellStyle name="Header2 2 12 10 2 4" xfId="34800"/>
    <cellStyle name="Header2 2 12 10 2 5" xfId="45993"/>
    <cellStyle name="Header2 2 12 10 3" xfId="1386"/>
    <cellStyle name="Header2 2 12 10 3 2" xfId="12583"/>
    <cellStyle name="Header2 2 12 10 3 3" xfId="23751"/>
    <cellStyle name="Header2 2 12 10 3 4" xfId="34916"/>
    <cellStyle name="Header2 2 12 10 3 5" xfId="46109"/>
    <cellStyle name="Header2 2 12 10 4" xfId="2971"/>
    <cellStyle name="Header2 2 12 10 4 2" xfId="14168"/>
    <cellStyle name="Header2 2 12 10 4 3" xfId="25336"/>
    <cellStyle name="Header2 2 12 10 4 4" xfId="36501"/>
    <cellStyle name="Header2 2 12 10 4 5" xfId="47694"/>
    <cellStyle name="Header2 2 12 10 5" xfId="3605"/>
    <cellStyle name="Header2 2 12 10 5 2" xfId="14802"/>
    <cellStyle name="Header2 2 12 10 5 3" xfId="25970"/>
    <cellStyle name="Header2 2 12 10 5 4" xfId="37135"/>
    <cellStyle name="Header2 2 12 10 5 5" xfId="48328"/>
    <cellStyle name="Header2 2 12 10 6" xfId="4239"/>
    <cellStyle name="Header2 2 12 10 6 2" xfId="15436"/>
    <cellStyle name="Header2 2 12 10 6 3" xfId="26604"/>
    <cellStyle name="Header2 2 12 10 6 4" xfId="37769"/>
    <cellStyle name="Header2 2 12 10 6 5" xfId="48962"/>
    <cellStyle name="Header2 2 12 10 7" xfId="4872"/>
    <cellStyle name="Header2 2 12 10 7 2" xfId="16069"/>
    <cellStyle name="Header2 2 12 10 7 3" xfId="27237"/>
    <cellStyle name="Header2 2 12 10 7 4" xfId="38402"/>
    <cellStyle name="Header2 2 12 10 7 5" xfId="49595"/>
    <cellStyle name="Header2 2 12 10 8" xfId="5503"/>
    <cellStyle name="Header2 2 12 10 8 2" xfId="16700"/>
    <cellStyle name="Header2 2 12 10 8 3" xfId="27868"/>
    <cellStyle name="Header2 2 12 10 8 4" xfId="39033"/>
    <cellStyle name="Header2 2 12 10 8 5" xfId="50226"/>
    <cellStyle name="Header2 2 12 10 9" xfId="6557"/>
    <cellStyle name="Header2 2 12 10 9 2" xfId="17754"/>
    <cellStyle name="Header2 2 12 10 9 3" xfId="28922"/>
    <cellStyle name="Header2 2 12 10 9 4" xfId="40087"/>
    <cellStyle name="Header2 2 12 10 9 5" xfId="51280"/>
    <cellStyle name="Header2 2 12 11" xfId="644"/>
    <cellStyle name="Header2 2 12 11 10" xfId="7213"/>
    <cellStyle name="Header2 2 12 11 10 2" xfId="18410"/>
    <cellStyle name="Header2 2 12 11 10 3" xfId="29578"/>
    <cellStyle name="Header2 2 12 11 10 4" xfId="40743"/>
    <cellStyle name="Header2 2 12 11 10 5" xfId="51936"/>
    <cellStyle name="Header2 2 12 11 11" xfId="7847"/>
    <cellStyle name="Header2 2 12 11 11 2" xfId="19044"/>
    <cellStyle name="Header2 2 12 11 11 3" xfId="30212"/>
    <cellStyle name="Header2 2 12 11 11 4" xfId="41377"/>
    <cellStyle name="Header2 2 12 11 11 5" xfId="52570"/>
    <cellStyle name="Header2 2 12 11 12" xfId="8481"/>
    <cellStyle name="Header2 2 12 11 12 2" xfId="19678"/>
    <cellStyle name="Header2 2 12 11 12 3" xfId="30846"/>
    <cellStyle name="Header2 2 12 11 12 4" xfId="42011"/>
    <cellStyle name="Header2 2 12 11 12 5" xfId="53204"/>
    <cellStyle name="Header2 2 12 11 13" xfId="9532"/>
    <cellStyle name="Header2 2 12 11 13 2" xfId="20729"/>
    <cellStyle name="Header2 2 12 11 13 3" xfId="31897"/>
    <cellStyle name="Header2 2 12 11 13 4" xfId="43062"/>
    <cellStyle name="Header2 2 12 11 13 5" xfId="54255"/>
    <cellStyle name="Header2 2 12 11 14" xfId="10098"/>
    <cellStyle name="Header2 2 12 11 14 2" xfId="21295"/>
    <cellStyle name="Header2 2 12 11 14 3" xfId="32463"/>
    <cellStyle name="Header2 2 12 11 14 4" xfId="43628"/>
    <cellStyle name="Header2 2 12 11 14 5" xfId="54821"/>
    <cellStyle name="Header2 2 12 11 15" xfId="11197"/>
    <cellStyle name="Header2 2 12 11 15 2" xfId="22394"/>
    <cellStyle name="Header2 2 12 11 15 3" xfId="33562"/>
    <cellStyle name="Header2 2 12 11 15 4" xfId="44727"/>
    <cellStyle name="Header2 2 12 11 15 5" xfId="55920"/>
    <cellStyle name="Header2 2 12 11 16" xfId="11844"/>
    <cellStyle name="Header2 2 12 11 17" xfId="23014"/>
    <cellStyle name="Header2 2 12 11 18" xfId="34181"/>
    <cellStyle name="Header2 2 12 11 19" xfId="45367"/>
    <cellStyle name="Header2 2 12 11 2" xfId="1293"/>
    <cellStyle name="Header2 2 12 11 2 2" xfId="12490"/>
    <cellStyle name="Header2 2 12 11 2 3" xfId="23658"/>
    <cellStyle name="Header2 2 12 11 2 4" xfId="34823"/>
    <cellStyle name="Header2 2 12 11 2 5" xfId="46016"/>
    <cellStyle name="Header2 2 12 11 3" xfId="1833"/>
    <cellStyle name="Header2 2 12 11 3 2" xfId="13030"/>
    <cellStyle name="Header2 2 12 11 3 3" xfId="24198"/>
    <cellStyle name="Header2 2 12 11 3 4" xfId="35363"/>
    <cellStyle name="Header2 2 12 11 3 5" xfId="46556"/>
    <cellStyle name="Header2 2 12 11 4" xfId="2994"/>
    <cellStyle name="Header2 2 12 11 4 2" xfId="14191"/>
    <cellStyle name="Header2 2 12 11 4 3" xfId="25359"/>
    <cellStyle name="Header2 2 12 11 4 4" xfId="36524"/>
    <cellStyle name="Header2 2 12 11 4 5" xfId="47717"/>
    <cellStyle name="Header2 2 12 11 5" xfId="3628"/>
    <cellStyle name="Header2 2 12 11 5 2" xfId="14825"/>
    <cellStyle name="Header2 2 12 11 5 3" xfId="25993"/>
    <cellStyle name="Header2 2 12 11 5 4" xfId="37158"/>
    <cellStyle name="Header2 2 12 11 5 5" xfId="48351"/>
    <cellStyle name="Header2 2 12 11 6" xfId="4262"/>
    <cellStyle name="Header2 2 12 11 6 2" xfId="15459"/>
    <cellStyle name="Header2 2 12 11 6 3" xfId="26627"/>
    <cellStyle name="Header2 2 12 11 6 4" xfId="37792"/>
    <cellStyle name="Header2 2 12 11 6 5" xfId="48985"/>
    <cellStyle name="Header2 2 12 11 7" xfId="4895"/>
    <cellStyle name="Header2 2 12 11 7 2" xfId="16092"/>
    <cellStyle name="Header2 2 12 11 7 3" xfId="27260"/>
    <cellStyle name="Header2 2 12 11 7 4" xfId="38425"/>
    <cellStyle name="Header2 2 12 11 7 5" xfId="49618"/>
    <cellStyle name="Header2 2 12 11 8" xfId="5526"/>
    <cellStyle name="Header2 2 12 11 8 2" xfId="16723"/>
    <cellStyle name="Header2 2 12 11 8 3" xfId="27891"/>
    <cellStyle name="Header2 2 12 11 8 4" xfId="39056"/>
    <cellStyle name="Header2 2 12 11 8 5" xfId="50249"/>
    <cellStyle name="Header2 2 12 11 9" xfId="6580"/>
    <cellStyle name="Header2 2 12 11 9 2" xfId="17777"/>
    <cellStyle name="Header2 2 12 11 9 3" xfId="28945"/>
    <cellStyle name="Header2 2 12 11 9 4" xfId="40110"/>
    <cellStyle name="Header2 2 12 11 9 5" xfId="51303"/>
    <cellStyle name="Header2 2 12 12" xfId="736"/>
    <cellStyle name="Header2 2 12 12 2" xfId="11934"/>
    <cellStyle name="Header2 2 12 12 3" xfId="23102"/>
    <cellStyle name="Header2 2 12 12 4" xfId="34267"/>
    <cellStyle name="Header2 2 12 12 5" xfId="45459"/>
    <cellStyle name="Header2 2 12 13" xfId="1810"/>
    <cellStyle name="Header2 2 12 13 2" xfId="13007"/>
    <cellStyle name="Header2 2 12 13 3" xfId="24175"/>
    <cellStyle name="Header2 2 12 13 4" xfId="35340"/>
    <cellStyle name="Header2 2 12 13 5" xfId="46533"/>
    <cellStyle name="Header2 2 12 14" xfId="2400"/>
    <cellStyle name="Header2 2 12 14 2" xfId="13597"/>
    <cellStyle name="Header2 2 12 14 3" xfId="24765"/>
    <cellStyle name="Header2 2 12 14 4" xfId="35930"/>
    <cellStyle name="Header2 2 12 14 5" xfId="47123"/>
    <cellStyle name="Header2 2 12 15" xfId="3071"/>
    <cellStyle name="Header2 2 12 15 2" xfId="14268"/>
    <cellStyle name="Header2 2 12 15 3" xfId="25436"/>
    <cellStyle name="Header2 2 12 15 4" xfId="36601"/>
    <cellStyle name="Header2 2 12 15 5" xfId="47794"/>
    <cellStyle name="Header2 2 12 16" xfId="3705"/>
    <cellStyle name="Header2 2 12 16 2" xfId="14902"/>
    <cellStyle name="Header2 2 12 16 3" xfId="26070"/>
    <cellStyle name="Header2 2 12 16 4" xfId="37235"/>
    <cellStyle name="Header2 2 12 16 5" xfId="48428"/>
    <cellStyle name="Header2 2 12 17" xfId="4338"/>
    <cellStyle name="Header2 2 12 17 2" xfId="15535"/>
    <cellStyle name="Header2 2 12 17 3" xfId="26703"/>
    <cellStyle name="Header2 2 12 17 4" xfId="37868"/>
    <cellStyle name="Header2 2 12 17 5" xfId="49061"/>
    <cellStyle name="Header2 2 12 18" xfId="4970"/>
    <cellStyle name="Header2 2 12 18 2" xfId="16167"/>
    <cellStyle name="Header2 2 12 18 3" xfId="27335"/>
    <cellStyle name="Header2 2 12 18 4" xfId="38500"/>
    <cellStyle name="Header2 2 12 18 5" xfId="49693"/>
    <cellStyle name="Header2 2 12 19" xfId="5668"/>
    <cellStyle name="Header2 2 12 19 2" xfId="16865"/>
    <cellStyle name="Header2 2 12 19 3" xfId="28033"/>
    <cellStyle name="Header2 2 12 19 4" xfId="39198"/>
    <cellStyle name="Header2 2 12 19 5" xfId="50391"/>
    <cellStyle name="Header2 2 12 2" xfId="151"/>
    <cellStyle name="Header2 2 12 2 10" xfId="6720"/>
    <cellStyle name="Header2 2 12 2 10 2" xfId="17917"/>
    <cellStyle name="Header2 2 12 2 10 3" xfId="29085"/>
    <cellStyle name="Header2 2 12 2 10 4" xfId="40250"/>
    <cellStyle name="Header2 2 12 2 10 5" xfId="51443"/>
    <cellStyle name="Header2 2 12 2 11" xfId="7354"/>
    <cellStyle name="Header2 2 12 2 11 2" xfId="18551"/>
    <cellStyle name="Header2 2 12 2 11 3" xfId="29719"/>
    <cellStyle name="Header2 2 12 2 11 4" xfId="40884"/>
    <cellStyle name="Header2 2 12 2 11 5" xfId="52077"/>
    <cellStyle name="Header2 2 12 2 12" xfId="7988"/>
    <cellStyle name="Header2 2 12 2 12 2" xfId="19185"/>
    <cellStyle name="Header2 2 12 2 12 3" xfId="30353"/>
    <cellStyle name="Header2 2 12 2 12 4" xfId="41518"/>
    <cellStyle name="Header2 2 12 2 12 5" xfId="52711"/>
    <cellStyle name="Header2 2 12 2 13" xfId="9135"/>
    <cellStyle name="Header2 2 12 2 13 2" xfId="20332"/>
    <cellStyle name="Header2 2 12 2 13 3" xfId="31500"/>
    <cellStyle name="Header2 2 12 2 13 4" xfId="42665"/>
    <cellStyle name="Header2 2 12 2 13 5" xfId="53858"/>
    <cellStyle name="Header2 2 12 2 14" xfId="10516"/>
    <cellStyle name="Header2 2 12 2 14 2" xfId="21713"/>
    <cellStyle name="Header2 2 12 2 14 3" xfId="32881"/>
    <cellStyle name="Header2 2 12 2 14 4" xfId="44046"/>
    <cellStyle name="Header2 2 12 2 14 5" xfId="55239"/>
    <cellStyle name="Header2 2 12 2 15" xfId="10704"/>
    <cellStyle name="Header2 2 12 2 15 2" xfId="21901"/>
    <cellStyle name="Header2 2 12 2 15 3" xfId="33069"/>
    <cellStyle name="Header2 2 12 2 15 4" xfId="44234"/>
    <cellStyle name="Header2 2 12 2 15 5" xfId="55427"/>
    <cellStyle name="Header2 2 12 2 16" xfId="11351"/>
    <cellStyle name="Header2 2 12 2 17" xfId="22521"/>
    <cellStyle name="Header2 2 12 2 18" xfId="33688"/>
    <cellStyle name="Header2 2 12 2 19" xfId="44874"/>
    <cellStyle name="Header2 2 12 2 2" xfId="800"/>
    <cellStyle name="Header2 2 12 2 2 2" xfId="11997"/>
    <cellStyle name="Header2 2 12 2 2 3" xfId="23165"/>
    <cellStyle name="Header2 2 12 2 2 4" xfId="34330"/>
    <cellStyle name="Header2 2 12 2 2 5" xfId="45523"/>
    <cellStyle name="Header2 2 12 2 3" xfId="1391"/>
    <cellStyle name="Header2 2 12 2 3 2" xfId="12588"/>
    <cellStyle name="Header2 2 12 2 3 3" xfId="23756"/>
    <cellStyle name="Header2 2 12 2 3 4" xfId="34921"/>
    <cellStyle name="Header2 2 12 2 3 5" xfId="46114"/>
    <cellStyle name="Header2 2 12 2 4" xfId="1960"/>
    <cellStyle name="Header2 2 12 2 4 2" xfId="13157"/>
    <cellStyle name="Header2 2 12 2 4 3" xfId="24325"/>
    <cellStyle name="Header2 2 12 2 4 4" xfId="35490"/>
    <cellStyle name="Header2 2 12 2 4 5" xfId="46683"/>
    <cellStyle name="Header2 2 12 2 5" xfId="3135"/>
    <cellStyle name="Header2 2 12 2 5 2" xfId="14332"/>
    <cellStyle name="Header2 2 12 2 5 3" xfId="25500"/>
    <cellStyle name="Header2 2 12 2 5 4" xfId="36665"/>
    <cellStyle name="Header2 2 12 2 5 5" xfId="47858"/>
    <cellStyle name="Header2 2 12 2 6" xfId="3769"/>
    <cellStyle name="Header2 2 12 2 6 2" xfId="14966"/>
    <cellStyle name="Header2 2 12 2 6 3" xfId="26134"/>
    <cellStyle name="Header2 2 12 2 6 4" xfId="37299"/>
    <cellStyle name="Header2 2 12 2 6 5" xfId="48492"/>
    <cellStyle name="Header2 2 12 2 7" xfId="4402"/>
    <cellStyle name="Header2 2 12 2 7 2" xfId="15599"/>
    <cellStyle name="Header2 2 12 2 7 3" xfId="26767"/>
    <cellStyle name="Header2 2 12 2 7 4" xfId="37932"/>
    <cellStyle name="Header2 2 12 2 7 5" xfId="49125"/>
    <cellStyle name="Header2 2 12 2 8" xfId="5033"/>
    <cellStyle name="Header2 2 12 2 8 2" xfId="16230"/>
    <cellStyle name="Header2 2 12 2 8 3" xfId="27398"/>
    <cellStyle name="Header2 2 12 2 8 4" xfId="38563"/>
    <cellStyle name="Header2 2 12 2 8 5" xfId="49756"/>
    <cellStyle name="Header2 2 12 2 9" xfId="5661"/>
    <cellStyle name="Header2 2 12 2 9 2" xfId="16858"/>
    <cellStyle name="Header2 2 12 2 9 3" xfId="28026"/>
    <cellStyle name="Header2 2 12 2 9 4" xfId="39191"/>
    <cellStyle name="Header2 2 12 2 9 5" xfId="50384"/>
    <cellStyle name="Header2 2 12 20" xfId="6657"/>
    <cellStyle name="Header2 2 12 20 2" xfId="17854"/>
    <cellStyle name="Header2 2 12 20 3" xfId="29022"/>
    <cellStyle name="Header2 2 12 20 4" xfId="40187"/>
    <cellStyle name="Header2 2 12 20 5" xfId="51380"/>
    <cellStyle name="Header2 2 12 21" xfId="7290"/>
    <cellStyle name="Header2 2 12 21 2" xfId="18487"/>
    <cellStyle name="Header2 2 12 21 3" xfId="29655"/>
    <cellStyle name="Header2 2 12 21 4" xfId="40820"/>
    <cellStyle name="Header2 2 12 21 5" xfId="52013"/>
    <cellStyle name="Header2 2 12 22" xfId="7924"/>
    <cellStyle name="Header2 2 12 22 2" xfId="19121"/>
    <cellStyle name="Header2 2 12 22 3" xfId="30289"/>
    <cellStyle name="Header2 2 12 22 4" xfId="41454"/>
    <cellStyle name="Header2 2 12 22 5" xfId="52647"/>
    <cellStyle name="Header2 2 12 23" xfId="9050"/>
    <cellStyle name="Header2 2 12 23 2" xfId="20247"/>
    <cellStyle name="Header2 2 12 23 3" xfId="31415"/>
    <cellStyle name="Header2 2 12 23 4" xfId="42580"/>
    <cellStyle name="Header2 2 12 23 5" xfId="53773"/>
    <cellStyle name="Header2 2 12 24" xfId="9716"/>
    <cellStyle name="Header2 2 12 24 2" xfId="20913"/>
    <cellStyle name="Header2 2 12 24 3" xfId="32081"/>
    <cellStyle name="Header2 2 12 24 4" xfId="43246"/>
    <cellStyle name="Header2 2 12 24 5" xfId="54439"/>
    <cellStyle name="Header2 2 12 25" xfId="10641"/>
    <cellStyle name="Header2 2 12 25 2" xfId="21838"/>
    <cellStyle name="Header2 2 12 25 3" xfId="33006"/>
    <cellStyle name="Header2 2 12 25 4" xfId="44171"/>
    <cellStyle name="Header2 2 12 25 5" xfId="55364"/>
    <cellStyle name="Header2 2 12 26" xfId="11288"/>
    <cellStyle name="Header2 2 12 27" xfId="22458"/>
    <cellStyle name="Header2 2 12 28" xfId="33625"/>
    <cellStyle name="Header2 2 12 29" xfId="44810"/>
    <cellStyle name="Header2 2 12 3" xfId="207"/>
    <cellStyle name="Header2 2 12 3 10" xfId="6776"/>
    <cellStyle name="Header2 2 12 3 10 2" xfId="17973"/>
    <cellStyle name="Header2 2 12 3 10 3" xfId="29141"/>
    <cellStyle name="Header2 2 12 3 10 4" xfId="40306"/>
    <cellStyle name="Header2 2 12 3 10 5" xfId="51499"/>
    <cellStyle name="Header2 2 12 3 11" xfId="7410"/>
    <cellStyle name="Header2 2 12 3 11 2" xfId="18607"/>
    <cellStyle name="Header2 2 12 3 11 3" xfId="29775"/>
    <cellStyle name="Header2 2 12 3 11 4" xfId="40940"/>
    <cellStyle name="Header2 2 12 3 11 5" xfId="52133"/>
    <cellStyle name="Header2 2 12 3 12" xfId="8044"/>
    <cellStyle name="Header2 2 12 3 12 2" xfId="19241"/>
    <cellStyle name="Header2 2 12 3 12 3" xfId="30409"/>
    <cellStyle name="Header2 2 12 3 12 4" xfId="41574"/>
    <cellStyle name="Header2 2 12 3 12 5" xfId="52767"/>
    <cellStyle name="Header2 2 12 3 13" xfId="8624"/>
    <cellStyle name="Header2 2 12 3 13 2" xfId="19821"/>
    <cellStyle name="Header2 2 12 3 13 3" xfId="30989"/>
    <cellStyle name="Header2 2 12 3 13 4" xfId="42154"/>
    <cellStyle name="Header2 2 12 3 13 5" xfId="53347"/>
    <cellStyle name="Header2 2 12 3 14" xfId="10184"/>
    <cellStyle name="Header2 2 12 3 14 2" xfId="21381"/>
    <cellStyle name="Header2 2 12 3 14 3" xfId="32549"/>
    <cellStyle name="Header2 2 12 3 14 4" xfId="43714"/>
    <cellStyle name="Header2 2 12 3 14 5" xfId="54907"/>
    <cellStyle name="Header2 2 12 3 15" xfId="10760"/>
    <cellStyle name="Header2 2 12 3 15 2" xfId="21957"/>
    <cellStyle name="Header2 2 12 3 15 3" xfId="33125"/>
    <cellStyle name="Header2 2 12 3 15 4" xfId="44290"/>
    <cellStyle name="Header2 2 12 3 15 5" xfId="55483"/>
    <cellStyle name="Header2 2 12 3 16" xfId="11407"/>
    <cellStyle name="Header2 2 12 3 17" xfId="22577"/>
    <cellStyle name="Header2 2 12 3 18" xfId="33744"/>
    <cellStyle name="Header2 2 12 3 19" xfId="44930"/>
    <cellStyle name="Header2 2 12 3 2" xfId="856"/>
    <cellStyle name="Header2 2 12 3 2 2" xfId="12053"/>
    <cellStyle name="Header2 2 12 3 2 3" xfId="23221"/>
    <cellStyle name="Header2 2 12 3 2 4" xfId="34386"/>
    <cellStyle name="Header2 2 12 3 2 5" xfId="45579"/>
    <cellStyle name="Header2 2 12 3 3" xfId="1832"/>
    <cellStyle name="Header2 2 12 3 3 2" xfId="13029"/>
    <cellStyle name="Header2 2 12 3 3 3" xfId="24197"/>
    <cellStyle name="Header2 2 12 3 3 4" xfId="35362"/>
    <cellStyle name="Header2 2 12 3 3 5" xfId="46555"/>
    <cellStyle name="Header2 2 12 3 4" xfId="2019"/>
    <cellStyle name="Header2 2 12 3 4 2" xfId="13216"/>
    <cellStyle name="Header2 2 12 3 4 3" xfId="24384"/>
    <cellStyle name="Header2 2 12 3 4 4" xfId="35549"/>
    <cellStyle name="Header2 2 12 3 4 5" xfId="46742"/>
    <cellStyle name="Header2 2 12 3 5" xfId="3191"/>
    <cellStyle name="Header2 2 12 3 5 2" xfId="14388"/>
    <cellStyle name="Header2 2 12 3 5 3" xfId="25556"/>
    <cellStyle name="Header2 2 12 3 5 4" xfId="36721"/>
    <cellStyle name="Header2 2 12 3 5 5" xfId="47914"/>
    <cellStyle name="Header2 2 12 3 6" xfId="3825"/>
    <cellStyle name="Header2 2 12 3 6 2" xfId="15022"/>
    <cellStyle name="Header2 2 12 3 6 3" xfId="26190"/>
    <cellStyle name="Header2 2 12 3 6 4" xfId="37355"/>
    <cellStyle name="Header2 2 12 3 6 5" xfId="48548"/>
    <cellStyle name="Header2 2 12 3 7" xfId="4458"/>
    <cellStyle name="Header2 2 12 3 7 2" xfId="15655"/>
    <cellStyle name="Header2 2 12 3 7 3" xfId="26823"/>
    <cellStyle name="Header2 2 12 3 7 4" xfId="37988"/>
    <cellStyle name="Header2 2 12 3 7 5" xfId="49181"/>
    <cellStyle name="Header2 2 12 3 8" xfId="5089"/>
    <cellStyle name="Header2 2 12 3 8 2" xfId="16286"/>
    <cellStyle name="Header2 2 12 3 8 3" xfId="27454"/>
    <cellStyle name="Header2 2 12 3 8 4" xfId="38619"/>
    <cellStyle name="Header2 2 12 3 8 5" xfId="49812"/>
    <cellStyle name="Header2 2 12 3 9" xfId="5906"/>
    <cellStyle name="Header2 2 12 3 9 2" xfId="17103"/>
    <cellStyle name="Header2 2 12 3 9 3" xfId="28271"/>
    <cellStyle name="Header2 2 12 3 9 4" xfId="39436"/>
    <cellStyle name="Header2 2 12 3 9 5" xfId="50629"/>
    <cellStyle name="Header2 2 12 4" xfId="281"/>
    <cellStyle name="Header2 2 12 4 10" xfId="6850"/>
    <cellStyle name="Header2 2 12 4 10 2" xfId="18047"/>
    <cellStyle name="Header2 2 12 4 10 3" xfId="29215"/>
    <cellStyle name="Header2 2 12 4 10 4" xfId="40380"/>
    <cellStyle name="Header2 2 12 4 10 5" xfId="51573"/>
    <cellStyle name="Header2 2 12 4 11" xfId="7484"/>
    <cellStyle name="Header2 2 12 4 11 2" xfId="18681"/>
    <cellStyle name="Header2 2 12 4 11 3" xfId="29849"/>
    <cellStyle name="Header2 2 12 4 11 4" xfId="41014"/>
    <cellStyle name="Header2 2 12 4 11 5" xfId="52207"/>
    <cellStyle name="Header2 2 12 4 12" xfId="8118"/>
    <cellStyle name="Header2 2 12 4 12 2" xfId="19315"/>
    <cellStyle name="Header2 2 12 4 12 3" xfId="30483"/>
    <cellStyle name="Header2 2 12 4 12 4" xfId="41648"/>
    <cellStyle name="Header2 2 12 4 12 5" xfId="52841"/>
    <cellStyle name="Header2 2 12 4 13" xfId="9169"/>
    <cellStyle name="Header2 2 12 4 13 2" xfId="20366"/>
    <cellStyle name="Header2 2 12 4 13 3" xfId="31534"/>
    <cellStyle name="Header2 2 12 4 13 4" xfId="42699"/>
    <cellStyle name="Header2 2 12 4 13 5" xfId="53892"/>
    <cellStyle name="Header2 2 12 4 14" xfId="9816"/>
    <cellStyle name="Header2 2 12 4 14 2" xfId="21013"/>
    <cellStyle name="Header2 2 12 4 14 3" xfId="32181"/>
    <cellStyle name="Header2 2 12 4 14 4" xfId="43346"/>
    <cellStyle name="Header2 2 12 4 14 5" xfId="54539"/>
    <cellStyle name="Header2 2 12 4 15" xfId="10834"/>
    <cellStyle name="Header2 2 12 4 15 2" xfId="22031"/>
    <cellStyle name="Header2 2 12 4 15 3" xfId="33199"/>
    <cellStyle name="Header2 2 12 4 15 4" xfId="44364"/>
    <cellStyle name="Header2 2 12 4 15 5" xfId="55557"/>
    <cellStyle name="Header2 2 12 4 16" xfId="11481"/>
    <cellStyle name="Header2 2 12 4 17" xfId="22651"/>
    <cellStyle name="Header2 2 12 4 18" xfId="33818"/>
    <cellStyle name="Header2 2 12 4 19" xfId="45004"/>
    <cellStyle name="Header2 2 12 4 2" xfId="930"/>
    <cellStyle name="Header2 2 12 4 2 2" xfId="12127"/>
    <cellStyle name="Header2 2 12 4 2 3" xfId="23295"/>
    <cellStyle name="Header2 2 12 4 2 4" xfId="34460"/>
    <cellStyle name="Header2 2 12 4 2 5" xfId="45653"/>
    <cellStyle name="Header2 2 12 4 3" xfId="1416"/>
    <cellStyle name="Header2 2 12 4 3 2" xfId="12613"/>
    <cellStyle name="Header2 2 12 4 3 3" xfId="23781"/>
    <cellStyle name="Header2 2 12 4 3 4" xfId="34946"/>
    <cellStyle name="Header2 2 12 4 3 5" xfId="46139"/>
    <cellStyle name="Header2 2 12 4 4" xfId="2631"/>
    <cellStyle name="Header2 2 12 4 4 2" xfId="13828"/>
    <cellStyle name="Header2 2 12 4 4 3" xfId="24996"/>
    <cellStyle name="Header2 2 12 4 4 4" xfId="36161"/>
    <cellStyle name="Header2 2 12 4 4 5" xfId="47354"/>
    <cellStyle name="Header2 2 12 4 5" xfId="3265"/>
    <cellStyle name="Header2 2 12 4 5 2" xfId="14462"/>
    <cellStyle name="Header2 2 12 4 5 3" xfId="25630"/>
    <cellStyle name="Header2 2 12 4 5 4" xfId="36795"/>
    <cellStyle name="Header2 2 12 4 5 5" xfId="47988"/>
    <cellStyle name="Header2 2 12 4 6" xfId="3899"/>
    <cellStyle name="Header2 2 12 4 6 2" xfId="15096"/>
    <cellStyle name="Header2 2 12 4 6 3" xfId="26264"/>
    <cellStyle name="Header2 2 12 4 6 4" xfId="37429"/>
    <cellStyle name="Header2 2 12 4 6 5" xfId="48622"/>
    <cellStyle name="Header2 2 12 4 7" xfId="4532"/>
    <cellStyle name="Header2 2 12 4 7 2" xfId="15729"/>
    <cellStyle name="Header2 2 12 4 7 3" xfId="26897"/>
    <cellStyle name="Header2 2 12 4 7 4" xfId="38062"/>
    <cellStyle name="Header2 2 12 4 7 5" xfId="49255"/>
    <cellStyle name="Header2 2 12 4 8" xfId="5163"/>
    <cellStyle name="Header2 2 12 4 8 2" xfId="16360"/>
    <cellStyle name="Header2 2 12 4 8 3" xfId="27528"/>
    <cellStyle name="Header2 2 12 4 8 4" xfId="38693"/>
    <cellStyle name="Header2 2 12 4 8 5" xfId="49886"/>
    <cellStyle name="Header2 2 12 4 9" xfId="6217"/>
    <cellStyle name="Header2 2 12 4 9 2" xfId="17414"/>
    <cellStyle name="Header2 2 12 4 9 3" xfId="28582"/>
    <cellStyle name="Header2 2 12 4 9 4" xfId="39747"/>
    <cellStyle name="Header2 2 12 4 9 5" xfId="50940"/>
    <cellStyle name="Header2 2 12 5" xfId="322"/>
    <cellStyle name="Header2 2 12 5 10" xfId="6891"/>
    <cellStyle name="Header2 2 12 5 10 2" xfId="18088"/>
    <cellStyle name="Header2 2 12 5 10 3" xfId="29256"/>
    <cellStyle name="Header2 2 12 5 10 4" xfId="40421"/>
    <cellStyle name="Header2 2 12 5 10 5" xfId="51614"/>
    <cellStyle name="Header2 2 12 5 11" xfId="7525"/>
    <cellStyle name="Header2 2 12 5 11 2" xfId="18722"/>
    <cellStyle name="Header2 2 12 5 11 3" xfId="29890"/>
    <cellStyle name="Header2 2 12 5 11 4" xfId="41055"/>
    <cellStyle name="Header2 2 12 5 11 5" xfId="52248"/>
    <cellStyle name="Header2 2 12 5 12" xfId="8159"/>
    <cellStyle name="Header2 2 12 5 12 2" xfId="19356"/>
    <cellStyle name="Header2 2 12 5 12 3" xfId="30524"/>
    <cellStyle name="Header2 2 12 5 12 4" xfId="41689"/>
    <cellStyle name="Header2 2 12 5 12 5" xfId="52882"/>
    <cellStyle name="Header2 2 12 5 13" xfId="9210"/>
    <cellStyle name="Header2 2 12 5 13 2" xfId="20407"/>
    <cellStyle name="Header2 2 12 5 13 3" xfId="31575"/>
    <cellStyle name="Header2 2 12 5 13 4" xfId="42740"/>
    <cellStyle name="Header2 2 12 5 13 5" xfId="53933"/>
    <cellStyle name="Header2 2 12 5 14" xfId="10311"/>
    <cellStyle name="Header2 2 12 5 14 2" xfId="21508"/>
    <cellStyle name="Header2 2 12 5 14 3" xfId="32676"/>
    <cellStyle name="Header2 2 12 5 14 4" xfId="43841"/>
    <cellStyle name="Header2 2 12 5 14 5" xfId="55034"/>
    <cellStyle name="Header2 2 12 5 15" xfId="10875"/>
    <cellStyle name="Header2 2 12 5 15 2" xfId="22072"/>
    <cellStyle name="Header2 2 12 5 15 3" xfId="33240"/>
    <cellStyle name="Header2 2 12 5 15 4" xfId="44405"/>
    <cellStyle name="Header2 2 12 5 15 5" xfId="55598"/>
    <cellStyle name="Header2 2 12 5 16" xfId="11522"/>
    <cellStyle name="Header2 2 12 5 17" xfId="22692"/>
    <cellStyle name="Header2 2 12 5 18" xfId="33859"/>
    <cellStyle name="Header2 2 12 5 19" xfId="45045"/>
    <cellStyle name="Header2 2 12 5 2" xfId="971"/>
    <cellStyle name="Header2 2 12 5 2 2" xfId="12168"/>
    <cellStyle name="Header2 2 12 5 2 3" xfId="23336"/>
    <cellStyle name="Header2 2 12 5 2 4" xfId="34501"/>
    <cellStyle name="Header2 2 12 5 2 5" xfId="45694"/>
    <cellStyle name="Header2 2 12 5 3" xfId="1688"/>
    <cellStyle name="Header2 2 12 5 3 2" xfId="12885"/>
    <cellStyle name="Header2 2 12 5 3 3" xfId="24053"/>
    <cellStyle name="Header2 2 12 5 3 4" xfId="35218"/>
    <cellStyle name="Header2 2 12 5 3 5" xfId="46411"/>
    <cellStyle name="Header2 2 12 5 4" xfId="2672"/>
    <cellStyle name="Header2 2 12 5 4 2" xfId="13869"/>
    <cellStyle name="Header2 2 12 5 4 3" xfId="25037"/>
    <cellStyle name="Header2 2 12 5 4 4" xfId="36202"/>
    <cellStyle name="Header2 2 12 5 4 5" xfId="47395"/>
    <cellStyle name="Header2 2 12 5 5" xfId="3306"/>
    <cellStyle name="Header2 2 12 5 5 2" xfId="14503"/>
    <cellStyle name="Header2 2 12 5 5 3" xfId="25671"/>
    <cellStyle name="Header2 2 12 5 5 4" xfId="36836"/>
    <cellStyle name="Header2 2 12 5 5 5" xfId="48029"/>
    <cellStyle name="Header2 2 12 5 6" xfId="3940"/>
    <cellStyle name="Header2 2 12 5 6 2" xfId="15137"/>
    <cellStyle name="Header2 2 12 5 6 3" xfId="26305"/>
    <cellStyle name="Header2 2 12 5 6 4" xfId="37470"/>
    <cellStyle name="Header2 2 12 5 6 5" xfId="48663"/>
    <cellStyle name="Header2 2 12 5 7" xfId="4573"/>
    <cellStyle name="Header2 2 12 5 7 2" xfId="15770"/>
    <cellStyle name="Header2 2 12 5 7 3" xfId="26938"/>
    <cellStyle name="Header2 2 12 5 7 4" xfId="38103"/>
    <cellStyle name="Header2 2 12 5 7 5" xfId="49296"/>
    <cellStyle name="Header2 2 12 5 8" xfId="5204"/>
    <cellStyle name="Header2 2 12 5 8 2" xfId="16401"/>
    <cellStyle name="Header2 2 12 5 8 3" xfId="27569"/>
    <cellStyle name="Header2 2 12 5 8 4" xfId="38734"/>
    <cellStyle name="Header2 2 12 5 8 5" xfId="49927"/>
    <cellStyle name="Header2 2 12 5 9" xfId="6258"/>
    <cellStyle name="Header2 2 12 5 9 2" xfId="17455"/>
    <cellStyle name="Header2 2 12 5 9 3" xfId="28623"/>
    <cellStyle name="Header2 2 12 5 9 4" xfId="39788"/>
    <cellStyle name="Header2 2 12 5 9 5" xfId="50981"/>
    <cellStyle name="Header2 2 12 6" xfId="386"/>
    <cellStyle name="Header2 2 12 6 10" xfId="6955"/>
    <cellStyle name="Header2 2 12 6 10 2" xfId="18152"/>
    <cellStyle name="Header2 2 12 6 10 3" xfId="29320"/>
    <cellStyle name="Header2 2 12 6 10 4" xfId="40485"/>
    <cellStyle name="Header2 2 12 6 10 5" xfId="51678"/>
    <cellStyle name="Header2 2 12 6 11" xfId="7589"/>
    <cellStyle name="Header2 2 12 6 11 2" xfId="18786"/>
    <cellStyle name="Header2 2 12 6 11 3" xfId="29954"/>
    <cellStyle name="Header2 2 12 6 11 4" xfId="41119"/>
    <cellStyle name="Header2 2 12 6 11 5" xfId="52312"/>
    <cellStyle name="Header2 2 12 6 12" xfId="8223"/>
    <cellStyle name="Header2 2 12 6 12 2" xfId="19420"/>
    <cellStyle name="Header2 2 12 6 12 3" xfId="30588"/>
    <cellStyle name="Header2 2 12 6 12 4" xfId="41753"/>
    <cellStyle name="Header2 2 12 6 12 5" xfId="52946"/>
    <cellStyle name="Header2 2 12 6 13" xfId="9274"/>
    <cellStyle name="Header2 2 12 6 13 2" xfId="20471"/>
    <cellStyle name="Header2 2 12 6 13 3" xfId="31639"/>
    <cellStyle name="Header2 2 12 6 13 4" xfId="42804"/>
    <cellStyle name="Header2 2 12 6 13 5" xfId="53997"/>
    <cellStyle name="Header2 2 12 6 14" xfId="10490"/>
    <cellStyle name="Header2 2 12 6 14 2" xfId="21687"/>
    <cellStyle name="Header2 2 12 6 14 3" xfId="32855"/>
    <cellStyle name="Header2 2 12 6 14 4" xfId="44020"/>
    <cellStyle name="Header2 2 12 6 14 5" xfId="55213"/>
    <cellStyle name="Header2 2 12 6 15" xfId="10939"/>
    <cellStyle name="Header2 2 12 6 15 2" xfId="22136"/>
    <cellStyle name="Header2 2 12 6 15 3" xfId="33304"/>
    <cellStyle name="Header2 2 12 6 15 4" xfId="44469"/>
    <cellStyle name="Header2 2 12 6 15 5" xfId="55662"/>
    <cellStyle name="Header2 2 12 6 16" xfId="11586"/>
    <cellStyle name="Header2 2 12 6 17" xfId="22756"/>
    <cellStyle name="Header2 2 12 6 18" xfId="33923"/>
    <cellStyle name="Header2 2 12 6 19" xfId="45109"/>
    <cellStyle name="Header2 2 12 6 2" xfId="1035"/>
    <cellStyle name="Header2 2 12 6 2 2" xfId="12232"/>
    <cellStyle name="Header2 2 12 6 2 3" xfId="23400"/>
    <cellStyle name="Header2 2 12 6 2 4" xfId="34565"/>
    <cellStyle name="Header2 2 12 6 2 5" xfId="45758"/>
    <cellStyle name="Header2 2 12 6 3" xfId="1787"/>
    <cellStyle name="Header2 2 12 6 3 2" xfId="12984"/>
    <cellStyle name="Header2 2 12 6 3 3" xfId="24152"/>
    <cellStyle name="Header2 2 12 6 3 4" xfId="35317"/>
    <cellStyle name="Header2 2 12 6 3 5" xfId="46510"/>
    <cellStyle name="Header2 2 12 6 4" xfId="2736"/>
    <cellStyle name="Header2 2 12 6 4 2" xfId="13933"/>
    <cellStyle name="Header2 2 12 6 4 3" xfId="25101"/>
    <cellStyle name="Header2 2 12 6 4 4" xfId="36266"/>
    <cellStyle name="Header2 2 12 6 4 5" xfId="47459"/>
    <cellStyle name="Header2 2 12 6 5" xfId="3370"/>
    <cellStyle name="Header2 2 12 6 5 2" xfId="14567"/>
    <cellStyle name="Header2 2 12 6 5 3" xfId="25735"/>
    <cellStyle name="Header2 2 12 6 5 4" xfId="36900"/>
    <cellStyle name="Header2 2 12 6 5 5" xfId="48093"/>
    <cellStyle name="Header2 2 12 6 6" xfId="4004"/>
    <cellStyle name="Header2 2 12 6 6 2" xfId="15201"/>
    <cellStyle name="Header2 2 12 6 6 3" xfId="26369"/>
    <cellStyle name="Header2 2 12 6 6 4" xfId="37534"/>
    <cellStyle name="Header2 2 12 6 6 5" xfId="48727"/>
    <cellStyle name="Header2 2 12 6 7" xfId="4637"/>
    <cellStyle name="Header2 2 12 6 7 2" xfId="15834"/>
    <cellStyle name="Header2 2 12 6 7 3" xfId="27002"/>
    <cellStyle name="Header2 2 12 6 7 4" xfId="38167"/>
    <cellStyle name="Header2 2 12 6 7 5" xfId="49360"/>
    <cellStyle name="Header2 2 12 6 8" xfId="5268"/>
    <cellStyle name="Header2 2 12 6 8 2" xfId="16465"/>
    <cellStyle name="Header2 2 12 6 8 3" xfId="27633"/>
    <cellStyle name="Header2 2 12 6 8 4" xfId="38798"/>
    <cellStyle name="Header2 2 12 6 8 5" xfId="49991"/>
    <cellStyle name="Header2 2 12 6 9" xfId="6322"/>
    <cellStyle name="Header2 2 12 6 9 2" xfId="17519"/>
    <cellStyle name="Header2 2 12 6 9 3" xfId="28687"/>
    <cellStyle name="Header2 2 12 6 9 4" xfId="39852"/>
    <cellStyle name="Header2 2 12 6 9 5" xfId="51045"/>
    <cellStyle name="Header2 2 12 7" xfId="449"/>
    <cellStyle name="Header2 2 12 7 10" xfId="7018"/>
    <cellStyle name="Header2 2 12 7 10 2" xfId="18215"/>
    <cellStyle name="Header2 2 12 7 10 3" xfId="29383"/>
    <cellStyle name="Header2 2 12 7 10 4" xfId="40548"/>
    <cellStyle name="Header2 2 12 7 10 5" xfId="51741"/>
    <cellStyle name="Header2 2 12 7 11" xfId="7652"/>
    <cellStyle name="Header2 2 12 7 11 2" xfId="18849"/>
    <cellStyle name="Header2 2 12 7 11 3" xfId="30017"/>
    <cellStyle name="Header2 2 12 7 11 4" xfId="41182"/>
    <cellStyle name="Header2 2 12 7 11 5" xfId="52375"/>
    <cellStyle name="Header2 2 12 7 12" xfId="8286"/>
    <cellStyle name="Header2 2 12 7 12 2" xfId="19483"/>
    <cellStyle name="Header2 2 12 7 12 3" xfId="30651"/>
    <cellStyle name="Header2 2 12 7 12 4" xfId="41816"/>
    <cellStyle name="Header2 2 12 7 12 5" xfId="53009"/>
    <cellStyle name="Header2 2 12 7 13" xfId="9337"/>
    <cellStyle name="Header2 2 12 7 13 2" xfId="20534"/>
    <cellStyle name="Header2 2 12 7 13 3" xfId="31702"/>
    <cellStyle name="Header2 2 12 7 13 4" xfId="42867"/>
    <cellStyle name="Header2 2 12 7 13 5" xfId="54060"/>
    <cellStyle name="Header2 2 12 7 14" xfId="10582"/>
    <cellStyle name="Header2 2 12 7 14 2" xfId="21779"/>
    <cellStyle name="Header2 2 12 7 14 3" xfId="32947"/>
    <cellStyle name="Header2 2 12 7 14 4" xfId="44112"/>
    <cellStyle name="Header2 2 12 7 14 5" xfId="55305"/>
    <cellStyle name="Header2 2 12 7 15" xfId="11002"/>
    <cellStyle name="Header2 2 12 7 15 2" xfId="22199"/>
    <cellStyle name="Header2 2 12 7 15 3" xfId="33367"/>
    <cellStyle name="Header2 2 12 7 15 4" xfId="44532"/>
    <cellStyle name="Header2 2 12 7 15 5" xfId="55725"/>
    <cellStyle name="Header2 2 12 7 16" xfId="11649"/>
    <cellStyle name="Header2 2 12 7 17" xfId="22819"/>
    <cellStyle name="Header2 2 12 7 18" xfId="33986"/>
    <cellStyle name="Header2 2 12 7 19" xfId="45172"/>
    <cellStyle name="Header2 2 12 7 2" xfId="1098"/>
    <cellStyle name="Header2 2 12 7 2 2" xfId="12295"/>
    <cellStyle name="Header2 2 12 7 2 3" xfId="23463"/>
    <cellStyle name="Header2 2 12 7 2 4" xfId="34628"/>
    <cellStyle name="Header2 2 12 7 2 5" xfId="45821"/>
    <cellStyle name="Header2 2 12 7 3" xfId="1881"/>
    <cellStyle name="Header2 2 12 7 3 2" xfId="13078"/>
    <cellStyle name="Header2 2 12 7 3 3" xfId="24246"/>
    <cellStyle name="Header2 2 12 7 3 4" xfId="35411"/>
    <cellStyle name="Header2 2 12 7 3 5" xfId="46604"/>
    <cellStyle name="Header2 2 12 7 4" xfId="2799"/>
    <cellStyle name="Header2 2 12 7 4 2" xfId="13996"/>
    <cellStyle name="Header2 2 12 7 4 3" xfId="25164"/>
    <cellStyle name="Header2 2 12 7 4 4" xfId="36329"/>
    <cellStyle name="Header2 2 12 7 4 5" xfId="47522"/>
    <cellStyle name="Header2 2 12 7 5" xfId="3433"/>
    <cellStyle name="Header2 2 12 7 5 2" xfId="14630"/>
    <cellStyle name="Header2 2 12 7 5 3" xfId="25798"/>
    <cellStyle name="Header2 2 12 7 5 4" xfId="36963"/>
    <cellStyle name="Header2 2 12 7 5 5" xfId="48156"/>
    <cellStyle name="Header2 2 12 7 6" xfId="4067"/>
    <cellStyle name="Header2 2 12 7 6 2" xfId="15264"/>
    <cellStyle name="Header2 2 12 7 6 3" xfId="26432"/>
    <cellStyle name="Header2 2 12 7 6 4" xfId="37597"/>
    <cellStyle name="Header2 2 12 7 6 5" xfId="48790"/>
    <cellStyle name="Header2 2 12 7 7" xfId="4700"/>
    <cellStyle name="Header2 2 12 7 7 2" xfId="15897"/>
    <cellStyle name="Header2 2 12 7 7 3" xfId="27065"/>
    <cellStyle name="Header2 2 12 7 7 4" xfId="38230"/>
    <cellStyle name="Header2 2 12 7 7 5" xfId="49423"/>
    <cellStyle name="Header2 2 12 7 8" xfId="5331"/>
    <cellStyle name="Header2 2 12 7 8 2" xfId="16528"/>
    <cellStyle name="Header2 2 12 7 8 3" xfId="27696"/>
    <cellStyle name="Header2 2 12 7 8 4" xfId="38861"/>
    <cellStyle name="Header2 2 12 7 8 5" xfId="50054"/>
    <cellStyle name="Header2 2 12 7 9" xfId="6385"/>
    <cellStyle name="Header2 2 12 7 9 2" xfId="17582"/>
    <cellStyle name="Header2 2 12 7 9 3" xfId="28750"/>
    <cellStyle name="Header2 2 12 7 9 4" xfId="39915"/>
    <cellStyle name="Header2 2 12 7 9 5" xfId="51108"/>
    <cellStyle name="Header2 2 12 8" xfId="496"/>
    <cellStyle name="Header2 2 12 8 10" xfId="7065"/>
    <cellStyle name="Header2 2 12 8 10 2" xfId="18262"/>
    <cellStyle name="Header2 2 12 8 10 3" xfId="29430"/>
    <cellStyle name="Header2 2 12 8 10 4" xfId="40595"/>
    <cellStyle name="Header2 2 12 8 10 5" xfId="51788"/>
    <cellStyle name="Header2 2 12 8 11" xfId="7699"/>
    <cellStyle name="Header2 2 12 8 11 2" xfId="18896"/>
    <cellStyle name="Header2 2 12 8 11 3" xfId="30064"/>
    <cellStyle name="Header2 2 12 8 11 4" xfId="41229"/>
    <cellStyle name="Header2 2 12 8 11 5" xfId="52422"/>
    <cellStyle name="Header2 2 12 8 12" xfId="8333"/>
    <cellStyle name="Header2 2 12 8 12 2" xfId="19530"/>
    <cellStyle name="Header2 2 12 8 12 3" xfId="30698"/>
    <cellStyle name="Header2 2 12 8 12 4" xfId="41863"/>
    <cellStyle name="Header2 2 12 8 12 5" xfId="53056"/>
    <cellStyle name="Header2 2 12 8 13" xfId="9384"/>
    <cellStyle name="Header2 2 12 8 13 2" xfId="20581"/>
    <cellStyle name="Header2 2 12 8 13 3" xfId="31749"/>
    <cellStyle name="Header2 2 12 8 13 4" xfId="42914"/>
    <cellStyle name="Header2 2 12 8 13 5" xfId="54107"/>
    <cellStyle name="Header2 2 12 8 14" xfId="9790"/>
    <cellStyle name="Header2 2 12 8 14 2" xfId="20987"/>
    <cellStyle name="Header2 2 12 8 14 3" xfId="32155"/>
    <cellStyle name="Header2 2 12 8 14 4" xfId="43320"/>
    <cellStyle name="Header2 2 12 8 14 5" xfId="54513"/>
    <cellStyle name="Header2 2 12 8 15" xfId="11049"/>
    <cellStyle name="Header2 2 12 8 15 2" xfId="22246"/>
    <cellStyle name="Header2 2 12 8 15 3" xfId="33414"/>
    <cellStyle name="Header2 2 12 8 15 4" xfId="44579"/>
    <cellStyle name="Header2 2 12 8 15 5" xfId="55772"/>
    <cellStyle name="Header2 2 12 8 16" xfId="11696"/>
    <cellStyle name="Header2 2 12 8 17" xfId="22866"/>
    <cellStyle name="Header2 2 12 8 18" xfId="34033"/>
    <cellStyle name="Header2 2 12 8 19" xfId="45219"/>
    <cellStyle name="Header2 2 12 8 2" xfId="1145"/>
    <cellStyle name="Header2 2 12 8 2 2" xfId="12342"/>
    <cellStyle name="Header2 2 12 8 2 3" xfId="23510"/>
    <cellStyle name="Header2 2 12 8 2 4" xfId="34675"/>
    <cellStyle name="Header2 2 12 8 2 5" xfId="45868"/>
    <cellStyle name="Header2 2 12 8 3" xfId="1427"/>
    <cellStyle name="Header2 2 12 8 3 2" xfId="12624"/>
    <cellStyle name="Header2 2 12 8 3 3" xfId="23792"/>
    <cellStyle name="Header2 2 12 8 3 4" xfId="34957"/>
    <cellStyle name="Header2 2 12 8 3 5" xfId="46150"/>
    <cellStyle name="Header2 2 12 8 4" xfId="2846"/>
    <cellStyle name="Header2 2 12 8 4 2" xfId="14043"/>
    <cellStyle name="Header2 2 12 8 4 3" xfId="25211"/>
    <cellStyle name="Header2 2 12 8 4 4" xfId="36376"/>
    <cellStyle name="Header2 2 12 8 4 5" xfId="47569"/>
    <cellStyle name="Header2 2 12 8 5" xfId="3480"/>
    <cellStyle name="Header2 2 12 8 5 2" xfId="14677"/>
    <cellStyle name="Header2 2 12 8 5 3" xfId="25845"/>
    <cellStyle name="Header2 2 12 8 5 4" xfId="37010"/>
    <cellStyle name="Header2 2 12 8 5 5" xfId="48203"/>
    <cellStyle name="Header2 2 12 8 6" xfId="4114"/>
    <cellStyle name="Header2 2 12 8 6 2" xfId="15311"/>
    <cellStyle name="Header2 2 12 8 6 3" xfId="26479"/>
    <cellStyle name="Header2 2 12 8 6 4" xfId="37644"/>
    <cellStyle name="Header2 2 12 8 6 5" xfId="48837"/>
    <cellStyle name="Header2 2 12 8 7" xfId="4747"/>
    <cellStyle name="Header2 2 12 8 7 2" xfId="15944"/>
    <cellStyle name="Header2 2 12 8 7 3" xfId="27112"/>
    <cellStyle name="Header2 2 12 8 7 4" xfId="38277"/>
    <cellStyle name="Header2 2 12 8 7 5" xfId="49470"/>
    <cellStyle name="Header2 2 12 8 8" xfId="5378"/>
    <cellStyle name="Header2 2 12 8 8 2" xfId="16575"/>
    <cellStyle name="Header2 2 12 8 8 3" xfId="27743"/>
    <cellStyle name="Header2 2 12 8 8 4" xfId="38908"/>
    <cellStyle name="Header2 2 12 8 8 5" xfId="50101"/>
    <cellStyle name="Header2 2 12 8 9" xfId="6432"/>
    <cellStyle name="Header2 2 12 8 9 2" xfId="17629"/>
    <cellStyle name="Header2 2 12 8 9 3" xfId="28797"/>
    <cellStyle name="Header2 2 12 8 9 4" xfId="39962"/>
    <cellStyle name="Header2 2 12 8 9 5" xfId="51155"/>
    <cellStyle name="Header2 2 12 9" xfId="554"/>
    <cellStyle name="Header2 2 12 9 10" xfId="7123"/>
    <cellStyle name="Header2 2 12 9 10 2" xfId="18320"/>
    <cellStyle name="Header2 2 12 9 10 3" xfId="29488"/>
    <cellStyle name="Header2 2 12 9 10 4" xfId="40653"/>
    <cellStyle name="Header2 2 12 9 10 5" xfId="51846"/>
    <cellStyle name="Header2 2 12 9 11" xfId="7757"/>
    <cellStyle name="Header2 2 12 9 11 2" xfId="18954"/>
    <cellStyle name="Header2 2 12 9 11 3" xfId="30122"/>
    <cellStyle name="Header2 2 12 9 11 4" xfId="41287"/>
    <cellStyle name="Header2 2 12 9 11 5" xfId="52480"/>
    <cellStyle name="Header2 2 12 9 12" xfId="8391"/>
    <cellStyle name="Header2 2 12 9 12 2" xfId="19588"/>
    <cellStyle name="Header2 2 12 9 12 3" xfId="30756"/>
    <cellStyle name="Header2 2 12 9 12 4" xfId="41921"/>
    <cellStyle name="Header2 2 12 9 12 5" xfId="53114"/>
    <cellStyle name="Header2 2 12 9 13" xfId="9442"/>
    <cellStyle name="Header2 2 12 9 13 2" xfId="20639"/>
    <cellStyle name="Header2 2 12 9 13 3" xfId="31807"/>
    <cellStyle name="Header2 2 12 9 13 4" xfId="42972"/>
    <cellStyle name="Header2 2 12 9 13 5" xfId="54165"/>
    <cellStyle name="Header2 2 12 9 14" xfId="10521"/>
    <cellStyle name="Header2 2 12 9 14 2" xfId="21718"/>
    <cellStyle name="Header2 2 12 9 14 3" xfId="32886"/>
    <cellStyle name="Header2 2 12 9 14 4" xfId="44051"/>
    <cellStyle name="Header2 2 12 9 14 5" xfId="55244"/>
    <cellStyle name="Header2 2 12 9 15" xfId="11107"/>
    <cellStyle name="Header2 2 12 9 15 2" xfId="22304"/>
    <cellStyle name="Header2 2 12 9 15 3" xfId="33472"/>
    <cellStyle name="Header2 2 12 9 15 4" xfId="44637"/>
    <cellStyle name="Header2 2 12 9 15 5" xfId="55830"/>
    <cellStyle name="Header2 2 12 9 16" xfId="11754"/>
    <cellStyle name="Header2 2 12 9 17" xfId="22924"/>
    <cellStyle name="Header2 2 12 9 18" xfId="34091"/>
    <cellStyle name="Header2 2 12 9 19" xfId="45277"/>
    <cellStyle name="Header2 2 12 9 2" xfId="1203"/>
    <cellStyle name="Header2 2 12 9 2 2" xfId="12400"/>
    <cellStyle name="Header2 2 12 9 2 3" xfId="23568"/>
    <cellStyle name="Header2 2 12 9 2 4" xfId="34733"/>
    <cellStyle name="Header2 2 12 9 2 5" xfId="45926"/>
    <cellStyle name="Header2 2 12 9 3" xfId="1348"/>
    <cellStyle name="Header2 2 12 9 3 2" xfId="12545"/>
    <cellStyle name="Header2 2 12 9 3 3" xfId="23713"/>
    <cellStyle name="Header2 2 12 9 3 4" xfId="34878"/>
    <cellStyle name="Header2 2 12 9 3 5" xfId="46071"/>
    <cellStyle name="Header2 2 12 9 4" xfId="2904"/>
    <cellStyle name="Header2 2 12 9 4 2" xfId="14101"/>
    <cellStyle name="Header2 2 12 9 4 3" xfId="25269"/>
    <cellStyle name="Header2 2 12 9 4 4" xfId="36434"/>
    <cellStyle name="Header2 2 12 9 4 5" xfId="47627"/>
    <cellStyle name="Header2 2 12 9 5" xfId="3538"/>
    <cellStyle name="Header2 2 12 9 5 2" xfId="14735"/>
    <cellStyle name="Header2 2 12 9 5 3" xfId="25903"/>
    <cellStyle name="Header2 2 12 9 5 4" xfId="37068"/>
    <cellStyle name="Header2 2 12 9 5 5" xfId="48261"/>
    <cellStyle name="Header2 2 12 9 6" xfId="4172"/>
    <cellStyle name="Header2 2 12 9 6 2" xfId="15369"/>
    <cellStyle name="Header2 2 12 9 6 3" xfId="26537"/>
    <cellStyle name="Header2 2 12 9 6 4" xfId="37702"/>
    <cellStyle name="Header2 2 12 9 6 5" xfId="48895"/>
    <cellStyle name="Header2 2 12 9 7" xfId="4805"/>
    <cellStyle name="Header2 2 12 9 7 2" xfId="16002"/>
    <cellStyle name="Header2 2 12 9 7 3" xfId="27170"/>
    <cellStyle name="Header2 2 12 9 7 4" xfId="38335"/>
    <cellStyle name="Header2 2 12 9 7 5" xfId="49528"/>
    <cellStyle name="Header2 2 12 9 8" xfId="5436"/>
    <cellStyle name="Header2 2 12 9 8 2" xfId="16633"/>
    <cellStyle name="Header2 2 12 9 8 3" xfId="27801"/>
    <cellStyle name="Header2 2 12 9 8 4" xfId="38966"/>
    <cellStyle name="Header2 2 12 9 8 5" xfId="50159"/>
    <cellStyle name="Header2 2 12 9 9" xfId="6490"/>
    <cellStyle name="Header2 2 12 9 9 2" xfId="17687"/>
    <cellStyle name="Header2 2 12 9 9 3" xfId="28855"/>
    <cellStyle name="Header2 2 12 9 9 4" xfId="40020"/>
    <cellStyle name="Header2 2 12 9 9 5" xfId="51213"/>
    <cellStyle name="Header2 2 13" xfId="93"/>
    <cellStyle name="Header2 2 13 10" xfId="620"/>
    <cellStyle name="Header2 2 13 10 10" xfId="7189"/>
    <cellStyle name="Header2 2 13 10 10 2" xfId="18386"/>
    <cellStyle name="Header2 2 13 10 10 3" xfId="29554"/>
    <cellStyle name="Header2 2 13 10 10 4" xfId="40719"/>
    <cellStyle name="Header2 2 13 10 10 5" xfId="51912"/>
    <cellStyle name="Header2 2 13 10 11" xfId="7823"/>
    <cellStyle name="Header2 2 13 10 11 2" xfId="19020"/>
    <cellStyle name="Header2 2 13 10 11 3" xfId="30188"/>
    <cellStyle name="Header2 2 13 10 11 4" xfId="41353"/>
    <cellStyle name="Header2 2 13 10 11 5" xfId="52546"/>
    <cellStyle name="Header2 2 13 10 12" xfId="8457"/>
    <cellStyle name="Header2 2 13 10 12 2" xfId="19654"/>
    <cellStyle name="Header2 2 13 10 12 3" xfId="30822"/>
    <cellStyle name="Header2 2 13 10 12 4" xfId="41987"/>
    <cellStyle name="Header2 2 13 10 12 5" xfId="53180"/>
    <cellStyle name="Header2 2 13 10 13" xfId="9508"/>
    <cellStyle name="Header2 2 13 10 13 2" xfId="20705"/>
    <cellStyle name="Header2 2 13 10 13 3" xfId="31873"/>
    <cellStyle name="Header2 2 13 10 13 4" xfId="43038"/>
    <cellStyle name="Header2 2 13 10 13 5" xfId="54231"/>
    <cellStyle name="Header2 2 13 10 14" xfId="10594"/>
    <cellStyle name="Header2 2 13 10 14 2" xfId="21791"/>
    <cellStyle name="Header2 2 13 10 14 3" xfId="32959"/>
    <cellStyle name="Header2 2 13 10 14 4" xfId="44124"/>
    <cellStyle name="Header2 2 13 10 14 5" xfId="55317"/>
    <cellStyle name="Header2 2 13 10 15" xfId="11173"/>
    <cellStyle name="Header2 2 13 10 15 2" xfId="22370"/>
    <cellStyle name="Header2 2 13 10 15 3" xfId="33538"/>
    <cellStyle name="Header2 2 13 10 15 4" xfId="44703"/>
    <cellStyle name="Header2 2 13 10 15 5" xfId="55896"/>
    <cellStyle name="Header2 2 13 10 16" xfId="11820"/>
    <cellStyle name="Header2 2 13 10 17" xfId="22990"/>
    <cellStyle name="Header2 2 13 10 18" xfId="34157"/>
    <cellStyle name="Header2 2 13 10 19" xfId="45343"/>
    <cellStyle name="Header2 2 13 10 2" xfId="1269"/>
    <cellStyle name="Header2 2 13 10 2 2" xfId="12466"/>
    <cellStyle name="Header2 2 13 10 2 3" xfId="23634"/>
    <cellStyle name="Header2 2 13 10 2 4" xfId="34799"/>
    <cellStyle name="Header2 2 13 10 2 5" xfId="45992"/>
    <cellStyle name="Header2 2 13 10 3" xfId="1805"/>
    <cellStyle name="Header2 2 13 10 3 2" xfId="13002"/>
    <cellStyle name="Header2 2 13 10 3 3" xfId="24170"/>
    <cellStyle name="Header2 2 13 10 3 4" xfId="35335"/>
    <cellStyle name="Header2 2 13 10 3 5" xfId="46528"/>
    <cellStyle name="Header2 2 13 10 4" xfId="2970"/>
    <cellStyle name="Header2 2 13 10 4 2" xfId="14167"/>
    <cellStyle name="Header2 2 13 10 4 3" xfId="25335"/>
    <cellStyle name="Header2 2 13 10 4 4" xfId="36500"/>
    <cellStyle name="Header2 2 13 10 4 5" xfId="47693"/>
    <cellStyle name="Header2 2 13 10 5" xfId="3604"/>
    <cellStyle name="Header2 2 13 10 5 2" xfId="14801"/>
    <cellStyle name="Header2 2 13 10 5 3" xfId="25969"/>
    <cellStyle name="Header2 2 13 10 5 4" xfId="37134"/>
    <cellStyle name="Header2 2 13 10 5 5" xfId="48327"/>
    <cellStyle name="Header2 2 13 10 6" xfId="4238"/>
    <cellStyle name="Header2 2 13 10 6 2" xfId="15435"/>
    <cellStyle name="Header2 2 13 10 6 3" xfId="26603"/>
    <cellStyle name="Header2 2 13 10 6 4" xfId="37768"/>
    <cellStyle name="Header2 2 13 10 6 5" xfId="48961"/>
    <cellStyle name="Header2 2 13 10 7" xfId="4871"/>
    <cellStyle name="Header2 2 13 10 7 2" xfId="16068"/>
    <cellStyle name="Header2 2 13 10 7 3" xfId="27236"/>
    <cellStyle name="Header2 2 13 10 7 4" xfId="38401"/>
    <cellStyle name="Header2 2 13 10 7 5" xfId="49594"/>
    <cellStyle name="Header2 2 13 10 8" xfId="5502"/>
    <cellStyle name="Header2 2 13 10 8 2" xfId="16699"/>
    <cellStyle name="Header2 2 13 10 8 3" xfId="27867"/>
    <cellStyle name="Header2 2 13 10 8 4" xfId="39032"/>
    <cellStyle name="Header2 2 13 10 8 5" xfId="50225"/>
    <cellStyle name="Header2 2 13 10 9" xfId="6556"/>
    <cellStyle name="Header2 2 13 10 9 2" xfId="17753"/>
    <cellStyle name="Header2 2 13 10 9 3" xfId="28921"/>
    <cellStyle name="Header2 2 13 10 9 4" xfId="40086"/>
    <cellStyle name="Header2 2 13 10 9 5" xfId="51279"/>
    <cellStyle name="Header2 2 13 11" xfId="631"/>
    <cellStyle name="Header2 2 13 11 10" xfId="7200"/>
    <cellStyle name="Header2 2 13 11 10 2" xfId="18397"/>
    <cellStyle name="Header2 2 13 11 10 3" xfId="29565"/>
    <cellStyle name="Header2 2 13 11 10 4" xfId="40730"/>
    <cellStyle name="Header2 2 13 11 10 5" xfId="51923"/>
    <cellStyle name="Header2 2 13 11 11" xfId="7834"/>
    <cellStyle name="Header2 2 13 11 11 2" xfId="19031"/>
    <cellStyle name="Header2 2 13 11 11 3" xfId="30199"/>
    <cellStyle name="Header2 2 13 11 11 4" xfId="41364"/>
    <cellStyle name="Header2 2 13 11 11 5" xfId="52557"/>
    <cellStyle name="Header2 2 13 11 12" xfId="8468"/>
    <cellStyle name="Header2 2 13 11 12 2" xfId="19665"/>
    <cellStyle name="Header2 2 13 11 12 3" xfId="30833"/>
    <cellStyle name="Header2 2 13 11 12 4" xfId="41998"/>
    <cellStyle name="Header2 2 13 11 12 5" xfId="53191"/>
    <cellStyle name="Header2 2 13 11 13" xfId="9519"/>
    <cellStyle name="Header2 2 13 11 13 2" xfId="20716"/>
    <cellStyle name="Header2 2 13 11 13 3" xfId="31884"/>
    <cellStyle name="Header2 2 13 11 13 4" xfId="43049"/>
    <cellStyle name="Header2 2 13 11 13 5" xfId="54242"/>
    <cellStyle name="Header2 2 13 11 14" xfId="10560"/>
    <cellStyle name="Header2 2 13 11 14 2" xfId="21757"/>
    <cellStyle name="Header2 2 13 11 14 3" xfId="32925"/>
    <cellStyle name="Header2 2 13 11 14 4" xfId="44090"/>
    <cellStyle name="Header2 2 13 11 14 5" xfId="55283"/>
    <cellStyle name="Header2 2 13 11 15" xfId="11184"/>
    <cellStyle name="Header2 2 13 11 15 2" xfId="22381"/>
    <cellStyle name="Header2 2 13 11 15 3" xfId="33549"/>
    <cellStyle name="Header2 2 13 11 15 4" xfId="44714"/>
    <cellStyle name="Header2 2 13 11 15 5" xfId="55907"/>
    <cellStyle name="Header2 2 13 11 16" xfId="11831"/>
    <cellStyle name="Header2 2 13 11 17" xfId="23001"/>
    <cellStyle name="Header2 2 13 11 18" xfId="34168"/>
    <cellStyle name="Header2 2 13 11 19" xfId="45354"/>
    <cellStyle name="Header2 2 13 11 2" xfId="1280"/>
    <cellStyle name="Header2 2 13 11 2 2" xfId="12477"/>
    <cellStyle name="Header2 2 13 11 2 3" xfId="23645"/>
    <cellStyle name="Header2 2 13 11 2 4" xfId="34810"/>
    <cellStyle name="Header2 2 13 11 2 5" xfId="46003"/>
    <cellStyle name="Header2 2 13 11 3" xfId="1903"/>
    <cellStyle name="Header2 2 13 11 3 2" xfId="13100"/>
    <cellStyle name="Header2 2 13 11 3 3" xfId="24268"/>
    <cellStyle name="Header2 2 13 11 3 4" xfId="35433"/>
    <cellStyle name="Header2 2 13 11 3 5" xfId="46626"/>
    <cellStyle name="Header2 2 13 11 4" xfId="2981"/>
    <cellStyle name="Header2 2 13 11 4 2" xfId="14178"/>
    <cellStyle name="Header2 2 13 11 4 3" xfId="25346"/>
    <cellStyle name="Header2 2 13 11 4 4" xfId="36511"/>
    <cellStyle name="Header2 2 13 11 4 5" xfId="47704"/>
    <cellStyle name="Header2 2 13 11 5" xfId="3615"/>
    <cellStyle name="Header2 2 13 11 5 2" xfId="14812"/>
    <cellStyle name="Header2 2 13 11 5 3" xfId="25980"/>
    <cellStyle name="Header2 2 13 11 5 4" xfId="37145"/>
    <cellStyle name="Header2 2 13 11 5 5" xfId="48338"/>
    <cellStyle name="Header2 2 13 11 6" xfId="4249"/>
    <cellStyle name="Header2 2 13 11 6 2" xfId="15446"/>
    <cellStyle name="Header2 2 13 11 6 3" xfId="26614"/>
    <cellStyle name="Header2 2 13 11 6 4" xfId="37779"/>
    <cellStyle name="Header2 2 13 11 6 5" xfId="48972"/>
    <cellStyle name="Header2 2 13 11 7" xfId="4882"/>
    <cellStyle name="Header2 2 13 11 7 2" xfId="16079"/>
    <cellStyle name="Header2 2 13 11 7 3" xfId="27247"/>
    <cellStyle name="Header2 2 13 11 7 4" xfId="38412"/>
    <cellStyle name="Header2 2 13 11 7 5" xfId="49605"/>
    <cellStyle name="Header2 2 13 11 8" xfId="5513"/>
    <cellStyle name="Header2 2 13 11 8 2" xfId="16710"/>
    <cellStyle name="Header2 2 13 11 8 3" xfId="27878"/>
    <cellStyle name="Header2 2 13 11 8 4" xfId="39043"/>
    <cellStyle name="Header2 2 13 11 8 5" xfId="50236"/>
    <cellStyle name="Header2 2 13 11 9" xfId="6567"/>
    <cellStyle name="Header2 2 13 11 9 2" xfId="17764"/>
    <cellStyle name="Header2 2 13 11 9 3" xfId="28932"/>
    <cellStyle name="Header2 2 13 11 9 4" xfId="40097"/>
    <cellStyle name="Header2 2 13 11 9 5" xfId="51290"/>
    <cellStyle name="Header2 2 13 12" xfId="742"/>
    <cellStyle name="Header2 2 13 12 2" xfId="11939"/>
    <cellStyle name="Header2 2 13 12 3" xfId="23107"/>
    <cellStyle name="Header2 2 13 12 4" xfId="34272"/>
    <cellStyle name="Header2 2 13 12 5" xfId="45465"/>
    <cellStyle name="Header2 2 13 13" xfId="1468"/>
    <cellStyle name="Header2 2 13 13 2" xfId="12665"/>
    <cellStyle name="Header2 2 13 13 3" xfId="23833"/>
    <cellStyle name="Header2 2 13 13 4" xfId="34998"/>
    <cellStyle name="Header2 2 13 13 5" xfId="46191"/>
    <cellStyle name="Header2 2 13 14" xfId="2057"/>
    <cellStyle name="Header2 2 13 14 2" xfId="13254"/>
    <cellStyle name="Header2 2 13 14 3" xfId="24422"/>
    <cellStyle name="Header2 2 13 14 4" xfId="35587"/>
    <cellStyle name="Header2 2 13 14 5" xfId="46780"/>
    <cellStyle name="Header2 2 13 15" xfId="3077"/>
    <cellStyle name="Header2 2 13 15 2" xfId="14274"/>
    <cellStyle name="Header2 2 13 15 3" xfId="25442"/>
    <cellStyle name="Header2 2 13 15 4" xfId="36607"/>
    <cellStyle name="Header2 2 13 15 5" xfId="47800"/>
    <cellStyle name="Header2 2 13 16" xfId="3711"/>
    <cellStyle name="Header2 2 13 16 2" xfId="14908"/>
    <cellStyle name="Header2 2 13 16 3" xfId="26076"/>
    <cellStyle name="Header2 2 13 16 4" xfId="37241"/>
    <cellStyle name="Header2 2 13 16 5" xfId="48434"/>
    <cellStyle name="Header2 2 13 17" xfId="4344"/>
    <cellStyle name="Header2 2 13 17 2" xfId="15541"/>
    <cellStyle name="Header2 2 13 17 3" xfId="26709"/>
    <cellStyle name="Header2 2 13 17 4" xfId="37874"/>
    <cellStyle name="Header2 2 13 17 5" xfId="49067"/>
    <cellStyle name="Header2 2 13 18" xfId="4975"/>
    <cellStyle name="Header2 2 13 18 2" xfId="16172"/>
    <cellStyle name="Header2 2 13 18 3" xfId="27340"/>
    <cellStyle name="Header2 2 13 18 4" xfId="38505"/>
    <cellStyle name="Header2 2 13 18 5" xfId="49698"/>
    <cellStyle name="Header2 2 13 19" xfId="5585"/>
    <cellStyle name="Header2 2 13 19 2" xfId="16782"/>
    <cellStyle name="Header2 2 13 19 3" xfId="27950"/>
    <cellStyle name="Header2 2 13 19 4" xfId="39115"/>
    <cellStyle name="Header2 2 13 19 5" xfId="50308"/>
    <cellStyle name="Header2 2 13 2" xfId="156"/>
    <cellStyle name="Header2 2 13 2 10" xfId="6725"/>
    <cellStyle name="Header2 2 13 2 10 2" xfId="17922"/>
    <cellStyle name="Header2 2 13 2 10 3" xfId="29090"/>
    <cellStyle name="Header2 2 13 2 10 4" xfId="40255"/>
    <cellStyle name="Header2 2 13 2 10 5" xfId="51448"/>
    <cellStyle name="Header2 2 13 2 11" xfId="7359"/>
    <cellStyle name="Header2 2 13 2 11 2" xfId="18556"/>
    <cellStyle name="Header2 2 13 2 11 3" xfId="29724"/>
    <cellStyle name="Header2 2 13 2 11 4" xfId="40889"/>
    <cellStyle name="Header2 2 13 2 11 5" xfId="52082"/>
    <cellStyle name="Header2 2 13 2 12" xfId="7993"/>
    <cellStyle name="Header2 2 13 2 12 2" xfId="19190"/>
    <cellStyle name="Header2 2 13 2 12 3" xfId="30358"/>
    <cellStyle name="Header2 2 13 2 12 4" xfId="41523"/>
    <cellStyle name="Header2 2 13 2 12 5" xfId="52716"/>
    <cellStyle name="Header2 2 13 2 13" xfId="9038"/>
    <cellStyle name="Header2 2 13 2 13 2" xfId="20235"/>
    <cellStyle name="Header2 2 13 2 13 3" xfId="31403"/>
    <cellStyle name="Header2 2 13 2 13 4" xfId="42568"/>
    <cellStyle name="Header2 2 13 2 13 5" xfId="53761"/>
    <cellStyle name="Header2 2 13 2 14" xfId="10300"/>
    <cellStyle name="Header2 2 13 2 14 2" xfId="21497"/>
    <cellStyle name="Header2 2 13 2 14 3" xfId="32665"/>
    <cellStyle name="Header2 2 13 2 14 4" xfId="43830"/>
    <cellStyle name="Header2 2 13 2 14 5" xfId="55023"/>
    <cellStyle name="Header2 2 13 2 15" xfId="10709"/>
    <cellStyle name="Header2 2 13 2 15 2" xfId="21906"/>
    <cellStyle name="Header2 2 13 2 15 3" xfId="33074"/>
    <cellStyle name="Header2 2 13 2 15 4" xfId="44239"/>
    <cellStyle name="Header2 2 13 2 15 5" xfId="55432"/>
    <cellStyle name="Header2 2 13 2 16" xfId="11356"/>
    <cellStyle name="Header2 2 13 2 17" xfId="22526"/>
    <cellStyle name="Header2 2 13 2 18" xfId="33693"/>
    <cellStyle name="Header2 2 13 2 19" xfId="44879"/>
    <cellStyle name="Header2 2 13 2 2" xfId="805"/>
    <cellStyle name="Header2 2 13 2 2 2" xfId="12002"/>
    <cellStyle name="Header2 2 13 2 2 3" xfId="23170"/>
    <cellStyle name="Header2 2 13 2 2 4" xfId="34335"/>
    <cellStyle name="Header2 2 13 2 2 5" xfId="45528"/>
    <cellStyle name="Header2 2 13 2 3" xfId="1621"/>
    <cellStyle name="Header2 2 13 2 3 2" xfId="12818"/>
    <cellStyle name="Header2 2 13 2 3 3" xfId="23986"/>
    <cellStyle name="Header2 2 13 2 3 4" xfId="35151"/>
    <cellStyle name="Header2 2 13 2 3 5" xfId="46344"/>
    <cellStyle name="Header2 2 13 2 4" xfId="2328"/>
    <cellStyle name="Header2 2 13 2 4 2" xfId="13525"/>
    <cellStyle name="Header2 2 13 2 4 3" xfId="24693"/>
    <cellStyle name="Header2 2 13 2 4 4" xfId="35858"/>
    <cellStyle name="Header2 2 13 2 4 5" xfId="47051"/>
    <cellStyle name="Header2 2 13 2 5" xfId="3140"/>
    <cellStyle name="Header2 2 13 2 5 2" xfId="14337"/>
    <cellStyle name="Header2 2 13 2 5 3" xfId="25505"/>
    <cellStyle name="Header2 2 13 2 5 4" xfId="36670"/>
    <cellStyle name="Header2 2 13 2 5 5" xfId="47863"/>
    <cellStyle name="Header2 2 13 2 6" xfId="3774"/>
    <cellStyle name="Header2 2 13 2 6 2" xfId="14971"/>
    <cellStyle name="Header2 2 13 2 6 3" xfId="26139"/>
    <cellStyle name="Header2 2 13 2 6 4" xfId="37304"/>
    <cellStyle name="Header2 2 13 2 6 5" xfId="48497"/>
    <cellStyle name="Header2 2 13 2 7" xfId="4407"/>
    <cellStyle name="Header2 2 13 2 7 2" xfId="15604"/>
    <cellStyle name="Header2 2 13 2 7 3" xfId="26772"/>
    <cellStyle name="Header2 2 13 2 7 4" xfId="37937"/>
    <cellStyle name="Header2 2 13 2 7 5" xfId="49130"/>
    <cellStyle name="Header2 2 13 2 8" xfId="5038"/>
    <cellStyle name="Header2 2 13 2 8 2" xfId="16235"/>
    <cellStyle name="Header2 2 13 2 8 3" xfId="27403"/>
    <cellStyle name="Header2 2 13 2 8 4" xfId="38568"/>
    <cellStyle name="Header2 2 13 2 8 5" xfId="49761"/>
    <cellStyle name="Header2 2 13 2 9" xfId="3075"/>
    <cellStyle name="Header2 2 13 2 9 2" xfId="14272"/>
    <cellStyle name="Header2 2 13 2 9 3" xfId="25440"/>
    <cellStyle name="Header2 2 13 2 9 4" xfId="36605"/>
    <cellStyle name="Header2 2 13 2 9 5" xfId="47798"/>
    <cellStyle name="Header2 2 13 20" xfId="6662"/>
    <cellStyle name="Header2 2 13 20 2" xfId="17859"/>
    <cellStyle name="Header2 2 13 20 3" xfId="29027"/>
    <cellStyle name="Header2 2 13 20 4" xfId="40192"/>
    <cellStyle name="Header2 2 13 20 5" xfId="51385"/>
    <cellStyle name="Header2 2 13 21" xfId="7296"/>
    <cellStyle name="Header2 2 13 21 2" xfId="18493"/>
    <cellStyle name="Header2 2 13 21 3" xfId="29661"/>
    <cellStyle name="Header2 2 13 21 4" xfId="40826"/>
    <cellStyle name="Header2 2 13 21 5" xfId="52019"/>
    <cellStyle name="Header2 2 13 22" xfId="7930"/>
    <cellStyle name="Header2 2 13 22 2" xfId="19127"/>
    <cellStyle name="Header2 2 13 22 3" xfId="30295"/>
    <cellStyle name="Header2 2 13 22 4" xfId="41460"/>
    <cellStyle name="Header2 2 13 22 5" xfId="52653"/>
    <cellStyle name="Header2 2 13 23" xfId="8771"/>
    <cellStyle name="Header2 2 13 23 2" xfId="19968"/>
    <cellStyle name="Header2 2 13 23 3" xfId="31136"/>
    <cellStyle name="Header2 2 13 23 4" xfId="42301"/>
    <cellStyle name="Header2 2 13 23 5" xfId="53494"/>
    <cellStyle name="Header2 2 13 24" xfId="10189"/>
    <cellStyle name="Header2 2 13 24 2" xfId="21386"/>
    <cellStyle name="Header2 2 13 24 3" xfId="32554"/>
    <cellStyle name="Header2 2 13 24 4" xfId="43719"/>
    <cellStyle name="Header2 2 13 24 5" xfId="54912"/>
    <cellStyle name="Header2 2 13 25" xfId="10646"/>
    <cellStyle name="Header2 2 13 25 2" xfId="21843"/>
    <cellStyle name="Header2 2 13 25 3" xfId="33011"/>
    <cellStyle name="Header2 2 13 25 4" xfId="44176"/>
    <cellStyle name="Header2 2 13 25 5" xfId="55369"/>
    <cellStyle name="Header2 2 13 26" xfId="11293"/>
    <cellStyle name="Header2 2 13 27" xfId="22463"/>
    <cellStyle name="Header2 2 13 28" xfId="33630"/>
    <cellStyle name="Header2 2 13 29" xfId="44816"/>
    <cellStyle name="Header2 2 13 3" xfId="212"/>
    <cellStyle name="Header2 2 13 3 10" xfId="6781"/>
    <cellStyle name="Header2 2 13 3 10 2" xfId="17978"/>
    <cellStyle name="Header2 2 13 3 10 3" xfId="29146"/>
    <cellStyle name="Header2 2 13 3 10 4" xfId="40311"/>
    <cellStyle name="Header2 2 13 3 10 5" xfId="51504"/>
    <cellStyle name="Header2 2 13 3 11" xfId="7415"/>
    <cellStyle name="Header2 2 13 3 11 2" xfId="18612"/>
    <cellStyle name="Header2 2 13 3 11 3" xfId="29780"/>
    <cellStyle name="Header2 2 13 3 11 4" xfId="40945"/>
    <cellStyle name="Header2 2 13 3 11 5" xfId="52138"/>
    <cellStyle name="Header2 2 13 3 12" xfId="8049"/>
    <cellStyle name="Header2 2 13 3 12 2" xfId="19246"/>
    <cellStyle name="Header2 2 13 3 12 3" xfId="30414"/>
    <cellStyle name="Header2 2 13 3 12 4" xfId="41579"/>
    <cellStyle name="Header2 2 13 3 12 5" xfId="52772"/>
    <cellStyle name="Header2 2 13 3 13" xfId="8961"/>
    <cellStyle name="Header2 2 13 3 13 2" xfId="20158"/>
    <cellStyle name="Header2 2 13 3 13 3" xfId="31326"/>
    <cellStyle name="Header2 2 13 3 13 4" xfId="42491"/>
    <cellStyle name="Header2 2 13 3 13 5" xfId="53684"/>
    <cellStyle name="Header2 2 13 3 14" xfId="10262"/>
    <cellStyle name="Header2 2 13 3 14 2" xfId="21459"/>
    <cellStyle name="Header2 2 13 3 14 3" xfId="32627"/>
    <cellStyle name="Header2 2 13 3 14 4" xfId="43792"/>
    <cellStyle name="Header2 2 13 3 14 5" xfId="54985"/>
    <cellStyle name="Header2 2 13 3 15" xfId="10765"/>
    <cellStyle name="Header2 2 13 3 15 2" xfId="21962"/>
    <cellStyle name="Header2 2 13 3 15 3" xfId="33130"/>
    <cellStyle name="Header2 2 13 3 15 4" xfId="44295"/>
    <cellStyle name="Header2 2 13 3 15 5" xfId="55488"/>
    <cellStyle name="Header2 2 13 3 16" xfId="11412"/>
    <cellStyle name="Header2 2 13 3 17" xfId="22582"/>
    <cellStyle name="Header2 2 13 3 18" xfId="33749"/>
    <cellStyle name="Header2 2 13 3 19" xfId="44935"/>
    <cellStyle name="Header2 2 13 3 2" xfId="861"/>
    <cellStyle name="Header2 2 13 3 2 2" xfId="12058"/>
    <cellStyle name="Header2 2 13 3 2 3" xfId="23226"/>
    <cellStyle name="Header2 2 13 3 2 4" xfId="34391"/>
    <cellStyle name="Header2 2 13 3 2 5" xfId="45584"/>
    <cellStyle name="Header2 2 13 3 3" xfId="1519"/>
    <cellStyle name="Header2 2 13 3 3 2" xfId="12716"/>
    <cellStyle name="Header2 2 13 3 3 3" xfId="23884"/>
    <cellStyle name="Header2 2 13 3 3 4" xfId="35049"/>
    <cellStyle name="Header2 2 13 3 3 5" xfId="46242"/>
    <cellStyle name="Header2 2 13 3 4" xfId="2247"/>
    <cellStyle name="Header2 2 13 3 4 2" xfId="13444"/>
    <cellStyle name="Header2 2 13 3 4 3" xfId="24612"/>
    <cellStyle name="Header2 2 13 3 4 4" xfId="35777"/>
    <cellStyle name="Header2 2 13 3 4 5" xfId="46970"/>
    <cellStyle name="Header2 2 13 3 5" xfId="3196"/>
    <cellStyle name="Header2 2 13 3 5 2" xfId="14393"/>
    <cellStyle name="Header2 2 13 3 5 3" xfId="25561"/>
    <cellStyle name="Header2 2 13 3 5 4" xfId="36726"/>
    <cellStyle name="Header2 2 13 3 5 5" xfId="47919"/>
    <cellStyle name="Header2 2 13 3 6" xfId="3830"/>
    <cellStyle name="Header2 2 13 3 6 2" xfId="15027"/>
    <cellStyle name="Header2 2 13 3 6 3" xfId="26195"/>
    <cellStyle name="Header2 2 13 3 6 4" xfId="37360"/>
    <cellStyle name="Header2 2 13 3 6 5" xfId="48553"/>
    <cellStyle name="Header2 2 13 3 7" xfId="4463"/>
    <cellStyle name="Header2 2 13 3 7 2" xfId="15660"/>
    <cellStyle name="Header2 2 13 3 7 3" xfId="26828"/>
    <cellStyle name="Header2 2 13 3 7 4" xfId="37993"/>
    <cellStyle name="Header2 2 13 3 7 5" xfId="49186"/>
    <cellStyle name="Header2 2 13 3 8" xfId="5094"/>
    <cellStyle name="Header2 2 13 3 8 2" xfId="16291"/>
    <cellStyle name="Header2 2 13 3 8 3" xfId="27459"/>
    <cellStyle name="Header2 2 13 3 8 4" xfId="38624"/>
    <cellStyle name="Header2 2 13 3 8 5" xfId="49817"/>
    <cellStyle name="Header2 2 13 3 9" xfId="5913"/>
    <cellStyle name="Header2 2 13 3 9 2" xfId="17110"/>
    <cellStyle name="Header2 2 13 3 9 3" xfId="28278"/>
    <cellStyle name="Header2 2 13 3 9 4" xfId="39443"/>
    <cellStyle name="Header2 2 13 3 9 5" xfId="50636"/>
    <cellStyle name="Header2 2 13 4" xfId="175"/>
    <cellStyle name="Header2 2 13 4 10" xfId="6744"/>
    <cellStyle name="Header2 2 13 4 10 2" xfId="17941"/>
    <cellStyle name="Header2 2 13 4 10 3" xfId="29109"/>
    <cellStyle name="Header2 2 13 4 10 4" xfId="40274"/>
    <cellStyle name="Header2 2 13 4 10 5" xfId="51467"/>
    <cellStyle name="Header2 2 13 4 11" xfId="7378"/>
    <cellStyle name="Header2 2 13 4 11 2" xfId="18575"/>
    <cellStyle name="Header2 2 13 4 11 3" xfId="29743"/>
    <cellStyle name="Header2 2 13 4 11 4" xfId="40908"/>
    <cellStyle name="Header2 2 13 4 11 5" xfId="52101"/>
    <cellStyle name="Header2 2 13 4 12" xfId="8012"/>
    <cellStyle name="Header2 2 13 4 12 2" xfId="19209"/>
    <cellStyle name="Header2 2 13 4 12 3" xfId="30377"/>
    <cellStyle name="Header2 2 13 4 12 4" xfId="41542"/>
    <cellStyle name="Header2 2 13 4 12 5" xfId="52735"/>
    <cellStyle name="Header2 2 13 4 13" xfId="9055"/>
    <cellStyle name="Header2 2 13 4 13 2" xfId="20252"/>
    <cellStyle name="Header2 2 13 4 13 3" xfId="31420"/>
    <cellStyle name="Header2 2 13 4 13 4" xfId="42585"/>
    <cellStyle name="Header2 2 13 4 13 5" xfId="53778"/>
    <cellStyle name="Header2 2 13 4 14" xfId="10488"/>
    <cellStyle name="Header2 2 13 4 14 2" xfId="21685"/>
    <cellStyle name="Header2 2 13 4 14 3" xfId="32853"/>
    <cellStyle name="Header2 2 13 4 14 4" xfId="44018"/>
    <cellStyle name="Header2 2 13 4 14 5" xfId="55211"/>
    <cellStyle name="Header2 2 13 4 15" xfId="10728"/>
    <cellStyle name="Header2 2 13 4 15 2" xfId="21925"/>
    <cellStyle name="Header2 2 13 4 15 3" xfId="33093"/>
    <cellStyle name="Header2 2 13 4 15 4" xfId="44258"/>
    <cellStyle name="Header2 2 13 4 15 5" xfId="55451"/>
    <cellStyle name="Header2 2 13 4 16" xfId="11375"/>
    <cellStyle name="Header2 2 13 4 17" xfId="22545"/>
    <cellStyle name="Header2 2 13 4 18" xfId="33712"/>
    <cellStyle name="Header2 2 13 4 19" xfId="44898"/>
    <cellStyle name="Header2 2 13 4 2" xfId="824"/>
    <cellStyle name="Header2 2 13 4 2 2" xfId="12021"/>
    <cellStyle name="Header2 2 13 4 2 3" xfId="23189"/>
    <cellStyle name="Header2 2 13 4 2 4" xfId="34354"/>
    <cellStyle name="Header2 2 13 4 2 5" xfId="45547"/>
    <cellStyle name="Header2 2 13 4 3" xfId="1785"/>
    <cellStyle name="Header2 2 13 4 3 2" xfId="12982"/>
    <cellStyle name="Header2 2 13 4 3 3" xfId="24150"/>
    <cellStyle name="Header2 2 13 4 3 4" xfId="35315"/>
    <cellStyle name="Header2 2 13 4 3 5" xfId="46508"/>
    <cellStyle name="Header2 2 13 4 4" xfId="2491"/>
    <cellStyle name="Header2 2 13 4 4 2" xfId="13688"/>
    <cellStyle name="Header2 2 13 4 4 3" xfId="24856"/>
    <cellStyle name="Header2 2 13 4 4 4" xfId="36021"/>
    <cellStyle name="Header2 2 13 4 4 5" xfId="47214"/>
    <cellStyle name="Header2 2 13 4 5" xfId="3159"/>
    <cellStyle name="Header2 2 13 4 5 2" xfId="14356"/>
    <cellStyle name="Header2 2 13 4 5 3" xfId="25524"/>
    <cellStyle name="Header2 2 13 4 5 4" xfId="36689"/>
    <cellStyle name="Header2 2 13 4 5 5" xfId="47882"/>
    <cellStyle name="Header2 2 13 4 6" xfId="3793"/>
    <cellStyle name="Header2 2 13 4 6 2" xfId="14990"/>
    <cellStyle name="Header2 2 13 4 6 3" xfId="26158"/>
    <cellStyle name="Header2 2 13 4 6 4" xfId="37323"/>
    <cellStyle name="Header2 2 13 4 6 5" xfId="48516"/>
    <cellStyle name="Header2 2 13 4 7" xfId="4426"/>
    <cellStyle name="Header2 2 13 4 7 2" xfId="15623"/>
    <cellStyle name="Header2 2 13 4 7 3" xfId="26791"/>
    <cellStyle name="Header2 2 13 4 7 4" xfId="37956"/>
    <cellStyle name="Header2 2 13 4 7 5" xfId="49149"/>
    <cellStyle name="Header2 2 13 4 8" xfId="5057"/>
    <cellStyle name="Header2 2 13 4 8 2" xfId="16254"/>
    <cellStyle name="Header2 2 13 4 8 3" xfId="27422"/>
    <cellStyle name="Header2 2 13 4 8 4" xfId="38587"/>
    <cellStyle name="Header2 2 13 4 8 5" xfId="49780"/>
    <cellStyle name="Header2 2 13 4 9" xfId="6099"/>
    <cellStyle name="Header2 2 13 4 9 2" xfId="17296"/>
    <cellStyle name="Header2 2 13 4 9 3" xfId="28464"/>
    <cellStyle name="Header2 2 13 4 9 4" xfId="39629"/>
    <cellStyle name="Header2 2 13 4 9 5" xfId="50822"/>
    <cellStyle name="Header2 2 13 5" xfId="332"/>
    <cellStyle name="Header2 2 13 5 10" xfId="6901"/>
    <cellStyle name="Header2 2 13 5 10 2" xfId="18098"/>
    <cellStyle name="Header2 2 13 5 10 3" xfId="29266"/>
    <cellStyle name="Header2 2 13 5 10 4" xfId="40431"/>
    <cellStyle name="Header2 2 13 5 10 5" xfId="51624"/>
    <cellStyle name="Header2 2 13 5 11" xfId="7535"/>
    <cellStyle name="Header2 2 13 5 11 2" xfId="18732"/>
    <cellStyle name="Header2 2 13 5 11 3" xfId="29900"/>
    <cellStyle name="Header2 2 13 5 11 4" xfId="41065"/>
    <cellStyle name="Header2 2 13 5 11 5" xfId="52258"/>
    <cellStyle name="Header2 2 13 5 12" xfId="8169"/>
    <cellStyle name="Header2 2 13 5 12 2" xfId="19366"/>
    <cellStyle name="Header2 2 13 5 12 3" xfId="30534"/>
    <cellStyle name="Header2 2 13 5 12 4" xfId="41699"/>
    <cellStyle name="Header2 2 13 5 12 5" xfId="52892"/>
    <cellStyle name="Header2 2 13 5 13" xfId="9220"/>
    <cellStyle name="Header2 2 13 5 13 2" xfId="20417"/>
    <cellStyle name="Header2 2 13 5 13 3" xfId="31585"/>
    <cellStyle name="Header2 2 13 5 13 4" xfId="42750"/>
    <cellStyle name="Header2 2 13 5 13 5" xfId="53943"/>
    <cellStyle name="Header2 2 13 5 14" xfId="10347"/>
    <cellStyle name="Header2 2 13 5 14 2" xfId="21544"/>
    <cellStyle name="Header2 2 13 5 14 3" xfId="32712"/>
    <cellStyle name="Header2 2 13 5 14 4" xfId="43877"/>
    <cellStyle name="Header2 2 13 5 14 5" xfId="55070"/>
    <cellStyle name="Header2 2 13 5 15" xfId="10885"/>
    <cellStyle name="Header2 2 13 5 15 2" xfId="22082"/>
    <cellStyle name="Header2 2 13 5 15 3" xfId="33250"/>
    <cellStyle name="Header2 2 13 5 15 4" xfId="44415"/>
    <cellStyle name="Header2 2 13 5 15 5" xfId="55608"/>
    <cellStyle name="Header2 2 13 5 16" xfId="11532"/>
    <cellStyle name="Header2 2 13 5 17" xfId="22702"/>
    <cellStyle name="Header2 2 13 5 18" xfId="33869"/>
    <cellStyle name="Header2 2 13 5 19" xfId="45055"/>
    <cellStyle name="Header2 2 13 5 2" xfId="981"/>
    <cellStyle name="Header2 2 13 5 2 2" xfId="12178"/>
    <cellStyle name="Header2 2 13 5 2 3" xfId="23346"/>
    <cellStyle name="Header2 2 13 5 2 4" xfId="34511"/>
    <cellStyle name="Header2 2 13 5 2 5" xfId="45704"/>
    <cellStyle name="Header2 2 13 5 3" xfId="1736"/>
    <cellStyle name="Header2 2 13 5 3 2" xfId="12933"/>
    <cellStyle name="Header2 2 13 5 3 3" xfId="24101"/>
    <cellStyle name="Header2 2 13 5 3 4" xfId="35266"/>
    <cellStyle name="Header2 2 13 5 3 5" xfId="46459"/>
    <cellStyle name="Header2 2 13 5 4" xfId="2682"/>
    <cellStyle name="Header2 2 13 5 4 2" xfId="13879"/>
    <cellStyle name="Header2 2 13 5 4 3" xfId="25047"/>
    <cellStyle name="Header2 2 13 5 4 4" xfId="36212"/>
    <cellStyle name="Header2 2 13 5 4 5" xfId="47405"/>
    <cellStyle name="Header2 2 13 5 5" xfId="3316"/>
    <cellStyle name="Header2 2 13 5 5 2" xfId="14513"/>
    <cellStyle name="Header2 2 13 5 5 3" xfId="25681"/>
    <cellStyle name="Header2 2 13 5 5 4" xfId="36846"/>
    <cellStyle name="Header2 2 13 5 5 5" xfId="48039"/>
    <cellStyle name="Header2 2 13 5 6" xfId="3950"/>
    <cellStyle name="Header2 2 13 5 6 2" xfId="15147"/>
    <cellStyle name="Header2 2 13 5 6 3" xfId="26315"/>
    <cellStyle name="Header2 2 13 5 6 4" xfId="37480"/>
    <cellStyle name="Header2 2 13 5 6 5" xfId="48673"/>
    <cellStyle name="Header2 2 13 5 7" xfId="4583"/>
    <cellStyle name="Header2 2 13 5 7 2" xfId="15780"/>
    <cellStyle name="Header2 2 13 5 7 3" xfId="26948"/>
    <cellStyle name="Header2 2 13 5 7 4" xfId="38113"/>
    <cellStyle name="Header2 2 13 5 7 5" xfId="49306"/>
    <cellStyle name="Header2 2 13 5 8" xfId="5214"/>
    <cellStyle name="Header2 2 13 5 8 2" xfId="16411"/>
    <cellStyle name="Header2 2 13 5 8 3" xfId="27579"/>
    <cellStyle name="Header2 2 13 5 8 4" xfId="38744"/>
    <cellStyle name="Header2 2 13 5 8 5" xfId="49937"/>
    <cellStyle name="Header2 2 13 5 9" xfId="6268"/>
    <cellStyle name="Header2 2 13 5 9 2" xfId="17465"/>
    <cellStyle name="Header2 2 13 5 9 3" xfId="28633"/>
    <cellStyle name="Header2 2 13 5 9 4" xfId="39798"/>
    <cellStyle name="Header2 2 13 5 9 5" xfId="50991"/>
    <cellStyle name="Header2 2 13 6" xfId="297"/>
    <cellStyle name="Header2 2 13 6 10" xfId="6866"/>
    <cellStyle name="Header2 2 13 6 10 2" xfId="18063"/>
    <cellStyle name="Header2 2 13 6 10 3" xfId="29231"/>
    <cellStyle name="Header2 2 13 6 10 4" xfId="40396"/>
    <cellStyle name="Header2 2 13 6 10 5" xfId="51589"/>
    <cellStyle name="Header2 2 13 6 11" xfId="7500"/>
    <cellStyle name="Header2 2 13 6 11 2" xfId="18697"/>
    <cellStyle name="Header2 2 13 6 11 3" xfId="29865"/>
    <cellStyle name="Header2 2 13 6 11 4" xfId="41030"/>
    <cellStyle name="Header2 2 13 6 11 5" xfId="52223"/>
    <cellStyle name="Header2 2 13 6 12" xfId="8134"/>
    <cellStyle name="Header2 2 13 6 12 2" xfId="19331"/>
    <cellStyle name="Header2 2 13 6 12 3" xfId="30499"/>
    <cellStyle name="Header2 2 13 6 12 4" xfId="41664"/>
    <cellStyle name="Header2 2 13 6 12 5" xfId="52857"/>
    <cellStyle name="Header2 2 13 6 13" xfId="9185"/>
    <cellStyle name="Header2 2 13 6 13 2" xfId="20382"/>
    <cellStyle name="Header2 2 13 6 13 3" xfId="31550"/>
    <cellStyle name="Header2 2 13 6 13 4" xfId="42715"/>
    <cellStyle name="Header2 2 13 6 13 5" xfId="53908"/>
    <cellStyle name="Header2 2 13 6 14" xfId="10529"/>
    <cellStyle name="Header2 2 13 6 14 2" xfId="21726"/>
    <cellStyle name="Header2 2 13 6 14 3" xfId="32894"/>
    <cellStyle name="Header2 2 13 6 14 4" xfId="44059"/>
    <cellStyle name="Header2 2 13 6 14 5" xfId="55252"/>
    <cellStyle name="Header2 2 13 6 15" xfId="10850"/>
    <cellStyle name="Header2 2 13 6 15 2" xfId="22047"/>
    <cellStyle name="Header2 2 13 6 15 3" xfId="33215"/>
    <cellStyle name="Header2 2 13 6 15 4" xfId="44380"/>
    <cellStyle name="Header2 2 13 6 15 5" xfId="55573"/>
    <cellStyle name="Header2 2 13 6 16" xfId="11497"/>
    <cellStyle name="Header2 2 13 6 17" xfId="22667"/>
    <cellStyle name="Header2 2 13 6 18" xfId="33834"/>
    <cellStyle name="Header2 2 13 6 19" xfId="45020"/>
    <cellStyle name="Header2 2 13 6 2" xfId="946"/>
    <cellStyle name="Header2 2 13 6 2 2" xfId="12143"/>
    <cellStyle name="Header2 2 13 6 2 3" xfId="23311"/>
    <cellStyle name="Header2 2 13 6 2 4" xfId="34476"/>
    <cellStyle name="Header2 2 13 6 2 5" xfId="45669"/>
    <cellStyle name="Header2 2 13 6 3" xfId="1901"/>
    <cellStyle name="Header2 2 13 6 3 2" xfId="13098"/>
    <cellStyle name="Header2 2 13 6 3 3" xfId="24266"/>
    <cellStyle name="Header2 2 13 6 3 4" xfId="35431"/>
    <cellStyle name="Header2 2 13 6 3 5" xfId="46624"/>
    <cellStyle name="Header2 2 13 6 4" xfId="2647"/>
    <cellStyle name="Header2 2 13 6 4 2" xfId="13844"/>
    <cellStyle name="Header2 2 13 6 4 3" xfId="25012"/>
    <cellStyle name="Header2 2 13 6 4 4" xfId="36177"/>
    <cellStyle name="Header2 2 13 6 4 5" xfId="47370"/>
    <cellStyle name="Header2 2 13 6 5" xfId="3281"/>
    <cellStyle name="Header2 2 13 6 5 2" xfId="14478"/>
    <cellStyle name="Header2 2 13 6 5 3" xfId="25646"/>
    <cellStyle name="Header2 2 13 6 5 4" xfId="36811"/>
    <cellStyle name="Header2 2 13 6 5 5" xfId="48004"/>
    <cellStyle name="Header2 2 13 6 6" xfId="3915"/>
    <cellStyle name="Header2 2 13 6 6 2" xfId="15112"/>
    <cellStyle name="Header2 2 13 6 6 3" xfId="26280"/>
    <cellStyle name="Header2 2 13 6 6 4" xfId="37445"/>
    <cellStyle name="Header2 2 13 6 6 5" xfId="48638"/>
    <cellStyle name="Header2 2 13 6 7" xfId="4548"/>
    <cellStyle name="Header2 2 13 6 7 2" xfId="15745"/>
    <cellStyle name="Header2 2 13 6 7 3" xfId="26913"/>
    <cellStyle name="Header2 2 13 6 7 4" xfId="38078"/>
    <cellStyle name="Header2 2 13 6 7 5" xfId="49271"/>
    <cellStyle name="Header2 2 13 6 8" xfId="5179"/>
    <cellStyle name="Header2 2 13 6 8 2" xfId="16376"/>
    <cellStyle name="Header2 2 13 6 8 3" xfId="27544"/>
    <cellStyle name="Header2 2 13 6 8 4" xfId="38709"/>
    <cellStyle name="Header2 2 13 6 8 5" xfId="49902"/>
    <cellStyle name="Header2 2 13 6 9" xfId="6233"/>
    <cellStyle name="Header2 2 13 6 9 2" xfId="17430"/>
    <cellStyle name="Header2 2 13 6 9 3" xfId="28598"/>
    <cellStyle name="Header2 2 13 6 9 4" xfId="39763"/>
    <cellStyle name="Header2 2 13 6 9 5" xfId="50956"/>
    <cellStyle name="Header2 2 13 7" xfId="456"/>
    <cellStyle name="Header2 2 13 7 10" xfId="7025"/>
    <cellStyle name="Header2 2 13 7 10 2" xfId="18222"/>
    <cellStyle name="Header2 2 13 7 10 3" xfId="29390"/>
    <cellStyle name="Header2 2 13 7 10 4" xfId="40555"/>
    <cellStyle name="Header2 2 13 7 10 5" xfId="51748"/>
    <cellStyle name="Header2 2 13 7 11" xfId="7659"/>
    <cellStyle name="Header2 2 13 7 11 2" xfId="18856"/>
    <cellStyle name="Header2 2 13 7 11 3" xfId="30024"/>
    <cellStyle name="Header2 2 13 7 11 4" xfId="41189"/>
    <cellStyle name="Header2 2 13 7 11 5" xfId="52382"/>
    <cellStyle name="Header2 2 13 7 12" xfId="8293"/>
    <cellStyle name="Header2 2 13 7 12 2" xfId="19490"/>
    <cellStyle name="Header2 2 13 7 12 3" xfId="30658"/>
    <cellStyle name="Header2 2 13 7 12 4" xfId="41823"/>
    <cellStyle name="Header2 2 13 7 12 5" xfId="53016"/>
    <cellStyle name="Header2 2 13 7 13" xfId="9344"/>
    <cellStyle name="Header2 2 13 7 13 2" xfId="20541"/>
    <cellStyle name="Header2 2 13 7 13 3" xfId="31709"/>
    <cellStyle name="Header2 2 13 7 13 4" xfId="42874"/>
    <cellStyle name="Header2 2 13 7 13 5" xfId="54067"/>
    <cellStyle name="Header2 2 13 7 14" xfId="8945"/>
    <cellStyle name="Header2 2 13 7 14 2" xfId="20142"/>
    <cellStyle name="Header2 2 13 7 14 3" xfId="31310"/>
    <cellStyle name="Header2 2 13 7 14 4" xfId="42475"/>
    <cellStyle name="Header2 2 13 7 14 5" xfId="53668"/>
    <cellStyle name="Header2 2 13 7 15" xfId="11009"/>
    <cellStyle name="Header2 2 13 7 15 2" xfId="22206"/>
    <cellStyle name="Header2 2 13 7 15 3" xfId="33374"/>
    <cellStyle name="Header2 2 13 7 15 4" xfId="44539"/>
    <cellStyle name="Header2 2 13 7 15 5" xfId="55732"/>
    <cellStyle name="Header2 2 13 7 16" xfId="11656"/>
    <cellStyle name="Header2 2 13 7 17" xfId="22826"/>
    <cellStyle name="Header2 2 13 7 18" xfId="33993"/>
    <cellStyle name="Header2 2 13 7 19" xfId="45179"/>
    <cellStyle name="Header2 2 13 7 2" xfId="1105"/>
    <cellStyle name="Header2 2 13 7 2 2" xfId="12302"/>
    <cellStyle name="Header2 2 13 7 2 3" xfId="23470"/>
    <cellStyle name="Header2 2 13 7 2 4" xfId="34635"/>
    <cellStyle name="Header2 2 13 7 2 5" xfId="45828"/>
    <cellStyle name="Header2 2 13 7 3" xfId="1840"/>
    <cellStyle name="Header2 2 13 7 3 2" xfId="13037"/>
    <cellStyle name="Header2 2 13 7 3 3" xfId="24205"/>
    <cellStyle name="Header2 2 13 7 3 4" xfId="35370"/>
    <cellStyle name="Header2 2 13 7 3 5" xfId="46563"/>
    <cellStyle name="Header2 2 13 7 4" xfId="2806"/>
    <cellStyle name="Header2 2 13 7 4 2" xfId="14003"/>
    <cellStyle name="Header2 2 13 7 4 3" xfId="25171"/>
    <cellStyle name="Header2 2 13 7 4 4" xfId="36336"/>
    <cellStyle name="Header2 2 13 7 4 5" xfId="47529"/>
    <cellStyle name="Header2 2 13 7 5" xfId="3440"/>
    <cellStyle name="Header2 2 13 7 5 2" xfId="14637"/>
    <cellStyle name="Header2 2 13 7 5 3" xfId="25805"/>
    <cellStyle name="Header2 2 13 7 5 4" xfId="36970"/>
    <cellStyle name="Header2 2 13 7 5 5" xfId="48163"/>
    <cellStyle name="Header2 2 13 7 6" xfId="4074"/>
    <cellStyle name="Header2 2 13 7 6 2" xfId="15271"/>
    <cellStyle name="Header2 2 13 7 6 3" xfId="26439"/>
    <cellStyle name="Header2 2 13 7 6 4" xfId="37604"/>
    <cellStyle name="Header2 2 13 7 6 5" xfId="48797"/>
    <cellStyle name="Header2 2 13 7 7" xfId="4707"/>
    <cellStyle name="Header2 2 13 7 7 2" xfId="15904"/>
    <cellStyle name="Header2 2 13 7 7 3" xfId="27072"/>
    <cellStyle name="Header2 2 13 7 7 4" xfId="38237"/>
    <cellStyle name="Header2 2 13 7 7 5" xfId="49430"/>
    <cellStyle name="Header2 2 13 7 8" xfId="5338"/>
    <cellStyle name="Header2 2 13 7 8 2" xfId="16535"/>
    <cellStyle name="Header2 2 13 7 8 3" xfId="27703"/>
    <cellStyle name="Header2 2 13 7 8 4" xfId="38868"/>
    <cellStyle name="Header2 2 13 7 8 5" xfId="50061"/>
    <cellStyle name="Header2 2 13 7 9" xfId="6392"/>
    <cellStyle name="Header2 2 13 7 9 2" xfId="17589"/>
    <cellStyle name="Header2 2 13 7 9 3" xfId="28757"/>
    <cellStyle name="Header2 2 13 7 9 4" xfId="39922"/>
    <cellStyle name="Header2 2 13 7 9 5" xfId="51115"/>
    <cellStyle name="Header2 2 13 8" xfId="502"/>
    <cellStyle name="Header2 2 13 8 10" xfId="7071"/>
    <cellStyle name="Header2 2 13 8 10 2" xfId="18268"/>
    <cellStyle name="Header2 2 13 8 10 3" xfId="29436"/>
    <cellStyle name="Header2 2 13 8 10 4" xfId="40601"/>
    <cellStyle name="Header2 2 13 8 10 5" xfId="51794"/>
    <cellStyle name="Header2 2 13 8 11" xfId="7705"/>
    <cellStyle name="Header2 2 13 8 11 2" xfId="18902"/>
    <cellStyle name="Header2 2 13 8 11 3" xfId="30070"/>
    <cellStyle name="Header2 2 13 8 11 4" xfId="41235"/>
    <cellStyle name="Header2 2 13 8 11 5" xfId="52428"/>
    <cellStyle name="Header2 2 13 8 12" xfId="8339"/>
    <cellStyle name="Header2 2 13 8 12 2" xfId="19536"/>
    <cellStyle name="Header2 2 13 8 12 3" xfId="30704"/>
    <cellStyle name="Header2 2 13 8 12 4" xfId="41869"/>
    <cellStyle name="Header2 2 13 8 12 5" xfId="53062"/>
    <cellStyle name="Header2 2 13 8 13" xfId="9390"/>
    <cellStyle name="Header2 2 13 8 13 2" xfId="20587"/>
    <cellStyle name="Header2 2 13 8 13 3" xfId="31755"/>
    <cellStyle name="Header2 2 13 8 13 4" xfId="42920"/>
    <cellStyle name="Header2 2 13 8 13 5" xfId="54113"/>
    <cellStyle name="Header2 2 13 8 14" xfId="10408"/>
    <cellStyle name="Header2 2 13 8 14 2" xfId="21605"/>
    <cellStyle name="Header2 2 13 8 14 3" xfId="32773"/>
    <cellStyle name="Header2 2 13 8 14 4" xfId="43938"/>
    <cellStyle name="Header2 2 13 8 14 5" xfId="55131"/>
    <cellStyle name="Header2 2 13 8 15" xfId="11055"/>
    <cellStyle name="Header2 2 13 8 15 2" xfId="22252"/>
    <cellStyle name="Header2 2 13 8 15 3" xfId="33420"/>
    <cellStyle name="Header2 2 13 8 15 4" xfId="44585"/>
    <cellStyle name="Header2 2 13 8 15 5" xfId="55778"/>
    <cellStyle name="Header2 2 13 8 16" xfId="11702"/>
    <cellStyle name="Header2 2 13 8 17" xfId="22872"/>
    <cellStyle name="Header2 2 13 8 18" xfId="34039"/>
    <cellStyle name="Header2 2 13 8 19" xfId="45225"/>
    <cellStyle name="Header2 2 13 8 2" xfId="1151"/>
    <cellStyle name="Header2 2 13 8 2 2" xfId="12348"/>
    <cellStyle name="Header2 2 13 8 2 3" xfId="23516"/>
    <cellStyle name="Header2 2 13 8 2 4" xfId="34681"/>
    <cellStyle name="Header2 2 13 8 2 5" xfId="45874"/>
    <cellStyle name="Header2 2 13 8 3" xfId="1682"/>
    <cellStyle name="Header2 2 13 8 3 2" xfId="12879"/>
    <cellStyle name="Header2 2 13 8 3 3" xfId="24047"/>
    <cellStyle name="Header2 2 13 8 3 4" xfId="35212"/>
    <cellStyle name="Header2 2 13 8 3 5" xfId="46405"/>
    <cellStyle name="Header2 2 13 8 4" xfId="2852"/>
    <cellStyle name="Header2 2 13 8 4 2" xfId="14049"/>
    <cellStyle name="Header2 2 13 8 4 3" xfId="25217"/>
    <cellStyle name="Header2 2 13 8 4 4" xfId="36382"/>
    <cellStyle name="Header2 2 13 8 4 5" xfId="47575"/>
    <cellStyle name="Header2 2 13 8 5" xfId="3486"/>
    <cellStyle name="Header2 2 13 8 5 2" xfId="14683"/>
    <cellStyle name="Header2 2 13 8 5 3" xfId="25851"/>
    <cellStyle name="Header2 2 13 8 5 4" xfId="37016"/>
    <cellStyle name="Header2 2 13 8 5 5" xfId="48209"/>
    <cellStyle name="Header2 2 13 8 6" xfId="4120"/>
    <cellStyle name="Header2 2 13 8 6 2" xfId="15317"/>
    <cellStyle name="Header2 2 13 8 6 3" xfId="26485"/>
    <cellStyle name="Header2 2 13 8 6 4" xfId="37650"/>
    <cellStyle name="Header2 2 13 8 6 5" xfId="48843"/>
    <cellStyle name="Header2 2 13 8 7" xfId="4753"/>
    <cellStyle name="Header2 2 13 8 7 2" xfId="15950"/>
    <cellStyle name="Header2 2 13 8 7 3" xfId="27118"/>
    <cellStyle name="Header2 2 13 8 7 4" xfId="38283"/>
    <cellStyle name="Header2 2 13 8 7 5" xfId="49476"/>
    <cellStyle name="Header2 2 13 8 8" xfId="5384"/>
    <cellStyle name="Header2 2 13 8 8 2" xfId="16581"/>
    <cellStyle name="Header2 2 13 8 8 3" xfId="27749"/>
    <cellStyle name="Header2 2 13 8 8 4" xfId="38914"/>
    <cellStyle name="Header2 2 13 8 8 5" xfId="50107"/>
    <cellStyle name="Header2 2 13 8 9" xfId="6438"/>
    <cellStyle name="Header2 2 13 8 9 2" xfId="17635"/>
    <cellStyle name="Header2 2 13 8 9 3" xfId="28803"/>
    <cellStyle name="Header2 2 13 8 9 4" xfId="39968"/>
    <cellStyle name="Header2 2 13 8 9 5" xfId="51161"/>
    <cellStyle name="Header2 2 13 9" xfId="560"/>
    <cellStyle name="Header2 2 13 9 10" xfId="7129"/>
    <cellStyle name="Header2 2 13 9 10 2" xfId="18326"/>
    <cellStyle name="Header2 2 13 9 10 3" xfId="29494"/>
    <cellStyle name="Header2 2 13 9 10 4" xfId="40659"/>
    <cellStyle name="Header2 2 13 9 10 5" xfId="51852"/>
    <cellStyle name="Header2 2 13 9 11" xfId="7763"/>
    <cellStyle name="Header2 2 13 9 11 2" xfId="18960"/>
    <cellStyle name="Header2 2 13 9 11 3" xfId="30128"/>
    <cellStyle name="Header2 2 13 9 11 4" xfId="41293"/>
    <cellStyle name="Header2 2 13 9 11 5" xfId="52486"/>
    <cellStyle name="Header2 2 13 9 12" xfId="8397"/>
    <cellStyle name="Header2 2 13 9 12 2" xfId="19594"/>
    <cellStyle name="Header2 2 13 9 12 3" xfId="30762"/>
    <cellStyle name="Header2 2 13 9 12 4" xfId="41927"/>
    <cellStyle name="Header2 2 13 9 12 5" xfId="53120"/>
    <cellStyle name="Header2 2 13 9 13" xfId="9448"/>
    <cellStyle name="Header2 2 13 9 13 2" xfId="20645"/>
    <cellStyle name="Header2 2 13 9 13 3" xfId="31813"/>
    <cellStyle name="Header2 2 13 9 13 4" xfId="42978"/>
    <cellStyle name="Header2 2 13 9 13 5" xfId="54171"/>
    <cellStyle name="Header2 2 13 9 14" xfId="10380"/>
    <cellStyle name="Header2 2 13 9 14 2" xfId="21577"/>
    <cellStyle name="Header2 2 13 9 14 3" xfId="32745"/>
    <cellStyle name="Header2 2 13 9 14 4" xfId="43910"/>
    <cellStyle name="Header2 2 13 9 14 5" xfId="55103"/>
    <cellStyle name="Header2 2 13 9 15" xfId="11113"/>
    <cellStyle name="Header2 2 13 9 15 2" xfId="22310"/>
    <cellStyle name="Header2 2 13 9 15 3" xfId="33478"/>
    <cellStyle name="Header2 2 13 9 15 4" xfId="44643"/>
    <cellStyle name="Header2 2 13 9 15 5" xfId="55836"/>
    <cellStyle name="Header2 2 13 9 16" xfId="11760"/>
    <cellStyle name="Header2 2 13 9 17" xfId="22930"/>
    <cellStyle name="Header2 2 13 9 18" xfId="34097"/>
    <cellStyle name="Header2 2 13 9 19" xfId="45283"/>
    <cellStyle name="Header2 2 13 9 2" xfId="1209"/>
    <cellStyle name="Header2 2 13 9 2 2" xfId="12406"/>
    <cellStyle name="Header2 2 13 9 2 3" xfId="23574"/>
    <cellStyle name="Header2 2 13 9 2 4" xfId="34739"/>
    <cellStyle name="Header2 2 13 9 2 5" xfId="45932"/>
    <cellStyle name="Header2 2 13 9 3" xfId="1674"/>
    <cellStyle name="Header2 2 13 9 3 2" xfId="12871"/>
    <cellStyle name="Header2 2 13 9 3 3" xfId="24039"/>
    <cellStyle name="Header2 2 13 9 3 4" xfId="35204"/>
    <cellStyle name="Header2 2 13 9 3 5" xfId="46397"/>
    <cellStyle name="Header2 2 13 9 4" xfId="2910"/>
    <cellStyle name="Header2 2 13 9 4 2" xfId="14107"/>
    <cellStyle name="Header2 2 13 9 4 3" xfId="25275"/>
    <cellStyle name="Header2 2 13 9 4 4" xfId="36440"/>
    <cellStyle name="Header2 2 13 9 4 5" xfId="47633"/>
    <cellStyle name="Header2 2 13 9 5" xfId="3544"/>
    <cellStyle name="Header2 2 13 9 5 2" xfId="14741"/>
    <cellStyle name="Header2 2 13 9 5 3" xfId="25909"/>
    <cellStyle name="Header2 2 13 9 5 4" xfId="37074"/>
    <cellStyle name="Header2 2 13 9 5 5" xfId="48267"/>
    <cellStyle name="Header2 2 13 9 6" xfId="4178"/>
    <cellStyle name="Header2 2 13 9 6 2" xfId="15375"/>
    <cellStyle name="Header2 2 13 9 6 3" xfId="26543"/>
    <cellStyle name="Header2 2 13 9 6 4" xfId="37708"/>
    <cellStyle name="Header2 2 13 9 6 5" xfId="48901"/>
    <cellStyle name="Header2 2 13 9 7" xfId="4811"/>
    <cellStyle name="Header2 2 13 9 7 2" xfId="16008"/>
    <cellStyle name="Header2 2 13 9 7 3" xfId="27176"/>
    <cellStyle name="Header2 2 13 9 7 4" xfId="38341"/>
    <cellStyle name="Header2 2 13 9 7 5" xfId="49534"/>
    <cellStyle name="Header2 2 13 9 8" xfId="5442"/>
    <cellStyle name="Header2 2 13 9 8 2" xfId="16639"/>
    <cellStyle name="Header2 2 13 9 8 3" xfId="27807"/>
    <cellStyle name="Header2 2 13 9 8 4" xfId="38972"/>
    <cellStyle name="Header2 2 13 9 8 5" xfId="50165"/>
    <cellStyle name="Header2 2 13 9 9" xfId="6496"/>
    <cellStyle name="Header2 2 13 9 9 2" xfId="17693"/>
    <cellStyle name="Header2 2 13 9 9 3" xfId="28861"/>
    <cellStyle name="Header2 2 13 9 9 4" xfId="40026"/>
    <cellStyle name="Header2 2 13 9 9 5" xfId="51219"/>
    <cellStyle name="Header2 2 14" xfId="96"/>
    <cellStyle name="Header2 2 14 10" xfId="521"/>
    <cellStyle name="Header2 2 14 10 10" xfId="7090"/>
    <cellStyle name="Header2 2 14 10 10 2" xfId="18287"/>
    <cellStyle name="Header2 2 14 10 10 3" xfId="29455"/>
    <cellStyle name="Header2 2 14 10 10 4" xfId="40620"/>
    <cellStyle name="Header2 2 14 10 10 5" xfId="51813"/>
    <cellStyle name="Header2 2 14 10 11" xfId="7724"/>
    <cellStyle name="Header2 2 14 10 11 2" xfId="18921"/>
    <cellStyle name="Header2 2 14 10 11 3" xfId="30089"/>
    <cellStyle name="Header2 2 14 10 11 4" xfId="41254"/>
    <cellStyle name="Header2 2 14 10 11 5" xfId="52447"/>
    <cellStyle name="Header2 2 14 10 12" xfId="8358"/>
    <cellStyle name="Header2 2 14 10 12 2" xfId="19555"/>
    <cellStyle name="Header2 2 14 10 12 3" xfId="30723"/>
    <cellStyle name="Header2 2 14 10 12 4" xfId="41888"/>
    <cellStyle name="Header2 2 14 10 12 5" xfId="53081"/>
    <cellStyle name="Header2 2 14 10 13" xfId="9409"/>
    <cellStyle name="Header2 2 14 10 13 2" xfId="20606"/>
    <cellStyle name="Header2 2 14 10 13 3" xfId="31774"/>
    <cellStyle name="Header2 2 14 10 13 4" xfId="42939"/>
    <cellStyle name="Header2 2 14 10 13 5" xfId="54132"/>
    <cellStyle name="Header2 2 14 10 14" xfId="10553"/>
    <cellStyle name="Header2 2 14 10 14 2" xfId="21750"/>
    <cellStyle name="Header2 2 14 10 14 3" xfId="32918"/>
    <cellStyle name="Header2 2 14 10 14 4" xfId="44083"/>
    <cellStyle name="Header2 2 14 10 14 5" xfId="55276"/>
    <cellStyle name="Header2 2 14 10 15" xfId="11074"/>
    <cellStyle name="Header2 2 14 10 15 2" xfId="22271"/>
    <cellStyle name="Header2 2 14 10 15 3" xfId="33439"/>
    <cellStyle name="Header2 2 14 10 15 4" xfId="44604"/>
    <cellStyle name="Header2 2 14 10 15 5" xfId="55797"/>
    <cellStyle name="Header2 2 14 10 16" xfId="11721"/>
    <cellStyle name="Header2 2 14 10 17" xfId="22891"/>
    <cellStyle name="Header2 2 14 10 18" xfId="34058"/>
    <cellStyle name="Header2 2 14 10 19" xfId="45244"/>
    <cellStyle name="Header2 2 14 10 2" xfId="1170"/>
    <cellStyle name="Header2 2 14 10 2 2" xfId="12367"/>
    <cellStyle name="Header2 2 14 10 2 3" xfId="23535"/>
    <cellStyle name="Header2 2 14 10 2 4" xfId="34700"/>
    <cellStyle name="Header2 2 14 10 2 5" xfId="45893"/>
    <cellStyle name="Header2 2 14 10 3" xfId="1357"/>
    <cellStyle name="Header2 2 14 10 3 2" xfId="12554"/>
    <cellStyle name="Header2 2 14 10 3 3" xfId="23722"/>
    <cellStyle name="Header2 2 14 10 3 4" xfId="34887"/>
    <cellStyle name="Header2 2 14 10 3 5" xfId="46080"/>
    <cellStyle name="Header2 2 14 10 4" xfId="2871"/>
    <cellStyle name="Header2 2 14 10 4 2" xfId="14068"/>
    <cellStyle name="Header2 2 14 10 4 3" xfId="25236"/>
    <cellStyle name="Header2 2 14 10 4 4" xfId="36401"/>
    <cellStyle name="Header2 2 14 10 4 5" xfId="47594"/>
    <cellStyle name="Header2 2 14 10 5" xfId="3505"/>
    <cellStyle name="Header2 2 14 10 5 2" xfId="14702"/>
    <cellStyle name="Header2 2 14 10 5 3" xfId="25870"/>
    <cellStyle name="Header2 2 14 10 5 4" xfId="37035"/>
    <cellStyle name="Header2 2 14 10 5 5" xfId="48228"/>
    <cellStyle name="Header2 2 14 10 6" xfId="4139"/>
    <cellStyle name="Header2 2 14 10 6 2" xfId="15336"/>
    <cellStyle name="Header2 2 14 10 6 3" xfId="26504"/>
    <cellStyle name="Header2 2 14 10 6 4" xfId="37669"/>
    <cellStyle name="Header2 2 14 10 6 5" xfId="48862"/>
    <cellStyle name="Header2 2 14 10 7" xfId="4772"/>
    <cellStyle name="Header2 2 14 10 7 2" xfId="15969"/>
    <cellStyle name="Header2 2 14 10 7 3" xfId="27137"/>
    <cellStyle name="Header2 2 14 10 7 4" xfId="38302"/>
    <cellStyle name="Header2 2 14 10 7 5" xfId="49495"/>
    <cellStyle name="Header2 2 14 10 8" xfId="5403"/>
    <cellStyle name="Header2 2 14 10 8 2" xfId="16600"/>
    <cellStyle name="Header2 2 14 10 8 3" xfId="27768"/>
    <cellStyle name="Header2 2 14 10 8 4" xfId="38933"/>
    <cellStyle name="Header2 2 14 10 8 5" xfId="50126"/>
    <cellStyle name="Header2 2 14 10 9" xfId="6457"/>
    <cellStyle name="Header2 2 14 10 9 2" xfId="17654"/>
    <cellStyle name="Header2 2 14 10 9 3" xfId="28822"/>
    <cellStyle name="Header2 2 14 10 9 4" xfId="39987"/>
    <cellStyle name="Header2 2 14 10 9 5" xfId="51180"/>
    <cellStyle name="Header2 2 14 11" xfId="665"/>
    <cellStyle name="Header2 2 14 11 10" xfId="7234"/>
    <cellStyle name="Header2 2 14 11 10 2" xfId="18431"/>
    <cellStyle name="Header2 2 14 11 10 3" xfId="29599"/>
    <cellStyle name="Header2 2 14 11 10 4" xfId="40764"/>
    <cellStyle name="Header2 2 14 11 10 5" xfId="51957"/>
    <cellStyle name="Header2 2 14 11 11" xfId="7868"/>
    <cellStyle name="Header2 2 14 11 11 2" xfId="19065"/>
    <cellStyle name="Header2 2 14 11 11 3" xfId="30233"/>
    <cellStyle name="Header2 2 14 11 11 4" xfId="41398"/>
    <cellStyle name="Header2 2 14 11 11 5" xfId="52591"/>
    <cellStyle name="Header2 2 14 11 12" xfId="8502"/>
    <cellStyle name="Header2 2 14 11 12 2" xfId="19699"/>
    <cellStyle name="Header2 2 14 11 12 3" xfId="30867"/>
    <cellStyle name="Header2 2 14 11 12 4" xfId="42032"/>
    <cellStyle name="Header2 2 14 11 12 5" xfId="53225"/>
    <cellStyle name="Header2 2 14 11 13" xfId="9553"/>
    <cellStyle name="Header2 2 14 11 13 2" xfId="20750"/>
    <cellStyle name="Header2 2 14 11 13 3" xfId="31918"/>
    <cellStyle name="Header2 2 14 11 13 4" xfId="43083"/>
    <cellStyle name="Header2 2 14 11 13 5" xfId="54276"/>
    <cellStyle name="Header2 2 14 11 14" xfId="10510"/>
    <cellStyle name="Header2 2 14 11 14 2" xfId="21707"/>
    <cellStyle name="Header2 2 14 11 14 3" xfId="32875"/>
    <cellStyle name="Header2 2 14 11 14 4" xfId="44040"/>
    <cellStyle name="Header2 2 14 11 14 5" xfId="55233"/>
    <cellStyle name="Header2 2 14 11 15" xfId="11218"/>
    <cellStyle name="Header2 2 14 11 15 2" xfId="22415"/>
    <cellStyle name="Header2 2 14 11 15 3" xfId="33583"/>
    <cellStyle name="Header2 2 14 11 15 4" xfId="44748"/>
    <cellStyle name="Header2 2 14 11 15 5" xfId="55941"/>
    <cellStyle name="Header2 2 14 11 16" xfId="11865"/>
    <cellStyle name="Header2 2 14 11 17" xfId="23035"/>
    <cellStyle name="Header2 2 14 11 18" xfId="34202"/>
    <cellStyle name="Header2 2 14 11 19" xfId="45388"/>
    <cellStyle name="Header2 2 14 11 2" xfId="1314"/>
    <cellStyle name="Header2 2 14 11 2 2" xfId="12511"/>
    <cellStyle name="Header2 2 14 11 2 3" xfId="23679"/>
    <cellStyle name="Header2 2 14 11 2 4" xfId="34844"/>
    <cellStyle name="Header2 2 14 11 2 5" xfId="46037"/>
    <cellStyle name="Header2 2 14 11 3" xfId="1371"/>
    <cellStyle name="Header2 2 14 11 3 2" xfId="12568"/>
    <cellStyle name="Header2 2 14 11 3 3" xfId="23736"/>
    <cellStyle name="Header2 2 14 11 3 4" xfId="34901"/>
    <cellStyle name="Header2 2 14 11 3 5" xfId="46094"/>
    <cellStyle name="Header2 2 14 11 4" xfId="3015"/>
    <cellStyle name="Header2 2 14 11 4 2" xfId="14212"/>
    <cellStyle name="Header2 2 14 11 4 3" xfId="25380"/>
    <cellStyle name="Header2 2 14 11 4 4" xfId="36545"/>
    <cellStyle name="Header2 2 14 11 4 5" xfId="47738"/>
    <cellStyle name="Header2 2 14 11 5" xfId="3649"/>
    <cellStyle name="Header2 2 14 11 5 2" xfId="14846"/>
    <cellStyle name="Header2 2 14 11 5 3" xfId="26014"/>
    <cellStyle name="Header2 2 14 11 5 4" xfId="37179"/>
    <cellStyle name="Header2 2 14 11 5 5" xfId="48372"/>
    <cellStyle name="Header2 2 14 11 6" xfId="4283"/>
    <cellStyle name="Header2 2 14 11 6 2" xfId="15480"/>
    <cellStyle name="Header2 2 14 11 6 3" xfId="26648"/>
    <cellStyle name="Header2 2 14 11 6 4" xfId="37813"/>
    <cellStyle name="Header2 2 14 11 6 5" xfId="49006"/>
    <cellStyle name="Header2 2 14 11 7" xfId="4916"/>
    <cellStyle name="Header2 2 14 11 7 2" xfId="16113"/>
    <cellStyle name="Header2 2 14 11 7 3" xfId="27281"/>
    <cellStyle name="Header2 2 14 11 7 4" xfId="38446"/>
    <cellStyle name="Header2 2 14 11 7 5" xfId="49639"/>
    <cellStyle name="Header2 2 14 11 8" xfId="5547"/>
    <cellStyle name="Header2 2 14 11 8 2" xfId="16744"/>
    <cellStyle name="Header2 2 14 11 8 3" xfId="27912"/>
    <cellStyle name="Header2 2 14 11 8 4" xfId="39077"/>
    <cellStyle name="Header2 2 14 11 8 5" xfId="50270"/>
    <cellStyle name="Header2 2 14 11 9" xfId="6601"/>
    <cellStyle name="Header2 2 14 11 9 2" xfId="17798"/>
    <cellStyle name="Header2 2 14 11 9 3" xfId="28966"/>
    <cellStyle name="Header2 2 14 11 9 4" xfId="40131"/>
    <cellStyle name="Header2 2 14 11 9 5" xfId="51324"/>
    <cellStyle name="Header2 2 14 12" xfId="745"/>
    <cellStyle name="Header2 2 14 12 2" xfId="11942"/>
    <cellStyle name="Header2 2 14 12 3" xfId="23110"/>
    <cellStyle name="Header2 2 14 12 4" xfId="34275"/>
    <cellStyle name="Header2 2 14 12 5" xfId="45468"/>
    <cellStyle name="Header2 2 14 13" xfId="1902"/>
    <cellStyle name="Header2 2 14 13 2" xfId="13099"/>
    <cellStyle name="Header2 2 14 13 3" xfId="24267"/>
    <cellStyle name="Header2 2 14 13 4" xfId="35432"/>
    <cellStyle name="Header2 2 14 13 5" xfId="46625"/>
    <cellStyle name="Header2 2 14 14" xfId="1992"/>
    <cellStyle name="Header2 2 14 14 2" xfId="13189"/>
    <cellStyle name="Header2 2 14 14 3" xfId="24357"/>
    <cellStyle name="Header2 2 14 14 4" xfId="35522"/>
    <cellStyle name="Header2 2 14 14 5" xfId="46715"/>
    <cellStyle name="Header2 2 14 15" xfId="3080"/>
    <cellStyle name="Header2 2 14 15 2" xfId="14277"/>
    <cellStyle name="Header2 2 14 15 3" xfId="25445"/>
    <cellStyle name="Header2 2 14 15 4" xfId="36610"/>
    <cellStyle name="Header2 2 14 15 5" xfId="47803"/>
    <cellStyle name="Header2 2 14 16" xfId="3714"/>
    <cellStyle name="Header2 2 14 16 2" xfId="14911"/>
    <cellStyle name="Header2 2 14 16 3" xfId="26079"/>
    <cellStyle name="Header2 2 14 16 4" xfId="37244"/>
    <cellStyle name="Header2 2 14 16 5" xfId="48437"/>
    <cellStyle name="Header2 2 14 17" xfId="4347"/>
    <cellStyle name="Header2 2 14 17 2" xfId="15544"/>
    <cellStyle name="Header2 2 14 17 3" xfId="26712"/>
    <cellStyle name="Header2 2 14 17 4" xfId="37877"/>
    <cellStyle name="Header2 2 14 17 5" xfId="49070"/>
    <cellStyle name="Header2 2 14 18" xfId="4978"/>
    <cellStyle name="Header2 2 14 18 2" xfId="16175"/>
    <cellStyle name="Header2 2 14 18 3" xfId="27343"/>
    <cellStyle name="Header2 2 14 18 4" xfId="38508"/>
    <cellStyle name="Header2 2 14 18 5" xfId="49701"/>
    <cellStyle name="Header2 2 14 19" xfId="6013"/>
    <cellStyle name="Header2 2 14 19 2" xfId="17210"/>
    <cellStyle name="Header2 2 14 19 3" xfId="28378"/>
    <cellStyle name="Header2 2 14 19 4" xfId="39543"/>
    <cellStyle name="Header2 2 14 19 5" xfId="50736"/>
    <cellStyle name="Header2 2 14 2" xfId="159"/>
    <cellStyle name="Header2 2 14 2 10" xfId="6728"/>
    <cellStyle name="Header2 2 14 2 10 2" xfId="17925"/>
    <cellStyle name="Header2 2 14 2 10 3" xfId="29093"/>
    <cellStyle name="Header2 2 14 2 10 4" xfId="40258"/>
    <cellStyle name="Header2 2 14 2 10 5" xfId="51451"/>
    <cellStyle name="Header2 2 14 2 11" xfId="7362"/>
    <cellStyle name="Header2 2 14 2 11 2" xfId="18559"/>
    <cellStyle name="Header2 2 14 2 11 3" xfId="29727"/>
    <cellStyle name="Header2 2 14 2 11 4" xfId="40892"/>
    <cellStyle name="Header2 2 14 2 11 5" xfId="52085"/>
    <cellStyle name="Header2 2 14 2 12" xfId="7996"/>
    <cellStyle name="Header2 2 14 2 12 2" xfId="19193"/>
    <cellStyle name="Header2 2 14 2 12 3" xfId="30361"/>
    <cellStyle name="Header2 2 14 2 12 4" xfId="41526"/>
    <cellStyle name="Header2 2 14 2 12 5" xfId="52719"/>
    <cellStyle name="Header2 2 14 2 13" xfId="8868"/>
    <cellStyle name="Header2 2 14 2 13 2" xfId="20065"/>
    <cellStyle name="Header2 2 14 2 13 3" xfId="31233"/>
    <cellStyle name="Header2 2 14 2 13 4" xfId="42398"/>
    <cellStyle name="Header2 2 14 2 13 5" xfId="53591"/>
    <cellStyle name="Header2 2 14 2 14" xfId="9726"/>
    <cellStyle name="Header2 2 14 2 14 2" xfId="20923"/>
    <cellStyle name="Header2 2 14 2 14 3" xfId="32091"/>
    <cellStyle name="Header2 2 14 2 14 4" xfId="43256"/>
    <cellStyle name="Header2 2 14 2 14 5" xfId="54449"/>
    <cellStyle name="Header2 2 14 2 15" xfId="10712"/>
    <cellStyle name="Header2 2 14 2 15 2" xfId="21909"/>
    <cellStyle name="Header2 2 14 2 15 3" xfId="33077"/>
    <cellStyle name="Header2 2 14 2 15 4" xfId="44242"/>
    <cellStyle name="Header2 2 14 2 15 5" xfId="55435"/>
    <cellStyle name="Header2 2 14 2 16" xfId="11359"/>
    <cellStyle name="Header2 2 14 2 17" xfId="22529"/>
    <cellStyle name="Header2 2 14 2 18" xfId="33696"/>
    <cellStyle name="Header2 2 14 2 19" xfId="44882"/>
    <cellStyle name="Header2 2 14 2 2" xfId="808"/>
    <cellStyle name="Header2 2 14 2 2 2" xfId="12005"/>
    <cellStyle name="Header2 2 14 2 2 3" xfId="23173"/>
    <cellStyle name="Header2 2 14 2 2 4" xfId="34338"/>
    <cellStyle name="Header2 2 14 2 2 5" xfId="45531"/>
    <cellStyle name="Header2 2 14 2 3" xfId="1449"/>
    <cellStyle name="Header2 2 14 2 3 2" xfId="12646"/>
    <cellStyle name="Header2 2 14 2 3 3" xfId="23814"/>
    <cellStyle name="Header2 2 14 2 3 4" xfId="34979"/>
    <cellStyle name="Header2 2 14 2 3 5" xfId="46172"/>
    <cellStyle name="Header2 2 14 2 4" xfId="2151"/>
    <cellStyle name="Header2 2 14 2 4 2" xfId="13348"/>
    <cellStyle name="Header2 2 14 2 4 3" xfId="24516"/>
    <cellStyle name="Header2 2 14 2 4 4" xfId="35681"/>
    <cellStyle name="Header2 2 14 2 4 5" xfId="46874"/>
    <cellStyle name="Header2 2 14 2 5" xfId="3143"/>
    <cellStyle name="Header2 2 14 2 5 2" xfId="14340"/>
    <cellStyle name="Header2 2 14 2 5 3" xfId="25508"/>
    <cellStyle name="Header2 2 14 2 5 4" xfId="36673"/>
    <cellStyle name="Header2 2 14 2 5 5" xfId="47866"/>
    <cellStyle name="Header2 2 14 2 6" xfId="3777"/>
    <cellStyle name="Header2 2 14 2 6 2" xfId="14974"/>
    <cellStyle name="Header2 2 14 2 6 3" xfId="26142"/>
    <cellStyle name="Header2 2 14 2 6 4" xfId="37307"/>
    <cellStyle name="Header2 2 14 2 6 5" xfId="48500"/>
    <cellStyle name="Header2 2 14 2 7" xfId="4410"/>
    <cellStyle name="Header2 2 14 2 7 2" xfId="15607"/>
    <cellStyle name="Header2 2 14 2 7 3" xfId="26775"/>
    <cellStyle name="Header2 2 14 2 7 4" xfId="37940"/>
    <cellStyle name="Header2 2 14 2 7 5" xfId="49133"/>
    <cellStyle name="Header2 2 14 2 8" xfId="5041"/>
    <cellStyle name="Header2 2 14 2 8 2" xfId="16238"/>
    <cellStyle name="Header2 2 14 2 8 3" xfId="27406"/>
    <cellStyle name="Header2 2 14 2 8 4" xfId="38571"/>
    <cellStyle name="Header2 2 14 2 8 5" xfId="49764"/>
    <cellStyle name="Header2 2 14 2 9" xfId="5724"/>
    <cellStyle name="Header2 2 14 2 9 2" xfId="16921"/>
    <cellStyle name="Header2 2 14 2 9 3" xfId="28089"/>
    <cellStyle name="Header2 2 14 2 9 4" xfId="39254"/>
    <cellStyle name="Header2 2 14 2 9 5" xfId="50447"/>
    <cellStyle name="Header2 2 14 20" xfId="6665"/>
    <cellStyle name="Header2 2 14 20 2" xfId="17862"/>
    <cellStyle name="Header2 2 14 20 3" xfId="29030"/>
    <cellStyle name="Header2 2 14 20 4" xfId="40195"/>
    <cellStyle name="Header2 2 14 20 5" xfId="51388"/>
    <cellStyle name="Header2 2 14 21" xfId="7299"/>
    <cellStyle name="Header2 2 14 21 2" xfId="18496"/>
    <cellStyle name="Header2 2 14 21 3" xfId="29664"/>
    <cellStyle name="Header2 2 14 21 4" xfId="40829"/>
    <cellStyle name="Header2 2 14 21 5" xfId="52022"/>
    <cellStyle name="Header2 2 14 22" xfId="7933"/>
    <cellStyle name="Header2 2 14 22 2" xfId="19130"/>
    <cellStyle name="Header2 2 14 22 3" xfId="30298"/>
    <cellStyle name="Header2 2 14 22 4" xfId="41463"/>
    <cellStyle name="Header2 2 14 22 5" xfId="52656"/>
    <cellStyle name="Header2 2 14 23" xfId="8599"/>
    <cellStyle name="Header2 2 14 23 2" xfId="19796"/>
    <cellStyle name="Header2 2 14 23 3" xfId="30964"/>
    <cellStyle name="Header2 2 14 23 4" xfId="42129"/>
    <cellStyle name="Header2 2 14 23 5" xfId="53322"/>
    <cellStyle name="Header2 2 14 24" xfId="10580"/>
    <cellStyle name="Header2 2 14 24 2" xfId="21777"/>
    <cellStyle name="Header2 2 14 24 3" xfId="32945"/>
    <cellStyle name="Header2 2 14 24 4" xfId="44110"/>
    <cellStyle name="Header2 2 14 24 5" xfId="55303"/>
    <cellStyle name="Header2 2 14 25" xfId="10649"/>
    <cellStyle name="Header2 2 14 25 2" xfId="21846"/>
    <cellStyle name="Header2 2 14 25 3" xfId="33014"/>
    <cellStyle name="Header2 2 14 25 4" xfId="44179"/>
    <cellStyle name="Header2 2 14 25 5" xfId="55372"/>
    <cellStyle name="Header2 2 14 26" xfId="11296"/>
    <cellStyle name="Header2 2 14 27" xfId="22466"/>
    <cellStyle name="Header2 2 14 28" xfId="33633"/>
    <cellStyle name="Header2 2 14 29" xfId="44819"/>
    <cellStyle name="Header2 2 14 3" xfId="215"/>
    <cellStyle name="Header2 2 14 3 10" xfId="6784"/>
    <cellStyle name="Header2 2 14 3 10 2" xfId="17981"/>
    <cellStyle name="Header2 2 14 3 10 3" xfId="29149"/>
    <cellStyle name="Header2 2 14 3 10 4" xfId="40314"/>
    <cellStyle name="Header2 2 14 3 10 5" xfId="51507"/>
    <cellStyle name="Header2 2 14 3 11" xfId="7418"/>
    <cellStyle name="Header2 2 14 3 11 2" xfId="18615"/>
    <cellStyle name="Header2 2 14 3 11 3" xfId="29783"/>
    <cellStyle name="Header2 2 14 3 11 4" xfId="40948"/>
    <cellStyle name="Header2 2 14 3 11 5" xfId="52141"/>
    <cellStyle name="Header2 2 14 3 12" xfId="8052"/>
    <cellStyle name="Header2 2 14 3 12 2" xfId="19249"/>
    <cellStyle name="Header2 2 14 3 12 3" xfId="30417"/>
    <cellStyle name="Header2 2 14 3 12 4" xfId="41582"/>
    <cellStyle name="Header2 2 14 3 12 5" xfId="52775"/>
    <cellStyle name="Header2 2 14 3 13" xfId="8788"/>
    <cellStyle name="Header2 2 14 3 13 2" xfId="19985"/>
    <cellStyle name="Header2 2 14 3 13 3" xfId="31153"/>
    <cellStyle name="Header2 2 14 3 13 4" xfId="42318"/>
    <cellStyle name="Header2 2 14 3 13 5" xfId="53511"/>
    <cellStyle name="Header2 2 14 3 14" xfId="9833"/>
    <cellStyle name="Header2 2 14 3 14 2" xfId="21030"/>
    <cellStyle name="Header2 2 14 3 14 3" xfId="32198"/>
    <cellStyle name="Header2 2 14 3 14 4" xfId="43363"/>
    <cellStyle name="Header2 2 14 3 14 5" xfId="54556"/>
    <cellStyle name="Header2 2 14 3 15" xfId="10768"/>
    <cellStyle name="Header2 2 14 3 15 2" xfId="21965"/>
    <cellStyle name="Header2 2 14 3 15 3" xfId="33133"/>
    <cellStyle name="Header2 2 14 3 15 4" xfId="44298"/>
    <cellStyle name="Header2 2 14 3 15 5" xfId="55491"/>
    <cellStyle name="Header2 2 14 3 16" xfId="11415"/>
    <cellStyle name="Header2 2 14 3 17" xfId="22585"/>
    <cellStyle name="Header2 2 14 3 18" xfId="33752"/>
    <cellStyle name="Header2 2 14 3 19" xfId="44938"/>
    <cellStyle name="Header2 2 14 3 2" xfId="864"/>
    <cellStyle name="Header2 2 14 3 2 2" xfId="12061"/>
    <cellStyle name="Header2 2 14 3 2 3" xfId="23229"/>
    <cellStyle name="Header2 2 14 3 2 4" xfId="34394"/>
    <cellStyle name="Header2 2 14 3 2 5" xfId="45587"/>
    <cellStyle name="Header2 2 14 3 3" xfId="1871"/>
    <cellStyle name="Header2 2 14 3 3 2" xfId="13068"/>
    <cellStyle name="Header2 2 14 3 3 3" xfId="24236"/>
    <cellStyle name="Header2 2 14 3 3 4" xfId="35401"/>
    <cellStyle name="Header2 2 14 3 3 5" xfId="46594"/>
    <cellStyle name="Header2 2 14 3 4" xfId="2077"/>
    <cellStyle name="Header2 2 14 3 4 2" xfId="13274"/>
    <cellStyle name="Header2 2 14 3 4 3" xfId="24442"/>
    <cellStyle name="Header2 2 14 3 4 4" xfId="35607"/>
    <cellStyle name="Header2 2 14 3 4 5" xfId="46800"/>
    <cellStyle name="Header2 2 14 3 5" xfId="3199"/>
    <cellStyle name="Header2 2 14 3 5 2" xfId="14396"/>
    <cellStyle name="Header2 2 14 3 5 3" xfId="25564"/>
    <cellStyle name="Header2 2 14 3 5 4" xfId="36729"/>
    <cellStyle name="Header2 2 14 3 5 5" xfId="47922"/>
    <cellStyle name="Header2 2 14 3 6" xfId="3833"/>
    <cellStyle name="Header2 2 14 3 6 2" xfId="15030"/>
    <cellStyle name="Header2 2 14 3 6 3" xfId="26198"/>
    <cellStyle name="Header2 2 14 3 6 4" xfId="37363"/>
    <cellStyle name="Header2 2 14 3 6 5" xfId="48556"/>
    <cellStyle name="Header2 2 14 3 7" xfId="4466"/>
    <cellStyle name="Header2 2 14 3 7 2" xfId="15663"/>
    <cellStyle name="Header2 2 14 3 7 3" xfId="26831"/>
    <cellStyle name="Header2 2 14 3 7 4" xfId="37996"/>
    <cellStyle name="Header2 2 14 3 7 5" xfId="49189"/>
    <cellStyle name="Header2 2 14 3 8" xfId="5097"/>
    <cellStyle name="Header2 2 14 3 8 2" xfId="16294"/>
    <cellStyle name="Header2 2 14 3 8 3" xfId="27462"/>
    <cellStyle name="Header2 2 14 3 8 4" xfId="38627"/>
    <cellStyle name="Header2 2 14 3 8 5" xfId="49820"/>
    <cellStyle name="Header2 2 14 3 9" xfId="5599"/>
    <cellStyle name="Header2 2 14 3 9 2" xfId="16796"/>
    <cellStyle name="Header2 2 14 3 9 3" xfId="27964"/>
    <cellStyle name="Header2 2 14 3 9 4" xfId="39129"/>
    <cellStyle name="Header2 2 14 3 9 5" xfId="50322"/>
    <cellStyle name="Header2 2 14 4" xfId="275"/>
    <cellStyle name="Header2 2 14 4 10" xfId="6844"/>
    <cellStyle name="Header2 2 14 4 10 2" xfId="18041"/>
    <cellStyle name="Header2 2 14 4 10 3" xfId="29209"/>
    <cellStyle name="Header2 2 14 4 10 4" xfId="40374"/>
    <cellStyle name="Header2 2 14 4 10 5" xfId="51567"/>
    <cellStyle name="Header2 2 14 4 11" xfId="7478"/>
    <cellStyle name="Header2 2 14 4 11 2" xfId="18675"/>
    <cellStyle name="Header2 2 14 4 11 3" xfId="29843"/>
    <cellStyle name="Header2 2 14 4 11 4" xfId="41008"/>
    <cellStyle name="Header2 2 14 4 11 5" xfId="52201"/>
    <cellStyle name="Header2 2 14 4 12" xfId="8112"/>
    <cellStyle name="Header2 2 14 4 12 2" xfId="19309"/>
    <cellStyle name="Header2 2 14 4 12 3" xfId="30477"/>
    <cellStyle name="Header2 2 14 4 12 4" xfId="41642"/>
    <cellStyle name="Header2 2 14 4 12 5" xfId="52835"/>
    <cellStyle name="Header2 2 14 4 13" xfId="9163"/>
    <cellStyle name="Header2 2 14 4 13 2" xfId="20360"/>
    <cellStyle name="Header2 2 14 4 13 3" xfId="31528"/>
    <cellStyle name="Header2 2 14 4 13 4" xfId="42693"/>
    <cellStyle name="Header2 2 14 4 13 5" xfId="53886"/>
    <cellStyle name="Header2 2 14 4 14" xfId="10458"/>
    <cellStyle name="Header2 2 14 4 14 2" xfId="21655"/>
    <cellStyle name="Header2 2 14 4 14 3" xfId="32823"/>
    <cellStyle name="Header2 2 14 4 14 4" xfId="43988"/>
    <cellStyle name="Header2 2 14 4 14 5" xfId="55181"/>
    <cellStyle name="Header2 2 14 4 15" xfId="10828"/>
    <cellStyle name="Header2 2 14 4 15 2" xfId="22025"/>
    <cellStyle name="Header2 2 14 4 15 3" xfId="33193"/>
    <cellStyle name="Header2 2 14 4 15 4" xfId="44358"/>
    <cellStyle name="Header2 2 14 4 15 5" xfId="55551"/>
    <cellStyle name="Header2 2 14 4 16" xfId="11475"/>
    <cellStyle name="Header2 2 14 4 17" xfId="22645"/>
    <cellStyle name="Header2 2 14 4 18" xfId="33812"/>
    <cellStyle name="Header2 2 14 4 19" xfId="44998"/>
    <cellStyle name="Header2 2 14 4 2" xfId="924"/>
    <cellStyle name="Header2 2 14 4 2 2" xfId="12121"/>
    <cellStyle name="Header2 2 14 4 2 3" xfId="23289"/>
    <cellStyle name="Header2 2 14 4 2 4" xfId="34454"/>
    <cellStyle name="Header2 2 14 4 2 5" xfId="45647"/>
    <cellStyle name="Header2 2 14 4 3" xfId="1754"/>
    <cellStyle name="Header2 2 14 4 3 2" xfId="12951"/>
    <cellStyle name="Header2 2 14 4 3 3" xfId="24119"/>
    <cellStyle name="Header2 2 14 4 3 4" xfId="35284"/>
    <cellStyle name="Header2 2 14 4 3 5" xfId="46477"/>
    <cellStyle name="Header2 2 14 4 4" xfId="2625"/>
    <cellStyle name="Header2 2 14 4 4 2" xfId="13822"/>
    <cellStyle name="Header2 2 14 4 4 3" xfId="24990"/>
    <cellStyle name="Header2 2 14 4 4 4" xfId="36155"/>
    <cellStyle name="Header2 2 14 4 4 5" xfId="47348"/>
    <cellStyle name="Header2 2 14 4 5" xfId="3259"/>
    <cellStyle name="Header2 2 14 4 5 2" xfId="14456"/>
    <cellStyle name="Header2 2 14 4 5 3" xfId="25624"/>
    <cellStyle name="Header2 2 14 4 5 4" xfId="36789"/>
    <cellStyle name="Header2 2 14 4 5 5" xfId="47982"/>
    <cellStyle name="Header2 2 14 4 6" xfId="3893"/>
    <cellStyle name="Header2 2 14 4 6 2" xfId="15090"/>
    <cellStyle name="Header2 2 14 4 6 3" xfId="26258"/>
    <cellStyle name="Header2 2 14 4 6 4" xfId="37423"/>
    <cellStyle name="Header2 2 14 4 6 5" xfId="48616"/>
    <cellStyle name="Header2 2 14 4 7" xfId="4526"/>
    <cellStyle name="Header2 2 14 4 7 2" xfId="15723"/>
    <cellStyle name="Header2 2 14 4 7 3" xfId="26891"/>
    <cellStyle name="Header2 2 14 4 7 4" xfId="38056"/>
    <cellStyle name="Header2 2 14 4 7 5" xfId="49249"/>
    <cellStyle name="Header2 2 14 4 8" xfId="5157"/>
    <cellStyle name="Header2 2 14 4 8 2" xfId="16354"/>
    <cellStyle name="Header2 2 14 4 8 3" xfId="27522"/>
    <cellStyle name="Header2 2 14 4 8 4" xfId="38687"/>
    <cellStyle name="Header2 2 14 4 8 5" xfId="49880"/>
    <cellStyle name="Header2 2 14 4 9" xfId="6211"/>
    <cellStyle name="Header2 2 14 4 9 2" xfId="17408"/>
    <cellStyle name="Header2 2 14 4 9 3" xfId="28576"/>
    <cellStyle name="Header2 2 14 4 9 4" xfId="39741"/>
    <cellStyle name="Header2 2 14 4 9 5" xfId="50934"/>
    <cellStyle name="Header2 2 14 5" xfId="238"/>
    <cellStyle name="Header2 2 14 5 10" xfId="6807"/>
    <cellStyle name="Header2 2 14 5 10 2" xfId="18004"/>
    <cellStyle name="Header2 2 14 5 10 3" xfId="29172"/>
    <cellStyle name="Header2 2 14 5 10 4" xfId="40337"/>
    <cellStyle name="Header2 2 14 5 10 5" xfId="51530"/>
    <cellStyle name="Header2 2 14 5 11" xfId="7441"/>
    <cellStyle name="Header2 2 14 5 11 2" xfId="18638"/>
    <cellStyle name="Header2 2 14 5 11 3" xfId="29806"/>
    <cellStyle name="Header2 2 14 5 11 4" xfId="40971"/>
    <cellStyle name="Header2 2 14 5 11 5" xfId="52164"/>
    <cellStyle name="Header2 2 14 5 12" xfId="8075"/>
    <cellStyle name="Header2 2 14 5 12 2" xfId="19272"/>
    <cellStyle name="Header2 2 14 5 12 3" xfId="30440"/>
    <cellStyle name="Header2 2 14 5 12 4" xfId="41605"/>
    <cellStyle name="Header2 2 14 5 12 5" xfId="52798"/>
    <cellStyle name="Header2 2 14 5 13" xfId="8735"/>
    <cellStyle name="Header2 2 14 5 13 2" xfId="19932"/>
    <cellStyle name="Header2 2 14 5 13 3" xfId="31100"/>
    <cellStyle name="Header2 2 14 5 13 4" xfId="42265"/>
    <cellStyle name="Header2 2 14 5 13 5" xfId="53458"/>
    <cellStyle name="Header2 2 14 5 14" xfId="9864"/>
    <cellStyle name="Header2 2 14 5 14 2" xfId="21061"/>
    <cellStyle name="Header2 2 14 5 14 3" xfId="32229"/>
    <cellStyle name="Header2 2 14 5 14 4" xfId="43394"/>
    <cellStyle name="Header2 2 14 5 14 5" xfId="54587"/>
    <cellStyle name="Header2 2 14 5 15" xfId="10791"/>
    <cellStyle name="Header2 2 14 5 15 2" xfId="21988"/>
    <cellStyle name="Header2 2 14 5 15 3" xfId="33156"/>
    <cellStyle name="Header2 2 14 5 15 4" xfId="44321"/>
    <cellStyle name="Header2 2 14 5 15 5" xfId="55514"/>
    <cellStyle name="Header2 2 14 5 16" xfId="11438"/>
    <cellStyle name="Header2 2 14 5 17" xfId="22608"/>
    <cellStyle name="Header2 2 14 5 18" xfId="33775"/>
    <cellStyle name="Header2 2 14 5 19" xfId="44961"/>
    <cellStyle name="Header2 2 14 5 2" xfId="887"/>
    <cellStyle name="Header2 2 14 5 2 2" xfId="12084"/>
    <cellStyle name="Header2 2 14 5 2 3" xfId="23252"/>
    <cellStyle name="Header2 2 14 5 2 4" xfId="34417"/>
    <cellStyle name="Header2 2 14 5 2 5" xfId="45610"/>
    <cellStyle name="Header2 2 14 5 3" xfId="1944"/>
    <cellStyle name="Header2 2 14 5 3 2" xfId="13141"/>
    <cellStyle name="Header2 2 14 5 3 3" xfId="24309"/>
    <cellStyle name="Header2 2 14 5 3 4" xfId="35474"/>
    <cellStyle name="Header2 2 14 5 3 5" xfId="46667"/>
    <cellStyle name="Header2 2 14 5 4" xfId="2572"/>
    <cellStyle name="Header2 2 14 5 4 2" xfId="13769"/>
    <cellStyle name="Header2 2 14 5 4 3" xfId="24937"/>
    <cellStyle name="Header2 2 14 5 4 4" xfId="36102"/>
    <cellStyle name="Header2 2 14 5 4 5" xfId="47295"/>
    <cellStyle name="Header2 2 14 5 5" xfId="3222"/>
    <cellStyle name="Header2 2 14 5 5 2" xfId="14419"/>
    <cellStyle name="Header2 2 14 5 5 3" xfId="25587"/>
    <cellStyle name="Header2 2 14 5 5 4" xfId="36752"/>
    <cellStyle name="Header2 2 14 5 5 5" xfId="47945"/>
    <cellStyle name="Header2 2 14 5 6" xfId="3856"/>
    <cellStyle name="Header2 2 14 5 6 2" xfId="15053"/>
    <cellStyle name="Header2 2 14 5 6 3" xfId="26221"/>
    <cellStyle name="Header2 2 14 5 6 4" xfId="37386"/>
    <cellStyle name="Header2 2 14 5 6 5" xfId="48579"/>
    <cellStyle name="Header2 2 14 5 7" xfId="4489"/>
    <cellStyle name="Header2 2 14 5 7 2" xfId="15686"/>
    <cellStyle name="Header2 2 14 5 7 3" xfId="26854"/>
    <cellStyle name="Header2 2 14 5 7 4" xfId="38019"/>
    <cellStyle name="Header2 2 14 5 7 5" xfId="49212"/>
    <cellStyle name="Header2 2 14 5 8" xfId="5120"/>
    <cellStyle name="Header2 2 14 5 8 2" xfId="16317"/>
    <cellStyle name="Header2 2 14 5 8 3" xfId="27485"/>
    <cellStyle name="Header2 2 14 5 8 4" xfId="38650"/>
    <cellStyle name="Header2 2 14 5 8 5" xfId="49843"/>
    <cellStyle name="Header2 2 14 5 9" xfId="6032"/>
    <cellStyle name="Header2 2 14 5 9 2" xfId="17229"/>
    <cellStyle name="Header2 2 14 5 9 3" xfId="28397"/>
    <cellStyle name="Header2 2 14 5 9 4" xfId="39562"/>
    <cellStyle name="Header2 2 14 5 9 5" xfId="50755"/>
    <cellStyle name="Header2 2 14 6" xfId="353"/>
    <cellStyle name="Header2 2 14 6 10" xfId="6922"/>
    <cellStyle name="Header2 2 14 6 10 2" xfId="18119"/>
    <cellStyle name="Header2 2 14 6 10 3" xfId="29287"/>
    <cellStyle name="Header2 2 14 6 10 4" xfId="40452"/>
    <cellStyle name="Header2 2 14 6 10 5" xfId="51645"/>
    <cellStyle name="Header2 2 14 6 11" xfId="7556"/>
    <cellStyle name="Header2 2 14 6 11 2" xfId="18753"/>
    <cellStyle name="Header2 2 14 6 11 3" xfId="29921"/>
    <cellStyle name="Header2 2 14 6 11 4" xfId="41086"/>
    <cellStyle name="Header2 2 14 6 11 5" xfId="52279"/>
    <cellStyle name="Header2 2 14 6 12" xfId="8190"/>
    <cellStyle name="Header2 2 14 6 12 2" xfId="19387"/>
    <cellStyle name="Header2 2 14 6 12 3" xfId="30555"/>
    <cellStyle name="Header2 2 14 6 12 4" xfId="41720"/>
    <cellStyle name="Header2 2 14 6 12 5" xfId="52913"/>
    <cellStyle name="Header2 2 14 6 13" xfId="9241"/>
    <cellStyle name="Header2 2 14 6 13 2" xfId="20438"/>
    <cellStyle name="Header2 2 14 6 13 3" xfId="31606"/>
    <cellStyle name="Header2 2 14 6 13 4" xfId="42771"/>
    <cellStyle name="Header2 2 14 6 13 5" xfId="53964"/>
    <cellStyle name="Header2 2 14 6 14" xfId="10499"/>
    <cellStyle name="Header2 2 14 6 14 2" xfId="21696"/>
    <cellStyle name="Header2 2 14 6 14 3" xfId="32864"/>
    <cellStyle name="Header2 2 14 6 14 4" xfId="44029"/>
    <cellStyle name="Header2 2 14 6 14 5" xfId="55222"/>
    <cellStyle name="Header2 2 14 6 15" xfId="10906"/>
    <cellStyle name="Header2 2 14 6 15 2" xfId="22103"/>
    <cellStyle name="Header2 2 14 6 15 3" xfId="33271"/>
    <cellStyle name="Header2 2 14 6 15 4" xfId="44436"/>
    <cellStyle name="Header2 2 14 6 15 5" xfId="55629"/>
    <cellStyle name="Header2 2 14 6 16" xfId="11553"/>
    <cellStyle name="Header2 2 14 6 17" xfId="22723"/>
    <cellStyle name="Header2 2 14 6 18" xfId="33890"/>
    <cellStyle name="Header2 2 14 6 19" xfId="45076"/>
    <cellStyle name="Header2 2 14 6 2" xfId="1002"/>
    <cellStyle name="Header2 2 14 6 2 2" xfId="12199"/>
    <cellStyle name="Header2 2 14 6 2 3" xfId="23367"/>
    <cellStyle name="Header2 2 14 6 2 4" xfId="34532"/>
    <cellStyle name="Header2 2 14 6 2 5" xfId="45725"/>
    <cellStyle name="Header2 2 14 6 3" xfId="1796"/>
    <cellStyle name="Header2 2 14 6 3 2" xfId="12993"/>
    <cellStyle name="Header2 2 14 6 3 3" xfId="24161"/>
    <cellStyle name="Header2 2 14 6 3 4" xfId="35326"/>
    <cellStyle name="Header2 2 14 6 3 5" xfId="46519"/>
    <cellStyle name="Header2 2 14 6 4" xfId="2703"/>
    <cellStyle name="Header2 2 14 6 4 2" xfId="13900"/>
    <cellStyle name="Header2 2 14 6 4 3" xfId="25068"/>
    <cellStyle name="Header2 2 14 6 4 4" xfId="36233"/>
    <cellStyle name="Header2 2 14 6 4 5" xfId="47426"/>
    <cellStyle name="Header2 2 14 6 5" xfId="3337"/>
    <cellStyle name="Header2 2 14 6 5 2" xfId="14534"/>
    <cellStyle name="Header2 2 14 6 5 3" xfId="25702"/>
    <cellStyle name="Header2 2 14 6 5 4" xfId="36867"/>
    <cellStyle name="Header2 2 14 6 5 5" xfId="48060"/>
    <cellStyle name="Header2 2 14 6 6" xfId="3971"/>
    <cellStyle name="Header2 2 14 6 6 2" xfId="15168"/>
    <cellStyle name="Header2 2 14 6 6 3" xfId="26336"/>
    <cellStyle name="Header2 2 14 6 6 4" xfId="37501"/>
    <cellStyle name="Header2 2 14 6 6 5" xfId="48694"/>
    <cellStyle name="Header2 2 14 6 7" xfId="4604"/>
    <cellStyle name="Header2 2 14 6 7 2" xfId="15801"/>
    <cellStyle name="Header2 2 14 6 7 3" xfId="26969"/>
    <cellStyle name="Header2 2 14 6 7 4" xfId="38134"/>
    <cellStyle name="Header2 2 14 6 7 5" xfId="49327"/>
    <cellStyle name="Header2 2 14 6 8" xfId="5235"/>
    <cellStyle name="Header2 2 14 6 8 2" xfId="16432"/>
    <cellStyle name="Header2 2 14 6 8 3" xfId="27600"/>
    <cellStyle name="Header2 2 14 6 8 4" xfId="38765"/>
    <cellStyle name="Header2 2 14 6 8 5" xfId="49958"/>
    <cellStyle name="Header2 2 14 6 9" xfId="6289"/>
    <cellStyle name="Header2 2 14 6 9 2" xfId="17486"/>
    <cellStyle name="Header2 2 14 6 9 3" xfId="28654"/>
    <cellStyle name="Header2 2 14 6 9 4" xfId="39819"/>
    <cellStyle name="Header2 2 14 6 9 5" xfId="51012"/>
    <cellStyle name="Header2 2 14 7" xfId="440"/>
    <cellStyle name="Header2 2 14 7 10" xfId="7009"/>
    <cellStyle name="Header2 2 14 7 10 2" xfId="18206"/>
    <cellStyle name="Header2 2 14 7 10 3" xfId="29374"/>
    <cellStyle name="Header2 2 14 7 10 4" xfId="40539"/>
    <cellStyle name="Header2 2 14 7 10 5" xfId="51732"/>
    <cellStyle name="Header2 2 14 7 11" xfId="7643"/>
    <cellStyle name="Header2 2 14 7 11 2" xfId="18840"/>
    <cellStyle name="Header2 2 14 7 11 3" xfId="30008"/>
    <cellStyle name="Header2 2 14 7 11 4" xfId="41173"/>
    <cellStyle name="Header2 2 14 7 11 5" xfId="52366"/>
    <cellStyle name="Header2 2 14 7 12" xfId="8277"/>
    <cellStyle name="Header2 2 14 7 12 2" xfId="19474"/>
    <cellStyle name="Header2 2 14 7 12 3" xfId="30642"/>
    <cellStyle name="Header2 2 14 7 12 4" xfId="41807"/>
    <cellStyle name="Header2 2 14 7 12 5" xfId="53000"/>
    <cellStyle name="Header2 2 14 7 13" xfId="9328"/>
    <cellStyle name="Header2 2 14 7 13 2" xfId="20525"/>
    <cellStyle name="Header2 2 14 7 13 3" xfId="31693"/>
    <cellStyle name="Header2 2 14 7 13 4" xfId="42858"/>
    <cellStyle name="Header2 2 14 7 13 5" xfId="54051"/>
    <cellStyle name="Header2 2 14 7 14" xfId="9795"/>
    <cellStyle name="Header2 2 14 7 14 2" xfId="20992"/>
    <cellStyle name="Header2 2 14 7 14 3" xfId="32160"/>
    <cellStyle name="Header2 2 14 7 14 4" xfId="43325"/>
    <cellStyle name="Header2 2 14 7 14 5" xfId="54518"/>
    <cellStyle name="Header2 2 14 7 15" xfId="10993"/>
    <cellStyle name="Header2 2 14 7 15 2" xfId="22190"/>
    <cellStyle name="Header2 2 14 7 15 3" xfId="33358"/>
    <cellStyle name="Header2 2 14 7 15 4" xfId="44523"/>
    <cellStyle name="Header2 2 14 7 15 5" xfId="55716"/>
    <cellStyle name="Header2 2 14 7 16" xfId="11640"/>
    <cellStyle name="Header2 2 14 7 17" xfId="22810"/>
    <cellStyle name="Header2 2 14 7 18" xfId="33977"/>
    <cellStyle name="Header2 2 14 7 19" xfId="45163"/>
    <cellStyle name="Header2 2 14 7 2" xfId="1089"/>
    <cellStyle name="Header2 2 14 7 2 2" xfId="12286"/>
    <cellStyle name="Header2 2 14 7 2 3" xfId="23454"/>
    <cellStyle name="Header2 2 14 7 2 4" xfId="34619"/>
    <cellStyle name="Header2 2 14 7 2 5" xfId="45812"/>
    <cellStyle name="Header2 2 14 7 3" xfId="1828"/>
    <cellStyle name="Header2 2 14 7 3 2" xfId="13025"/>
    <cellStyle name="Header2 2 14 7 3 3" xfId="24193"/>
    <cellStyle name="Header2 2 14 7 3 4" xfId="35358"/>
    <cellStyle name="Header2 2 14 7 3 5" xfId="46551"/>
    <cellStyle name="Header2 2 14 7 4" xfId="2790"/>
    <cellStyle name="Header2 2 14 7 4 2" xfId="13987"/>
    <cellStyle name="Header2 2 14 7 4 3" xfId="25155"/>
    <cellStyle name="Header2 2 14 7 4 4" xfId="36320"/>
    <cellStyle name="Header2 2 14 7 4 5" xfId="47513"/>
    <cellStyle name="Header2 2 14 7 5" xfId="3424"/>
    <cellStyle name="Header2 2 14 7 5 2" xfId="14621"/>
    <cellStyle name="Header2 2 14 7 5 3" xfId="25789"/>
    <cellStyle name="Header2 2 14 7 5 4" xfId="36954"/>
    <cellStyle name="Header2 2 14 7 5 5" xfId="48147"/>
    <cellStyle name="Header2 2 14 7 6" xfId="4058"/>
    <cellStyle name="Header2 2 14 7 6 2" xfId="15255"/>
    <cellStyle name="Header2 2 14 7 6 3" xfId="26423"/>
    <cellStyle name="Header2 2 14 7 6 4" xfId="37588"/>
    <cellStyle name="Header2 2 14 7 6 5" xfId="48781"/>
    <cellStyle name="Header2 2 14 7 7" xfId="4691"/>
    <cellStyle name="Header2 2 14 7 7 2" xfId="15888"/>
    <cellStyle name="Header2 2 14 7 7 3" xfId="27056"/>
    <cellStyle name="Header2 2 14 7 7 4" xfId="38221"/>
    <cellStyle name="Header2 2 14 7 7 5" xfId="49414"/>
    <cellStyle name="Header2 2 14 7 8" xfId="5322"/>
    <cellStyle name="Header2 2 14 7 8 2" xfId="16519"/>
    <cellStyle name="Header2 2 14 7 8 3" xfId="27687"/>
    <cellStyle name="Header2 2 14 7 8 4" xfId="38852"/>
    <cellStyle name="Header2 2 14 7 8 5" xfId="50045"/>
    <cellStyle name="Header2 2 14 7 9" xfId="6376"/>
    <cellStyle name="Header2 2 14 7 9 2" xfId="17573"/>
    <cellStyle name="Header2 2 14 7 9 3" xfId="28741"/>
    <cellStyle name="Header2 2 14 7 9 4" xfId="39906"/>
    <cellStyle name="Header2 2 14 7 9 5" xfId="51099"/>
    <cellStyle name="Header2 2 14 8" xfId="505"/>
    <cellStyle name="Header2 2 14 8 10" xfId="7074"/>
    <cellStyle name="Header2 2 14 8 10 2" xfId="18271"/>
    <cellStyle name="Header2 2 14 8 10 3" xfId="29439"/>
    <cellStyle name="Header2 2 14 8 10 4" xfId="40604"/>
    <cellStyle name="Header2 2 14 8 10 5" xfId="51797"/>
    <cellStyle name="Header2 2 14 8 11" xfId="7708"/>
    <cellStyle name="Header2 2 14 8 11 2" xfId="18905"/>
    <cellStyle name="Header2 2 14 8 11 3" xfId="30073"/>
    <cellStyle name="Header2 2 14 8 11 4" xfId="41238"/>
    <cellStyle name="Header2 2 14 8 11 5" xfId="52431"/>
    <cellStyle name="Header2 2 14 8 12" xfId="8342"/>
    <cellStyle name="Header2 2 14 8 12 2" xfId="19539"/>
    <cellStyle name="Header2 2 14 8 12 3" xfId="30707"/>
    <cellStyle name="Header2 2 14 8 12 4" xfId="41872"/>
    <cellStyle name="Header2 2 14 8 12 5" xfId="53065"/>
    <cellStyle name="Header2 2 14 8 13" xfId="9393"/>
    <cellStyle name="Header2 2 14 8 13 2" xfId="20590"/>
    <cellStyle name="Header2 2 14 8 13 3" xfId="31758"/>
    <cellStyle name="Header2 2 14 8 13 4" xfId="42923"/>
    <cellStyle name="Header2 2 14 8 13 5" xfId="54116"/>
    <cellStyle name="Header2 2 14 8 14" xfId="10279"/>
    <cellStyle name="Header2 2 14 8 14 2" xfId="21476"/>
    <cellStyle name="Header2 2 14 8 14 3" xfId="32644"/>
    <cellStyle name="Header2 2 14 8 14 4" xfId="43809"/>
    <cellStyle name="Header2 2 14 8 14 5" xfId="55002"/>
    <cellStyle name="Header2 2 14 8 15" xfId="11058"/>
    <cellStyle name="Header2 2 14 8 15 2" xfId="22255"/>
    <cellStyle name="Header2 2 14 8 15 3" xfId="33423"/>
    <cellStyle name="Header2 2 14 8 15 4" xfId="44588"/>
    <cellStyle name="Header2 2 14 8 15 5" xfId="55781"/>
    <cellStyle name="Header2 2 14 8 16" xfId="11705"/>
    <cellStyle name="Header2 2 14 8 17" xfId="22875"/>
    <cellStyle name="Header2 2 14 8 18" xfId="34042"/>
    <cellStyle name="Header2 2 14 8 19" xfId="45228"/>
    <cellStyle name="Header2 2 14 8 2" xfId="1154"/>
    <cellStyle name="Header2 2 14 8 2 2" xfId="12351"/>
    <cellStyle name="Header2 2 14 8 2 3" xfId="23519"/>
    <cellStyle name="Header2 2 14 8 2 4" xfId="34684"/>
    <cellStyle name="Header2 2 14 8 2 5" xfId="45877"/>
    <cellStyle name="Header2 2 14 8 3" xfId="1334"/>
    <cellStyle name="Header2 2 14 8 3 2" xfId="12531"/>
    <cellStyle name="Header2 2 14 8 3 3" xfId="23699"/>
    <cellStyle name="Header2 2 14 8 3 4" xfId="34864"/>
    <cellStyle name="Header2 2 14 8 3 5" xfId="46057"/>
    <cellStyle name="Header2 2 14 8 4" xfId="2855"/>
    <cellStyle name="Header2 2 14 8 4 2" xfId="14052"/>
    <cellStyle name="Header2 2 14 8 4 3" xfId="25220"/>
    <cellStyle name="Header2 2 14 8 4 4" xfId="36385"/>
    <cellStyle name="Header2 2 14 8 4 5" xfId="47578"/>
    <cellStyle name="Header2 2 14 8 5" xfId="3489"/>
    <cellStyle name="Header2 2 14 8 5 2" xfId="14686"/>
    <cellStyle name="Header2 2 14 8 5 3" xfId="25854"/>
    <cellStyle name="Header2 2 14 8 5 4" xfId="37019"/>
    <cellStyle name="Header2 2 14 8 5 5" xfId="48212"/>
    <cellStyle name="Header2 2 14 8 6" xfId="4123"/>
    <cellStyle name="Header2 2 14 8 6 2" xfId="15320"/>
    <cellStyle name="Header2 2 14 8 6 3" xfId="26488"/>
    <cellStyle name="Header2 2 14 8 6 4" xfId="37653"/>
    <cellStyle name="Header2 2 14 8 6 5" xfId="48846"/>
    <cellStyle name="Header2 2 14 8 7" xfId="4756"/>
    <cellStyle name="Header2 2 14 8 7 2" xfId="15953"/>
    <cellStyle name="Header2 2 14 8 7 3" xfId="27121"/>
    <cellStyle name="Header2 2 14 8 7 4" xfId="38286"/>
    <cellStyle name="Header2 2 14 8 7 5" xfId="49479"/>
    <cellStyle name="Header2 2 14 8 8" xfId="5387"/>
    <cellStyle name="Header2 2 14 8 8 2" xfId="16584"/>
    <cellStyle name="Header2 2 14 8 8 3" xfId="27752"/>
    <cellStyle name="Header2 2 14 8 8 4" xfId="38917"/>
    <cellStyle name="Header2 2 14 8 8 5" xfId="50110"/>
    <cellStyle name="Header2 2 14 8 9" xfId="6441"/>
    <cellStyle name="Header2 2 14 8 9 2" xfId="17638"/>
    <cellStyle name="Header2 2 14 8 9 3" xfId="28806"/>
    <cellStyle name="Header2 2 14 8 9 4" xfId="39971"/>
    <cellStyle name="Header2 2 14 8 9 5" xfId="51164"/>
    <cellStyle name="Header2 2 14 9" xfId="563"/>
    <cellStyle name="Header2 2 14 9 10" xfId="7132"/>
    <cellStyle name="Header2 2 14 9 10 2" xfId="18329"/>
    <cellStyle name="Header2 2 14 9 10 3" xfId="29497"/>
    <cellStyle name="Header2 2 14 9 10 4" xfId="40662"/>
    <cellStyle name="Header2 2 14 9 10 5" xfId="51855"/>
    <cellStyle name="Header2 2 14 9 11" xfId="7766"/>
    <cellStyle name="Header2 2 14 9 11 2" xfId="18963"/>
    <cellStyle name="Header2 2 14 9 11 3" xfId="30131"/>
    <cellStyle name="Header2 2 14 9 11 4" xfId="41296"/>
    <cellStyle name="Header2 2 14 9 11 5" xfId="52489"/>
    <cellStyle name="Header2 2 14 9 12" xfId="8400"/>
    <cellStyle name="Header2 2 14 9 12 2" xfId="19597"/>
    <cellStyle name="Header2 2 14 9 12 3" xfId="30765"/>
    <cellStyle name="Header2 2 14 9 12 4" xfId="41930"/>
    <cellStyle name="Header2 2 14 9 12 5" xfId="53123"/>
    <cellStyle name="Header2 2 14 9 13" xfId="9451"/>
    <cellStyle name="Header2 2 14 9 13 2" xfId="20648"/>
    <cellStyle name="Header2 2 14 9 13 3" xfId="31816"/>
    <cellStyle name="Header2 2 14 9 13 4" xfId="42981"/>
    <cellStyle name="Header2 2 14 9 13 5" xfId="54174"/>
    <cellStyle name="Header2 2 14 9 14" xfId="10306"/>
    <cellStyle name="Header2 2 14 9 14 2" xfId="21503"/>
    <cellStyle name="Header2 2 14 9 14 3" xfId="32671"/>
    <cellStyle name="Header2 2 14 9 14 4" xfId="43836"/>
    <cellStyle name="Header2 2 14 9 14 5" xfId="55029"/>
    <cellStyle name="Header2 2 14 9 15" xfId="11116"/>
    <cellStyle name="Header2 2 14 9 15 2" xfId="22313"/>
    <cellStyle name="Header2 2 14 9 15 3" xfId="33481"/>
    <cellStyle name="Header2 2 14 9 15 4" xfId="44646"/>
    <cellStyle name="Header2 2 14 9 15 5" xfId="55839"/>
    <cellStyle name="Header2 2 14 9 16" xfId="11763"/>
    <cellStyle name="Header2 2 14 9 17" xfId="22933"/>
    <cellStyle name="Header2 2 14 9 18" xfId="34100"/>
    <cellStyle name="Header2 2 14 9 19" xfId="45286"/>
    <cellStyle name="Header2 2 14 9 2" xfId="1212"/>
    <cellStyle name="Header2 2 14 9 2 2" xfId="12409"/>
    <cellStyle name="Header2 2 14 9 2 3" xfId="23577"/>
    <cellStyle name="Header2 2 14 9 2 4" xfId="34742"/>
    <cellStyle name="Header2 2 14 9 2 5" xfId="45935"/>
    <cellStyle name="Header2 2 14 9 3" xfId="1595"/>
    <cellStyle name="Header2 2 14 9 3 2" xfId="12792"/>
    <cellStyle name="Header2 2 14 9 3 3" xfId="23960"/>
    <cellStyle name="Header2 2 14 9 3 4" xfId="35125"/>
    <cellStyle name="Header2 2 14 9 3 5" xfId="46318"/>
    <cellStyle name="Header2 2 14 9 4" xfId="2913"/>
    <cellStyle name="Header2 2 14 9 4 2" xfId="14110"/>
    <cellStyle name="Header2 2 14 9 4 3" xfId="25278"/>
    <cellStyle name="Header2 2 14 9 4 4" xfId="36443"/>
    <cellStyle name="Header2 2 14 9 4 5" xfId="47636"/>
    <cellStyle name="Header2 2 14 9 5" xfId="3547"/>
    <cellStyle name="Header2 2 14 9 5 2" xfId="14744"/>
    <cellStyle name="Header2 2 14 9 5 3" xfId="25912"/>
    <cellStyle name="Header2 2 14 9 5 4" xfId="37077"/>
    <cellStyle name="Header2 2 14 9 5 5" xfId="48270"/>
    <cellStyle name="Header2 2 14 9 6" xfId="4181"/>
    <cellStyle name="Header2 2 14 9 6 2" xfId="15378"/>
    <cellStyle name="Header2 2 14 9 6 3" xfId="26546"/>
    <cellStyle name="Header2 2 14 9 6 4" xfId="37711"/>
    <cellStyle name="Header2 2 14 9 6 5" xfId="48904"/>
    <cellStyle name="Header2 2 14 9 7" xfId="4814"/>
    <cellStyle name="Header2 2 14 9 7 2" xfId="16011"/>
    <cellStyle name="Header2 2 14 9 7 3" xfId="27179"/>
    <cellStyle name="Header2 2 14 9 7 4" xfId="38344"/>
    <cellStyle name="Header2 2 14 9 7 5" xfId="49537"/>
    <cellStyle name="Header2 2 14 9 8" xfId="5445"/>
    <cellStyle name="Header2 2 14 9 8 2" xfId="16642"/>
    <cellStyle name="Header2 2 14 9 8 3" xfId="27810"/>
    <cellStyle name="Header2 2 14 9 8 4" xfId="38975"/>
    <cellStyle name="Header2 2 14 9 8 5" xfId="50168"/>
    <cellStyle name="Header2 2 14 9 9" xfId="6499"/>
    <cellStyle name="Header2 2 14 9 9 2" xfId="17696"/>
    <cellStyle name="Header2 2 14 9 9 3" xfId="28864"/>
    <cellStyle name="Header2 2 14 9 9 4" xfId="40029"/>
    <cellStyle name="Header2 2 14 9 9 5" xfId="51222"/>
    <cellStyle name="Header2 2 15" xfId="99"/>
    <cellStyle name="Header2 2 15 10" xfId="611"/>
    <cellStyle name="Header2 2 15 10 10" xfId="7180"/>
    <cellStyle name="Header2 2 15 10 10 2" xfId="18377"/>
    <cellStyle name="Header2 2 15 10 10 3" xfId="29545"/>
    <cellStyle name="Header2 2 15 10 10 4" xfId="40710"/>
    <cellStyle name="Header2 2 15 10 10 5" xfId="51903"/>
    <cellStyle name="Header2 2 15 10 11" xfId="7814"/>
    <cellStyle name="Header2 2 15 10 11 2" xfId="19011"/>
    <cellStyle name="Header2 2 15 10 11 3" xfId="30179"/>
    <cellStyle name="Header2 2 15 10 11 4" xfId="41344"/>
    <cellStyle name="Header2 2 15 10 11 5" xfId="52537"/>
    <cellStyle name="Header2 2 15 10 12" xfId="8448"/>
    <cellStyle name="Header2 2 15 10 12 2" xfId="19645"/>
    <cellStyle name="Header2 2 15 10 12 3" xfId="30813"/>
    <cellStyle name="Header2 2 15 10 12 4" xfId="41978"/>
    <cellStyle name="Header2 2 15 10 12 5" xfId="53171"/>
    <cellStyle name="Header2 2 15 10 13" xfId="9499"/>
    <cellStyle name="Header2 2 15 10 13 2" xfId="20696"/>
    <cellStyle name="Header2 2 15 10 13 3" xfId="31864"/>
    <cellStyle name="Header2 2 15 10 13 4" xfId="43029"/>
    <cellStyle name="Header2 2 15 10 13 5" xfId="54222"/>
    <cellStyle name="Header2 2 15 10 14" xfId="9588"/>
    <cellStyle name="Header2 2 15 10 14 2" xfId="20785"/>
    <cellStyle name="Header2 2 15 10 14 3" xfId="31953"/>
    <cellStyle name="Header2 2 15 10 14 4" xfId="43118"/>
    <cellStyle name="Header2 2 15 10 14 5" xfId="54311"/>
    <cellStyle name="Header2 2 15 10 15" xfId="11164"/>
    <cellStyle name="Header2 2 15 10 15 2" xfId="22361"/>
    <cellStyle name="Header2 2 15 10 15 3" xfId="33529"/>
    <cellStyle name="Header2 2 15 10 15 4" xfId="44694"/>
    <cellStyle name="Header2 2 15 10 15 5" xfId="55887"/>
    <cellStyle name="Header2 2 15 10 16" xfId="11811"/>
    <cellStyle name="Header2 2 15 10 17" xfId="22981"/>
    <cellStyle name="Header2 2 15 10 18" xfId="34148"/>
    <cellStyle name="Header2 2 15 10 19" xfId="45334"/>
    <cellStyle name="Header2 2 15 10 2" xfId="1260"/>
    <cellStyle name="Header2 2 15 10 2 2" xfId="12457"/>
    <cellStyle name="Header2 2 15 10 2 3" xfId="23625"/>
    <cellStyle name="Header2 2 15 10 2 4" xfId="34790"/>
    <cellStyle name="Header2 2 15 10 2 5" xfId="45983"/>
    <cellStyle name="Header2 2 15 10 3" xfId="1846"/>
    <cellStyle name="Header2 2 15 10 3 2" xfId="13043"/>
    <cellStyle name="Header2 2 15 10 3 3" xfId="24211"/>
    <cellStyle name="Header2 2 15 10 3 4" xfId="35376"/>
    <cellStyle name="Header2 2 15 10 3 5" xfId="46569"/>
    <cellStyle name="Header2 2 15 10 4" xfId="2961"/>
    <cellStyle name="Header2 2 15 10 4 2" xfId="14158"/>
    <cellStyle name="Header2 2 15 10 4 3" xfId="25326"/>
    <cellStyle name="Header2 2 15 10 4 4" xfId="36491"/>
    <cellStyle name="Header2 2 15 10 4 5" xfId="47684"/>
    <cellStyle name="Header2 2 15 10 5" xfId="3595"/>
    <cellStyle name="Header2 2 15 10 5 2" xfId="14792"/>
    <cellStyle name="Header2 2 15 10 5 3" xfId="25960"/>
    <cellStyle name="Header2 2 15 10 5 4" xfId="37125"/>
    <cellStyle name="Header2 2 15 10 5 5" xfId="48318"/>
    <cellStyle name="Header2 2 15 10 6" xfId="4229"/>
    <cellStyle name="Header2 2 15 10 6 2" xfId="15426"/>
    <cellStyle name="Header2 2 15 10 6 3" xfId="26594"/>
    <cellStyle name="Header2 2 15 10 6 4" xfId="37759"/>
    <cellStyle name="Header2 2 15 10 6 5" xfId="48952"/>
    <cellStyle name="Header2 2 15 10 7" xfId="4862"/>
    <cellStyle name="Header2 2 15 10 7 2" xfId="16059"/>
    <cellStyle name="Header2 2 15 10 7 3" xfId="27227"/>
    <cellStyle name="Header2 2 15 10 7 4" xfId="38392"/>
    <cellStyle name="Header2 2 15 10 7 5" xfId="49585"/>
    <cellStyle name="Header2 2 15 10 8" xfId="5493"/>
    <cellStyle name="Header2 2 15 10 8 2" xfId="16690"/>
    <cellStyle name="Header2 2 15 10 8 3" xfId="27858"/>
    <cellStyle name="Header2 2 15 10 8 4" xfId="39023"/>
    <cellStyle name="Header2 2 15 10 8 5" xfId="50216"/>
    <cellStyle name="Header2 2 15 10 9" xfId="6547"/>
    <cellStyle name="Header2 2 15 10 9 2" xfId="17744"/>
    <cellStyle name="Header2 2 15 10 9 3" xfId="28912"/>
    <cellStyle name="Header2 2 15 10 9 4" xfId="40077"/>
    <cellStyle name="Header2 2 15 10 9 5" xfId="51270"/>
    <cellStyle name="Header2 2 15 11" xfId="655"/>
    <cellStyle name="Header2 2 15 11 10" xfId="7224"/>
    <cellStyle name="Header2 2 15 11 10 2" xfId="18421"/>
    <cellStyle name="Header2 2 15 11 10 3" xfId="29589"/>
    <cellStyle name="Header2 2 15 11 10 4" xfId="40754"/>
    <cellStyle name="Header2 2 15 11 10 5" xfId="51947"/>
    <cellStyle name="Header2 2 15 11 11" xfId="7858"/>
    <cellStyle name="Header2 2 15 11 11 2" xfId="19055"/>
    <cellStyle name="Header2 2 15 11 11 3" xfId="30223"/>
    <cellStyle name="Header2 2 15 11 11 4" xfId="41388"/>
    <cellStyle name="Header2 2 15 11 11 5" xfId="52581"/>
    <cellStyle name="Header2 2 15 11 12" xfId="8492"/>
    <cellStyle name="Header2 2 15 11 12 2" xfId="19689"/>
    <cellStyle name="Header2 2 15 11 12 3" xfId="30857"/>
    <cellStyle name="Header2 2 15 11 12 4" xfId="42022"/>
    <cellStyle name="Header2 2 15 11 12 5" xfId="53215"/>
    <cellStyle name="Header2 2 15 11 13" xfId="9543"/>
    <cellStyle name="Header2 2 15 11 13 2" xfId="20740"/>
    <cellStyle name="Header2 2 15 11 13 3" xfId="31908"/>
    <cellStyle name="Header2 2 15 11 13 4" xfId="43073"/>
    <cellStyle name="Header2 2 15 11 13 5" xfId="54266"/>
    <cellStyle name="Header2 2 15 11 14" xfId="8517"/>
    <cellStyle name="Header2 2 15 11 14 2" xfId="19714"/>
    <cellStyle name="Header2 2 15 11 14 3" xfId="30882"/>
    <cellStyle name="Header2 2 15 11 14 4" xfId="42047"/>
    <cellStyle name="Header2 2 15 11 14 5" xfId="53240"/>
    <cellStyle name="Header2 2 15 11 15" xfId="11208"/>
    <cellStyle name="Header2 2 15 11 15 2" xfId="22405"/>
    <cellStyle name="Header2 2 15 11 15 3" xfId="33573"/>
    <cellStyle name="Header2 2 15 11 15 4" xfId="44738"/>
    <cellStyle name="Header2 2 15 11 15 5" xfId="55931"/>
    <cellStyle name="Header2 2 15 11 16" xfId="11855"/>
    <cellStyle name="Header2 2 15 11 17" xfId="23025"/>
    <cellStyle name="Header2 2 15 11 18" xfId="34192"/>
    <cellStyle name="Header2 2 15 11 19" xfId="45378"/>
    <cellStyle name="Header2 2 15 11 2" xfId="1304"/>
    <cellStyle name="Header2 2 15 11 2 2" xfId="12501"/>
    <cellStyle name="Header2 2 15 11 2 3" xfId="23669"/>
    <cellStyle name="Header2 2 15 11 2 4" xfId="34834"/>
    <cellStyle name="Header2 2 15 11 2 5" xfId="46027"/>
    <cellStyle name="Header2 2 15 11 3" xfId="1830"/>
    <cellStyle name="Header2 2 15 11 3 2" xfId="13027"/>
    <cellStyle name="Header2 2 15 11 3 3" xfId="24195"/>
    <cellStyle name="Header2 2 15 11 3 4" xfId="35360"/>
    <cellStyle name="Header2 2 15 11 3 5" xfId="46553"/>
    <cellStyle name="Header2 2 15 11 4" xfId="3005"/>
    <cellStyle name="Header2 2 15 11 4 2" xfId="14202"/>
    <cellStyle name="Header2 2 15 11 4 3" xfId="25370"/>
    <cellStyle name="Header2 2 15 11 4 4" xfId="36535"/>
    <cellStyle name="Header2 2 15 11 4 5" xfId="47728"/>
    <cellStyle name="Header2 2 15 11 5" xfId="3639"/>
    <cellStyle name="Header2 2 15 11 5 2" xfId="14836"/>
    <cellStyle name="Header2 2 15 11 5 3" xfId="26004"/>
    <cellStyle name="Header2 2 15 11 5 4" xfId="37169"/>
    <cellStyle name="Header2 2 15 11 5 5" xfId="48362"/>
    <cellStyle name="Header2 2 15 11 6" xfId="4273"/>
    <cellStyle name="Header2 2 15 11 6 2" xfId="15470"/>
    <cellStyle name="Header2 2 15 11 6 3" xfId="26638"/>
    <cellStyle name="Header2 2 15 11 6 4" xfId="37803"/>
    <cellStyle name="Header2 2 15 11 6 5" xfId="48996"/>
    <cellStyle name="Header2 2 15 11 7" xfId="4906"/>
    <cellStyle name="Header2 2 15 11 7 2" xfId="16103"/>
    <cellStyle name="Header2 2 15 11 7 3" xfId="27271"/>
    <cellStyle name="Header2 2 15 11 7 4" xfId="38436"/>
    <cellStyle name="Header2 2 15 11 7 5" xfId="49629"/>
    <cellStyle name="Header2 2 15 11 8" xfId="5537"/>
    <cellStyle name="Header2 2 15 11 8 2" xfId="16734"/>
    <cellStyle name="Header2 2 15 11 8 3" xfId="27902"/>
    <cellStyle name="Header2 2 15 11 8 4" xfId="39067"/>
    <cellStyle name="Header2 2 15 11 8 5" xfId="50260"/>
    <cellStyle name="Header2 2 15 11 9" xfId="6591"/>
    <cellStyle name="Header2 2 15 11 9 2" xfId="17788"/>
    <cellStyle name="Header2 2 15 11 9 3" xfId="28956"/>
    <cellStyle name="Header2 2 15 11 9 4" xfId="40121"/>
    <cellStyle name="Header2 2 15 11 9 5" xfId="51314"/>
    <cellStyle name="Header2 2 15 12" xfId="748"/>
    <cellStyle name="Header2 2 15 12 2" xfId="11945"/>
    <cellStyle name="Header2 2 15 12 3" xfId="23113"/>
    <cellStyle name="Header2 2 15 12 4" xfId="34278"/>
    <cellStyle name="Header2 2 15 12 5" xfId="45471"/>
    <cellStyle name="Header2 2 15 13" xfId="1748"/>
    <cellStyle name="Header2 2 15 13 2" xfId="12945"/>
    <cellStyle name="Header2 2 15 13 3" xfId="24113"/>
    <cellStyle name="Header2 2 15 13 4" xfId="35278"/>
    <cellStyle name="Header2 2 15 13 5" xfId="46471"/>
    <cellStyle name="Header2 2 15 14" xfId="2214"/>
    <cellStyle name="Header2 2 15 14 2" xfId="13411"/>
    <cellStyle name="Header2 2 15 14 3" xfId="24579"/>
    <cellStyle name="Header2 2 15 14 4" xfId="35744"/>
    <cellStyle name="Header2 2 15 14 5" xfId="46937"/>
    <cellStyle name="Header2 2 15 15" xfId="3083"/>
    <cellStyle name="Header2 2 15 15 2" xfId="14280"/>
    <cellStyle name="Header2 2 15 15 3" xfId="25448"/>
    <cellStyle name="Header2 2 15 15 4" xfId="36613"/>
    <cellStyle name="Header2 2 15 15 5" xfId="47806"/>
    <cellStyle name="Header2 2 15 16" xfId="3717"/>
    <cellStyle name="Header2 2 15 16 2" xfId="14914"/>
    <cellStyle name="Header2 2 15 16 3" xfId="26082"/>
    <cellStyle name="Header2 2 15 16 4" xfId="37247"/>
    <cellStyle name="Header2 2 15 16 5" xfId="48440"/>
    <cellStyle name="Header2 2 15 17" xfId="4350"/>
    <cellStyle name="Header2 2 15 17 2" xfId="15547"/>
    <cellStyle name="Header2 2 15 17 3" xfId="26715"/>
    <cellStyle name="Header2 2 15 17 4" xfId="37880"/>
    <cellStyle name="Header2 2 15 17 5" xfId="49073"/>
    <cellStyle name="Header2 2 15 18" xfId="4981"/>
    <cellStyle name="Header2 2 15 18 2" xfId="16178"/>
    <cellStyle name="Header2 2 15 18 3" xfId="27346"/>
    <cellStyle name="Header2 2 15 18 4" xfId="38511"/>
    <cellStyle name="Header2 2 15 18 5" xfId="49704"/>
    <cellStyle name="Header2 2 15 19" xfId="6177"/>
    <cellStyle name="Header2 2 15 19 2" xfId="17374"/>
    <cellStyle name="Header2 2 15 19 3" xfId="28542"/>
    <cellStyle name="Header2 2 15 19 4" xfId="39707"/>
    <cellStyle name="Header2 2 15 19 5" xfId="50900"/>
    <cellStyle name="Header2 2 15 2" xfId="162"/>
    <cellStyle name="Header2 2 15 2 10" xfId="6731"/>
    <cellStyle name="Header2 2 15 2 10 2" xfId="17928"/>
    <cellStyle name="Header2 2 15 2 10 3" xfId="29096"/>
    <cellStyle name="Header2 2 15 2 10 4" xfId="40261"/>
    <cellStyle name="Header2 2 15 2 10 5" xfId="51454"/>
    <cellStyle name="Header2 2 15 2 11" xfId="7365"/>
    <cellStyle name="Header2 2 15 2 11 2" xfId="18562"/>
    <cellStyle name="Header2 2 15 2 11 3" xfId="29730"/>
    <cellStyle name="Header2 2 15 2 11 4" xfId="40895"/>
    <cellStyle name="Header2 2 15 2 11 5" xfId="52088"/>
    <cellStyle name="Header2 2 15 2 12" xfId="7999"/>
    <cellStyle name="Header2 2 15 2 12 2" xfId="19196"/>
    <cellStyle name="Header2 2 15 2 12 3" xfId="30364"/>
    <cellStyle name="Header2 2 15 2 12 4" xfId="41529"/>
    <cellStyle name="Header2 2 15 2 12 5" xfId="52722"/>
    <cellStyle name="Header2 2 15 2 13" xfId="8693"/>
    <cellStyle name="Header2 2 15 2 13 2" xfId="19890"/>
    <cellStyle name="Header2 2 15 2 13 3" xfId="31058"/>
    <cellStyle name="Header2 2 15 2 13 4" xfId="42223"/>
    <cellStyle name="Header2 2 15 2 13 5" xfId="53416"/>
    <cellStyle name="Header2 2 15 2 14" xfId="10542"/>
    <cellStyle name="Header2 2 15 2 14 2" xfId="21739"/>
    <cellStyle name="Header2 2 15 2 14 3" xfId="32907"/>
    <cellStyle name="Header2 2 15 2 14 4" xfId="44072"/>
    <cellStyle name="Header2 2 15 2 14 5" xfId="55265"/>
    <cellStyle name="Header2 2 15 2 15" xfId="10715"/>
    <cellStyle name="Header2 2 15 2 15 2" xfId="21912"/>
    <cellStyle name="Header2 2 15 2 15 3" xfId="33080"/>
    <cellStyle name="Header2 2 15 2 15 4" xfId="44245"/>
    <cellStyle name="Header2 2 15 2 15 5" xfId="55438"/>
    <cellStyle name="Header2 2 15 2 16" xfId="11362"/>
    <cellStyle name="Header2 2 15 2 17" xfId="22532"/>
    <cellStyle name="Header2 2 15 2 18" xfId="33699"/>
    <cellStyle name="Header2 2 15 2 19" xfId="44885"/>
    <cellStyle name="Header2 2 15 2 2" xfId="811"/>
    <cellStyle name="Header2 2 15 2 2 2" xfId="12008"/>
    <cellStyle name="Header2 2 15 2 2 3" xfId="23176"/>
    <cellStyle name="Header2 2 15 2 2 4" xfId="34341"/>
    <cellStyle name="Header2 2 15 2 2 5" xfId="45534"/>
    <cellStyle name="Header2 2 15 2 3" xfId="1388"/>
    <cellStyle name="Header2 2 15 2 3 2" xfId="12585"/>
    <cellStyle name="Header2 2 15 2 3 3" xfId="23753"/>
    <cellStyle name="Header2 2 15 2 3 4" xfId="34918"/>
    <cellStyle name="Header2 2 15 2 3 5" xfId="46111"/>
    <cellStyle name="Header2 2 15 2 4" xfId="2553"/>
    <cellStyle name="Header2 2 15 2 4 2" xfId="13750"/>
    <cellStyle name="Header2 2 15 2 4 3" xfId="24918"/>
    <cellStyle name="Header2 2 15 2 4 4" xfId="36083"/>
    <cellStyle name="Header2 2 15 2 4 5" xfId="47276"/>
    <cellStyle name="Header2 2 15 2 5" xfId="3146"/>
    <cellStyle name="Header2 2 15 2 5 2" xfId="14343"/>
    <cellStyle name="Header2 2 15 2 5 3" xfId="25511"/>
    <cellStyle name="Header2 2 15 2 5 4" xfId="36676"/>
    <cellStyle name="Header2 2 15 2 5 5" xfId="47869"/>
    <cellStyle name="Header2 2 15 2 6" xfId="3780"/>
    <cellStyle name="Header2 2 15 2 6 2" xfId="14977"/>
    <cellStyle name="Header2 2 15 2 6 3" xfId="26145"/>
    <cellStyle name="Header2 2 15 2 6 4" xfId="37310"/>
    <cellStyle name="Header2 2 15 2 6 5" xfId="48503"/>
    <cellStyle name="Header2 2 15 2 7" xfId="4413"/>
    <cellStyle name="Header2 2 15 2 7 2" xfId="15610"/>
    <cellStyle name="Header2 2 15 2 7 3" xfId="26778"/>
    <cellStyle name="Header2 2 15 2 7 4" xfId="37943"/>
    <cellStyle name="Header2 2 15 2 7 5" xfId="49136"/>
    <cellStyle name="Header2 2 15 2 8" xfId="5044"/>
    <cellStyle name="Header2 2 15 2 8 2" xfId="16241"/>
    <cellStyle name="Header2 2 15 2 8 3" xfId="27409"/>
    <cellStyle name="Header2 2 15 2 8 4" xfId="38574"/>
    <cellStyle name="Header2 2 15 2 8 5" xfId="49767"/>
    <cellStyle name="Header2 2 15 2 9" xfId="5845"/>
    <cellStyle name="Header2 2 15 2 9 2" xfId="17042"/>
    <cellStyle name="Header2 2 15 2 9 3" xfId="28210"/>
    <cellStyle name="Header2 2 15 2 9 4" xfId="39375"/>
    <cellStyle name="Header2 2 15 2 9 5" xfId="50568"/>
    <cellStyle name="Header2 2 15 20" xfId="6668"/>
    <cellStyle name="Header2 2 15 20 2" xfId="17865"/>
    <cellStyle name="Header2 2 15 20 3" xfId="29033"/>
    <cellStyle name="Header2 2 15 20 4" xfId="40198"/>
    <cellStyle name="Header2 2 15 20 5" xfId="51391"/>
    <cellStyle name="Header2 2 15 21" xfId="7302"/>
    <cellStyle name="Header2 2 15 21 2" xfId="18499"/>
    <cellStyle name="Header2 2 15 21 3" xfId="29667"/>
    <cellStyle name="Header2 2 15 21 4" xfId="40832"/>
    <cellStyle name="Header2 2 15 21 5" xfId="52025"/>
    <cellStyle name="Header2 2 15 22" xfId="7936"/>
    <cellStyle name="Header2 2 15 22 2" xfId="19133"/>
    <cellStyle name="Header2 2 15 22 3" xfId="30301"/>
    <cellStyle name="Header2 2 15 22 4" xfId="41466"/>
    <cellStyle name="Header2 2 15 22 5" xfId="52659"/>
    <cellStyle name="Header2 2 15 23" xfId="8536"/>
    <cellStyle name="Header2 2 15 23 2" xfId="19733"/>
    <cellStyle name="Header2 2 15 23 3" xfId="30901"/>
    <cellStyle name="Header2 2 15 23 4" xfId="42066"/>
    <cellStyle name="Header2 2 15 23 5" xfId="53259"/>
    <cellStyle name="Header2 2 15 24" xfId="10452"/>
    <cellStyle name="Header2 2 15 24 2" xfId="21649"/>
    <cellStyle name="Header2 2 15 24 3" xfId="32817"/>
    <cellStyle name="Header2 2 15 24 4" xfId="43982"/>
    <cellStyle name="Header2 2 15 24 5" xfId="55175"/>
    <cellStyle name="Header2 2 15 25" xfId="10652"/>
    <cellStyle name="Header2 2 15 25 2" xfId="21849"/>
    <cellStyle name="Header2 2 15 25 3" xfId="33017"/>
    <cellStyle name="Header2 2 15 25 4" xfId="44182"/>
    <cellStyle name="Header2 2 15 25 5" xfId="55375"/>
    <cellStyle name="Header2 2 15 26" xfId="11299"/>
    <cellStyle name="Header2 2 15 27" xfId="22469"/>
    <cellStyle name="Header2 2 15 28" xfId="33636"/>
    <cellStyle name="Header2 2 15 29" xfId="44822"/>
    <cellStyle name="Header2 2 15 3" xfId="218"/>
    <cellStyle name="Header2 2 15 3 10" xfId="6787"/>
    <cellStyle name="Header2 2 15 3 10 2" xfId="17984"/>
    <cellStyle name="Header2 2 15 3 10 3" xfId="29152"/>
    <cellStyle name="Header2 2 15 3 10 4" xfId="40317"/>
    <cellStyle name="Header2 2 15 3 10 5" xfId="51510"/>
    <cellStyle name="Header2 2 15 3 11" xfId="7421"/>
    <cellStyle name="Header2 2 15 3 11 2" xfId="18618"/>
    <cellStyle name="Header2 2 15 3 11 3" xfId="29786"/>
    <cellStyle name="Header2 2 15 3 11 4" xfId="40951"/>
    <cellStyle name="Header2 2 15 3 11 5" xfId="52144"/>
    <cellStyle name="Header2 2 15 3 12" xfId="8055"/>
    <cellStyle name="Header2 2 15 3 12 2" xfId="19252"/>
    <cellStyle name="Header2 2 15 3 12 3" xfId="30420"/>
    <cellStyle name="Header2 2 15 3 12 4" xfId="41585"/>
    <cellStyle name="Header2 2 15 3 12 5" xfId="52778"/>
    <cellStyle name="Header2 2 15 3 13" xfId="8619"/>
    <cellStyle name="Header2 2 15 3 13 2" xfId="19816"/>
    <cellStyle name="Header2 2 15 3 13 3" xfId="30984"/>
    <cellStyle name="Header2 2 15 3 13 4" xfId="42149"/>
    <cellStyle name="Header2 2 15 3 13 5" xfId="53342"/>
    <cellStyle name="Header2 2 15 3 14" xfId="9861"/>
    <cellStyle name="Header2 2 15 3 14 2" xfId="21058"/>
    <cellStyle name="Header2 2 15 3 14 3" xfId="32226"/>
    <cellStyle name="Header2 2 15 3 14 4" xfId="43391"/>
    <cellStyle name="Header2 2 15 3 14 5" xfId="54584"/>
    <cellStyle name="Header2 2 15 3 15" xfId="10771"/>
    <cellStyle name="Header2 2 15 3 15 2" xfId="21968"/>
    <cellStyle name="Header2 2 15 3 15 3" xfId="33136"/>
    <cellStyle name="Header2 2 15 3 15 4" xfId="44301"/>
    <cellStyle name="Header2 2 15 3 15 5" xfId="55494"/>
    <cellStyle name="Header2 2 15 3 16" xfId="11418"/>
    <cellStyle name="Header2 2 15 3 17" xfId="22588"/>
    <cellStyle name="Header2 2 15 3 18" xfId="33755"/>
    <cellStyle name="Header2 2 15 3 19" xfId="44941"/>
    <cellStyle name="Header2 2 15 3 2" xfId="867"/>
    <cellStyle name="Header2 2 15 3 2 2" xfId="12064"/>
    <cellStyle name="Header2 2 15 3 2 3" xfId="23232"/>
    <cellStyle name="Header2 2 15 3 2 4" xfId="34397"/>
    <cellStyle name="Header2 2 15 3 2 5" xfId="45590"/>
    <cellStyle name="Header2 2 15 3 3" xfId="1829"/>
    <cellStyle name="Header2 2 15 3 3 2" xfId="13026"/>
    <cellStyle name="Header2 2 15 3 3 3" xfId="24194"/>
    <cellStyle name="Header2 2 15 3 3 4" xfId="35359"/>
    <cellStyle name="Header2 2 15 3 3 5" xfId="46552"/>
    <cellStyle name="Header2 2 15 3 4" xfId="2013"/>
    <cellStyle name="Header2 2 15 3 4 2" xfId="13210"/>
    <cellStyle name="Header2 2 15 3 4 3" xfId="24378"/>
    <cellStyle name="Header2 2 15 3 4 4" xfId="35543"/>
    <cellStyle name="Header2 2 15 3 4 5" xfId="46736"/>
    <cellStyle name="Header2 2 15 3 5" xfId="3202"/>
    <cellStyle name="Header2 2 15 3 5 2" xfId="14399"/>
    <cellStyle name="Header2 2 15 3 5 3" xfId="25567"/>
    <cellStyle name="Header2 2 15 3 5 4" xfId="36732"/>
    <cellStyle name="Header2 2 15 3 5 5" xfId="47925"/>
    <cellStyle name="Header2 2 15 3 6" xfId="3836"/>
    <cellStyle name="Header2 2 15 3 6 2" xfId="15033"/>
    <cellStyle name="Header2 2 15 3 6 3" xfId="26201"/>
    <cellStyle name="Header2 2 15 3 6 4" xfId="37366"/>
    <cellStyle name="Header2 2 15 3 6 5" xfId="48559"/>
    <cellStyle name="Header2 2 15 3 7" xfId="4469"/>
    <cellStyle name="Header2 2 15 3 7 2" xfId="15666"/>
    <cellStyle name="Header2 2 15 3 7 3" xfId="26834"/>
    <cellStyle name="Header2 2 15 3 7 4" xfId="37999"/>
    <cellStyle name="Header2 2 15 3 7 5" xfId="49192"/>
    <cellStyle name="Header2 2 15 3 8" xfId="5100"/>
    <cellStyle name="Header2 2 15 3 8 2" xfId="16297"/>
    <cellStyle name="Header2 2 15 3 8 3" xfId="27465"/>
    <cellStyle name="Header2 2 15 3 8 4" xfId="38630"/>
    <cellStyle name="Header2 2 15 3 8 5" xfId="49823"/>
    <cellStyle name="Header2 2 15 3 9" xfId="6119"/>
    <cellStyle name="Header2 2 15 3 9 2" xfId="17316"/>
    <cellStyle name="Header2 2 15 3 9 3" xfId="28484"/>
    <cellStyle name="Header2 2 15 3 9 4" xfId="39649"/>
    <cellStyle name="Header2 2 15 3 9 5" xfId="50842"/>
    <cellStyle name="Header2 2 15 4" xfId="30"/>
    <cellStyle name="Header2 2 15 4 10" xfId="6092"/>
    <cellStyle name="Header2 2 15 4 10 2" xfId="17289"/>
    <cellStyle name="Header2 2 15 4 10 3" xfId="28457"/>
    <cellStyle name="Header2 2 15 4 10 4" xfId="39622"/>
    <cellStyle name="Header2 2 15 4 10 5" xfId="50815"/>
    <cellStyle name="Header2 2 15 4 11" xfId="6043"/>
    <cellStyle name="Header2 2 15 4 11 2" xfId="17240"/>
    <cellStyle name="Header2 2 15 4 11 3" xfId="28408"/>
    <cellStyle name="Header2 2 15 4 11 4" xfId="39573"/>
    <cellStyle name="Header2 2 15 4 11 5" xfId="50766"/>
    <cellStyle name="Header2 2 15 4 12" xfId="5749"/>
    <cellStyle name="Header2 2 15 4 12 2" xfId="16946"/>
    <cellStyle name="Header2 2 15 4 12 3" xfId="28114"/>
    <cellStyle name="Header2 2 15 4 12 4" xfId="39279"/>
    <cellStyle name="Header2 2 15 4 12 5" xfId="50472"/>
    <cellStyle name="Header2 2 15 4 13" xfId="7887"/>
    <cellStyle name="Header2 2 15 4 13 2" xfId="19084"/>
    <cellStyle name="Header2 2 15 4 13 3" xfId="30252"/>
    <cellStyle name="Header2 2 15 4 13 4" xfId="41417"/>
    <cellStyle name="Header2 2 15 4 13 5" xfId="52610"/>
    <cellStyle name="Header2 2 15 4 14" xfId="8559"/>
    <cellStyle name="Header2 2 15 4 14 2" xfId="19756"/>
    <cellStyle name="Header2 2 15 4 14 3" xfId="30924"/>
    <cellStyle name="Header2 2 15 4 14 4" xfId="42089"/>
    <cellStyle name="Header2 2 15 4 14 5" xfId="53282"/>
    <cellStyle name="Header2 2 15 4 15" xfId="9563"/>
    <cellStyle name="Header2 2 15 4 15 2" xfId="20760"/>
    <cellStyle name="Header2 2 15 4 15 3" xfId="31928"/>
    <cellStyle name="Header2 2 15 4 15 4" xfId="43093"/>
    <cellStyle name="Header2 2 15 4 15 5" xfId="54286"/>
    <cellStyle name="Header2 2 15 4 16" xfId="11232"/>
    <cellStyle name="Header2 2 15 4 17" xfId="11899"/>
    <cellStyle name="Header2 2 15 4 18" xfId="22424"/>
    <cellStyle name="Header2 2 15 4 19" xfId="44759"/>
    <cellStyle name="Header2 2 15 4 2" xfId="685"/>
    <cellStyle name="Header2 2 15 4 2 2" xfId="11884"/>
    <cellStyle name="Header2 2 15 4 2 3" xfId="23053"/>
    <cellStyle name="Header2 2 15 4 2 4" xfId="34220"/>
    <cellStyle name="Header2 2 15 4 2 5" xfId="45408"/>
    <cellStyle name="Header2 2 15 4 3" xfId="673"/>
    <cellStyle name="Header2 2 15 4 3 2" xfId="11873"/>
    <cellStyle name="Header2 2 15 4 3 3" xfId="23043"/>
    <cellStyle name="Header2 2 15 4 3 4" xfId="34210"/>
    <cellStyle name="Header2 2 15 4 3 5" xfId="45396"/>
    <cellStyle name="Header2 2 15 4 4" xfId="1961"/>
    <cellStyle name="Header2 2 15 4 4 2" xfId="13158"/>
    <cellStyle name="Header2 2 15 4 4 3" xfId="24326"/>
    <cellStyle name="Header2 2 15 4 4 4" xfId="35491"/>
    <cellStyle name="Header2 2 15 4 4 5" xfId="46684"/>
    <cellStyle name="Header2 2 15 4 5" xfId="2017"/>
    <cellStyle name="Header2 2 15 4 5 2" xfId="13214"/>
    <cellStyle name="Header2 2 15 4 5 3" xfId="24382"/>
    <cellStyle name="Header2 2 15 4 5 4" xfId="35547"/>
    <cellStyle name="Header2 2 15 4 5 5" xfId="46740"/>
    <cellStyle name="Header2 2 15 4 6" xfId="1342"/>
    <cellStyle name="Header2 2 15 4 6 2" xfId="12539"/>
    <cellStyle name="Header2 2 15 4 6 3" xfId="23707"/>
    <cellStyle name="Header2 2 15 4 6 4" xfId="34872"/>
    <cellStyle name="Header2 2 15 4 6 5" xfId="46065"/>
    <cellStyle name="Header2 2 15 4 7" xfId="2320"/>
    <cellStyle name="Header2 2 15 4 7 2" xfId="13517"/>
    <cellStyle name="Header2 2 15 4 7 3" xfId="24685"/>
    <cellStyle name="Header2 2 15 4 7 4" xfId="35850"/>
    <cellStyle name="Header2 2 15 4 7 5" xfId="47043"/>
    <cellStyle name="Header2 2 15 4 8" xfId="3665"/>
    <cellStyle name="Header2 2 15 4 8 2" xfId="14862"/>
    <cellStyle name="Header2 2 15 4 8 3" xfId="26030"/>
    <cellStyle name="Header2 2 15 4 8 4" xfId="37195"/>
    <cellStyle name="Header2 2 15 4 8 5" xfId="48388"/>
    <cellStyle name="Header2 2 15 4 9" xfId="5759"/>
    <cellStyle name="Header2 2 15 4 9 2" xfId="16956"/>
    <cellStyle name="Header2 2 15 4 9 3" xfId="28124"/>
    <cellStyle name="Header2 2 15 4 9 4" xfId="39289"/>
    <cellStyle name="Header2 2 15 4 9 5" xfId="50482"/>
    <cellStyle name="Header2 2 15 5" xfId="301"/>
    <cellStyle name="Header2 2 15 5 10" xfId="6870"/>
    <cellStyle name="Header2 2 15 5 10 2" xfId="18067"/>
    <cellStyle name="Header2 2 15 5 10 3" xfId="29235"/>
    <cellStyle name="Header2 2 15 5 10 4" xfId="40400"/>
    <cellStyle name="Header2 2 15 5 10 5" xfId="51593"/>
    <cellStyle name="Header2 2 15 5 11" xfId="7504"/>
    <cellStyle name="Header2 2 15 5 11 2" xfId="18701"/>
    <cellStyle name="Header2 2 15 5 11 3" xfId="29869"/>
    <cellStyle name="Header2 2 15 5 11 4" xfId="41034"/>
    <cellStyle name="Header2 2 15 5 11 5" xfId="52227"/>
    <cellStyle name="Header2 2 15 5 12" xfId="8138"/>
    <cellStyle name="Header2 2 15 5 12 2" xfId="19335"/>
    <cellStyle name="Header2 2 15 5 12 3" xfId="30503"/>
    <cellStyle name="Header2 2 15 5 12 4" xfId="41668"/>
    <cellStyle name="Header2 2 15 5 12 5" xfId="52861"/>
    <cellStyle name="Header2 2 15 5 13" xfId="9189"/>
    <cellStyle name="Header2 2 15 5 13 2" xfId="20386"/>
    <cellStyle name="Header2 2 15 5 13 3" xfId="31554"/>
    <cellStyle name="Header2 2 15 5 13 4" xfId="42719"/>
    <cellStyle name="Header2 2 15 5 13 5" xfId="53912"/>
    <cellStyle name="Header2 2 15 5 14" xfId="10392"/>
    <cellStyle name="Header2 2 15 5 14 2" xfId="21589"/>
    <cellStyle name="Header2 2 15 5 14 3" xfId="32757"/>
    <cellStyle name="Header2 2 15 5 14 4" xfId="43922"/>
    <cellStyle name="Header2 2 15 5 14 5" xfId="55115"/>
    <cellStyle name="Header2 2 15 5 15" xfId="10854"/>
    <cellStyle name="Header2 2 15 5 15 2" xfId="22051"/>
    <cellStyle name="Header2 2 15 5 15 3" xfId="33219"/>
    <cellStyle name="Header2 2 15 5 15 4" xfId="44384"/>
    <cellStyle name="Header2 2 15 5 15 5" xfId="55577"/>
    <cellStyle name="Header2 2 15 5 16" xfId="11501"/>
    <cellStyle name="Header2 2 15 5 17" xfId="22671"/>
    <cellStyle name="Header2 2 15 5 18" xfId="33838"/>
    <cellStyle name="Header2 2 15 5 19" xfId="45024"/>
    <cellStyle name="Header2 2 15 5 2" xfId="950"/>
    <cellStyle name="Header2 2 15 5 2 2" xfId="12147"/>
    <cellStyle name="Header2 2 15 5 2 3" xfId="23315"/>
    <cellStyle name="Header2 2 15 5 2 4" xfId="34480"/>
    <cellStyle name="Header2 2 15 5 2 5" xfId="45673"/>
    <cellStyle name="Header2 2 15 5 3" xfId="1717"/>
    <cellStyle name="Header2 2 15 5 3 2" xfId="12914"/>
    <cellStyle name="Header2 2 15 5 3 3" xfId="24082"/>
    <cellStyle name="Header2 2 15 5 3 4" xfId="35247"/>
    <cellStyle name="Header2 2 15 5 3 5" xfId="46440"/>
    <cellStyle name="Header2 2 15 5 4" xfId="2651"/>
    <cellStyle name="Header2 2 15 5 4 2" xfId="13848"/>
    <cellStyle name="Header2 2 15 5 4 3" xfId="25016"/>
    <cellStyle name="Header2 2 15 5 4 4" xfId="36181"/>
    <cellStyle name="Header2 2 15 5 4 5" xfId="47374"/>
    <cellStyle name="Header2 2 15 5 5" xfId="3285"/>
    <cellStyle name="Header2 2 15 5 5 2" xfId="14482"/>
    <cellStyle name="Header2 2 15 5 5 3" xfId="25650"/>
    <cellStyle name="Header2 2 15 5 5 4" xfId="36815"/>
    <cellStyle name="Header2 2 15 5 5 5" xfId="48008"/>
    <cellStyle name="Header2 2 15 5 6" xfId="3919"/>
    <cellStyle name="Header2 2 15 5 6 2" xfId="15116"/>
    <cellStyle name="Header2 2 15 5 6 3" xfId="26284"/>
    <cellStyle name="Header2 2 15 5 6 4" xfId="37449"/>
    <cellStyle name="Header2 2 15 5 6 5" xfId="48642"/>
    <cellStyle name="Header2 2 15 5 7" xfId="4552"/>
    <cellStyle name="Header2 2 15 5 7 2" xfId="15749"/>
    <cellStyle name="Header2 2 15 5 7 3" xfId="26917"/>
    <cellStyle name="Header2 2 15 5 7 4" xfId="38082"/>
    <cellStyle name="Header2 2 15 5 7 5" xfId="49275"/>
    <cellStyle name="Header2 2 15 5 8" xfId="5183"/>
    <cellStyle name="Header2 2 15 5 8 2" xfId="16380"/>
    <cellStyle name="Header2 2 15 5 8 3" xfId="27548"/>
    <cellStyle name="Header2 2 15 5 8 4" xfId="38713"/>
    <cellStyle name="Header2 2 15 5 8 5" xfId="49906"/>
    <cellStyle name="Header2 2 15 5 9" xfId="6237"/>
    <cellStyle name="Header2 2 15 5 9 2" xfId="17434"/>
    <cellStyle name="Header2 2 15 5 9 3" xfId="28602"/>
    <cellStyle name="Header2 2 15 5 9 4" xfId="39767"/>
    <cellStyle name="Header2 2 15 5 9 5" xfId="50960"/>
    <cellStyle name="Header2 2 15 6" xfId="347"/>
    <cellStyle name="Header2 2 15 6 10" xfId="6916"/>
    <cellStyle name="Header2 2 15 6 10 2" xfId="18113"/>
    <cellStyle name="Header2 2 15 6 10 3" xfId="29281"/>
    <cellStyle name="Header2 2 15 6 10 4" xfId="40446"/>
    <cellStyle name="Header2 2 15 6 10 5" xfId="51639"/>
    <cellStyle name="Header2 2 15 6 11" xfId="7550"/>
    <cellStyle name="Header2 2 15 6 11 2" xfId="18747"/>
    <cellStyle name="Header2 2 15 6 11 3" xfId="29915"/>
    <cellStyle name="Header2 2 15 6 11 4" xfId="41080"/>
    <cellStyle name="Header2 2 15 6 11 5" xfId="52273"/>
    <cellStyle name="Header2 2 15 6 12" xfId="8184"/>
    <cellStyle name="Header2 2 15 6 12 2" xfId="19381"/>
    <cellStyle name="Header2 2 15 6 12 3" xfId="30549"/>
    <cellStyle name="Header2 2 15 6 12 4" xfId="41714"/>
    <cellStyle name="Header2 2 15 6 12 5" xfId="52907"/>
    <cellStyle name="Header2 2 15 6 13" xfId="9235"/>
    <cellStyle name="Header2 2 15 6 13 2" xfId="20432"/>
    <cellStyle name="Header2 2 15 6 13 3" xfId="31600"/>
    <cellStyle name="Header2 2 15 6 13 4" xfId="42765"/>
    <cellStyle name="Header2 2 15 6 13 5" xfId="53958"/>
    <cellStyle name="Header2 2 15 6 14" xfId="9792"/>
    <cellStyle name="Header2 2 15 6 14 2" xfId="20989"/>
    <cellStyle name="Header2 2 15 6 14 3" xfId="32157"/>
    <cellStyle name="Header2 2 15 6 14 4" xfId="43322"/>
    <cellStyle name="Header2 2 15 6 14 5" xfId="54515"/>
    <cellStyle name="Header2 2 15 6 15" xfId="10900"/>
    <cellStyle name="Header2 2 15 6 15 2" xfId="22097"/>
    <cellStyle name="Header2 2 15 6 15 3" xfId="33265"/>
    <cellStyle name="Header2 2 15 6 15 4" xfId="44430"/>
    <cellStyle name="Header2 2 15 6 15 5" xfId="55623"/>
    <cellStyle name="Header2 2 15 6 16" xfId="11547"/>
    <cellStyle name="Header2 2 15 6 17" xfId="22717"/>
    <cellStyle name="Header2 2 15 6 18" xfId="33884"/>
    <cellStyle name="Header2 2 15 6 19" xfId="45070"/>
    <cellStyle name="Header2 2 15 6 2" xfId="996"/>
    <cellStyle name="Header2 2 15 6 2 2" xfId="12193"/>
    <cellStyle name="Header2 2 15 6 2 3" xfId="23361"/>
    <cellStyle name="Header2 2 15 6 2 4" xfId="34526"/>
    <cellStyle name="Header2 2 15 6 2 5" xfId="45719"/>
    <cellStyle name="Header2 2 15 6 3" xfId="1511"/>
    <cellStyle name="Header2 2 15 6 3 2" xfId="12708"/>
    <cellStyle name="Header2 2 15 6 3 3" xfId="23876"/>
    <cellStyle name="Header2 2 15 6 3 4" xfId="35041"/>
    <cellStyle name="Header2 2 15 6 3 5" xfId="46234"/>
    <cellStyle name="Header2 2 15 6 4" xfId="2697"/>
    <cellStyle name="Header2 2 15 6 4 2" xfId="13894"/>
    <cellStyle name="Header2 2 15 6 4 3" xfId="25062"/>
    <cellStyle name="Header2 2 15 6 4 4" xfId="36227"/>
    <cellStyle name="Header2 2 15 6 4 5" xfId="47420"/>
    <cellStyle name="Header2 2 15 6 5" xfId="3331"/>
    <cellStyle name="Header2 2 15 6 5 2" xfId="14528"/>
    <cellStyle name="Header2 2 15 6 5 3" xfId="25696"/>
    <cellStyle name="Header2 2 15 6 5 4" xfId="36861"/>
    <cellStyle name="Header2 2 15 6 5 5" xfId="48054"/>
    <cellStyle name="Header2 2 15 6 6" xfId="3965"/>
    <cellStyle name="Header2 2 15 6 6 2" xfId="15162"/>
    <cellStyle name="Header2 2 15 6 6 3" xfId="26330"/>
    <cellStyle name="Header2 2 15 6 6 4" xfId="37495"/>
    <cellStyle name="Header2 2 15 6 6 5" xfId="48688"/>
    <cellStyle name="Header2 2 15 6 7" xfId="4598"/>
    <cellStyle name="Header2 2 15 6 7 2" xfId="15795"/>
    <cellStyle name="Header2 2 15 6 7 3" xfId="26963"/>
    <cellStyle name="Header2 2 15 6 7 4" xfId="38128"/>
    <cellStyle name="Header2 2 15 6 7 5" xfId="49321"/>
    <cellStyle name="Header2 2 15 6 8" xfId="5229"/>
    <cellStyle name="Header2 2 15 6 8 2" xfId="16426"/>
    <cellStyle name="Header2 2 15 6 8 3" xfId="27594"/>
    <cellStyle name="Header2 2 15 6 8 4" xfId="38759"/>
    <cellStyle name="Header2 2 15 6 8 5" xfId="49952"/>
    <cellStyle name="Header2 2 15 6 9" xfId="6283"/>
    <cellStyle name="Header2 2 15 6 9 2" xfId="17480"/>
    <cellStyle name="Header2 2 15 6 9 3" xfId="28648"/>
    <cellStyle name="Header2 2 15 6 9 4" xfId="39813"/>
    <cellStyle name="Header2 2 15 6 9 5" xfId="51006"/>
    <cellStyle name="Header2 2 15 7" xfId="427"/>
    <cellStyle name="Header2 2 15 7 10" xfId="6996"/>
    <cellStyle name="Header2 2 15 7 10 2" xfId="18193"/>
    <cellStyle name="Header2 2 15 7 10 3" xfId="29361"/>
    <cellStyle name="Header2 2 15 7 10 4" xfId="40526"/>
    <cellStyle name="Header2 2 15 7 10 5" xfId="51719"/>
    <cellStyle name="Header2 2 15 7 11" xfId="7630"/>
    <cellStyle name="Header2 2 15 7 11 2" xfId="18827"/>
    <cellStyle name="Header2 2 15 7 11 3" xfId="29995"/>
    <cellStyle name="Header2 2 15 7 11 4" xfId="41160"/>
    <cellStyle name="Header2 2 15 7 11 5" xfId="52353"/>
    <cellStyle name="Header2 2 15 7 12" xfId="8264"/>
    <cellStyle name="Header2 2 15 7 12 2" xfId="19461"/>
    <cellStyle name="Header2 2 15 7 12 3" xfId="30629"/>
    <cellStyle name="Header2 2 15 7 12 4" xfId="41794"/>
    <cellStyle name="Header2 2 15 7 12 5" xfId="52987"/>
    <cellStyle name="Header2 2 15 7 13" xfId="9315"/>
    <cellStyle name="Header2 2 15 7 13 2" xfId="20512"/>
    <cellStyle name="Header2 2 15 7 13 3" xfId="31680"/>
    <cellStyle name="Header2 2 15 7 13 4" xfId="42845"/>
    <cellStyle name="Header2 2 15 7 13 5" xfId="54038"/>
    <cellStyle name="Header2 2 15 7 14" xfId="10587"/>
    <cellStyle name="Header2 2 15 7 14 2" xfId="21784"/>
    <cellStyle name="Header2 2 15 7 14 3" xfId="32952"/>
    <cellStyle name="Header2 2 15 7 14 4" xfId="44117"/>
    <cellStyle name="Header2 2 15 7 14 5" xfId="55310"/>
    <cellStyle name="Header2 2 15 7 15" xfId="10980"/>
    <cellStyle name="Header2 2 15 7 15 2" xfId="22177"/>
    <cellStyle name="Header2 2 15 7 15 3" xfId="33345"/>
    <cellStyle name="Header2 2 15 7 15 4" xfId="44510"/>
    <cellStyle name="Header2 2 15 7 15 5" xfId="55703"/>
    <cellStyle name="Header2 2 15 7 16" xfId="11627"/>
    <cellStyle name="Header2 2 15 7 17" xfId="22797"/>
    <cellStyle name="Header2 2 15 7 18" xfId="33964"/>
    <cellStyle name="Header2 2 15 7 19" xfId="45150"/>
    <cellStyle name="Header2 2 15 7 2" xfId="1076"/>
    <cellStyle name="Header2 2 15 7 2 2" xfId="12273"/>
    <cellStyle name="Header2 2 15 7 2 3" xfId="23441"/>
    <cellStyle name="Header2 2 15 7 2 4" xfId="34606"/>
    <cellStyle name="Header2 2 15 7 2 5" xfId="45799"/>
    <cellStyle name="Header2 2 15 7 3" xfId="1727"/>
    <cellStyle name="Header2 2 15 7 3 2" xfId="12924"/>
    <cellStyle name="Header2 2 15 7 3 3" xfId="24092"/>
    <cellStyle name="Header2 2 15 7 3 4" xfId="35257"/>
    <cellStyle name="Header2 2 15 7 3 5" xfId="46450"/>
    <cellStyle name="Header2 2 15 7 4" xfId="2777"/>
    <cellStyle name="Header2 2 15 7 4 2" xfId="13974"/>
    <cellStyle name="Header2 2 15 7 4 3" xfId="25142"/>
    <cellStyle name="Header2 2 15 7 4 4" xfId="36307"/>
    <cellStyle name="Header2 2 15 7 4 5" xfId="47500"/>
    <cellStyle name="Header2 2 15 7 5" xfId="3411"/>
    <cellStyle name="Header2 2 15 7 5 2" xfId="14608"/>
    <cellStyle name="Header2 2 15 7 5 3" xfId="25776"/>
    <cellStyle name="Header2 2 15 7 5 4" xfId="36941"/>
    <cellStyle name="Header2 2 15 7 5 5" xfId="48134"/>
    <cellStyle name="Header2 2 15 7 6" xfId="4045"/>
    <cellStyle name="Header2 2 15 7 6 2" xfId="15242"/>
    <cellStyle name="Header2 2 15 7 6 3" xfId="26410"/>
    <cellStyle name="Header2 2 15 7 6 4" xfId="37575"/>
    <cellStyle name="Header2 2 15 7 6 5" xfId="48768"/>
    <cellStyle name="Header2 2 15 7 7" xfId="4678"/>
    <cellStyle name="Header2 2 15 7 7 2" xfId="15875"/>
    <cellStyle name="Header2 2 15 7 7 3" xfId="27043"/>
    <cellStyle name="Header2 2 15 7 7 4" xfId="38208"/>
    <cellStyle name="Header2 2 15 7 7 5" xfId="49401"/>
    <cellStyle name="Header2 2 15 7 8" xfId="5309"/>
    <cellStyle name="Header2 2 15 7 8 2" xfId="16506"/>
    <cellStyle name="Header2 2 15 7 8 3" xfId="27674"/>
    <cellStyle name="Header2 2 15 7 8 4" xfId="38839"/>
    <cellStyle name="Header2 2 15 7 8 5" xfId="50032"/>
    <cellStyle name="Header2 2 15 7 9" xfId="6363"/>
    <cellStyle name="Header2 2 15 7 9 2" xfId="17560"/>
    <cellStyle name="Header2 2 15 7 9 3" xfId="28728"/>
    <cellStyle name="Header2 2 15 7 9 4" xfId="39893"/>
    <cellStyle name="Header2 2 15 7 9 5" xfId="51086"/>
    <cellStyle name="Header2 2 15 8" xfId="508"/>
    <cellStyle name="Header2 2 15 8 10" xfId="7077"/>
    <cellStyle name="Header2 2 15 8 10 2" xfId="18274"/>
    <cellStyle name="Header2 2 15 8 10 3" xfId="29442"/>
    <cellStyle name="Header2 2 15 8 10 4" xfId="40607"/>
    <cellStyle name="Header2 2 15 8 10 5" xfId="51800"/>
    <cellStyle name="Header2 2 15 8 11" xfId="7711"/>
    <cellStyle name="Header2 2 15 8 11 2" xfId="18908"/>
    <cellStyle name="Header2 2 15 8 11 3" xfId="30076"/>
    <cellStyle name="Header2 2 15 8 11 4" xfId="41241"/>
    <cellStyle name="Header2 2 15 8 11 5" xfId="52434"/>
    <cellStyle name="Header2 2 15 8 12" xfId="8345"/>
    <cellStyle name="Header2 2 15 8 12 2" xfId="19542"/>
    <cellStyle name="Header2 2 15 8 12 3" xfId="30710"/>
    <cellStyle name="Header2 2 15 8 12 4" xfId="41875"/>
    <cellStyle name="Header2 2 15 8 12 5" xfId="53068"/>
    <cellStyle name="Header2 2 15 8 13" xfId="9396"/>
    <cellStyle name="Header2 2 15 8 13 2" xfId="20593"/>
    <cellStyle name="Header2 2 15 8 13 3" xfId="31761"/>
    <cellStyle name="Header2 2 15 8 13 4" xfId="42926"/>
    <cellStyle name="Header2 2 15 8 13 5" xfId="54119"/>
    <cellStyle name="Header2 2 15 8 14" xfId="9944"/>
    <cellStyle name="Header2 2 15 8 14 2" xfId="21141"/>
    <cellStyle name="Header2 2 15 8 14 3" xfId="32309"/>
    <cellStyle name="Header2 2 15 8 14 4" xfId="43474"/>
    <cellStyle name="Header2 2 15 8 14 5" xfId="54667"/>
    <cellStyle name="Header2 2 15 8 15" xfId="11061"/>
    <cellStyle name="Header2 2 15 8 15 2" xfId="22258"/>
    <cellStyle name="Header2 2 15 8 15 3" xfId="33426"/>
    <cellStyle name="Header2 2 15 8 15 4" xfId="44591"/>
    <cellStyle name="Header2 2 15 8 15 5" xfId="55784"/>
    <cellStyle name="Header2 2 15 8 16" xfId="11708"/>
    <cellStyle name="Header2 2 15 8 17" xfId="22878"/>
    <cellStyle name="Header2 2 15 8 18" xfId="34045"/>
    <cellStyle name="Header2 2 15 8 19" xfId="45231"/>
    <cellStyle name="Header2 2 15 8 2" xfId="1157"/>
    <cellStyle name="Header2 2 15 8 2 2" xfId="12354"/>
    <cellStyle name="Header2 2 15 8 2 3" xfId="23522"/>
    <cellStyle name="Header2 2 15 8 2 4" xfId="34687"/>
    <cellStyle name="Header2 2 15 8 2 5" xfId="45880"/>
    <cellStyle name="Header2 2 15 8 3" xfId="1955"/>
    <cellStyle name="Header2 2 15 8 3 2" xfId="13152"/>
    <cellStyle name="Header2 2 15 8 3 3" xfId="24320"/>
    <cellStyle name="Header2 2 15 8 3 4" xfId="35485"/>
    <cellStyle name="Header2 2 15 8 3 5" xfId="46678"/>
    <cellStyle name="Header2 2 15 8 4" xfId="2858"/>
    <cellStyle name="Header2 2 15 8 4 2" xfId="14055"/>
    <cellStyle name="Header2 2 15 8 4 3" xfId="25223"/>
    <cellStyle name="Header2 2 15 8 4 4" xfId="36388"/>
    <cellStyle name="Header2 2 15 8 4 5" xfId="47581"/>
    <cellStyle name="Header2 2 15 8 5" xfId="3492"/>
    <cellStyle name="Header2 2 15 8 5 2" xfId="14689"/>
    <cellStyle name="Header2 2 15 8 5 3" xfId="25857"/>
    <cellStyle name="Header2 2 15 8 5 4" xfId="37022"/>
    <cellStyle name="Header2 2 15 8 5 5" xfId="48215"/>
    <cellStyle name="Header2 2 15 8 6" xfId="4126"/>
    <cellStyle name="Header2 2 15 8 6 2" xfId="15323"/>
    <cellStyle name="Header2 2 15 8 6 3" xfId="26491"/>
    <cellStyle name="Header2 2 15 8 6 4" xfId="37656"/>
    <cellStyle name="Header2 2 15 8 6 5" xfId="48849"/>
    <cellStyle name="Header2 2 15 8 7" xfId="4759"/>
    <cellStyle name="Header2 2 15 8 7 2" xfId="15956"/>
    <cellStyle name="Header2 2 15 8 7 3" xfId="27124"/>
    <cellStyle name="Header2 2 15 8 7 4" xfId="38289"/>
    <cellStyle name="Header2 2 15 8 7 5" xfId="49482"/>
    <cellStyle name="Header2 2 15 8 8" xfId="5390"/>
    <cellStyle name="Header2 2 15 8 8 2" xfId="16587"/>
    <cellStyle name="Header2 2 15 8 8 3" xfId="27755"/>
    <cellStyle name="Header2 2 15 8 8 4" xfId="38920"/>
    <cellStyle name="Header2 2 15 8 8 5" xfId="50113"/>
    <cellStyle name="Header2 2 15 8 9" xfId="6444"/>
    <cellStyle name="Header2 2 15 8 9 2" xfId="17641"/>
    <cellStyle name="Header2 2 15 8 9 3" xfId="28809"/>
    <cellStyle name="Header2 2 15 8 9 4" xfId="39974"/>
    <cellStyle name="Header2 2 15 8 9 5" xfId="51167"/>
    <cellStyle name="Header2 2 15 9" xfId="566"/>
    <cellStyle name="Header2 2 15 9 10" xfId="7135"/>
    <cellStyle name="Header2 2 15 9 10 2" xfId="18332"/>
    <cellStyle name="Header2 2 15 9 10 3" xfId="29500"/>
    <cellStyle name="Header2 2 15 9 10 4" xfId="40665"/>
    <cellStyle name="Header2 2 15 9 10 5" xfId="51858"/>
    <cellStyle name="Header2 2 15 9 11" xfId="7769"/>
    <cellStyle name="Header2 2 15 9 11 2" xfId="18966"/>
    <cellStyle name="Header2 2 15 9 11 3" xfId="30134"/>
    <cellStyle name="Header2 2 15 9 11 4" xfId="41299"/>
    <cellStyle name="Header2 2 15 9 11 5" xfId="52492"/>
    <cellStyle name="Header2 2 15 9 12" xfId="8403"/>
    <cellStyle name="Header2 2 15 9 12 2" xfId="19600"/>
    <cellStyle name="Header2 2 15 9 12 3" xfId="30768"/>
    <cellStyle name="Header2 2 15 9 12 4" xfId="41933"/>
    <cellStyle name="Header2 2 15 9 12 5" xfId="53126"/>
    <cellStyle name="Header2 2 15 9 13" xfId="9454"/>
    <cellStyle name="Header2 2 15 9 13 2" xfId="20651"/>
    <cellStyle name="Header2 2 15 9 13 3" xfId="31819"/>
    <cellStyle name="Header2 2 15 9 13 4" xfId="42984"/>
    <cellStyle name="Header2 2 15 9 13 5" xfId="54177"/>
    <cellStyle name="Header2 2 15 9 14" xfId="10449"/>
    <cellStyle name="Header2 2 15 9 14 2" xfId="21646"/>
    <cellStyle name="Header2 2 15 9 14 3" xfId="32814"/>
    <cellStyle name="Header2 2 15 9 14 4" xfId="43979"/>
    <cellStyle name="Header2 2 15 9 14 5" xfId="55172"/>
    <cellStyle name="Header2 2 15 9 15" xfId="11119"/>
    <cellStyle name="Header2 2 15 9 15 2" xfId="22316"/>
    <cellStyle name="Header2 2 15 9 15 3" xfId="33484"/>
    <cellStyle name="Header2 2 15 9 15 4" xfId="44649"/>
    <cellStyle name="Header2 2 15 9 15 5" xfId="55842"/>
    <cellStyle name="Header2 2 15 9 16" xfId="11766"/>
    <cellStyle name="Header2 2 15 9 17" xfId="22936"/>
    <cellStyle name="Header2 2 15 9 18" xfId="34103"/>
    <cellStyle name="Header2 2 15 9 19" xfId="45289"/>
    <cellStyle name="Header2 2 15 9 2" xfId="1215"/>
    <cellStyle name="Header2 2 15 9 2 2" xfId="12412"/>
    <cellStyle name="Header2 2 15 9 2 3" xfId="23580"/>
    <cellStyle name="Header2 2 15 9 2 4" xfId="34745"/>
    <cellStyle name="Header2 2 15 9 2 5" xfId="45938"/>
    <cellStyle name="Header2 2 15 9 3" xfId="1745"/>
    <cellStyle name="Header2 2 15 9 3 2" xfId="12942"/>
    <cellStyle name="Header2 2 15 9 3 3" xfId="24110"/>
    <cellStyle name="Header2 2 15 9 3 4" xfId="35275"/>
    <cellStyle name="Header2 2 15 9 3 5" xfId="46468"/>
    <cellStyle name="Header2 2 15 9 4" xfId="2916"/>
    <cellStyle name="Header2 2 15 9 4 2" xfId="14113"/>
    <cellStyle name="Header2 2 15 9 4 3" xfId="25281"/>
    <cellStyle name="Header2 2 15 9 4 4" xfId="36446"/>
    <cellStyle name="Header2 2 15 9 4 5" xfId="47639"/>
    <cellStyle name="Header2 2 15 9 5" xfId="3550"/>
    <cellStyle name="Header2 2 15 9 5 2" xfId="14747"/>
    <cellStyle name="Header2 2 15 9 5 3" xfId="25915"/>
    <cellStyle name="Header2 2 15 9 5 4" xfId="37080"/>
    <cellStyle name="Header2 2 15 9 5 5" xfId="48273"/>
    <cellStyle name="Header2 2 15 9 6" xfId="4184"/>
    <cellStyle name="Header2 2 15 9 6 2" xfId="15381"/>
    <cellStyle name="Header2 2 15 9 6 3" xfId="26549"/>
    <cellStyle name="Header2 2 15 9 6 4" xfId="37714"/>
    <cellStyle name="Header2 2 15 9 6 5" xfId="48907"/>
    <cellStyle name="Header2 2 15 9 7" xfId="4817"/>
    <cellStyle name="Header2 2 15 9 7 2" xfId="16014"/>
    <cellStyle name="Header2 2 15 9 7 3" xfId="27182"/>
    <cellStyle name="Header2 2 15 9 7 4" xfId="38347"/>
    <cellStyle name="Header2 2 15 9 7 5" xfId="49540"/>
    <cellStyle name="Header2 2 15 9 8" xfId="5448"/>
    <cellStyle name="Header2 2 15 9 8 2" xfId="16645"/>
    <cellStyle name="Header2 2 15 9 8 3" xfId="27813"/>
    <cellStyle name="Header2 2 15 9 8 4" xfId="38978"/>
    <cellStyle name="Header2 2 15 9 8 5" xfId="50171"/>
    <cellStyle name="Header2 2 15 9 9" xfId="6502"/>
    <cellStyle name="Header2 2 15 9 9 2" xfId="17699"/>
    <cellStyle name="Header2 2 15 9 9 3" xfId="28867"/>
    <cellStyle name="Header2 2 15 9 9 4" xfId="40032"/>
    <cellStyle name="Header2 2 15 9 9 5" xfId="51225"/>
    <cellStyle name="Header2 2 16" xfId="102"/>
    <cellStyle name="Header2 2 16 10" xfId="597"/>
    <cellStyle name="Header2 2 16 10 10" xfId="7166"/>
    <cellStyle name="Header2 2 16 10 10 2" xfId="18363"/>
    <cellStyle name="Header2 2 16 10 10 3" xfId="29531"/>
    <cellStyle name="Header2 2 16 10 10 4" xfId="40696"/>
    <cellStyle name="Header2 2 16 10 10 5" xfId="51889"/>
    <cellStyle name="Header2 2 16 10 11" xfId="7800"/>
    <cellStyle name="Header2 2 16 10 11 2" xfId="18997"/>
    <cellStyle name="Header2 2 16 10 11 3" xfId="30165"/>
    <cellStyle name="Header2 2 16 10 11 4" xfId="41330"/>
    <cellStyle name="Header2 2 16 10 11 5" xfId="52523"/>
    <cellStyle name="Header2 2 16 10 12" xfId="8434"/>
    <cellStyle name="Header2 2 16 10 12 2" xfId="19631"/>
    <cellStyle name="Header2 2 16 10 12 3" xfId="30799"/>
    <cellStyle name="Header2 2 16 10 12 4" xfId="41964"/>
    <cellStyle name="Header2 2 16 10 12 5" xfId="53157"/>
    <cellStyle name="Header2 2 16 10 13" xfId="9485"/>
    <cellStyle name="Header2 2 16 10 13 2" xfId="20682"/>
    <cellStyle name="Header2 2 16 10 13 3" xfId="31850"/>
    <cellStyle name="Header2 2 16 10 13 4" xfId="43015"/>
    <cellStyle name="Header2 2 16 10 13 5" xfId="54208"/>
    <cellStyle name="Header2 2 16 10 14" xfId="10141"/>
    <cellStyle name="Header2 2 16 10 14 2" xfId="21338"/>
    <cellStyle name="Header2 2 16 10 14 3" xfId="32506"/>
    <cellStyle name="Header2 2 16 10 14 4" xfId="43671"/>
    <cellStyle name="Header2 2 16 10 14 5" xfId="54864"/>
    <cellStyle name="Header2 2 16 10 15" xfId="11150"/>
    <cellStyle name="Header2 2 16 10 15 2" xfId="22347"/>
    <cellStyle name="Header2 2 16 10 15 3" xfId="33515"/>
    <cellStyle name="Header2 2 16 10 15 4" xfId="44680"/>
    <cellStyle name="Header2 2 16 10 15 5" xfId="55873"/>
    <cellStyle name="Header2 2 16 10 16" xfId="11797"/>
    <cellStyle name="Header2 2 16 10 17" xfId="22967"/>
    <cellStyle name="Header2 2 16 10 18" xfId="34134"/>
    <cellStyle name="Header2 2 16 10 19" xfId="45320"/>
    <cellStyle name="Header2 2 16 10 2" xfId="1246"/>
    <cellStyle name="Header2 2 16 10 2 2" xfId="12443"/>
    <cellStyle name="Header2 2 16 10 2 3" xfId="23611"/>
    <cellStyle name="Header2 2 16 10 2 4" xfId="34776"/>
    <cellStyle name="Header2 2 16 10 2 5" xfId="45969"/>
    <cellStyle name="Header2 2 16 10 3" xfId="1873"/>
    <cellStyle name="Header2 2 16 10 3 2" xfId="13070"/>
    <cellStyle name="Header2 2 16 10 3 3" xfId="24238"/>
    <cellStyle name="Header2 2 16 10 3 4" xfId="35403"/>
    <cellStyle name="Header2 2 16 10 3 5" xfId="46596"/>
    <cellStyle name="Header2 2 16 10 4" xfId="2947"/>
    <cellStyle name="Header2 2 16 10 4 2" xfId="14144"/>
    <cellStyle name="Header2 2 16 10 4 3" xfId="25312"/>
    <cellStyle name="Header2 2 16 10 4 4" xfId="36477"/>
    <cellStyle name="Header2 2 16 10 4 5" xfId="47670"/>
    <cellStyle name="Header2 2 16 10 5" xfId="3581"/>
    <cellStyle name="Header2 2 16 10 5 2" xfId="14778"/>
    <cellStyle name="Header2 2 16 10 5 3" xfId="25946"/>
    <cellStyle name="Header2 2 16 10 5 4" xfId="37111"/>
    <cellStyle name="Header2 2 16 10 5 5" xfId="48304"/>
    <cellStyle name="Header2 2 16 10 6" xfId="4215"/>
    <cellStyle name="Header2 2 16 10 6 2" xfId="15412"/>
    <cellStyle name="Header2 2 16 10 6 3" xfId="26580"/>
    <cellStyle name="Header2 2 16 10 6 4" xfId="37745"/>
    <cellStyle name="Header2 2 16 10 6 5" xfId="48938"/>
    <cellStyle name="Header2 2 16 10 7" xfId="4848"/>
    <cellStyle name="Header2 2 16 10 7 2" xfId="16045"/>
    <cellStyle name="Header2 2 16 10 7 3" xfId="27213"/>
    <cellStyle name="Header2 2 16 10 7 4" xfId="38378"/>
    <cellStyle name="Header2 2 16 10 7 5" xfId="49571"/>
    <cellStyle name="Header2 2 16 10 8" xfId="5479"/>
    <cellStyle name="Header2 2 16 10 8 2" xfId="16676"/>
    <cellStyle name="Header2 2 16 10 8 3" xfId="27844"/>
    <cellStyle name="Header2 2 16 10 8 4" xfId="39009"/>
    <cellStyle name="Header2 2 16 10 8 5" xfId="50202"/>
    <cellStyle name="Header2 2 16 10 9" xfId="6533"/>
    <cellStyle name="Header2 2 16 10 9 2" xfId="17730"/>
    <cellStyle name="Header2 2 16 10 9 3" xfId="28898"/>
    <cellStyle name="Header2 2 16 10 9 4" xfId="40063"/>
    <cellStyle name="Header2 2 16 10 9 5" xfId="51256"/>
    <cellStyle name="Header2 2 16 11" xfId="590"/>
    <cellStyle name="Header2 2 16 11 10" xfId="7159"/>
    <cellStyle name="Header2 2 16 11 10 2" xfId="18356"/>
    <cellStyle name="Header2 2 16 11 10 3" xfId="29524"/>
    <cellStyle name="Header2 2 16 11 10 4" xfId="40689"/>
    <cellStyle name="Header2 2 16 11 10 5" xfId="51882"/>
    <cellStyle name="Header2 2 16 11 11" xfId="7793"/>
    <cellStyle name="Header2 2 16 11 11 2" xfId="18990"/>
    <cellStyle name="Header2 2 16 11 11 3" xfId="30158"/>
    <cellStyle name="Header2 2 16 11 11 4" xfId="41323"/>
    <cellStyle name="Header2 2 16 11 11 5" xfId="52516"/>
    <cellStyle name="Header2 2 16 11 12" xfId="8427"/>
    <cellStyle name="Header2 2 16 11 12 2" xfId="19624"/>
    <cellStyle name="Header2 2 16 11 12 3" xfId="30792"/>
    <cellStyle name="Header2 2 16 11 12 4" xfId="41957"/>
    <cellStyle name="Header2 2 16 11 12 5" xfId="53150"/>
    <cellStyle name="Header2 2 16 11 13" xfId="9478"/>
    <cellStyle name="Header2 2 16 11 13 2" xfId="20675"/>
    <cellStyle name="Header2 2 16 11 13 3" xfId="31843"/>
    <cellStyle name="Header2 2 16 11 13 4" xfId="43008"/>
    <cellStyle name="Header2 2 16 11 13 5" xfId="54201"/>
    <cellStyle name="Header2 2 16 11 14" xfId="10498"/>
    <cellStyle name="Header2 2 16 11 14 2" xfId="21695"/>
    <cellStyle name="Header2 2 16 11 14 3" xfId="32863"/>
    <cellStyle name="Header2 2 16 11 14 4" xfId="44028"/>
    <cellStyle name="Header2 2 16 11 14 5" xfId="55221"/>
    <cellStyle name="Header2 2 16 11 15" xfId="11143"/>
    <cellStyle name="Header2 2 16 11 15 2" xfId="22340"/>
    <cellStyle name="Header2 2 16 11 15 3" xfId="33508"/>
    <cellStyle name="Header2 2 16 11 15 4" xfId="44673"/>
    <cellStyle name="Header2 2 16 11 15 5" xfId="55866"/>
    <cellStyle name="Header2 2 16 11 16" xfId="11790"/>
    <cellStyle name="Header2 2 16 11 17" xfId="22960"/>
    <cellStyle name="Header2 2 16 11 18" xfId="34127"/>
    <cellStyle name="Header2 2 16 11 19" xfId="45313"/>
    <cellStyle name="Header2 2 16 11 2" xfId="1239"/>
    <cellStyle name="Header2 2 16 11 2 2" xfId="12436"/>
    <cellStyle name="Header2 2 16 11 2 3" xfId="23604"/>
    <cellStyle name="Header2 2 16 11 2 4" xfId="34769"/>
    <cellStyle name="Header2 2 16 11 2 5" xfId="45962"/>
    <cellStyle name="Header2 2 16 11 3" xfId="1795"/>
    <cellStyle name="Header2 2 16 11 3 2" xfId="12992"/>
    <cellStyle name="Header2 2 16 11 3 3" xfId="24160"/>
    <cellStyle name="Header2 2 16 11 3 4" xfId="35325"/>
    <cellStyle name="Header2 2 16 11 3 5" xfId="46518"/>
    <cellStyle name="Header2 2 16 11 4" xfId="2940"/>
    <cellStyle name="Header2 2 16 11 4 2" xfId="14137"/>
    <cellStyle name="Header2 2 16 11 4 3" xfId="25305"/>
    <cellStyle name="Header2 2 16 11 4 4" xfId="36470"/>
    <cellStyle name="Header2 2 16 11 4 5" xfId="47663"/>
    <cellStyle name="Header2 2 16 11 5" xfId="3574"/>
    <cellStyle name="Header2 2 16 11 5 2" xfId="14771"/>
    <cellStyle name="Header2 2 16 11 5 3" xfId="25939"/>
    <cellStyle name="Header2 2 16 11 5 4" xfId="37104"/>
    <cellStyle name="Header2 2 16 11 5 5" xfId="48297"/>
    <cellStyle name="Header2 2 16 11 6" xfId="4208"/>
    <cellStyle name="Header2 2 16 11 6 2" xfId="15405"/>
    <cellStyle name="Header2 2 16 11 6 3" xfId="26573"/>
    <cellStyle name="Header2 2 16 11 6 4" xfId="37738"/>
    <cellStyle name="Header2 2 16 11 6 5" xfId="48931"/>
    <cellStyle name="Header2 2 16 11 7" xfId="4841"/>
    <cellStyle name="Header2 2 16 11 7 2" xfId="16038"/>
    <cellStyle name="Header2 2 16 11 7 3" xfId="27206"/>
    <cellStyle name="Header2 2 16 11 7 4" xfId="38371"/>
    <cellStyle name="Header2 2 16 11 7 5" xfId="49564"/>
    <cellStyle name="Header2 2 16 11 8" xfId="5472"/>
    <cellStyle name="Header2 2 16 11 8 2" xfId="16669"/>
    <cellStyle name="Header2 2 16 11 8 3" xfId="27837"/>
    <cellStyle name="Header2 2 16 11 8 4" xfId="39002"/>
    <cellStyle name="Header2 2 16 11 8 5" xfId="50195"/>
    <cellStyle name="Header2 2 16 11 9" xfId="6526"/>
    <cellStyle name="Header2 2 16 11 9 2" xfId="17723"/>
    <cellStyle name="Header2 2 16 11 9 3" xfId="28891"/>
    <cellStyle name="Header2 2 16 11 9 4" xfId="40056"/>
    <cellStyle name="Header2 2 16 11 9 5" xfId="51249"/>
    <cellStyle name="Header2 2 16 12" xfId="751"/>
    <cellStyle name="Header2 2 16 12 2" xfId="11948"/>
    <cellStyle name="Header2 2 16 12 3" xfId="23116"/>
    <cellStyle name="Header2 2 16 12 4" xfId="34281"/>
    <cellStyle name="Header2 2 16 12 5" xfId="45474"/>
    <cellStyle name="Header2 2 16 13" xfId="1615"/>
    <cellStyle name="Header2 2 16 13 2" xfId="12812"/>
    <cellStyle name="Header2 2 16 13 3" xfId="23980"/>
    <cellStyle name="Header2 2 16 13 4" xfId="35145"/>
    <cellStyle name="Header2 2 16 13 5" xfId="46338"/>
    <cellStyle name="Header2 2 16 14" xfId="2162"/>
    <cellStyle name="Header2 2 16 14 2" xfId="13359"/>
    <cellStyle name="Header2 2 16 14 3" xfId="24527"/>
    <cellStyle name="Header2 2 16 14 4" xfId="35692"/>
    <cellStyle name="Header2 2 16 14 5" xfId="46885"/>
    <cellStyle name="Header2 2 16 15" xfId="3086"/>
    <cellStyle name="Header2 2 16 15 2" xfId="14283"/>
    <cellStyle name="Header2 2 16 15 3" xfId="25451"/>
    <cellStyle name="Header2 2 16 15 4" xfId="36616"/>
    <cellStyle name="Header2 2 16 15 5" xfId="47809"/>
    <cellStyle name="Header2 2 16 16" xfId="3720"/>
    <cellStyle name="Header2 2 16 16 2" xfId="14917"/>
    <cellStyle name="Header2 2 16 16 3" xfId="26085"/>
    <cellStyle name="Header2 2 16 16 4" xfId="37250"/>
    <cellStyle name="Header2 2 16 16 5" xfId="48443"/>
    <cellStyle name="Header2 2 16 17" xfId="4353"/>
    <cellStyle name="Header2 2 16 17 2" xfId="15550"/>
    <cellStyle name="Header2 2 16 17 3" xfId="26718"/>
    <cellStyle name="Header2 2 16 17 4" xfId="37883"/>
    <cellStyle name="Header2 2 16 17 5" xfId="49076"/>
    <cellStyle name="Header2 2 16 18" xfId="4984"/>
    <cellStyle name="Header2 2 16 18 2" xfId="16181"/>
    <cellStyle name="Header2 2 16 18 3" xfId="27349"/>
    <cellStyle name="Header2 2 16 18 4" xfId="38514"/>
    <cellStyle name="Header2 2 16 18 5" xfId="49707"/>
    <cellStyle name="Header2 2 16 19" xfId="5625"/>
    <cellStyle name="Header2 2 16 19 2" xfId="16822"/>
    <cellStyle name="Header2 2 16 19 3" xfId="27990"/>
    <cellStyle name="Header2 2 16 19 4" xfId="39155"/>
    <cellStyle name="Header2 2 16 19 5" xfId="50348"/>
    <cellStyle name="Header2 2 16 2" xfId="165"/>
    <cellStyle name="Header2 2 16 2 10" xfId="6734"/>
    <cellStyle name="Header2 2 16 2 10 2" xfId="17931"/>
    <cellStyle name="Header2 2 16 2 10 3" xfId="29099"/>
    <cellStyle name="Header2 2 16 2 10 4" xfId="40264"/>
    <cellStyle name="Header2 2 16 2 10 5" xfId="51457"/>
    <cellStyle name="Header2 2 16 2 11" xfId="7368"/>
    <cellStyle name="Header2 2 16 2 11 2" xfId="18565"/>
    <cellStyle name="Header2 2 16 2 11 3" xfId="29733"/>
    <cellStyle name="Header2 2 16 2 11 4" xfId="40898"/>
    <cellStyle name="Header2 2 16 2 11 5" xfId="52091"/>
    <cellStyle name="Header2 2 16 2 12" xfId="8002"/>
    <cellStyle name="Header2 2 16 2 12 2" xfId="19199"/>
    <cellStyle name="Header2 2 16 2 12 3" xfId="30367"/>
    <cellStyle name="Header2 2 16 2 12 4" xfId="41532"/>
    <cellStyle name="Header2 2 16 2 12 5" xfId="52725"/>
    <cellStyle name="Header2 2 16 2 13" xfId="9093"/>
    <cellStyle name="Header2 2 16 2 13 2" xfId="20290"/>
    <cellStyle name="Header2 2 16 2 13 3" xfId="31458"/>
    <cellStyle name="Header2 2 16 2 13 4" xfId="42623"/>
    <cellStyle name="Header2 2 16 2 13 5" xfId="53816"/>
    <cellStyle name="Header2 2 16 2 14" xfId="10434"/>
    <cellStyle name="Header2 2 16 2 14 2" xfId="21631"/>
    <cellStyle name="Header2 2 16 2 14 3" xfId="32799"/>
    <cellStyle name="Header2 2 16 2 14 4" xfId="43964"/>
    <cellStyle name="Header2 2 16 2 14 5" xfId="55157"/>
    <cellStyle name="Header2 2 16 2 15" xfId="10718"/>
    <cellStyle name="Header2 2 16 2 15 2" xfId="21915"/>
    <cellStyle name="Header2 2 16 2 15 3" xfId="33083"/>
    <cellStyle name="Header2 2 16 2 15 4" xfId="44248"/>
    <cellStyle name="Header2 2 16 2 15 5" xfId="55441"/>
    <cellStyle name="Header2 2 16 2 16" xfId="11365"/>
    <cellStyle name="Header2 2 16 2 17" xfId="22535"/>
    <cellStyle name="Header2 2 16 2 18" xfId="33702"/>
    <cellStyle name="Header2 2 16 2 19" xfId="44888"/>
    <cellStyle name="Header2 2 16 2 2" xfId="814"/>
    <cellStyle name="Header2 2 16 2 2 2" xfId="12011"/>
    <cellStyle name="Header2 2 16 2 2 3" xfId="23179"/>
    <cellStyle name="Header2 2 16 2 2 4" xfId="34344"/>
    <cellStyle name="Header2 2 16 2 2 5" xfId="45537"/>
    <cellStyle name="Header2 2 16 2 3" xfId="1652"/>
    <cellStyle name="Header2 2 16 2 3 2" xfId="12849"/>
    <cellStyle name="Header2 2 16 2 3 3" xfId="24017"/>
    <cellStyle name="Header2 2 16 2 3 4" xfId="35182"/>
    <cellStyle name="Header2 2 16 2 3 5" xfId="46375"/>
    <cellStyle name="Header2 2 16 2 4" xfId="2436"/>
    <cellStyle name="Header2 2 16 2 4 2" xfId="13633"/>
    <cellStyle name="Header2 2 16 2 4 3" xfId="24801"/>
    <cellStyle name="Header2 2 16 2 4 4" xfId="35966"/>
    <cellStyle name="Header2 2 16 2 4 5" xfId="47159"/>
    <cellStyle name="Header2 2 16 2 5" xfId="3149"/>
    <cellStyle name="Header2 2 16 2 5 2" xfId="14346"/>
    <cellStyle name="Header2 2 16 2 5 3" xfId="25514"/>
    <cellStyle name="Header2 2 16 2 5 4" xfId="36679"/>
    <cellStyle name="Header2 2 16 2 5 5" xfId="47872"/>
    <cellStyle name="Header2 2 16 2 6" xfId="3783"/>
    <cellStyle name="Header2 2 16 2 6 2" xfId="14980"/>
    <cellStyle name="Header2 2 16 2 6 3" xfId="26148"/>
    <cellStyle name="Header2 2 16 2 6 4" xfId="37313"/>
    <cellStyle name="Header2 2 16 2 6 5" xfId="48506"/>
    <cellStyle name="Header2 2 16 2 7" xfId="4416"/>
    <cellStyle name="Header2 2 16 2 7 2" xfId="15613"/>
    <cellStyle name="Header2 2 16 2 7 3" xfId="26781"/>
    <cellStyle name="Header2 2 16 2 7 4" xfId="37946"/>
    <cellStyle name="Header2 2 16 2 7 5" xfId="49139"/>
    <cellStyle name="Header2 2 16 2 8" xfId="5047"/>
    <cellStyle name="Header2 2 16 2 8 2" xfId="16244"/>
    <cellStyle name="Header2 2 16 2 8 3" xfId="27412"/>
    <cellStyle name="Header2 2 16 2 8 4" xfId="38577"/>
    <cellStyle name="Header2 2 16 2 8 5" xfId="49770"/>
    <cellStyle name="Header2 2 16 2 9" xfId="5780"/>
    <cellStyle name="Header2 2 16 2 9 2" xfId="16977"/>
    <cellStyle name="Header2 2 16 2 9 3" xfId="28145"/>
    <cellStyle name="Header2 2 16 2 9 4" xfId="39310"/>
    <cellStyle name="Header2 2 16 2 9 5" xfId="50503"/>
    <cellStyle name="Header2 2 16 20" xfId="6671"/>
    <cellStyle name="Header2 2 16 20 2" xfId="17868"/>
    <cellStyle name="Header2 2 16 20 3" xfId="29036"/>
    <cellStyle name="Header2 2 16 20 4" xfId="40201"/>
    <cellStyle name="Header2 2 16 20 5" xfId="51394"/>
    <cellStyle name="Header2 2 16 21" xfId="7305"/>
    <cellStyle name="Header2 2 16 21 2" xfId="18502"/>
    <cellStyle name="Header2 2 16 21 3" xfId="29670"/>
    <cellStyle name="Header2 2 16 21 4" xfId="40835"/>
    <cellStyle name="Header2 2 16 21 5" xfId="52028"/>
    <cellStyle name="Header2 2 16 22" xfId="7939"/>
    <cellStyle name="Header2 2 16 22 2" xfId="19136"/>
    <cellStyle name="Header2 2 16 22 3" xfId="30304"/>
    <cellStyle name="Header2 2 16 22 4" xfId="41469"/>
    <cellStyle name="Header2 2 16 22 5" xfId="52662"/>
    <cellStyle name="Header2 2 16 23" xfId="8755"/>
    <cellStyle name="Header2 2 16 23 2" xfId="19952"/>
    <cellStyle name="Header2 2 16 23 3" xfId="31120"/>
    <cellStyle name="Header2 2 16 23 4" xfId="42285"/>
    <cellStyle name="Header2 2 16 23 5" xfId="53478"/>
    <cellStyle name="Header2 2 16 24" xfId="10303"/>
    <cellStyle name="Header2 2 16 24 2" xfId="21500"/>
    <cellStyle name="Header2 2 16 24 3" xfId="32668"/>
    <cellStyle name="Header2 2 16 24 4" xfId="43833"/>
    <cellStyle name="Header2 2 16 24 5" xfId="55026"/>
    <cellStyle name="Header2 2 16 25" xfId="10655"/>
    <cellStyle name="Header2 2 16 25 2" xfId="21852"/>
    <cellStyle name="Header2 2 16 25 3" xfId="33020"/>
    <cellStyle name="Header2 2 16 25 4" xfId="44185"/>
    <cellStyle name="Header2 2 16 25 5" xfId="55378"/>
    <cellStyle name="Header2 2 16 26" xfId="11302"/>
    <cellStyle name="Header2 2 16 27" xfId="22472"/>
    <cellStyle name="Header2 2 16 28" xfId="33639"/>
    <cellStyle name="Header2 2 16 29" xfId="44825"/>
    <cellStyle name="Header2 2 16 3" xfId="221"/>
    <cellStyle name="Header2 2 16 3 10" xfId="6790"/>
    <cellStyle name="Header2 2 16 3 10 2" xfId="17987"/>
    <cellStyle name="Header2 2 16 3 10 3" xfId="29155"/>
    <cellStyle name="Header2 2 16 3 10 4" xfId="40320"/>
    <cellStyle name="Header2 2 16 3 10 5" xfId="51513"/>
    <cellStyle name="Header2 2 16 3 11" xfId="7424"/>
    <cellStyle name="Header2 2 16 3 11 2" xfId="18621"/>
    <cellStyle name="Header2 2 16 3 11 3" xfId="29789"/>
    <cellStyle name="Header2 2 16 3 11 4" xfId="40954"/>
    <cellStyle name="Header2 2 16 3 11 5" xfId="52147"/>
    <cellStyle name="Header2 2 16 3 12" xfId="8058"/>
    <cellStyle name="Header2 2 16 3 12 2" xfId="19255"/>
    <cellStyle name="Header2 2 16 3 12 3" xfId="30423"/>
    <cellStyle name="Header2 2 16 3 12 4" xfId="41588"/>
    <cellStyle name="Header2 2 16 3 12 5" xfId="52781"/>
    <cellStyle name="Header2 2 16 3 13" xfId="8556"/>
    <cellStyle name="Header2 2 16 3 13 2" xfId="19753"/>
    <cellStyle name="Header2 2 16 3 13 3" xfId="30921"/>
    <cellStyle name="Header2 2 16 3 13 4" xfId="42086"/>
    <cellStyle name="Header2 2 16 3 13 5" xfId="53279"/>
    <cellStyle name="Header2 2 16 3 14" xfId="10260"/>
    <cellStyle name="Header2 2 16 3 14 2" xfId="21457"/>
    <cellStyle name="Header2 2 16 3 14 3" xfId="32625"/>
    <cellStyle name="Header2 2 16 3 14 4" xfId="43790"/>
    <cellStyle name="Header2 2 16 3 14 5" xfId="54983"/>
    <cellStyle name="Header2 2 16 3 15" xfId="10774"/>
    <cellStyle name="Header2 2 16 3 15 2" xfId="21971"/>
    <cellStyle name="Header2 2 16 3 15 3" xfId="33139"/>
    <cellStyle name="Header2 2 16 3 15 4" xfId="44304"/>
    <cellStyle name="Header2 2 16 3 15 5" xfId="55497"/>
    <cellStyle name="Header2 2 16 3 16" xfId="11421"/>
    <cellStyle name="Header2 2 16 3 17" xfId="22591"/>
    <cellStyle name="Header2 2 16 3 18" xfId="33758"/>
    <cellStyle name="Header2 2 16 3 19" xfId="44944"/>
    <cellStyle name="Header2 2 16 3 2" xfId="870"/>
    <cellStyle name="Header2 2 16 3 2 2" xfId="12067"/>
    <cellStyle name="Header2 2 16 3 2 3" xfId="23235"/>
    <cellStyle name="Header2 2 16 3 2 4" xfId="34400"/>
    <cellStyle name="Header2 2 16 3 2 5" xfId="45593"/>
    <cellStyle name="Header2 2 16 3 3" xfId="1658"/>
    <cellStyle name="Header2 2 16 3 3 2" xfId="12855"/>
    <cellStyle name="Header2 2 16 3 3 3" xfId="24023"/>
    <cellStyle name="Header2 2 16 3 3 4" xfId="35188"/>
    <cellStyle name="Header2 2 16 3 3 5" xfId="46381"/>
    <cellStyle name="Header2 2 16 3 4" xfId="2335"/>
    <cellStyle name="Header2 2 16 3 4 2" xfId="13532"/>
    <cellStyle name="Header2 2 16 3 4 3" xfId="24700"/>
    <cellStyle name="Header2 2 16 3 4 4" xfId="35865"/>
    <cellStyle name="Header2 2 16 3 4 5" xfId="47058"/>
    <cellStyle name="Header2 2 16 3 5" xfId="3205"/>
    <cellStyle name="Header2 2 16 3 5 2" xfId="14402"/>
    <cellStyle name="Header2 2 16 3 5 3" xfId="25570"/>
    <cellStyle name="Header2 2 16 3 5 4" xfId="36735"/>
    <cellStyle name="Header2 2 16 3 5 5" xfId="47928"/>
    <cellStyle name="Header2 2 16 3 6" xfId="3839"/>
    <cellStyle name="Header2 2 16 3 6 2" xfId="15036"/>
    <cellStyle name="Header2 2 16 3 6 3" xfId="26204"/>
    <cellStyle name="Header2 2 16 3 6 4" xfId="37369"/>
    <cellStyle name="Header2 2 16 3 6 5" xfId="48562"/>
    <cellStyle name="Header2 2 16 3 7" xfId="4472"/>
    <cellStyle name="Header2 2 16 3 7 2" xfId="15669"/>
    <cellStyle name="Header2 2 16 3 7 3" xfId="26837"/>
    <cellStyle name="Header2 2 16 3 7 4" xfId="38002"/>
    <cellStyle name="Header2 2 16 3 7 5" xfId="49195"/>
    <cellStyle name="Header2 2 16 3 8" xfId="5103"/>
    <cellStyle name="Header2 2 16 3 8 2" xfId="16300"/>
    <cellStyle name="Header2 2 16 3 8 3" xfId="27468"/>
    <cellStyle name="Header2 2 16 3 8 4" xfId="38633"/>
    <cellStyle name="Header2 2 16 3 8 5" xfId="49826"/>
    <cellStyle name="Header2 2 16 3 9" xfId="5984"/>
    <cellStyle name="Header2 2 16 3 9 2" xfId="17181"/>
    <cellStyle name="Header2 2 16 3 9 3" xfId="28349"/>
    <cellStyle name="Header2 2 16 3 9 4" xfId="39514"/>
    <cellStyle name="Header2 2 16 3 9 5" xfId="50707"/>
    <cellStyle name="Header2 2 16 4" xfId="229"/>
    <cellStyle name="Header2 2 16 4 10" xfId="6798"/>
    <cellStyle name="Header2 2 16 4 10 2" xfId="17995"/>
    <cellStyle name="Header2 2 16 4 10 3" xfId="29163"/>
    <cellStyle name="Header2 2 16 4 10 4" xfId="40328"/>
    <cellStyle name="Header2 2 16 4 10 5" xfId="51521"/>
    <cellStyle name="Header2 2 16 4 11" xfId="7432"/>
    <cellStyle name="Header2 2 16 4 11 2" xfId="18629"/>
    <cellStyle name="Header2 2 16 4 11 3" xfId="29797"/>
    <cellStyle name="Header2 2 16 4 11 4" xfId="40962"/>
    <cellStyle name="Header2 2 16 4 11 5" xfId="52155"/>
    <cellStyle name="Header2 2 16 4 12" xfId="8066"/>
    <cellStyle name="Header2 2 16 4 12 2" xfId="19263"/>
    <cellStyle name="Header2 2 16 4 12 3" xfId="30431"/>
    <cellStyle name="Header2 2 16 4 12 4" xfId="41596"/>
    <cellStyle name="Header2 2 16 4 12 5" xfId="52789"/>
    <cellStyle name="Header2 2 16 4 13" xfId="8615"/>
    <cellStyle name="Header2 2 16 4 13 2" xfId="19812"/>
    <cellStyle name="Header2 2 16 4 13 3" xfId="30980"/>
    <cellStyle name="Header2 2 16 4 13 4" xfId="42145"/>
    <cellStyle name="Header2 2 16 4 13 5" xfId="53338"/>
    <cellStyle name="Header2 2 16 4 14" xfId="9992"/>
    <cellStyle name="Header2 2 16 4 14 2" xfId="21189"/>
    <cellStyle name="Header2 2 16 4 14 3" xfId="32357"/>
    <cellStyle name="Header2 2 16 4 14 4" xfId="43522"/>
    <cellStyle name="Header2 2 16 4 14 5" xfId="54715"/>
    <cellStyle name="Header2 2 16 4 15" xfId="10782"/>
    <cellStyle name="Header2 2 16 4 15 2" xfId="21979"/>
    <cellStyle name="Header2 2 16 4 15 3" xfId="33147"/>
    <cellStyle name="Header2 2 16 4 15 4" xfId="44312"/>
    <cellStyle name="Header2 2 16 4 15 5" xfId="55505"/>
    <cellStyle name="Header2 2 16 4 16" xfId="11429"/>
    <cellStyle name="Header2 2 16 4 17" xfId="22599"/>
    <cellStyle name="Header2 2 16 4 18" xfId="33766"/>
    <cellStyle name="Header2 2 16 4 19" xfId="44952"/>
    <cellStyle name="Header2 2 16 4 2" xfId="878"/>
    <cellStyle name="Header2 2 16 4 2 2" xfId="12075"/>
    <cellStyle name="Header2 2 16 4 2 3" xfId="23243"/>
    <cellStyle name="Header2 2 16 4 2 4" xfId="34408"/>
    <cellStyle name="Header2 2 16 4 2 5" xfId="45601"/>
    <cellStyle name="Header2 2 16 4 3" xfId="1338"/>
    <cellStyle name="Header2 2 16 4 3 2" xfId="12535"/>
    <cellStyle name="Header2 2 16 4 3 3" xfId="23703"/>
    <cellStyle name="Header2 2 16 4 3 4" xfId="34868"/>
    <cellStyle name="Header2 2 16 4 3 5" xfId="46061"/>
    <cellStyle name="Header2 2 16 4 4" xfId="2009"/>
    <cellStyle name="Header2 2 16 4 4 2" xfId="13206"/>
    <cellStyle name="Header2 2 16 4 4 3" xfId="24374"/>
    <cellStyle name="Header2 2 16 4 4 4" xfId="35539"/>
    <cellStyle name="Header2 2 16 4 4 5" xfId="46732"/>
    <cellStyle name="Header2 2 16 4 5" xfId="3213"/>
    <cellStyle name="Header2 2 16 4 5 2" xfId="14410"/>
    <cellStyle name="Header2 2 16 4 5 3" xfId="25578"/>
    <cellStyle name="Header2 2 16 4 5 4" xfId="36743"/>
    <cellStyle name="Header2 2 16 4 5 5" xfId="47936"/>
    <cellStyle name="Header2 2 16 4 6" xfId="3847"/>
    <cellStyle name="Header2 2 16 4 6 2" xfId="15044"/>
    <cellStyle name="Header2 2 16 4 6 3" xfId="26212"/>
    <cellStyle name="Header2 2 16 4 6 4" xfId="37377"/>
    <cellStyle name="Header2 2 16 4 6 5" xfId="48570"/>
    <cellStyle name="Header2 2 16 4 7" xfId="4480"/>
    <cellStyle name="Header2 2 16 4 7 2" xfId="15677"/>
    <cellStyle name="Header2 2 16 4 7 3" xfId="26845"/>
    <cellStyle name="Header2 2 16 4 7 4" xfId="38010"/>
    <cellStyle name="Header2 2 16 4 7 5" xfId="49203"/>
    <cellStyle name="Header2 2 16 4 8" xfId="5111"/>
    <cellStyle name="Header2 2 16 4 8 2" xfId="16308"/>
    <cellStyle name="Header2 2 16 4 8 3" xfId="27476"/>
    <cellStyle name="Header2 2 16 4 8 4" xfId="38641"/>
    <cellStyle name="Header2 2 16 4 8 5" xfId="49834"/>
    <cellStyle name="Header2 2 16 4 9" xfId="6047"/>
    <cellStyle name="Header2 2 16 4 9 2" xfId="17244"/>
    <cellStyle name="Header2 2 16 4 9 3" xfId="28412"/>
    <cellStyle name="Header2 2 16 4 9 4" xfId="39577"/>
    <cellStyle name="Header2 2 16 4 9 5" xfId="50770"/>
    <cellStyle name="Header2 2 16 5" xfId="310"/>
    <cellStyle name="Header2 2 16 5 10" xfId="6879"/>
    <cellStyle name="Header2 2 16 5 10 2" xfId="18076"/>
    <cellStyle name="Header2 2 16 5 10 3" xfId="29244"/>
    <cellStyle name="Header2 2 16 5 10 4" xfId="40409"/>
    <cellStyle name="Header2 2 16 5 10 5" xfId="51602"/>
    <cellStyle name="Header2 2 16 5 11" xfId="7513"/>
    <cellStyle name="Header2 2 16 5 11 2" xfId="18710"/>
    <cellStyle name="Header2 2 16 5 11 3" xfId="29878"/>
    <cellStyle name="Header2 2 16 5 11 4" xfId="41043"/>
    <cellStyle name="Header2 2 16 5 11 5" xfId="52236"/>
    <cellStyle name="Header2 2 16 5 12" xfId="8147"/>
    <cellStyle name="Header2 2 16 5 12 2" xfId="19344"/>
    <cellStyle name="Header2 2 16 5 12 3" xfId="30512"/>
    <cellStyle name="Header2 2 16 5 12 4" xfId="41677"/>
    <cellStyle name="Header2 2 16 5 12 5" xfId="52870"/>
    <cellStyle name="Header2 2 16 5 13" xfId="9198"/>
    <cellStyle name="Header2 2 16 5 13 2" xfId="20395"/>
    <cellStyle name="Header2 2 16 5 13 3" xfId="31563"/>
    <cellStyle name="Header2 2 16 5 13 4" xfId="42728"/>
    <cellStyle name="Header2 2 16 5 13 5" xfId="53921"/>
    <cellStyle name="Header2 2 16 5 14" xfId="10181"/>
    <cellStyle name="Header2 2 16 5 14 2" xfId="21378"/>
    <cellStyle name="Header2 2 16 5 14 3" xfId="32546"/>
    <cellStyle name="Header2 2 16 5 14 4" xfId="43711"/>
    <cellStyle name="Header2 2 16 5 14 5" xfId="54904"/>
    <cellStyle name="Header2 2 16 5 15" xfId="10863"/>
    <cellStyle name="Header2 2 16 5 15 2" xfId="22060"/>
    <cellStyle name="Header2 2 16 5 15 3" xfId="33228"/>
    <cellStyle name="Header2 2 16 5 15 4" xfId="44393"/>
    <cellStyle name="Header2 2 16 5 15 5" xfId="55586"/>
    <cellStyle name="Header2 2 16 5 16" xfId="11510"/>
    <cellStyle name="Header2 2 16 5 17" xfId="22680"/>
    <cellStyle name="Header2 2 16 5 18" xfId="33847"/>
    <cellStyle name="Header2 2 16 5 19" xfId="45033"/>
    <cellStyle name="Header2 2 16 5 2" xfId="959"/>
    <cellStyle name="Header2 2 16 5 2 2" xfId="12156"/>
    <cellStyle name="Header2 2 16 5 2 3" xfId="23324"/>
    <cellStyle name="Header2 2 16 5 2 4" xfId="34489"/>
    <cellStyle name="Header2 2 16 5 2 5" xfId="45682"/>
    <cellStyle name="Header2 2 16 5 3" xfId="1713"/>
    <cellStyle name="Header2 2 16 5 3 2" xfId="12910"/>
    <cellStyle name="Header2 2 16 5 3 3" xfId="24078"/>
    <cellStyle name="Header2 2 16 5 3 4" xfId="35243"/>
    <cellStyle name="Header2 2 16 5 3 5" xfId="46436"/>
    <cellStyle name="Header2 2 16 5 4" xfId="2660"/>
    <cellStyle name="Header2 2 16 5 4 2" xfId="13857"/>
    <cellStyle name="Header2 2 16 5 4 3" xfId="25025"/>
    <cellStyle name="Header2 2 16 5 4 4" xfId="36190"/>
    <cellStyle name="Header2 2 16 5 4 5" xfId="47383"/>
    <cellStyle name="Header2 2 16 5 5" xfId="3294"/>
    <cellStyle name="Header2 2 16 5 5 2" xfId="14491"/>
    <cellStyle name="Header2 2 16 5 5 3" xfId="25659"/>
    <cellStyle name="Header2 2 16 5 5 4" xfId="36824"/>
    <cellStyle name="Header2 2 16 5 5 5" xfId="48017"/>
    <cellStyle name="Header2 2 16 5 6" xfId="3928"/>
    <cellStyle name="Header2 2 16 5 6 2" xfId="15125"/>
    <cellStyle name="Header2 2 16 5 6 3" xfId="26293"/>
    <cellStyle name="Header2 2 16 5 6 4" xfId="37458"/>
    <cellStyle name="Header2 2 16 5 6 5" xfId="48651"/>
    <cellStyle name="Header2 2 16 5 7" xfId="4561"/>
    <cellStyle name="Header2 2 16 5 7 2" xfId="15758"/>
    <cellStyle name="Header2 2 16 5 7 3" xfId="26926"/>
    <cellStyle name="Header2 2 16 5 7 4" xfId="38091"/>
    <cellStyle name="Header2 2 16 5 7 5" xfId="49284"/>
    <cellStyle name="Header2 2 16 5 8" xfId="5192"/>
    <cellStyle name="Header2 2 16 5 8 2" xfId="16389"/>
    <cellStyle name="Header2 2 16 5 8 3" xfId="27557"/>
    <cellStyle name="Header2 2 16 5 8 4" xfId="38722"/>
    <cellStyle name="Header2 2 16 5 8 5" xfId="49915"/>
    <cellStyle name="Header2 2 16 5 9" xfId="6246"/>
    <cellStyle name="Header2 2 16 5 9 2" xfId="17443"/>
    <cellStyle name="Header2 2 16 5 9 3" xfId="28611"/>
    <cellStyle name="Header2 2 16 5 9 4" xfId="39776"/>
    <cellStyle name="Header2 2 16 5 9 5" xfId="50969"/>
    <cellStyle name="Header2 2 16 6" xfId="393"/>
    <cellStyle name="Header2 2 16 6 10" xfId="6962"/>
    <cellStyle name="Header2 2 16 6 10 2" xfId="18159"/>
    <cellStyle name="Header2 2 16 6 10 3" xfId="29327"/>
    <cellStyle name="Header2 2 16 6 10 4" xfId="40492"/>
    <cellStyle name="Header2 2 16 6 10 5" xfId="51685"/>
    <cellStyle name="Header2 2 16 6 11" xfId="7596"/>
    <cellStyle name="Header2 2 16 6 11 2" xfId="18793"/>
    <cellStyle name="Header2 2 16 6 11 3" xfId="29961"/>
    <cellStyle name="Header2 2 16 6 11 4" xfId="41126"/>
    <cellStyle name="Header2 2 16 6 11 5" xfId="52319"/>
    <cellStyle name="Header2 2 16 6 12" xfId="8230"/>
    <cellStyle name="Header2 2 16 6 12 2" xfId="19427"/>
    <cellStyle name="Header2 2 16 6 12 3" xfId="30595"/>
    <cellStyle name="Header2 2 16 6 12 4" xfId="41760"/>
    <cellStyle name="Header2 2 16 6 12 5" xfId="52953"/>
    <cellStyle name="Header2 2 16 6 13" xfId="9281"/>
    <cellStyle name="Header2 2 16 6 13 2" xfId="20478"/>
    <cellStyle name="Header2 2 16 6 13 3" xfId="31646"/>
    <cellStyle name="Header2 2 16 6 13 4" xfId="42811"/>
    <cellStyle name="Header2 2 16 6 13 5" xfId="54004"/>
    <cellStyle name="Header2 2 16 6 14" xfId="10028"/>
    <cellStyle name="Header2 2 16 6 14 2" xfId="21225"/>
    <cellStyle name="Header2 2 16 6 14 3" xfId="32393"/>
    <cellStyle name="Header2 2 16 6 14 4" xfId="43558"/>
    <cellStyle name="Header2 2 16 6 14 5" xfId="54751"/>
    <cellStyle name="Header2 2 16 6 15" xfId="10946"/>
    <cellStyle name="Header2 2 16 6 15 2" xfId="22143"/>
    <cellStyle name="Header2 2 16 6 15 3" xfId="33311"/>
    <cellStyle name="Header2 2 16 6 15 4" xfId="44476"/>
    <cellStyle name="Header2 2 16 6 15 5" xfId="55669"/>
    <cellStyle name="Header2 2 16 6 16" xfId="11593"/>
    <cellStyle name="Header2 2 16 6 17" xfId="22763"/>
    <cellStyle name="Header2 2 16 6 18" xfId="33930"/>
    <cellStyle name="Header2 2 16 6 19" xfId="45116"/>
    <cellStyle name="Header2 2 16 6 2" xfId="1042"/>
    <cellStyle name="Header2 2 16 6 2 2" xfId="12239"/>
    <cellStyle name="Header2 2 16 6 2 3" xfId="23407"/>
    <cellStyle name="Header2 2 16 6 2 4" xfId="34572"/>
    <cellStyle name="Header2 2 16 6 2 5" xfId="45765"/>
    <cellStyle name="Header2 2 16 6 3" xfId="1954"/>
    <cellStyle name="Header2 2 16 6 3 2" xfId="13151"/>
    <cellStyle name="Header2 2 16 6 3 3" xfId="24319"/>
    <cellStyle name="Header2 2 16 6 3 4" xfId="35484"/>
    <cellStyle name="Header2 2 16 6 3 5" xfId="46677"/>
    <cellStyle name="Header2 2 16 6 4" xfId="2743"/>
    <cellStyle name="Header2 2 16 6 4 2" xfId="13940"/>
    <cellStyle name="Header2 2 16 6 4 3" xfId="25108"/>
    <cellStyle name="Header2 2 16 6 4 4" xfId="36273"/>
    <cellStyle name="Header2 2 16 6 4 5" xfId="47466"/>
    <cellStyle name="Header2 2 16 6 5" xfId="3377"/>
    <cellStyle name="Header2 2 16 6 5 2" xfId="14574"/>
    <cellStyle name="Header2 2 16 6 5 3" xfId="25742"/>
    <cellStyle name="Header2 2 16 6 5 4" xfId="36907"/>
    <cellStyle name="Header2 2 16 6 5 5" xfId="48100"/>
    <cellStyle name="Header2 2 16 6 6" xfId="4011"/>
    <cellStyle name="Header2 2 16 6 6 2" xfId="15208"/>
    <cellStyle name="Header2 2 16 6 6 3" xfId="26376"/>
    <cellStyle name="Header2 2 16 6 6 4" xfId="37541"/>
    <cellStyle name="Header2 2 16 6 6 5" xfId="48734"/>
    <cellStyle name="Header2 2 16 6 7" xfId="4644"/>
    <cellStyle name="Header2 2 16 6 7 2" xfId="15841"/>
    <cellStyle name="Header2 2 16 6 7 3" xfId="27009"/>
    <cellStyle name="Header2 2 16 6 7 4" xfId="38174"/>
    <cellStyle name="Header2 2 16 6 7 5" xfId="49367"/>
    <cellStyle name="Header2 2 16 6 8" xfId="5275"/>
    <cellStyle name="Header2 2 16 6 8 2" xfId="16472"/>
    <cellStyle name="Header2 2 16 6 8 3" xfId="27640"/>
    <cellStyle name="Header2 2 16 6 8 4" xfId="38805"/>
    <cellStyle name="Header2 2 16 6 8 5" xfId="49998"/>
    <cellStyle name="Header2 2 16 6 9" xfId="6329"/>
    <cellStyle name="Header2 2 16 6 9 2" xfId="17526"/>
    <cellStyle name="Header2 2 16 6 9 3" xfId="28694"/>
    <cellStyle name="Header2 2 16 6 9 4" xfId="39859"/>
    <cellStyle name="Header2 2 16 6 9 5" xfId="51052"/>
    <cellStyle name="Header2 2 16 7" xfId="387"/>
    <cellStyle name="Header2 2 16 7 10" xfId="6956"/>
    <cellStyle name="Header2 2 16 7 10 2" xfId="18153"/>
    <cellStyle name="Header2 2 16 7 10 3" xfId="29321"/>
    <cellStyle name="Header2 2 16 7 10 4" xfId="40486"/>
    <cellStyle name="Header2 2 16 7 10 5" xfId="51679"/>
    <cellStyle name="Header2 2 16 7 11" xfId="7590"/>
    <cellStyle name="Header2 2 16 7 11 2" xfId="18787"/>
    <cellStyle name="Header2 2 16 7 11 3" xfId="29955"/>
    <cellStyle name="Header2 2 16 7 11 4" xfId="41120"/>
    <cellStyle name="Header2 2 16 7 11 5" xfId="52313"/>
    <cellStyle name="Header2 2 16 7 12" xfId="8224"/>
    <cellStyle name="Header2 2 16 7 12 2" xfId="19421"/>
    <cellStyle name="Header2 2 16 7 12 3" xfId="30589"/>
    <cellStyle name="Header2 2 16 7 12 4" xfId="41754"/>
    <cellStyle name="Header2 2 16 7 12 5" xfId="52947"/>
    <cellStyle name="Header2 2 16 7 13" xfId="9275"/>
    <cellStyle name="Header2 2 16 7 13 2" xfId="20472"/>
    <cellStyle name="Header2 2 16 7 13 3" xfId="31640"/>
    <cellStyle name="Header2 2 16 7 13 4" xfId="42805"/>
    <cellStyle name="Header2 2 16 7 13 5" xfId="53998"/>
    <cellStyle name="Header2 2 16 7 14" xfId="10433"/>
    <cellStyle name="Header2 2 16 7 14 2" xfId="21630"/>
    <cellStyle name="Header2 2 16 7 14 3" xfId="32798"/>
    <cellStyle name="Header2 2 16 7 14 4" xfId="43963"/>
    <cellStyle name="Header2 2 16 7 14 5" xfId="55156"/>
    <cellStyle name="Header2 2 16 7 15" xfId="10940"/>
    <cellStyle name="Header2 2 16 7 15 2" xfId="22137"/>
    <cellStyle name="Header2 2 16 7 15 3" xfId="33305"/>
    <cellStyle name="Header2 2 16 7 15 4" xfId="44470"/>
    <cellStyle name="Header2 2 16 7 15 5" xfId="55663"/>
    <cellStyle name="Header2 2 16 7 16" xfId="11587"/>
    <cellStyle name="Header2 2 16 7 17" xfId="22757"/>
    <cellStyle name="Header2 2 16 7 18" xfId="33924"/>
    <cellStyle name="Header2 2 16 7 19" xfId="45110"/>
    <cellStyle name="Header2 2 16 7 2" xfId="1036"/>
    <cellStyle name="Header2 2 16 7 2 2" xfId="12233"/>
    <cellStyle name="Header2 2 16 7 2 3" xfId="23401"/>
    <cellStyle name="Header2 2 16 7 2 4" xfId="34566"/>
    <cellStyle name="Header2 2 16 7 2 5" xfId="45759"/>
    <cellStyle name="Header2 2 16 7 3" xfId="1680"/>
    <cellStyle name="Header2 2 16 7 3 2" xfId="12877"/>
    <cellStyle name="Header2 2 16 7 3 3" xfId="24045"/>
    <cellStyle name="Header2 2 16 7 3 4" xfId="35210"/>
    <cellStyle name="Header2 2 16 7 3 5" xfId="46403"/>
    <cellStyle name="Header2 2 16 7 4" xfId="2737"/>
    <cellStyle name="Header2 2 16 7 4 2" xfId="13934"/>
    <cellStyle name="Header2 2 16 7 4 3" xfId="25102"/>
    <cellStyle name="Header2 2 16 7 4 4" xfId="36267"/>
    <cellStyle name="Header2 2 16 7 4 5" xfId="47460"/>
    <cellStyle name="Header2 2 16 7 5" xfId="3371"/>
    <cellStyle name="Header2 2 16 7 5 2" xfId="14568"/>
    <cellStyle name="Header2 2 16 7 5 3" xfId="25736"/>
    <cellStyle name="Header2 2 16 7 5 4" xfId="36901"/>
    <cellStyle name="Header2 2 16 7 5 5" xfId="48094"/>
    <cellStyle name="Header2 2 16 7 6" xfId="4005"/>
    <cellStyle name="Header2 2 16 7 6 2" xfId="15202"/>
    <cellStyle name="Header2 2 16 7 6 3" xfId="26370"/>
    <cellStyle name="Header2 2 16 7 6 4" xfId="37535"/>
    <cellStyle name="Header2 2 16 7 6 5" xfId="48728"/>
    <cellStyle name="Header2 2 16 7 7" xfId="4638"/>
    <cellStyle name="Header2 2 16 7 7 2" xfId="15835"/>
    <cellStyle name="Header2 2 16 7 7 3" xfId="27003"/>
    <cellStyle name="Header2 2 16 7 7 4" xfId="38168"/>
    <cellStyle name="Header2 2 16 7 7 5" xfId="49361"/>
    <cellStyle name="Header2 2 16 7 8" xfId="5269"/>
    <cellStyle name="Header2 2 16 7 8 2" xfId="16466"/>
    <cellStyle name="Header2 2 16 7 8 3" xfId="27634"/>
    <cellStyle name="Header2 2 16 7 8 4" xfId="38799"/>
    <cellStyle name="Header2 2 16 7 8 5" xfId="49992"/>
    <cellStyle name="Header2 2 16 7 9" xfId="6323"/>
    <cellStyle name="Header2 2 16 7 9 2" xfId="17520"/>
    <cellStyle name="Header2 2 16 7 9 3" xfId="28688"/>
    <cellStyle name="Header2 2 16 7 9 4" xfId="39853"/>
    <cellStyle name="Header2 2 16 7 9 5" xfId="51046"/>
    <cellStyle name="Header2 2 16 8" xfId="511"/>
    <cellStyle name="Header2 2 16 8 10" xfId="7080"/>
    <cellStyle name="Header2 2 16 8 10 2" xfId="18277"/>
    <cellStyle name="Header2 2 16 8 10 3" xfId="29445"/>
    <cellStyle name="Header2 2 16 8 10 4" xfId="40610"/>
    <cellStyle name="Header2 2 16 8 10 5" xfId="51803"/>
    <cellStyle name="Header2 2 16 8 11" xfId="7714"/>
    <cellStyle name="Header2 2 16 8 11 2" xfId="18911"/>
    <cellStyle name="Header2 2 16 8 11 3" xfId="30079"/>
    <cellStyle name="Header2 2 16 8 11 4" xfId="41244"/>
    <cellStyle name="Header2 2 16 8 11 5" xfId="52437"/>
    <cellStyle name="Header2 2 16 8 12" xfId="8348"/>
    <cellStyle name="Header2 2 16 8 12 2" xfId="19545"/>
    <cellStyle name="Header2 2 16 8 12 3" xfId="30713"/>
    <cellStyle name="Header2 2 16 8 12 4" xfId="41878"/>
    <cellStyle name="Header2 2 16 8 12 5" xfId="53071"/>
    <cellStyle name="Header2 2 16 8 13" xfId="9399"/>
    <cellStyle name="Header2 2 16 8 13 2" xfId="20596"/>
    <cellStyle name="Header2 2 16 8 13 3" xfId="31764"/>
    <cellStyle name="Header2 2 16 8 13 4" xfId="42929"/>
    <cellStyle name="Header2 2 16 8 13 5" xfId="54122"/>
    <cellStyle name="Header2 2 16 8 14" xfId="9962"/>
    <cellStyle name="Header2 2 16 8 14 2" xfId="21159"/>
    <cellStyle name="Header2 2 16 8 14 3" xfId="32327"/>
    <cellStyle name="Header2 2 16 8 14 4" xfId="43492"/>
    <cellStyle name="Header2 2 16 8 14 5" xfId="54685"/>
    <cellStyle name="Header2 2 16 8 15" xfId="11064"/>
    <cellStyle name="Header2 2 16 8 15 2" xfId="22261"/>
    <cellStyle name="Header2 2 16 8 15 3" xfId="33429"/>
    <cellStyle name="Header2 2 16 8 15 4" xfId="44594"/>
    <cellStyle name="Header2 2 16 8 15 5" xfId="55787"/>
    <cellStyle name="Header2 2 16 8 16" xfId="11711"/>
    <cellStyle name="Header2 2 16 8 17" xfId="22881"/>
    <cellStyle name="Header2 2 16 8 18" xfId="34048"/>
    <cellStyle name="Header2 2 16 8 19" xfId="45234"/>
    <cellStyle name="Header2 2 16 8 2" xfId="1160"/>
    <cellStyle name="Header2 2 16 8 2 2" xfId="12357"/>
    <cellStyle name="Header2 2 16 8 2 3" xfId="23525"/>
    <cellStyle name="Header2 2 16 8 2 4" xfId="34690"/>
    <cellStyle name="Header2 2 16 8 2 5" xfId="45883"/>
    <cellStyle name="Header2 2 16 8 3" xfId="1817"/>
    <cellStyle name="Header2 2 16 8 3 2" xfId="13014"/>
    <cellStyle name="Header2 2 16 8 3 3" xfId="24182"/>
    <cellStyle name="Header2 2 16 8 3 4" xfId="35347"/>
    <cellStyle name="Header2 2 16 8 3 5" xfId="46540"/>
    <cellStyle name="Header2 2 16 8 4" xfId="2861"/>
    <cellStyle name="Header2 2 16 8 4 2" xfId="14058"/>
    <cellStyle name="Header2 2 16 8 4 3" xfId="25226"/>
    <cellStyle name="Header2 2 16 8 4 4" xfId="36391"/>
    <cellStyle name="Header2 2 16 8 4 5" xfId="47584"/>
    <cellStyle name="Header2 2 16 8 5" xfId="3495"/>
    <cellStyle name="Header2 2 16 8 5 2" xfId="14692"/>
    <cellStyle name="Header2 2 16 8 5 3" xfId="25860"/>
    <cellStyle name="Header2 2 16 8 5 4" xfId="37025"/>
    <cellStyle name="Header2 2 16 8 5 5" xfId="48218"/>
    <cellStyle name="Header2 2 16 8 6" xfId="4129"/>
    <cellStyle name="Header2 2 16 8 6 2" xfId="15326"/>
    <cellStyle name="Header2 2 16 8 6 3" xfId="26494"/>
    <cellStyle name="Header2 2 16 8 6 4" xfId="37659"/>
    <cellStyle name="Header2 2 16 8 6 5" xfId="48852"/>
    <cellStyle name="Header2 2 16 8 7" xfId="4762"/>
    <cellStyle name="Header2 2 16 8 7 2" xfId="15959"/>
    <cellStyle name="Header2 2 16 8 7 3" xfId="27127"/>
    <cellStyle name="Header2 2 16 8 7 4" xfId="38292"/>
    <cellStyle name="Header2 2 16 8 7 5" xfId="49485"/>
    <cellStyle name="Header2 2 16 8 8" xfId="5393"/>
    <cellStyle name="Header2 2 16 8 8 2" xfId="16590"/>
    <cellStyle name="Header2 2 16 8 8 3" xfId="27758"/>
    <cellStyle name="Header2 2 16 8 8 4" xfId="38923"/>
    <cellStyle name="Header2 2 16 8 8 5" xfId="50116"/>
    <cellStyle name="Header2 2 16 8 9" xfId="6447"/>
    <cellStyle name="Header2 2 16 8 9 2" xfId="17644"/>
    <cellStyle name="Header2 2 16 8 9 3" xfId="28812"/>
    <cellStyle name="Header2 2 16 8 9 4" xfId="39977"/>
    <cellStyle name="Header2 2 16 8 9 5" xfId="51170"/>
    <cellStyle name="Header2 2 16 9" xfId="569"/>
    <cellStyle name="Header2 2 16 9 10" xfId="7138"/>
    <cellStyle name="Header2 2 16 9 10 2" xfId="18335"/>
    <cellStyle name="Header2 2 16 9 10 3" xfId="29503"/>
    <cellStyle name="Header2 2 16 9 10 4" xfId="40668"/>
    <cellStyle name="Header2 2 16 9 10 5" xfId="51861"/>
    <cellStyle name="Header2 2 16 9 11" xfId="7772"/>
    <cellStyle name="Header2 2 16 9 11 2" xfId="18969"/>
    <cellStyle name="Header2 2 16 9 11 3" xfId="30137"/>
    <cellStyle name="Header2 2 16 9 11 4" xfId="41302"/>
    <cellStyle name="Header2 2 16 9 11 5" xfId="52495"/>
    <cellStyle name="Header2 2 16 9 12" xfId="8406"/>
    <cellStyle name="Header2 2 16 9 12 2" xfId="19603"/>
    <cellStyle name="Header2 2 16 9 12 3" xfId="30771"/>
    <cellStyle name="Header2 2 16 9 12 4" xfId="41936"/>
    <cellStyle name="Header2 2 16 9 12 5" xfId="53129"/>
    <cellStyle name="Header2 2 16 9 13" xfId="9457"/>
    <cellStyle name="Header2 2 16 9 13 2" xfId="20654"/>
    <cellStyle name="Header2 2 16 9 13 3" xfId="31822"/>
    <cellStyle name="Header2 2 16 9 13 4" xfId="42987"/>
    <cellStyle name="Header2 2 16 9 13 5" xfId="54180"/>
    <cellStyle name="Header2 2 16 9 14" xfId="10252"/>
    <cellStyle name="Header2 2 16 9 14 2" xfId="21449"/>
    <cellStyle name="Header2 2 16 9 14 3" xfId="32617"/>
    <cellStyle name="Header2 2 16 9 14 4" xfId="43782"/>
    <cellStyle name="Header2 2 16 9 14 5" xfId="54975"/>
    <cellStyle name="Header2 2 16 9 15" xfId="11122"/>
    <cellStyle name="Header2 2 16 9 15 2" xfId="22319"/>
    <cellStyle name="Header2 2 16 9 15 3" xfId="33487"/>
    <cellStyle name="Header2 2 16 9 15 4" xfId="44652"/>
    <cellStyle name="Header2 2 16 9 15 5" xfId="55845"/>
    <cellStyle name="Header2 2 16 9 16" xfId="11769"/>
    <cellStyle name="Header2 2 16 9 17" xfId="22939"/>
    <cellStyle name="Header2 2 16 9 18" xfId="34106"/>
    <cellStyle name="Header2 2 16 9 19" xfId="45292"/>
    <cellStyle name="Header2 2 16 9 2" xfId="1218"/>
    <cellStyle name="Header2 2 16 9 2 2" xfId="12415"/>
    <cellStyle name="Header2 2 16 9 2 3" xfId="23583"/>
    <cellStyle name="Header2 2 16 9 2 4" xfId="34748"/>
    <cellStyle name="Header2 2 16 9 2 5" xfId="45941"/>
    <cellStyle name="Header2 2 16 9 3" xfId="1629"/>
    <cellStyle name="Header2 2 16 9 3 2" xfId="12826"/>
    <cellStyle name="Header2 2 16 9 3 3" xfId="23994"/>
    <cellStyle name="Header2 2 16 9 3 4" xfId="35159"/>
    <cellStyle name="Header2 2 16 9 3 5" xfId="46352"/>
    <cellStyle name="Header2 2 16 9 4" xfId="2919"/>
    <cellStyle name="Header2 2 16 9 4 2" xfId="14116"/>
    <cellStyle name="Header2 2 16 9 4 3" xfId="25284"/>
    <cellStyle name="Header2 2 16 9 4 4" xfId="36449"/>
    <cellStyle name="Header2 2 16 9 4 5" xfId="47642"/>
    <cellStyle name="Header2 2 16 9 5" xfId="3553"/>
    <cellStyle name="Header2 2 16 9 5 2" xfId="14750"/>
    <cellStyle name="Header2 2 16 9 5 3" xfId="25918"/>
    <cellStyle name="Header2 2 16 9 5 4" xfId="37083"/>
    <cellStyle name="Header2 2 16 9 5 5" xfId="48276"/>
    <cellStyle name="Header2 2 16 9 6" xfId="4187"/>
    <cellStyle name="Header2 2 16 9 6 2" xfId="15384"/>
    <cellStyle name="Header2 2 16 9 6 3" xfId="26552"/>
    <cellStyle name="Header2 2 16 9 6 4" xfId="37717"/>
    <cellStyle name="Header2 2 16 9 6 5" xfId="48910"/>
    <cellStyle name="Header2 2 16 9 7" xfId="4820"/>
    <cellStyle name="Header2 2 16 9 7 2" xfId="16017"/>
    <cellStyle name="Header2 2 16 9 7 3" xfId="27185"/>
    <cellStyle name="Header2 2 16 9 7 4" xfId="38350"/>
    <cellStyle name="Header2 2 16 9 7 5" xfId="49543"/>
    <cellStyle name="Header2 2 16 9 8" xfId="5451"/>
    <cellStyle name="Header2 2 16 9 8 2" xfId="16648"/>
    <cellStyle name="Header2 2 16 9 8 3" xfId="27816"/>
    <cellStyle name="Header2 2 16 9 8 4" xfId="38981"/>
    <cellStyle name="Header2 2 16 9 8 5" xfId="50174"/>
    <cellStyle name="Header2 2 16 9 9" xfId="6505"/>
    <cellStyle name="Header2 2 16 9 9 2" xfId="17702"/>
    <cellStyle name="Header2 2 16 9 9 3" xfId="28870"/>
    <cellStyle name="Header2 2 16 9 9 4" xfId="40035"/>
    <cellStyle name="Header2 2 16 9 9 5" xfId="51228"/>
    <cellStyle name="Header2 2 17" xfId="106"/>
    <cellStyle name="Header2 2 17 10" xfId="628"/>
    <cellStyle name="Header2 2 17 10 10" xfId="7197"/>
    <cellStyle name="Header2 2 17 10 10 2" xfId="18394"/>
    <cellStyle name="Header2 2 17 10 10 3" xfId="29562"/>
    <cellStyle name="Header2 2 17 10 10 4" xfId="40727"/>
    <cellStyle name="Header2 2 17 10 10 5" xfId="51920"/>
    <cellStyle name="Header2 2 17 10 11" xfId="7831"/>
    <cellStyle name="Header2 2 17 10 11 2" xfId="19028"/>
    <cellStyle name="Header2 2 17 10 11 3" xfId="30196"/>
    <cellStyle name="Header2 2 17 10 11 4" xfId="41361"/>
    <cellStyle name="Header2 2 17 10 11 5" xfId="52554"/>
    <cellStyle name="Header2 2 17 10 12" xfId="8465"/>
    <cellStyle name="Header2 2 17 10 12 2" xfId="19662"/>
    <cellStyle name="Header2 2 17 10 12 3" xfId="30830"/>
    <cellStyle name="Header2 2 17 10 12 4" xfId="41995"/>
    <cellStyle name="Header2 2 17 10 12 5" xfId="53188"/>
    <cellStyle name="Header2 2 17 10 13" xfId="9516"/>
    <cellStyle name="Header2 2 17 10 13 2" xfId="20713"/>
    <cellStyle name="Header2 2 17 10 13 3" xfId="31881"/>
    <cellStyle name="Header2 2 17 10 13 4" xfId="43046"/>
    <cellStyle name="Header2 2 17 10 13 5" xfId="54239"/>
    <cellStyle name="Header2 2 17 10 14" xfId="10103"/>
    <cellStyle name="Header2 2 17 10 14 2" xfId="21300"/>
    <cellStyle name="Header2 2 17 10 14 3" xfId="32468"/>
    <cellStyle name="Header2 2 17 10 14 4" xfId="43633"/>
    <cellStyle name="Header2 2 17 10 14 5" xfId="54826"/>
    <cellStyle name="Header2 2 17 10 15" xfId="11181"/>
    <cellStyle name="Header2 2 17 10 15 2" xfId="22378"/>
    <cellStyle name="Header2 2 17 10 15 3" xfId="33546"/>
    <cellStyle name="Header2 2 17 10 15 4" xfId="44711"/>
    <cellStyle name="Header2 2 17 10 15 5" xfId="55904"/>
    <cellStyle name="Header2 2 17 10 16" xfId="11828"/>
    <cellStyle name="Header2 2 17 10 17" xfId="22998"/>
    <cellStyle name="Header2 2 17 10 18" xfId="34165"/>
    <cellStyle name="Header2 2 17 10 19" xfId="45351"/>
    <cellStyle name="Header2 2 17 10 2" xfId="1277"/>
    <cellStyle name="Header2 2 17 10 2 2" xfId="12474"/>
    <cellStyle name="Header2 2 17 10 2 3" xfId="23642"/>
    <cellStyle name="Header2 2 17 10 2 4" xfId="34807"/>
    <cellStyle name="Header2 2 17 10 2 5" xfId="46000"/>
    <cellStyle name="Header2 2 17 10 3" xfId="1500"/>
    <cellStyle name="Header2 2 17 10 3 2" xfId="12697"/>
    <cellStyle name="Header2 2 17 10 3 3" xfId="23865"/>
    <cellStyle name="Header2 2 17 10 3 4" xfId="35030"/>
    <cellStyle name="Header2 2 17 10 3 5" xfId="46223"/>
    <cellStyle name="Header2 2 17 10 4" xfId="2978"/>
    <cellStyle name="Header2 2 17 10 4 2" xfId="14175"/>
    <cellStyle name="Header2 2 17 10 4 3" xfId="25343"/>
    <cellStyle name="Header2 2 17 10 4 4" xfId="36508"/>
    <cellStyle name="Header2 2 17 10 4 5" xfId="47701"/>
    <cellStyle name="Header2 2 17 10 5" xfId="3612"/>
    <cellStyle name="Header2 2 17 10 5 2" xfId="14809"/>
    <cellStyle name="Header2 2 17 10 5 3" xfId="25977"/>
    <cellStyle name="Header2 2 17 10 5 4" xfId="37142"/>
    <cellStyle name="Header2 2 17 10 5 5" xfId="48335"/>
    <cellStyle name="Header2 2 17 10 6" xfId="4246"/>
    <cellStyle name="Header2 2 17 10 6 2" xfId="15443"/>
    <cellStyle name="Header2 2 17 10 6 3" xfId="26611"/>
    <cellStyle name="Header2 2 17 10 6 4" xfId="37776"/>
    <cellStyle name="Header2 2 17 10 6 5" xfId="48969"/>
    <cellStyle name="Header2 2 17 10 7" xfId="4879"/>
    <cellStyle name="Header2 2 17 10 7 2" xfId="16076"/>
    <cellStyle name="Header2 2 17 10 7 3" xfId="27244"/>
    <cellStyle name="Header2 2 17 10 7 4" xfId="38409"/>
    <cellStyle name="Header2 2 17 10 7 5" xfId="49602"/>
    <cellStyle name="Header2 2 17 10 8" xfId="5510"/>
    <cellStyle name="Header2 2 17 10 8 2" xfId="16707"/>
    <cellStyle name="Header2 2 17 10 8 3" xfId="27875"/>
    <cellStyle name="Header2 2 17 10 8 4" xfId="39040"/>
    <cellStyle name="Header2 2 17 10 8 5" xfId="50233"/>
    <cellStyle name="Header2 2 17 10 9" xfId="6564"/>
    <cellStyle name="Header2 2 17 10 9 2" xfId="17761"/>
    <cellStyle name="Header2 2 17 10 9 3" xfId="28929"/>
    <cellStyle name="Header2 2 17 10 9 4" xfId="40094"/>
    <cellStyle name="Header2 2 17 10 9 5" xfId="51287"/>
    <cellStyle name="Header2 2 17 11" xfId="594"/>
    <cellStyle name="Header2 2 17 11 10" xfId="7163"/>
    <cellStyle name="Header2 2 17 11 10 2" xfId="18360"/>
    <cellStyle name="Header2 2 17 11 10 3" xfId="29528"/>
    <cellStyle name="Header2 2 17 11 10 4" xfId="40693"/>
    <cellStyle name="Header2 2 17 11 10 5" xfId="51886"/>
    <cellStyle name="Header2 2 17 11 11" xfId="7797"/>
    <cellStyle name="Header2 2 17 11 11 2" xfId="18994"/>
    <cellStyle name="Header2 2 17 11 11 3" xfId="30162"/>
    <cellStyle name="Header2 2 17 11 11 4" xfId="41327"/>
    <cellStyle name="Header2 2 17 11 11 5" xfId="52520"/>
    <cellStyle name="Header2 2 17 11 12" xfId="8431"/>
    <cellStyle name="Header2 2 17 11 12 2" xfId="19628"/>
    <cellStyle name="Header2 2 17 11 12 3" xfId="30796"/>
    <cellStyle name="Header2 2 17 11 12 4" xfId="41961"/>
    <cellStyle name="Header2 2 17 11 12 5" xfId="53154"/>
    <cellStyle name="Header2 2 17 11 13" xfId="9482"/>
    <cellStyle name="Header2 2 17 11 13 2" xfId="20679"/>
    <cellStyle name="Header2 2 17 11 13 3" xfId="31847"/>
    <cellStyle name="Header2 2 17 11 13 4" xfId="43012"/>
    <cellStyle name="Header2 2 17 11 13 5" xfId="54205"/>
    <cellStyle name="Header2 2 17 11 14" xfId="10244"/>
    <cellStyle name="Header2 2 17 11 14 2" xfId="21441"/>
    <cellStyle name="Header2 2 17 11 14 3" xfId="32609"/>
    <cellStyle name="Header2 2 17 11 14 4" xfId="43774"/>
    <cellStyle name="Header2 2 17 11 14 5" xfId="54967"/>
    <cellStyle name="Header2 2 17 11 15" xfId="11147"/>
    <cellStyle name="Header2 2 17 11 15 2" xfId="22344"/>
    <cellStyle name="Header2 2 17 11 15 3" xfId="33512"/>
    <cellStyle name="Header2 2 17 11 15 4" xfId="44677"/>
    <cellStyle name="Header2 2 17 11 15 5" xfId="55870"/>
    <cellStyle name="Header2 2 17 11 16" xfId="11794"/>
    <cellStyle name="Header2 2 17 11 17" xfId="22964"/>
    <cellStyle name="Header2 2 17 11 18" xfId="34131"/>
    <cellStyle name="Header2 2 17 11 19" xfId="45317"/>
    <cellStyle name="Header2 2 17 11 2" xfId="1243"/>
    <cellStyle name="Header2 2 17 11 2 2" xfId="12440"/>
    <cellStyle name="Header2 2 17 11 2 3" xfId="23608"/>
    <cellStyle name="Header2 2 17 11 2 4" xfId="34773"/>
    <cellStyle name="Header2 2 17 11 2 5" xfId="45966"/>
    <cellStyle name="Header2 2 17 11 3" xfId="1517"/>
    <cellStyle name="Header2 2 17 11 3 2" xfId="12714"/>
    <cellStyle name="Header2 2 17 11 3 3" xfId="23882"/>
    <cellStyle name="Header2 2 17 11 3 4" xfId="35047"/>
    <cellStyle name="Header2 2 17 11 3 5" xfId="46240"/>
    <cellStyle name="Header2 2 17 11 4" xfId="2944"/>
    <cellStyle name="Header2 2 17 11 4 2" xfId="14141"/>
    <cellStyle name="Header2 2 17 11 4 3" xfId="25309"/>
    <cellStyle name="Header2 2 17 11 4 4" xfId="36474"/>
    <cellStyle name="Header2 2 17 11 4 5" xfId="47667"/>
    <cellStyle name="Header2 2 17 11 5" xfId="3578"/>
    <cellStyle name="Header2 2 17 11 5 2" xfId="14775"/>
    <cellStyle name="Header2 2 17 11 5 3" xfId="25943"/>
    <cellStyle name="Header2 2 17 11 5 4" xfId="37108"/>
    <cellStyle name="Header2 2 17 11 5 5" xfId="48301"/>
    <cellStyle name="Header2 2 17 11 6" xfId="4212"/>
    <cellStyle name="Header2 2 17 11 6 2" xfId="15409"/>
    <cellStyle name="Header2 2 17 11 6 3" xfId="26577"/>
    <cellStyle name="Header2 2 17 11 6 4" xfId="37742"/>
    <cellStyle name="Header2 2 17 11 6 5" xfId="48935"/>
    <cellStyle name="Header2 2 17 11 7" xfId="4845"/>
    <cellStyle name="Header2 2 17 11 7 2" xfId="16042"/>
    <cellStyle name="Header2 2 17 11 7 3" xfId="27210"/>
    <cellStyle name="Header2 2 17 11 7 4" xfId="38375"/>
    <cellStyle name="Header2 2 17 11 7 5" xfId="49568"/>
    <cellStyle name="Header2 2 17 11 8" xfId="5476"/>
    <cellStyle name="Header2 2 17 11 8 2" xfId="16673"/>
    <cellStyle name="Header2 2 17 11 8 3" xfId="27841"/>
    <cellStyle name="Header2 2 17 11 8 4" xfId="39006"/>
    <cellStyle name="Header2 2 17 11 8 5" xfId="50199"/>
    <cellStyle name="Header2 2 17 11 9" xfId="6530"/>
    <cellStyle name="Header2 2 17 11 9 2" xfId="17727"/>
    <cellStyle name="Header2 2 17 11 9 3" xfId="28895"/>
    <cellStyle name="Header2 2 17 11 9 4" xfId="40060"/>
    <cellStyle name="Header2 2 17 11 9 5" xfId="51253"/>
    <cellStyle name="Header2 2 17 12" xfId="755"/>
    <cellStyle name="Header2 2 17 12 2" xfId="11952"/>
    <cellStyle name="Header2 2 17 12 3" xfId="23120"/>
    <cellStyle name="Header2 2 17 12 4" xfId="34285"/>
    <cellStyle name="Header2 2 17 12 5" xfId="45478"/>
    <cellStyle name="Header2 2 17 13" xfId="1945"/>
    <cellStyle name="Header2 2 17 13 2" xfId="13142"/>
    <cellStyle name="Header2 2 17 13 3" xfId="24310"/>
    <cellStyle name="Header2 2 17 13 4" xfId="35475"/>
    <cellStyle name="Header2 2 17 13 5" xfId="46668"/>
    <cellStyle name="Header2 2 17 14" xfId="2520"/>
    <cellStyle name="Header2 2 17 14 2" xfId="13717"/>
    <cellStyle name="Header2 2 17 14 3" xfId="24885"/>
    <cellStyle name="Header2 2 17 14 4" xfId="36050"/>
    <cellStyle name="Header2 2 17 14 5" xfId="47243"/>
    <cellStyle name="Header2 2 17 15" xfId="3090"/>
    <cellStyle name="Header2 2 17 15 2" xfId="14287"/>
    <cellStyle name="Header2 2 17 15 3" xfId="25455"/>
    <cellStyle name="Header2 2 17 15 4" xfId="36620"/>
    <cellStyle name="Header2 2 17 15 5" xfId="47813"/>
    <cellStyle name="Header2 2 17 16" xfId="3724"/>
    <cellStyle name="Header2 2 17 16 2" xfId="14921"/>
    <cellStyle name="Header2 2 17 16 3" xfId="26089"/>
    <cellStyle name="Header2 2 17 16 4" xfId="37254"/>
    <cellStyle name="Header2 2 17 16 5" xfId="48447"/>
    <cellStyle name="Header2 2 17 17" xfId="4357"/>
    <cellStyle name="Header2 2 17 17 2" xfId="15554"/>
    <cellStyle name="Header2 2 17 17 3" xfId="26722"/>
    <cellStyle name="Header2 2 17 17 4" xfId="37887"/>
    <cellStyle name="Header2 2 17 17 5" xfId="49080"/>
    <cellStyle name="Header2 2 17 18" xfId="4988"/>
    <cellStyle name="Header2 2 17 18 2" xfId="16185"/>
    <cellStyle name="Header2 2 17 18 3" xfId="27353"/>
    <cellStyle name="Header2 2 17 18 4" xfId="38518"/>
    <cellStyle name="Header2 2 17 18 5" xfId="49711"/>
    <cellStyle name="Header2 2 17 19" xfId="5814"/>
    <cellStyle name="Header2 2 17 19 2" xfId="17011"/>
    <cellStyle name="Header2 2 17 19 3" xfId="28179"/>
    <cellStyle name="Header2 2 17 19 4" xfId="39344"/>
    <cellStyle name="Header2 2 17 19 5" xfId="50537"/>
    <cellStyle name="Header2 2 17 2" xfId="169"/>
    <cellStyle name="Header2 2 17 2 10" xfId="6738"/>
    <cellStyle name="Header2 2 17 2 10 2" xfId="17935"/>
    <cellStyle name="Header2 2 17 2 10 3" xfId="29103"/>
    <cellStyle name="Header2 2 17 2 10 4" xfId="40268"/>
    <cellStyle name="Header2 2 17 2 10 5" xfId="51461"/>
    <cellStyle name="Header2 2 17 2 11" xfId="7372"/>
    <cellStyle name="Header2 2 17 2 11 2" xfId="18569"/>
    <cellStyle name="Header2 2 17 2 11 3" xfId="29737"/>
    <cellStyle name="Header2 2 17 2 11 4" xfId="40902"/>
    <cellStyle name="Header2 2 17 2 11 5" xfId="52095"/>
    <cellStyle name="Header2 2 17 2 12" xfId="8006"/>
    <cellStyle name="Header2 2 17 2 12 2" xfId="19203"/>
    <cellStyle name="Header2 2 17 2 12 3" xfId="30371"/>
    <cellStyle name="Header2 2 17 2 12 4" xfId="41536"/>
    <cellStyle name="Header2 2 17 2 12 5" xfId="52729"/>
    <cellStyle name="Header2 2 17 2 13" xfId="8852"/>
    <cellStyle name="Header2 2 17 2 13 2" xfId="20049"/>
    <cellStyle name="Header2 2 17 2 13 3" xfId="31217"/>
    <cellStyle name="Header2 2 17 2 13 4" xfId="42382"/>
    <cellStyle name="Header2 2 17 2 13 5" xfId="53575"/>
    <cellStyle name="Header2 2 17 2 14" xfId="10200"/>
    <cellStyle name="Header2 2 17 2 14 2" xfId="21397"/>
    <cellStyle name="Header2 2 17 2 14 3" xfId="32565"/>
    <cellStyle name="Header2 2 17 2 14 4" xfId="43730"/>
    <cellStyle name="Header2 2 17 2 14 5" xfId="54923"/>
    <cellStyle name="Header2 2 17 2 15" xfId="10722"/>
    <cellStyle name="Header2 2 17 2 15 2" xfId="21919"/>
    <cellStyle name="Header2 2 17 2 15 3" xfId="33087"/>
    <cellStyle name="Header2 2 17 2 15 4" xfId="44252"/>
    <cellStyle name="Header2 2 17 2 15 5" xfId="55445"/>
    <cellStyle name="Header2 2 17 2 16" xfId="11369"/>
    <cellStyle name="Header2 2 17 2 17" xfId="22539"/>
    <cellStyle name="Header2 2 17 2 18" xfId="33706"/>
    <cellStyle name="Header2 2 17 2 19" xfId="44892"/>
    <cellStyle name="Header2 2 17 2 2" xfId="818"/>
    <cellStyle name="Header2 2 17 2 2 2" xfId="12015"/>
    <cellStyle name="Header2 2 17 2 2 3" xfId="23183"/>
    <cellStyle name="Header2 2 17 2 2 4" xfId="34348"/>
    <cellStyle name="Header2 2 17 2 2 5" xfId="45541"/>
    <cellStyle name="Header2 2 17 2 3" xfId="1502"/>
    <cellStyle name="Header2 2 17 2 3 2" xfId="12699"/>
    <cellStyle name="Header2 2 17 2 3 3" xfId="23867"/>
    <cellStyle name="Header2 2 17 2 3 4" xfId="35032"/>
    <cellStyle name="Header2 2 17 2 3 5" xfId="46225"/>
    <cellStyle name="Header2 2 17 2 4" xfId="2155"/>
    <cellStyle name="Header2 2 17 2 4 2" xfId="13352"/>
    <cellStyle name="Header2 2 17 2 4 3" xfId="24520"/>
    <cellStyle name="Header2 2 17 2 4 4" xfId="35685"/>
    <cellStyle name="Header2 2 17 2 4 5" xfId="46878"/>
    <cellStyle name="Header2 2 17 2 5" xfId="3153"/>
    <cellStyle name="Header2 2 17 2 5 2" xfId="14350"/>
    <cellStyle name="Header2 2 17 2 5 3" xfId="25518"/>
    <cellStyle name="Header2 2 17 2 5 4" xfId="36683"/>
    <cellStyle name="Header2 2 17 2 5 5" xfId="47876"/>
    <cellStyle name="Header2 2 17 2 6" xfId="3787"/>
    <cellStyle name="Header2 2 17 2 6 2" xfId="14984"/>
    <cellStyle name="Header2 2 17 2 6 3" xfId="26152"/>
    <cellStyle name="Header2 2 17 2 6 4" xfId="37317"/>
    <cellStyle name="Header2 2 17 2 6 5" xfId="48510"/>
    <cellStyle name="Header2 2 17 2 7" xfId="4420"/>
    <cellStyle name="Header2 2 17 2 7 2" xfId="15617"/>
    <cellStyle name="Header2 2 17 2 7 3" xfId="26785"/>
    <cellStyle name="Header2 2 17 2 7 4" xfId="37950"/>
    <cellStyle name="Header2 2 17 2 7 5" xfId="49143"/>
    <cellStyle name="Header2 2 17 2 8" xfId="5051"/>
    <cellStyle name="Header2 2 17 2 8 2" xfId="16248"/>
    <cellStyle name="Header2 2 17 2 8 3" xfId="27416"/>
    <cellStyle name="Header2 2 17 2 8 4" xfId="38581"/>
    <cellStyle name="Header2 2 17 2 8 5" xfId="49774"/>
    <cellStyle name="Header2 2 17 2 9" xfId="6089"/>
    <cellStyle name="Header2 2 17 2 9 2" xfId="17286"/>
    <cellStyle name="Header2 2 17 2 9 3" xfId="28454"/>
    <cellStyle name="Header2 2 17 2 9 4" xfId="39619"/>
    <cellStyle name="Header2 2 17 2 9 5" xfId="50812"/>
    <cellStyle name="Header2 2 17 20" xfId="6675"/>
    <cellStyle name="Header2 2 17 20 2" xfId="17872"/>
    <cellStyle name="Header2 2 17 20 3" xfId="29040"/>
    <cellStyle name="Header2 2 17 20 4" xfId="40205"/>
    <cellStyle name="Header2 2 17 20 5" xfId="51398"/>
    <cellStyle name="Header2 2 17 21" xfId="7309"/>
    <cellStyle name="Header2 2 17 21 2" xfId="18506"/>
    <cellStyle name="Header2 2 17 21 3" xfId="29674"/>
    <cellStyle name="Header2 2 17 21 4" xfId="40839"/>
    <cellStyle name="Header2 2 17 21 5" xfId="52032"/>
    <cellStyle name="Header2 2 17 22" xfId="7943"/>
    <cellStyle name="Header2 2 17 22 2" xfId="19140"/>
    <cellStyle name="Header2 2 17 22 3" xfId="30308"/>
    <cellStyle name="Header2 2 17 22 4" xfId="41473"/>
    <cellStyle name="Header2 2 17 22 5" xfId="52666"/>
    <cellStyle name="Header2 2 17 23" xfId="8652"/>
    <cellStyle name="Header2 2 17 23 2" xfId="19849"/>
    <cellStyle name="Header2 2 17 23 3" xfId="31017"/>
    <cellStyle name="Header2 2 17 23 4" xfId="42182"/>
    <cellStyle name="Header2 2 17 23 5" xfId="53375"/>
    <cellStyle name="Header2 2 17 24" xfId="10096"/>
    <cellStyle name="Header2 2 17 24 2" xfId="21293"/>
    <cellStyle name="Header2 2 17 24 3" xfId="32461"/>
    <cellStyle name="Header2 2 17 24 4" xfId="43626"/>
    <cellStyle name="Header2 2 17 24 5" xfId="54819"/>
    <cellStyle name="Header2 2 17 25" xfId="10659"/>
    <cellStyle name="Header2 2 17 25 2" xfId="21856"/>
    <cellStyle name="Header2 2 17 25 3" xfId="33024"/>
    <cellStyle name="Header2 2 17 25 4" xfId="44189"/>
    <cellStyle name="Header2 2 17 25 5" xfId="55382"/>
    <cellStyle name="Header2 2 17 26" xfId="11306"/>
    <cellStyle name="Header2 2 17 27" xfId="22476"/>
    <cellStyle name="Header2 2 17 28" xfId="33643"/>
    <cellStyle name="Header2 2 17 29" xfId="44829"/>
    <cellStyle name="Header2 2 17 3" xfId="225"/>
    <cellStyle name="Header2 2 17 3 10" xfId="6794"/>
    <cellStyle name="Header2 2 17 3 10 2" xfId="17991"/>
    <cellStyle name="Header2 2 17 3 10 3" xfId="29159"/>
    <cellStyle name="Header2 2 17 3 10 4" xfId="40324"/>
    <cellStyle name="Header2 2 17 3 10 5" xfId="51517"/>
    <cellStyle name="Header2 2 17 3 11" xfId="7428"/>
    <cellStyle name="Header2 2 17 3 11 2" xfId="18625"/>
    <cellStyle name="Header2 2 17 3 11 3" xfId="29793"/>
    <cellStyle name="Header2 2 17 3 11 4" xfId="40958"/>
    <cellStyle name="Header2 2 17 3 11 5" xfId="52151"/>
    <cellStyle name="Header2 2 17 3 12" xfId="8062"/>
    <cellStyle name="Header2 2 17 3 12 2" xfId="19259"/>
    <cellStyle name="Header2 2 17 3 12 3" xfId="30427"/>
    <cellStyle name="Header2 2 17 3 12 4" xfId="41592"/>
    <cellStyle name="Header2 2 17 3 12 5" xfId="52785"/>
    <cellStyle name="Header2 2 17 3 13" xfId="8783"/>
    <cellStyle name="Header2 2 17 3 13 2" xfId="19980"/>
    <cellStyle name="Header2 2 17 3 13 3" xfId="31148"/>
    <cellStyle name="Header2 2 17 3 13 4" xfId="42313"/>
    <cellStyle name="Header2 2 17 3 13 5" xfId="53506"/>
    <cellStyle name="Header2 2 17 3 14" xfId="9617"/>
    <cellStyle name="Header2 2 17 3 14 2" xfId="20814"/>
    <cellStyle name="Header2 2 17 3 14 3" xfId="31982"/>
    <cellStyle name="Header2 2 17 3 14 4" xfId="43147"/>
    <cellStyle name="Header2 2 17 3 14 5" xfId="54340"/>
    <cellStyle name="Header2 2 17 3 15" xfId="10778"/>
    <cellStyle name="Header2 2 17 3 15 2" xfId="21975"/>
    <cellStyle name="Header2 2 17 3 15 3" xfId="33143"/>
    <cellStyle name="Header2 2 17 3 15 4" xfId="44308"/>
    <cellStyle name="Header2 2 17 3 15 5" xfId="55501"/>
    <cellStyle name="Header2 2 17 3 16" xfId="11425"/>
    <cellStyle name="Header2 2 17 3 17" xfId="22595"/>
    <cellStyle name="Header2 2 17 3 18" xfId="33762"/>
    <cellStyle name="Header2 2 17 3 19" xfId="44948"/>
    <cellStyle name="Header2 2 17 3 2" xfId="874"/>
    <cellStyle name="Header2 2 17 3 2 2" xfId="12071"/>
    <cellStyle name="Header2 2 17 3 2 3" xfId="23239"/>
    <cellStyle name="Header2 2 17 3 2 4" xfId="34404"/>
    <cellStyle name="Header2 2 17 3 2 5" xfId="45597"/>
    <cellStyle name="Header2 2 17 3 3" xfId="1431"/>
    <cellStyle name="Header2 2 17 3 3 2" xfId="12628"/>
    <cellStyle name="Header2 2 17 3 3 3" xfId="23796"/>
    <cellStyle name="Header2 2 17 3 3 4" xfId="34961"/>
    <cellStyle name="Header2 2 17 3 3 5" xfId="46154"/>
    <cellStyle name="Header2 2 17 3 4" xfId="2129"/>
    <cellStyle name="Header2 2 17 3 4 2" xfId="13326"/>
    <cellStyle name="Header2 2 17 3 4 3" xfId="24494"/>
    <cellStyle name="Header2 2 17 3 4 4" xfId="35659"/>
    <cellStyle name="Header2 2 17 3 4 5" xfId="46852"/>
    <cellStyle name="Header2 2 17 3 5" xfId="3209"/>
    <cellStyle name="Header2 2 17 3 5 2" xfId="14406"/>
    <cellStyle name="Header2 2 17 3 5 3" xfId="25574"/>
    <cellStyle name="Header2 2 17 3 5 4" xfId="36739"/>
    <cellStyle name="Header2 2 17 3 5 5" xfId="47932"/>
    <cellStyle name="Header2 2 17 3 6" xfId="3843"/>
    <cellStyle name="Header2 2 17 3 6 2" xfId="15040"/>
    <cellStyle name="Header2 2 17 3 6 3" xfId="26208"/>
    <cellStyle name="Header2 2 17 3 6 4" xfId="37373"/>
    <cellStyle name="Header2 2 17 3 6 5" xfId="48566"/>
    <cellStyle name="Header2 2 17 3 7" xfId="4476"/>
    <cellStyle name="Header2 2 17 3 7 2" xfId="15673"/>
    <cellStyle name="Header2 2 17 3 7 3" xfId="26841"/>
    <cellStyle name="Header2 2 17 3 7 4" xfId="38006"/>
    <cellStyle name="Header2 2 17 3 7 5" xfId="49199"/>
    <cellStyle name="Header2 2 17 3 8" xfId="5107"/>
    <cellStyle name="Header2 2 17 3 8 2" xfId="16304"/>
    <cellStyle name="Header2 2 17 3 8 3" xfId="27472"/>
    <cellStyle name="Header2 2 17 3 8 4" xfId="38637"/>
    <cellStyle name="Header2 2 17 3 8 5" xfId="49830"/>
    <cellStyle name="Header2 2 17 3 9" xfId="6113"/>
    <cellStyle name="Header2 2 17 3 9 2" xfId="17310"/>
    <cellStyle name="Header2 2 17 3 9 3" xfId="28478"/>
    <cellStyle name="Header2 2 17 3 9 4" xfId="39643"/>
    <cellStyle name="Header2 2 17 3 9 5" xfId="50836"/>
    <cellStyle name="Header2 2 17 4" xfId="285"/>
    <cellStyle name="Header2 2 17 4 10" xfId="6854"/>
    <cellStyle name="Header2 2 17 4 10 2" xfId="18051"/>
    <cellStyle name="Header2 2 17 4 10 3" xfId="29219"/>
    <cellStyle name="Header2 2 17 4 10 4" xfId="40384"/>
    <cellStyle name="Header2 2 17 4 10 5" xfId="51577"/>
    <cellStyle name="Header2 2 17 4 11" xfId="7488"/>
    <cellStyle name="Header2 2 17 4 11 2" xfId="18685"/>
    <cellStyle name="Header2 2 17 4 11 3" xfId="29853"/>
    <cellStyle name="Header2 2 17 4 11 4" xfId="41018"/>
    <cellStyle name="Header2 2 17 4 11 5" xfId="52211"/>
    <cellStyle name="Header2 2 17 4 12" xfId="8122"/>
    <cellStyle name="Header2 2 17 4 12 2" xfId="19319"/>
    <cellStyle name="Header2 2 17 4 12 3" xfId="30487"/>
    <cellStyle name="Header2 2 17 4 12 4" xfId="41652"/>
    <cellStyle name="Header2 2 17 4 12 5" xfId="52845"/>
    <cellStyle name="Header2 2 17 4 13" xfId="9173"/>
    <cellStyle name="Header2 2 17 4 13 2" xfId="20370"/>
    <cellStyle name="Header2 2 17 4 13 3" xfId="31538"/>
    <cellStyle name="Header2 2 17 4 13 4" xfId="42703"/>
    <cellStyle name="Header2 2 17 4 13 5" xfId="53896"/>
    <cellStyle name="Header2 2 17 4 14" xfId="9783"/>
    <cellStyle name="Header2 2 17 4 14 2" xfId="20980"/>
    <cellStyle name="Header2 2 17 4 14 3" xfId="32148"/>
    <cellStyle name="Header2 2 17 4 14 4" xfId="43313"/>
    <cellStyle name="Header2 2 17 4 14 5" xfId="54506"/>
    <cellStyle name="Header2 2 17 4 15" xfId="10838"/>
    <cellStyle name="Header2 2 17 4 15 2" xfId="22035"/>
    <cellStyle name="Header2 2 17 4 15 3" xfId="33203"/>
    <cellStyle name="Header2 2 17 4 15 4" xfId="44368"/>
    <cellStyle name="Header2 2 17 4 15 5" xfId="55561"/>
    <cellStyle name="Header2 2 17 4 16" xfId="11485"/>
    <cellStyle name="Header2 2 17 4 17" xfId="22655"/>
    <cellStyle name="Header2 2 17 4 18" xfId="33822"/>
    <cellStyle name="Header2 2 17 4 19" xfId="45008"/>
    <cellStyle name="Header2 2 17 4 2" xfId="934"/>
    <cellStyle name="Header2 2 17 4 2 2" xfId="12131"/>
    <cellStyle name="Header2 2 17 4 2 3" xfId="23299"/>
    <cellStyle name="Header2 2 17 4 2 4" xfId="34464"/>
    <cellStyle name="Header2 2 17 4 2 5" xfId="45657"/>
    <cellStyle name="Header2 2 17 4 3" xfId="1808"/>
    <cellStyle name="Header2 2 17 4 3 2" xfId="13005"/>
    <cellStyle name="Header2 2 17 4 3 3" xfId="24173"/>
    <cellStyle name="Header2 2 17 4 3 4" xfId="35338"/>
    <cellStyle name="Header2 2 17 4 3 5" xfId="46531"/>
    <cellStyle name="Header2 2 17 4 4" xfId="2635"/>
    <cellStyle name="Header2 2 17 4 4 2" xfId="13832"/>
    <cellStyle name="Header2 2 17 4 4 3" xfId="25000"/>
    <cellStyle name="Header2 2 17 4 4 4" xfId="36165"/>
    <cellStyle name="Header2 2 17 4 4 5" xfId="47358"/>
    <cellStyle name="Header2 2 17 4 5" xfId="3269"/>
    <cellStyle name="Header2 2 17 4 5 2" xfId="14466"/>
    <cellStyle name="Header2 2 17 4 5 3" xfId="25634"/>
    <cellStyle name="Header2 2 17 4 5 4" xfId="36799"/>
    <cellStyle name="Header2 2 17 4 5 5" xfId="47992"/>
    <cellStyle name="Header2 2 17 4 6" xfId="3903"/>
    <cellStyle name="Header2 2 17 4 6 2" xfId="15100"/>
    <cellStyle name="Header2 2 17 4 6 3" xfId="26268"/>
    <cellStyle name="Header2 2 17 4 6 4" xfId="37433"/>
    <cellStyle name="Header2 2 17 4 6 5" xfId="48626"/>
    <cellStyle name="Header2 2 17 4 7" xfId="4536"/>
    <cellStyle name="Header2 2 17 4 7 2" xfId="15733"/>
    <cellStyle name="Header2 2 17 4 7 3" xfId="26901"/>
    <cellStyle name="Header2 2 17 4 7 4" xfId="38066"/>
    <cellStyle name="Header2 2 17 4 7 5" xfId="49259"/>
    <cellStyle name="Header2 2 17 4 8" xfId="5167"/>
    <cellStyle name="Header2 2 17 4 8 2" xfId="16364"/>
    <cellStyle name="Header2 2 17 4 8 3" xfId="27532"/>
    <cellStyle name="Header2 2 17 4 8 4" xfId="38697"/>
    <cellStyle name="Header2 2 17 4 8 5" xfId="49890"/>
    <cellStyle name="Header2 2 17 4 9" xfId="6221"/>
    <cellStyle name="Header2 2 17 4 9 2" xfId="17418"/>
    <cellStyle name="Header2 2 17 4 9 3" xfId="28586"/>
    <cellStyle name="Header2 2 17 4 9 4" xfId="39751"/>
    <cellStyle name="Header2 2 17 4 9 5" xfId="50944"/>
    <cellStyle name="Header2 2 17 5" xfId="296"/>
    <cellStyle name="Header2 2 17 5 10" xfId="6865"/>
    <cellStyle name="Header2 2 17 5 10 2" xfId="18062"/>
    <cellStyle name="Header2 2 17 5 10 3" xfId="29230"/>
    <cellStyle name="Header2 2 17 5 10 4" xfId="40395"/>
    <cellStyle name="Header2 2 17 5 10 5" xfId="51588"/>
    <cellStyle name="Header2 2 17 5 11" xfId="7499"/>
    <cellStyle name="Header2 2 17 5 11 2" xfId="18696"/>
    <cellStyle name="Header2 2 17 5 11 3" xfId="29864"/>
    <cellStyle name="Header2 2 17 5 11 4" xfId="41029"/>
    <cellStyle name="Header2 2 17 5 11 5" xfId="52222"/>
    <cellStyle name="Header2 2 17 5 12" xfId="8133"/>
    <cellStyle name="Header2 2 17 5 12 2" xfId="19330"/>
    <cellStyle name="Header2 2 17 5 12 3" xfId="30498"/>
    <cellStyle name="Header2 2 17 5 12 4" xfId="41663"/>
    <cellStyle name="Header2 2 17 5 12 5" xfId="52856"/>
    <cellStyle name="Header2 2 17 5 13" xfId="9184"/>
    <cellStyle name="Header2 2 17 5 13 2" xfId="20381"/>
    <cellStyle name="Header2 2 17 5 13 3" xfId="31549"/>
    <cellStyle name="Header2 2 17 5 13 4" xfId="42714"/>
    <cellStyle name="Header2 2 17 5 13 5" xfId="53907"/>
    <cellStyle name="Header2 2 17 5 14" xfId="9999"/>
    <cellStyle name="Header2 2 17 5 14 2" xfId="21196"/>
    <cellStyle name="Header2 2 17 5 14 3" xfId="32364"/>
    <cellStyle name="Header2 2 17 5 14 4" xfId="43529"/>
    <cellStyle name="Header2 2 17 5 14 5" xfId="54722"/>
    <cellStyle name="Header2 2 17 5 15" xfId="10849"/>
    <cellStyle name="Header2 2 17 5 15 2" xfId="22046"/>
    <cellStyle name="Header2 2 17 5 15 3" xfId="33214"/>
    <cellStyle name="Header2 2 17 5 15 4" xfId="44379"/>
    <cellStyle name="Header2 2 17 5 15 5" xfId="55572"/>
    <cellStyle name="Header2 2 17 5 16" xfId="11496"/>
    <cellStyle name="Header2 2 17 5 17" xfId="22666"/>
    <cellStyle name="Header2 2 17 5 18" xfId="33833"/>
    <cellStyle name="Header2 2 17 5 19" xfId="45019"/>
    <cellStyle name="Header2 2 17 5 2" xfId="945"/>
    <cellStyle name="Header2 2 17 5 2 2" xfId="12142"/>
    <cellStyle name="Header2 2 17 5 2 3" xfId="23310"/>
    <cellStyle name="Header2 2 17 5 2 4" xfId="34475"/>
    <cellStyle name="Header2 2 17 5 2 5" xfId="45668"/>
    <cellStyle name="Header2 2 17 5 3" xfId="1883"/>
    <cellStyle name="Header2 2 17 5 3 2" xfId="13080"/>
    <cellStyle name="Header2 2 17 5 3 3" xfId="24248"/>
    <cellStyle name="Header2 2 17 5 3 4" xfId="35413"/>
    <cellStyle name="Header2 2 17 5 3 5" xfId="46606"/>
    <cellStyle name="Header2 2 17 5 4" xfId="2646"/>
    <cellStyle name="Header2 2 17 5 4 2" xfId="13843"/>
    <cellStyle name="Header2 2 17 5 4 3" xfId="25011"/>
    <cellStyle name="Header2 2 17 5 4 4" xfId="36176"/>
    <cellStyle name="Header2 2 17 5 4 5" xfId="47369"/>
    <cellStyle name="Header2 2 17 5 5" xfId="3280"/>
    <cellStyle name="Header2 2 17 5 5 2" xfId="14477"/>
    <cellStyle name="Header2 2 17 5 5 3" xfId="25645"/>
    <cellStyle name="Header2 2 17 5 5 4" xfId="36810"/>
    <cellStyle name="Header2 2 17 5 5 5" xfId="48003"/>
    <cellStyle name="Header2 2 17 5 6" xfId="3914"/>
    <cellStyle name="Header2 2 17 5 6 2" xfId="15111"/>
    <cellStyle name="Header2 2 17 5 6 3" xfId="26279"/>
    <cellStyle name="Header2 2 17 5 6 4" xfId="37444"/>
    <cellStyle name="Header2 2 17 5 6 5" xfId="48637"/>
    <cellStyle name="Header2 2 17 5 7" xfId="4547"/>
    <cellStyle name="Header2 2 17 5 7 2" xfId="15744"/>
    <cellStyle name="Header2 2 17 5 7 3" xfId="26912"/>
    <cellStyle name="Header2 2 17 5 7 4" xfId="38077"/>
    <cellStyle name="Header2 2 17 5 7 5" xfId="49270"/>
    <cellStyle name="Header2 2 17 5 8" xfId="5178"/>
    <cellStyle name="Header2 2 17 5 8 2" xfId="16375"/>
    <cellStyle name="Header2 2 17 5 8 3" xfId="27543"/>
    <cellStyle name="Header2 2 17 5 8 4" xfId="38708"/>
    <cellStyle name="Header2 2 17 5 8 5" xfId="49901"/>
    <cellStyle name="Header2 2 17 5 9" xfId="6232"/>
    <cellStyle name="Header2 2 17 5 9 2" xfId="17429"/>
    <cellStyle name="Header2 2 17 5 9 3" xfId="28597"/>
    <cellStyle name="Header2 2 17 5 9 4" xfId="39762"/>
    <cellStyle name="Header2 2 17 5 9 5" xfId="50955"/>
    <cellStyle name="Header2 2 17 6" xfId="403"/>
    <cellStyle name="Header2 2 17 6 10" xfId="6972"/>
    <cellStyle name="Header2 2 17 6 10 2" xfId="18169"/>
    <cellStyle name="Header2 2 17 6 10 3" xfId="29337"/>
    <cellStyle name="Header2 2 17 6 10 4" xfId="40502"/>
    <cellStyle name="Header2 2 17 6 10 5" xfId="51695"/>
    <cellStyle name="Header2 2 17 6 11" xfId="7606"/>
    <cellStyle name="Header2 2 17 6 11 2" xfId="18803"/>
    <cellStyle name="Header2 2 17 6 11 3" xfId="29971"/>
    <cellStyle name="Header2 2 17 6 11 4" xfId="41136"/>
    <cellStyle name="Header2 2 17 6 11 5" xfId="52329"/>
    <cellStyle name="Header2 2 17 6 12" xfId="8240"/>
    <cellStyle name="Header2 2 17 6 12 2" xfId="19437"/>
    <cellStyle name="Header2 2 17 6 12 3" xfId="30605"/>
    <cellStyle name="Header2 2 17 6 12 4" xfId="41770"/>
    <cellStyle name="Header2 2 17 6 12 5" xfId="52963"/>
    <cellStyle name="Header2 2 17 6 13" xfId="9291"/>
    <cellStyle name="Header2 2 17 6 13 2" xfId="20488"/>
    <cellStyle name="Header2 2 17 6 13 3" xfId="31656"/>
    <cellStyle name="Header2 2 17 6 13 4" xfId="42821"/>
    <cellStyle name="Header2 2 17 6 13 5" xfId="54014"/>
    <cellStyle name="Header2 2 17 6 14" xfId="10144"/>
    <cellStyle name="Header2 2 17 6 14 2" xfId="21341"/>
    <cellStyle name="Header2 2 17 6 14 3" xfId="32509"/>
    <cellStyle name="Header2 2 17 6 14 4" xfId="43674"/>
    <cellStyle name="Header2 2 17 6 14 5" xfId="54867"/>
    <cellStyle name="Header2 2 17 6 15" xfId="10956"/>
    <cellStyle name="Header2 2 17 6 15 2" xfId="22153"/>
    <cellStyle name="Header2 2 17 6 15 3" xfId="33321"/>
    <cellStyle name="Header2 2 17 6 15 4" xfId="44486"/>
    <cellStyle name="Header2 2 17 6 15 5" xfId="55679"/>
    <cellStyle name="Header2 2 17 6 16" xfId="11603"/>
    <cellStyle name="Header2 2 17 6 17" xfId="22773"/>
    <cellStyle name="Header2 2 17 6 18" xfId="33940"/>
    <cellStyle name="Header2 2 17 6 19" xfId="45126"/>
    <cellStyle name="Header2 2 17 6 2" xfId="1052"/>
    <cellStyle name="Header2 2 17 6 2 2" xfId="12249"/>
    <cellStyle name="Header2 2 17 6 2 3" xfId="23417"/>
    <cellStyle name="Header2 2 17 6 2 4" xfId="34582"/>
    <cellStyle name="Header2 2 17 6 2 5" xfId="45775"/>
    <cellStyle name="Header2 2 17 6 3" xfId="1440"/>
    <cellStyle name="Header2 2 17 6 3 2" xfId="12637"/>
    <cellStyle name="Header2 2 17 6 3 3" xfId="23805"/>
    <cellStyle name="Header2 2 17 6 3 4" xfId="34970"/>
    <cellStyle name="Header2 2 17 6 3 5" xfId="46163"/>
    <cellStyle name="Header2 2 17 6 4" xfId="2753"/>
    <cellStyle name="Header2 2 17 6 4 2" xfId="13950"/>
    <cellStyle name="Header2 2 17 6 4 3" xfId="25118"/>
    <cellStyle name="Header2 2 17 6 4 4" xfId="36283"/>
    <cellStyle name="Header2 2 17 6 4 5" xfId="47476"/>
    <cellStyle name="Header2 2 17 6 5" xfId="3387"/>
    <cellStyle name="Header2 2 17 6 5 2" xfId="14584"/>
    <cellStyle name="Header2 2 17 6 5 3" xfId="25752"/>
    <cellStyle name="Header2 2 17 6 5 4" xfId="36917"/>
    <cellStyle name="Header2 2 17 6 5 5" xfId="48110"/>
    <cellStyle name="Header2 2 17 6 6" xfId="4021"/>
    <cellStyle name="Header2 2 17 6 6 2" xfId="15218"/>
    <cellStyle name="Header2 2 17 6 6 3" xfId="26386"/>
    <cellStyle name="Header2 2 17 6 6 4" xfId="37551"/>
    <cellStyle name="Header2 2 17 6 6 5" xfId="48744"/>
    <cellStyle name="Header2 2 17 6 7" xfId="4654"/>
    <cellStyle name="Header2 2 17 6 7 2" xfId="15851"/>
    <cellStyle name="Header2 2 17 6 7 3" xfId="27019"/>
    <cellStyle name="Header2 2 17 6 7 4" xfId="38184"/>
    <cellStyle name="Header2 2 17 6 7 5" xfId="49377"/>
    <cellStyle name="Header2 2 17 6 8" xfId="5285"/>
    <cellStyle name="Header2 2 17 6 8 2" xfId="16482"/>
    <cellStyle name="Header2 2 17 6 8 3" xfId="27650"/>
    <cellStyle name="Header2 2 17 6 8 4" xfId="38815"/>
    <cellStyle name="Header2 2 17 6 8 5" xfId="50008"/>
    <cellStyle name="Header2 2 17 6 9" xfId="6339"/>
    <cellStyle name="Header2 2 17 6 9 2" xfId="17536"/>
    <cellStyle name="Header2 2 17 6 9 3" xfId="28704"/>
    <cellStyle name="Header2 2 17 6 9 4" xfId="39869"/>
    <cellStyle name="Header2 2 17 6 9 5" xfId="51062"/>
    <cellStyle name="Header2 2 17 7" xfId="370"/>
    <cellStyle name="Header2 2 17 7 10" xfId="6939"/>
    <cellStyle name="Header2 2 17 7 10 2" xfId="18136"/>
    <cellStyle name="Header2 2 17 7 10 3" xfId="29304"/>
    <cellStyle name="Header2 2 17 7 10 4" xfId="40469"/>
    <cellStyle name="Header2 2 17 7 10 5" xfId="51662"/>
    <cellStyle name="Header2 2 17 7 11" xfId="7573"/>
    <cellStyle name="Header2 2 17 7 11 2" xfId="18770"/>
    <cellStyle name="Header2 2 17 7 11 3" xfId="29938"/>
    <cellStyle name="Header2 2 17 7 11 4" xfId="41103"/>
    <cellStyle name="Header2 2 17 7 11 5" xfId="52296"/>
    <cellStyle name="Header2 2 17 7 12" xfId="8207"/>
    <cellStyle name="Header2 2 17 7 12 2" xfId="19404"/>
    <cellStyle name="Header2 2 17 7 12 3" xfId="30572"/>
    <cellStyle name="Header2 2 17 7 12 4" xfId="41737"/>
    <cellStyle name="Header2 2 17 7 12 5" xfId="52930"/>
    <cellStyle name="Header2 2 17 7 13" xfId="9258"/>
    <cellStyle name="Header2 2 17 7 13 2" xfId="20455"/>
    <cellStyle name="Header2 2 17 7 13 3" xfId="31623"/>
    <cellStyle name="Header2 2 17 7 13 4" xfId="42788"/>
    <cellStyle name="Header2 2 17 7 13 5" xfId="53981"/>
    <cellStyle name="Header2 2 17 7 14" xfId="10157"/>
    <cellStyle name="Header2 2 17 7 14 2" xfId="21354"/>
    <cellStyle name="Header2 2 17 7 14 3" xfId="32522"/>
    <cellStyle name="Header2 2 17 7 14 4" xfId="43687"/>
    <cellStyle name="Header2 2 17 7 14 5" xfId="54880"/>
    <cellStyle name="Header2 2 17 7 15" xfId="10923"/>
    <cellStyle name="Header2 2 17 7 15 2" xfId="22120"/>
    <cellStyle name="Header2 2 17 7 15 3" xfId="33288"/>
    <cellStyle name="Header2 2 17 7 15 4" xfId="44453"/>
    <cellStyle name="Header2 2 17 7 15 5" xfId="55646"/>
    <cellStyle name="Header2 2 17 7 16" xfId="11570"/>
    <cellStyle name="Header2 2 17 7 17" xfId="22740"/>
    <cellStyle name="Header2 2 17 7 18" xfId="33907"/>
    <cellStyle name="Header2 2 17 7 19" xfId="45093"/>
    <cellStyle name="Header2 2 17 7 2" xfId="1019"/>
    <cellStyle name="Header2 2 17 7 2 2" xfId="12216"/>
    <cellStyle name="Header2 2 17 7 2 3" xfId="23384"/>
    <cellStyle name="Header2 2 17 7 2 4" xfId="34549"/>
    <cellStyle name="Header2 2 17 7 2 5" xfId="45742"/>
    <cellStyle name="Header2 2 17 7 3" xfId="1451"/>
    <cellStyle name="Header2 2 17 7 3 2" xfId="12648"/>
    <cellStyle name="Header2 2 17 7 3 3" xfId="23816"/>
    <cellStyle name="Header2 2 17 7 3 4" xfId="34981"/>
    <cellStyle name="Header2 2 17 7 3 5" xfId="46174"/>
    <cellStyle name="Header2 2 17 7 4" xfId="2720"/>
    <cellStyle name="Header2 2 17 7 4 2" xfId="13917"/>
    <cellStyle name="Header2 2 17 7 4 3" xfId="25085"/>
    <cellStyle name="Header2 2 17 7 4 4" xfId="36250"/>
    <cellStyle name="Header2 2 17 7 4 5" xfId="47443"/>
    <cellStyle name="Header2 2 17 7 5" xfId="3354"/>
    <cellStyle name="Header2 2 17 7 5 2" xfId="14551"/>
    <cellStyle name="Header2 2 17 7 5 3" xfId="25719"/>
    <cellStyle name="Header2 2 17 7 5 4" xfId="36884"/>
    <cellStyle name="Header2 2 17 7 5 5" xfId="48077"/>
    <cellStyle name="Header2 2 17 7 6" xfId="3988"/>
    <cellStyle name="Header2 2 17 7 6 2" xfId="15185"/>
    <cellStyle name="Header2 2 17 7 6 3" xfId="26353"/>
    <cellStyle name="Header2 2 17 7 6 4" xfId="37518"/>
    <cellStyle name="Header2 2 17 7 6 5" xfId="48711"/>
    <cellStyle name="Header2 2 17 7 7" xfId="4621"/>
    <cellStyle name="Header2 2 17 7 7 2" xfId="15818"/>
    <cellStyle name="Header2 2 17 7 7 3" xfId="26986"/>
    <cellStyle name="Header2 2 17 7 7 4" xfId="38151"/>
    <cellStyle name="Header2 2 17 7 7 5" xfId="49344"/>
    <cellStyle name="Header2 2 17 7 8" xfId="5252"/>
    <cellStyle name="Header2 2 17 7 8 2" xfId="16449"/>
    <cellStyle name="Header2 2 17 7 8 3" xfId="27617"/>
    <cellStyle name="Header2 2 17 7 8 4" xfId="38782"/>
    <cellStyle name="Header2 2 17 7 8 5" xfId="49975"/>
    <cellStyle name="Header2 2 17 7 9" xfId="6306"/>
    <cellStyle name="Header2 2 17 7 9 2" xfId="17503"/>
    <cellStyle name="Header2 2 17 7 9 3" xfId="28671"/>
    <cellStyle name="Header2 2 17 7 9 4" xfId="39836"/>
    <cellStyle name="Header2 2 17 7 9 5" xfId="51029"/>
    <cellStyle name="Header2 2 17 8" xfId="515"/>
    <cellStyle name="Header2 2 17 8 10" xfId="7084"/>
    <cellStyle name="Header2 2 17 8 10 2" xfId="18281"/>
    <cellStyle name="Header2 2 17 8 10 3" xfId="29449"/>
    <cellStyle name="Header2 2 17 8 10 4" xfId="40614"/>
    <cellStyle name="Header2 2 17 8 10 5" xfId="51807"/>
    <cellStyle name="Header2 2 17 8 11" xfId="7718"/>
    <cellStyle name="Header2 2 17 8 11 2" xfId="18915"/>
    <cellStyle name="Header2 2 17 8 11 3" xfId="30083"/>
    <cellStyle name="Header2 2 17 8 11 4" xfId="41248"/>
    <cellStyle name="Header2 2 17 8 11 5" xfId="52441"/>
    <cellStyle name="Header2 2 17 8 12" xfId="8352"/>
    <cellStyle name="Header2 2 17 8 12 2" xfId="19549"/>
    <cellStyle name="Header2 2 17 8 12 3" xfId="30717"/>
    <cellStyle name="Header2 2 17 8 12 4" xfId="41882"/>
    <cellStyle name="Header2 2 17 8 12 5" xfId="53075"/>
    <cellStyle name="Header2 2 17 8 13" xfId="9403"/>
    <cellStyle name="Header2 2 17 8 13 2" xfId="20600"/>
    <cellStyle name="Header2 2 17 8 13 3" xfId="31768"/>
    <cellStyle name="Header2 2 17 8 13 4" xfId="42933"/>
    <cellStyle name="Header2 2 17 8 13 5" xfId="54126"/>
    <cellStyle name="Header2 2 17 8 14" xfId="10332"/>
    <cellStyle name="Header2 2 17 8 14 2" xfId="21529"/>
    <cellStyle name="Header2 2 17 8 14 3" xfId="32697"/>
    <cellStyle name="Header2 2 17 8 14 4" xfId="43862"/>
    <cellStyle name="Header2 2 17 8 14 5" xfId="55055"/>
    <cellStyle name="Header2 2 17 8 15" xfId="11068"/>
    <cellStyle name="Header2 2 17 8 15 2" xfId="22265"/>
    <cellStyle name="Header2 2 17 8 15 3" xfId="33433"/>
    <cellStyle name="Header2 2 17 8 15 4" xfId="44598"/>
    <cellStyle name="Header2 2 17 8 15 5" xfId="55791"/>
    <cellStyle name="Header2 2 17 8 16" xfId="11715"/>
    <cellStyle name="Header2 2 17 8 17" xfId="22885"/>
    <cellStyle name="Header2 2 17 8 18" xfId="34052"/>
    <cellStyle name="Header2 2 17 8 19" xfId="45238"/>
    <cellStyle name="Header2 2 17 8 2" xfId="1164"/>
    <cellStyle name="Header2 2 17 8 2 2" xfId="12361"/>
    <cellStyle name="Header2 2 17 8 2 3" xfId="23529"/>
    <cellStyle name="Header2 2 17 8 2 4" xfId="34694"/>
    <cellStyle name="Header2 2 17 8 2 5" xfId="45887"/>
    <cellStyle name="Header2 2 17 8 3" xfId="1591"/>
    <cellStyle name="Header2 2 17 8 3 2" xfId="12788"/>
    <cellStyle name="Header2 2 17 8 3 3" xfId="23956"/>
    <cellStyle name="Header2 2 17 8 3 4" xfId="35121"/>
    <cellStyle name="Header2 2 17 8 3 5" xfId="46314"/>
    <cellStyle name="Header2 2 17 8 4" xfId="2865"/>
    <cellStyle name="Header2 2 17 8 4 2" xfId="14062"/>
    <cellStyle name="Header2 2 17 8 4 3" xfId="25230"/>
    <cellStyle name="Header2 2 17 8 4 4" xfId="36395"/>
    <cellStyle name="Header2 2 17 8 4 5" xfId="47588"/>
    <cellStyle name="Header2 2 17 8 5" xfId="3499"/>
    <cellStyle name="Header2 2 17 8 5 2" xfId="14696"/>
    <cellStyle name="Header2 2 17 8 5 3" xfId="25864"/>
    <cellStyle name="Header2 2 17 8 5 4" xfId="37029"/>
    <cellStyle name="Header2 2 17 8 5 5" xfId="48222"/>
    <cellStyle name="Header2 2 17 8 6" xfId="4133"/>
    <cellStyle name="Header2 2 17 8 6 2" xfId="15330"/>
    <cellStyle name="Header2 2 17 8 6 3" xfId="26498"/>
    <cellStyle name="Header2 2 17 8 6 4" xfId="37663"/>
    <cellStyle name="Header2 2 17 8 6 5" xfId="48856"/>
    <cellStyle name="Header2 2 17 8 7" xfId="4766"/>
    <cellStyle name="Header2 2 17 8 7 2" xfId="15963"/>
    <cellStyle name="Header2 2 17 8 7 3" xfId="27131"/>
    <cellStyle name="Header2 2 17 8 7 4" xfId="38296"/>
    <cellStyle name="Header2 2 17 8 7 5" xfId="49489"/>
    <cellStyle name="Header2 2 17 8 8" xfId="5397"/>
    <cellStyle name="Header2 2 17 8 8 2" xfId="16594"/>
    <cellStyle name="Header2 2 17 8 8 3" xfId="27762"/>
    <cellStyle name="Header2 2 17 8 8 4" xfId="38927"/>
    <cellStyle name="Header2 2 17 8 8 5" xfId="50120"/>
    <cellStyle name="Header2 2 17 8 9" xfId="6451"/>
    <cellStyle name="Header2 2 17 8 9 2" xfId="17648"/>
    <cellStyle name="Header2 2 17 8 9 3" xfId="28816"/>
    <cellStyle name="Header2 2 17 8 9 4" xfId="39981"/>
    <cellStyle name="Header2 2 17 8 9 5" xfId="51174"/>
    <cellStyle name="Header2 2 17 9" xfId="573"/>
    <cellStyle name="Header2 2 17 9 10" xfId="7142"/>
    <cellStyle name="Header2 2 17 9 10 2" xfId="18339"/>
    <cellStyle name="Header2 2 17 9 10 3" xfId="29507"/>
    <cellStyle name="Header2 2 17 9 10 4" xfId="40672"/>
    <cellStyle name="Header2 2 17 9 10 5" xfId="51865"/>
    <cellStyle name="Header2 2 17 9 11" xfId="7776"/>
    <cellStyle name="Header2 2 17 9 11 2" xfId="18973"/>
    <cellStyle name="Header2 2 17 9 11 3" xfId="30141"/>
    <cellStyle name="Header2 2 17 9 11 4" xfId="41306"/>
    <cellStyle name="Header2 2 17 9 11 5" xfId="52499"/>
    <cellStyle name="Header2 2 17 9 12" xfId="8410"/>
    <cellStyle name="Header2 2 17 9 12 2" xfId="19607"/>
    <cellStyle name="Header2 2 17 9 12 3" xfId="30775"/>
    <cellStyle name="Header2 2 17 9 12 4" xfId="41940"/>
    <cellStyle name="Header2 2 17 9 12 5" xfId="53133"/>
    <cellStyle name="Header2 2 17 9 13" xfId="9461"/>
    <cellStyle name="Header2 2 17 9 13 2" xfId="20658"/>
    <cellStyle name="Header2 2 17 9 13 3" xfId="31826"/>
    <cellStyle name="Header2 2 17 9 13 4" xfId="42991"/>
    <cellStyle name="Header2 2 17 9 13 5" xfId="54184"/>
    <cellStyle name="Header2 2 17 9 14" xfId="9646"/>
    <cellStyle name="Header2 2 17 9 14 2" xfId="20843"/>
    <cellStyle name="Header2 2 17 9 14 3" xfId="32011"/>
    <cellStyle name="Header2 2 17 9 14 4" xfId="43176"/>
    <cellStyle name="Header2 2 17 9 14 5" xfId="54369"/>
    <cellStyle name="Header2 2 17 9 15" xfId="11126"/>
    <cellStyle name="Header2 2 17 9 15 2" xfId="22323"/>
    <cellStyle name="Header2 2 17 9 15 3" xfId="33491"/>
    <cellStyle name="Header2 2 17 9 15 4" xfId="44656"/>
    <cellStyle name="Header2 2 17 9 15 5" xfId="55849"/>
    <cellStyle name="Header2 2 17 9 16" xfId="11773"/>
    <cellStyle name="Header2 2 17 9 17" xfId="22943"/>
    <cellStyle name="Header2 2 17 9 18" xfId="34110"/>
    <cellStyle name="Header2 2 17 9 19" xfId="45296"/>
    <cellStyle name="Header2 2 17 9 2" xfId="1222"/>
    <cellStyle name="Header2 2 17 9 2 2" xfId="12419"/>
    <cellStyle name="Header2 2 17 9 2 3" xfId="23587"/>
    <cellStyle name="Header2 2 17 9 2 4" xfId="34752"/>
    <cellStyle name="Header2 2 17 9 2 5" xfId="45945"/>
    <cellStyle name="Header2 2 17 9 3" xfId="1953"/>
    <cellStyle name="Header2 2 17 9 3 2" xfId="13150"/>
    <cellStyle name="Header2 2 17 9 3 3" xfId="24318"/>
    <cellStyle name="Header2 2 17 9 3 4" xfId="35483"/>
    <cellStyle name="Header2 2 17 9 3 5" xfId="46676"/>
    <cellStyle name="Header2 2 17 9 4" xfId="2923"/>
    <cellStyle name="Header2 2 17 9 4 2" xfId="14120"/>
    <cellStyle name="Header2 2 17 9 4 3" xfId="25288"/>
    <cellStyle name="Header2 2 17 9 4 4" xfId="36453"/>
    <cellStyle name="Header2 2 17 9 4 5" xfId="47646"/>
    <cellStyle name="Header2 2 17 9 5" xfId="3557"/>
    <cellStyle name="Header2 2 17 9 5 2" xfId="14754"/>
    <cellStyle name="Header2 2 17 9 5 3" xfId="25922"/>
    <cellStyle name="Header2 2 17 9 5 4" xfId="37087"/>
    <cellStyle name="Header2 2 17 9 5 5" xfId="48280"/>
    <cellStyle name="Header2 2 17 9 6" xfId="4191"/>
    <cellStyle name="Header2 2 17 9 6 2" xfId="15388"/>
    <cellStyle name="Header2 2 17 9 6 3" xfId="26556"/>
    <cellStyle name="Header2 2 17 9 6 4" xfId="37721"/>
    <cellStyle name="Header2 2 17 9 6 5" xfId="48914"/>
    <cellStyle name="Header2 2 17 9 7" xfId="4824"/>
    <cellStyle name="Header2 2 17 9 7 2" xfId="16021"/>
    <cellStyle name="Header2 2 17 9 7 3" xfId="27189"/>
    <cellStyle name="Header2 2 17 9 7 4" xfId="38354"/>
    <cellStyle name="Header2 2 17 9 7 5" xfId="49547"/>
    <cellStyle name="Header2 2 17 9 8" xfId="5455"/>
    <cellStyle name="Header2 2 17 9 8 2" xfId="16652"/>
    <cellStyle name="Header2 2 17 9 8 3" xfId="27820"/>
    <cellStyle name="Header2 2 17 9 8 4" xfId="38985"/>
    <cellStyle name="Header2 2 17 9 8 5" xfId="50178"/>
    <cellStyle name="Header2 2 17 9 9" xfId="6509"/>
    <cellStyle name="Header2 2 17 9 9 2" xfId="17706"/>
    <cellStyle name="Header2 2 17 9 9 3" xfId="28874"/>
    <cellStyle name="Header2 2 17 9 9 4" xfId="40039"/>
    <cellStyle name="Header2 2 17 9 9 5" xfId="51232"/>
    <cellStyle name="Header2 2 18" xfId="110"/>
    <cellStyle name="Header2 2 18 10" xfId="6679"/>
    <cellStyle name="Header2 2 18 10 2" xfId="17876"/>
    <cellStyle name="Header2 2 18 10 3" xfId="29044"/>
    <cellStyle name="Header2 2 18 10 4" xfId="40209"/>
    <cellStyle name="Header2 2 18 10 5" xfId="51402"/>
    <cellStyle name="Header2 2 18 11" xfId="7313"/>
    <cellStyle name="Header2 2 18 11 2" xfId="18510"/>
    <cellStyle name="Header2 2 18 11 3" xfId="29678"/>
    <cellStyle name="Header2 2 18 11 4" xfId="40843"/>
    <cellStyle name="Header2 2 18 11 5" xfId="52036"/>
    <cellStyle name="Header2 2 18 12" xfId="7947"/>
    <cellStyle name="Header2 2 18 12 2" xfId="19144"/>
    <cellStyle name="Header2 2 18 12 3" xfId="30312"/>
    <cellStyle name="Header2 2 18 12 4" xfId="41477"/>
    <cellStyle name="Header2 2 18 12 5" xfId="52670"/>
    <cellStyle name="Header2 2 18 13" xfId="8533"/>
    <cellStyle name="Header2 2 18 13 2" xfId="19730"/>
    <cellStyle name="Header2 2 18 13 3" xfId="30898"/>
    <cellStyle name="Header2 2 18 13 4" xfId="42063"/>
    <cellStyle name="Header2 2 18 13 5" xfId="53256"/>
    <cellStyle name="Header2 2 18 14" xfId="10546"/>
    <cellStyle name="Header2 2 18 14 2" xfId="21743"/>
    <cellStyle name="Header2 2 18 14 3" xfId="32911"/>
    <cellStyle name="Header2 2 18 14 4" xfId="44076"/>
    <cellStyle name="Header2 2 18 14 5" xfId="55269"/>
    <cellStyle name="Header2 2 18 15" xfId="10663"/>
    <cellStyle name="Header2 2 18 15 2" xfId="21860"/>
    <cellStyle name="Header2 2 18 15 3" xfId="33028"/>
    <cellStyle name="Header2 2 18 15 4" xfId="44193"/>
    <cellStyle name="Header2 2 18 15 5" xfId="55386"/>
    <cellStyle name="Header2 2 18 16" xfId="11310"/>
    <cellStyle name="Header2 2 18 17" xfId="22480"/>
    <cellStyle name="Header2 2 18 18" xfId="33647"/>
    <cellStyle name="Header2 2 18 19" xfId="44833"/>
    <cellStyle name="Header2 2 18 2" xfId="759"/>
    <cellStyle name="Header2 2 18 2 2" xfId="11956"/>
    <cellStyle name="Header2 2 18 2 3" xfId="23124"/>
    <cellStyle name="Header2 2 18 2 4" xfId="34289"/>
    <cellStyle name="Header2 2 18 2 5" xfId="45482"/>
    <cellStyle name="Header2 2 18 3" xfId="1869"/>
    <cellStyle name="Header2 2 18 3 2" xfId="13066"/>
    <cellStyle name="Header2 2 18 3 3" xfId="24234"/>
    <cellStyle name="Header2 2 18 3 4" xfId="35399"/>
    <cellStyle name="Header2 2 18 3 5" xfId="46592"/>
    <cellStyle name="Header2 2 18 4" xfId="2359"/>
    <cellStyle name="Header2 2 18 4 2" xfId="13556"/>
    <cellStyle name="Header2 2 18 4 3" xfId="24724"/>
    <cellStyle name="Header2 2 18 4 4" xfId="35889"/>
    <cellStyle name="Header2 2 18 4 5" xfId="47082"/>
    <cellStyle name="Header2 2 18 5" xfId="3094"/>
    <cellStyle name="Header2 2 18 5 2" xfId="14291"/>
    <cellStyle name="Header2 2 18 5 3" xfId="25459"/>
    <cellStyle name="Header2 2 18 5 4" xfId="36624"/>
    <cellStyle name="Header2 2 18 5 5" xfId="47817"/>
    <cellStyle name="Header2 2 18 6" xfId="3728"/>
    <cellStyle name="Header2 2 18 6 2" xfId="14925"/>
    <cellStyle name="Header2 2 18 6 3" xfId="26093"/>
    <cellStyle name="Header2 2 18 6 4" xfId="37258"/>
    <cellStyle name="Header2 2 18 6 5" xfId="48451"/>
    <cellStyle name="Header2 2 18 7" xfId="4361"/>
    <cellStyle name="Header2 2 18 7 2" xfId="15558"/>
    <cellStyle name="Header2 2 18 7 3" xfId="26726"/>
    <cellStyle name="Header2 2 18 7 4" xfId="37891"/>
    <cellStyle name="Header2 2 18 7 5" xfId="49084"/>
    <cellStyle name="Header2 2 18 8" xfId="4992"/>
    <cellStyle name="Header2 2 18 8 2" xfId="16189"/>
    <cellStyle name="Header2 2 18 8 3" xfId="27357"/>
    <cellStyle name="Header2 2 18 8 4" xfId="38522"/>
    <cellStyle name="Header2 2 18 8 5" xfId="49715"/>
    <cellStyle name="Header2 2 18 9" xfId="6080"/>
    <cellStyle name="Header2 2 18 9 2" xfId="17277"/>
    <cellStyle name="Header2 2 18 9 3" xfId="28445"/>
    <cellStyle name="Header2 2 18 9 4" xfId="39610"/>
    <cellStyle name="Header2 2 18 9 5" xfId="50803"/>
    <cellStyle name="Header2 2 19" xfId="31"/>
    <cellStyle name="Header2 2 19 10" xfId="6161"/>
    <cellStyle name="Header2 2 19 10 2" xfId="17358"/>
    <cellStyle name="Header2 2 19 10 3" xfId="28526"/>
    <cellStyle name="Header2 2 19 10 4" xfId="39691"/>
    <cellStyle name="Header2 2 19 10 5" xfId="50884"/>
    <cellStyle name="Header2 2 19 11" xfId="6127"/>
    <cellStyle name="Header2 2 19 11 2" xfId="17324"/>
    <cellStyle name="Header2 2 19 11 3" xfId="28492"/>
    <cellStyle name="Header2 2 19 11 4" xfId="39657"/>
    <cellStyle name="Header2 2 19 11 5" xfId="50850"/>
    <cellStyle name="Header2 2 19 12" xfId="5931"/>
    <cellStyle name="Header2 2 19 12 2" xfId="17128"/>
    <cellStyle name="Header2 2 19 12 3" xfId="28296"/>
    <cellStyle name="Header2 2 19 12 4" xfId="39461"/>
    <cellStyle name="Header2 2 19 12 5" xfId="50654"/>
    <cellStyle name="Header2 2 19 13" xfId="7881"/>
    <cellStyle name="Header2 2 19 13 2" xfId="19078"/>
    <cellStyle name="Header2 2 19 13 3" xfId="30246"/>
    <cellStyle name="Header2 2 19 13 4" xfId="41411"/>
    <cellStyle name="Header2 2 19 13 5" xfId="52604"/>
    <cellStyle name="Header2 2 19 14" xfId="8726"/>
    <cellStyle name="Header2 2 19 14 2" xfId="19923"/>
    <cellStyle name="Header2 2 19 14 3" xfId="31091"/>
    <cellStyle name="Header2 2 19 14 4" xfId="42256"/>
    <cellStyle name="Header2 2 19 14 5" xfId="53449"/>
    <cellStyle name="Header2 2 19 15" xfId="9611"/>
    <cellStyle name="Header2 2 19 15 2" xfId="20808"/>
    <cellStyle name="Header2 2 19 15 3" xfId="31976"/>
    <cellStyle name="Header2 2 19 15 4" xfId="43141"/>
    <cellStyle name="Header2 2 19 15 5" xfId="54334"/>
    <cellStyle name="Header2 2 19 16" xfId="11233"/>
    <cellStyle name="Header2 2 19 17" xfId="11251"/>
    <cellStyle name="Header2 2 19 18" xfId="23066"/>
    <cellStyle name="Header2 2 19 19" xfId="44760"/>
    <cellStyle name="Header2 2 19 2" xfId="686"/>
    <cellStyle name="Header2 2 19 2 2" xfId="11885"/>
    <cellStyle name="Header2 2 19 2 3" xfId="23054"/>
    <cellStyle name="Header2 2 19 2 4" xfId="34221"/>
    <cellStyle name="Header2 2 19 2 5" xfId="45409"/>
    <cellStyle name="Header2 2 19 3" xfId="1332"/>
    <cellStyle name="Header2 2 19 3 2" xfId="12529"/>
    <cellStyle name="Header2 2 19 3 3" xfId="23697"/>
    <cellStyle name="Header2 2 19 3 4" xfId="34862"/>
    <cellStyle name="Header2 2 19 3 5" xfId="46055"/>
    <cellStyle name="Header2 2 19 4" xfId="2482"/>
    <cellStyle name="Header2 2 19 4 2" xfId="13679"/>
    <cellStyle name="Header2 2 19 4 3" xfId="24847"/>
    <cellStyle name="Header2 2 19 4 4" xfId="36012"/>
    <cellStyle name="Header2 2 19 4 5" xfId="47205"/>
    <cellStyle name="Header2 2 19 5" xfId="1957"/>
    <cellStyle name="Header2 2 19 5 2" xfId="13154"/>
    <cellStyle name="Header2 2 19 5 3" xfId="24322"/>
    <cellStyle name="Header2 2 19 5 4" xfId="35487"/>
    <cellStyle name="Header2 2 19 5 5" xfId="46680"/>
    <cellStyle name="Header2 2 19 6" xfId="1998"/>
    <cellStyle name="Header2 2 19 6 2" xfId="13195"/>
    <cellStyle name="Header2 2 19 6 3" xfId="24363"/>
    <cellStyle name="Header2 2 19 6 4" xfId="35528"/>
    <cellStyle name="Header2 2 19 6 5" xfId="46721"/>
    <cellStyle name="Header2 2 19 7" xfId="2561"/>
    <cellStyle name="Header2 2 19 7 2" xfId="13758"/>
    <cellStyle name="Header2 2 19 7 3" xfId="24926"/>
    <cellStyle name="Header2 2 19 7 4" xfId="36091"/>
    <cellStyle name="Header2 2 19 7 5" xfId="47284"/>
    <cellStyle name="Header2 2 19 8" xfId="3056"/>
    <cellStyle name="Header2 2 19 8 2" xfId="14253"/>
    <cellStyle name="Header2 2 19 8 3" xfId="25421"/>
    <cellStyle name="Header2 2 19 8 4" xfId="36586"/>
    <cellStyle name="Header2 2 19 8 5" xfId="47779"/>
    <cellStyle name="Header2 2 19 9" xfId="5588"/>
    <cellStyle name="Header2 2 19 9 2" xfId="16785"/>
    <cellStyle name="Header2 2 19 9 3" xfId="27953"/>
    <cellStyle name="Header2 2 19 9 4" xfId="39118"/>
    <cellStyle name="Header2 2 19 9 5" xfId="50311"/>
    <cellStyle name="Header2 2 2" xfId="52"/>
    <cellStyle name="Header2 2 2 10" xfId="607"/>
    <cellStyle name="Header2 2 2 10 10" xfId="7176"/>
    <cellStyle name="Header2 2 2 10 10 2" xfId="18373"/>
    <cellStyle name="Header2 2 2 10 10 3" xfId="29541"/>
    <cellStyle name="Header2 2 2 10 10 4" xfId="40706"/>
    <cellStyle name="Header2 2 2 10 10 5" xfId="51899"/>
    <cellStyle name="Header2 2 2 10 11" xfId="7810"/>
    <cellStyle name="Header2 2 2 10 11 2" xfId="19007"/>
    <cellStyle name="Header2 2 2 10 11 3" xfId="30175"/>
    <cellStyle name="Header2 2 2 10 11 4" xfId="41340"/>
    <cellStyle name="Header2 2 2 10 11 5" xfId="52533"/>
    <cellStyle name="Header2 2 2 10 12" xfId="8444"/>
    <cellStyle name="Header2 2 2 10 12 2" xfId="19641"/>
    <cellStyle name="Header2 2 2 10 12 3" xfId="30809"/>
    <cellStyle name="Header2 2 2 10 12 4" xfId="41974"/>
    <cellStyle name="Header2 2 2 10 12 5" xfId="53167"/>
    <cellStyle name="Header2 2 2 10 13" xfId="9495"/>
    <cellStyle name="Header2 2 2 10 13 2" xfId="20692"/>
    <cellStyle name="Header2 2 2 10 13 3" xfId="31860"/>
    <cellStyle name="Header2 2 2 10 13 4" xfId="43025"/>
    <cellStyle name="Header2 2 2 10 13 5" xfId="54218"/>
    <cellStyle name="Header2 2 2 10 14" xfId="9672"/>
    <cellStyle name="Header2 2 2 10 14 2" xfId="20869"/>
    <cellStyle name="Header2 2 2 10 14 3" xfId="32037"/>
    <cellStyle name="Header2 2 2 10 14 4" xfId="43202"/>
    <cellStyle name="Header2 2 2 10 14 5" xfId="54395"/>
    <cellStyle name="Header2 2 2 10 15" xfId="11160"/>
    <cellStyle name="Header2 2 2 10 15 2" xfId="22357"/>
    <cellStyle name="Header2 2 2 10 15 3" xfId="33525"/>
    <cellStyle name="Header2 2 2 10 15 4" xfId="44690"/>
    <cellStyle name="Header2 2 2 10 15 5" xfId="55883"/>
    <cellStyle name="Header2 2 2 10 16" xfId="11807"/>
    <cellStyle name="Header2 2 2 10 17" xfId="22977"/>
    <cellStyle name="Header2 2 2 10 18" xfId="34144"/>
    <cellStyle name="Header2 2 2 10 19" xfId="45330"/>
    <cellStyle name="Header2 2 2 10 2" xfId="1256"/>
    <cellStyle name="Header2 2 2 10 2 2" xfId="12453"/>
    <cellStyle name="Header2 2 2 10 2 3" xfId="23621"/>
    <cellStyle name="Header2 2 2 10 2 4" xfId="34786"/>
    <cellStyle name="Header2 2 2 10 2 5" xfId="45979"/>
    <cellStyle name="Header2 2 2 10 3" xfId="1450"/>
    <cellStyle name="Header2 2 2 10 3 2" xfId="12647"/>
    <cellStyle name="Header2 2 2 10 3 3" xfId="23815"/>
    <cellStyle name="Header2 2 2 10 3 4" xfId="34980"/>
    <cellStyle name="Header2 2 2 10 3 5" xfId="46173"/>
    <cellStyle name="Header2 2 2 10 4" xfId="2957"/>
    <cellStyle name="Header2 2 2 10 4 2" xfId="14154"/>
    <cellStyle name="Header2 2 2 10 4 3" xfId="25322"/>
    <cellStyle name="Header2 2 2 10 4 4" xfId="36487"/>
    <cellStyle name="Header2 2 2 10 4 5" xfId="47680"/>
    <cellStyle name="Header2 2 2 10 5" xfId="3591"/>
    <cellStyle name="Header2 2 2 10 5 2" xfId="14788"/>
    <cellStyle name="Header2 2 2 10 5 3" xfId="25956"/>
    <cellStyle name="Header2 2 2 10 5 4" xfId="37121"/>
    <cellStyle name="Header2 2 2 10 5 5" xfId="48314"/>
    <cellStyle name="Header2 2 2 10 6" xfId="4225"/>
    <cellStyle name="Header2 2 2 10 6 2" xfId="15422"/>
    <cellStyle name="Header2 2 2 10 6 3" xfId="26590"/>
    <cellStyle name="Header2 2 2 10 6 4" xfId="37755"/>
    <cellStyle name="Header2 2 2 10 6 5" xfId="48948"/>
    <cellStyle name="Header2 2 2 10 7" xfId="4858"/>
    <cellStyle name="Header2 2 2 10 7 2" xfId="16055"/>
    <cellStyle name="Header2 2 2 10 7 3" xfId="27223"/>
    <cellStyle name="Header2 2 2 10 7 4" xfId="38388"/>
    <cellStyle name="Header2 2 2 10 7 5" xfId="49581"/>
    <cellStyle name="Header2 2 2 10 8" xfId="5489"/>
    <cellStyle name="Header2 2 2 10 8 2" xfId="16686"/>
    <cellStyle name="Header2 2 2 10 8 3" xfId="27854"/>
    <cellStyle name="Header2 2 2 10 8 4" xfId="39019"/>
    <cellStyle name="Header2 2 2 10 8 5" xfId="50212"/>
    <cellStyle name="Header2 2 2 10 9" xfId="6543"/>
    <cellStyle name="Header2 2 2 10 9 2" xfId="17740"/>
    <cellStyle name="Header2 2 2 10 9 3" xfId="28908"/>
    <cellStyle name="Header2 2 2 10 9 4" xfId="40073"/>
    <cellStyle name="Header2 2 2 10 9 5" xfId="51266"/>
    <cellStyle name="Header2 2 2 11" xfId="670"/>
    <cellStyle name="Header2 2 2 11 10" xfId="7239"/>
    <cellStyle name="Header2 2 2 11 10 2" xfId="18436"/>
    <cellStyle name="Header2 2 2 11 10 3" xfId="29604"/>
    <cellStyle name="Header2 2 2 11 10 4" xfId="40769"/>
    <cellStyle name="Header2 2 2 11 10 5" xfId="51962"/>
    <cellStyle name="Header2 2 2 11 11" xfId="7873"/>
    <cellStyle name="Header2 2 2 11 11 2" xfId="19070"/>
    <cellStyle name="Header2 2 2 11 11 3" xfId="30238"/>
    <cellStyle name="Header2 2 2 11 11 4" xfId="41403"/>
    <cellStyle name="Header2 2 2 11 11 5" xfId="52596"/>
    <cellStyle name="Header2 2 2 11 12" xfId="8507"/>
    <cellStyle name="Header2 2 2 11 12 2" xfId="19704"/>
    <cellStyle name="Header2 2 2 11 12 3" xfId="30872"/>
    <cellStyle name="Header2 2 2 11 12 4" xfId="42037"/>
    <cellStyle name="Header2 2 2 11 12 5" xfId="53230"/>
    <cellStyle name="Header2 2 2 11 13" xfId="9558"/>
    <cellStyle name="Header2 2 2 11 13 2" xfId="20755"/>
    <cellStyle name="Header2 2 2 11 13 3" xfId="31923"/>
    <cellStyle name="Header2 2 2 11 13 4" xfId="43088"/>
    <cellStyle name="Header2 2 2 11 13 5" xfId="54281"/>
    <cellStyle name="Header2 2 2 11 14" xfId="9580"/>
    <cellStyle name="Header2 2 2 11 14 2" xfId="20777"/>
    <cellStyle name="Header2 2 2 11 14 3" xfId="31945"/>
    <cellStyle name="Header2 2 2 11 14 4" xfId="43110"/>
    <cellStyle name="Header2 2 2 11 14 5" xfId="54303"/>
    <cellStyle name="Header2 2 2 11 15" xfId="11223"/>
    <cellStyle name="Header2 2 2 11 15 2" xfId="22420"/>
    <cellStyle name="Header2 2 2 11 15 3" xfId="33588"/>
    <cellStyle name="Header2 2 2 11 15 4" xfId="44753"/>
    <cellStyle name="Header2 2 2 11 15 5" xfId="55946"/>
    <cellStyle name="Header2 2 2 11 16" xfId="11870"/>
    <cellStyle name="Header2 2 2 11 17" xfId="23040"/>
    <cellStyle name="Header2 2 2 11 18" xfId="34207"/>
    <cellStyle name="Header2 2 2 11 19" xfId="45393"/>
    <cellStyle name="Header2 2 2 11 2" xfId="1319"/>
    <cellStyle name="Header2 2 2 11 2 2" xfId="12516"/>
    <cellStyle name="Header2 2 2 11 2 3" xfId="23684"/>
    <cellStyle name="Header2 2 2 11 2 4" xfId="34849"/>
    <cellStyle name="Header2 2 2 11 2 5" xfId="46042"/>
    <cellStyle name="Header2 2 2 11 3" xfId="683"/>
    <cellStyle name="Header2 2 2 11 3 2" xfId="11882"/>
    <cellStyle name="Header2 2 2 11 3 3" xfId="23051"/>
    <cellStyle name="Header2 2 2 11 3 4" xfId="34218"/>
    <cellStyle name="Header2 2 2 11 3 5" xfId="45406"/>
    <cellStyle name="Header2 2 2 11 4" xfId="3020"/>
    <cellStyle name="Header2 2 2 11 4 2" xfId="14217"/>
    <cellStyle name="Header2 2 2 11 4 3" xfId="25385"/>
    <cellStyle name="Header2 2 2 11 4 4" xfId="36550"/>
    <cellStyle name="Header2 2 2 11 4 5" xfId="47743"/>
    <cellStyle name="Header2 2 2 11 5" xfId="3654"/>
    <cellStyle name="Header2 2 2 11 5 2" xfId="14851"/>
    <cellStyle name="Header2 2 2 11 5 3" xfId="26019"/>
    <cellStyle name="Header2 2 2 11 5 4" xfId="37184"/>
    <cellStyle name="Header2 2 2 11 5 5" xfId="48377"/>
    <cellStyle name="Header2 2 2 11 6" xfId="4288"/>
    <cellStyle name="Header2 2 2 11 6 2" xfId="15485"/>
    <cellStyle name="Header2 2 2 11 6 3" xfId="26653"/>
    <cellStyle name="Header2 2 2 11 6 4" xfId="37818"/>
    <cellStyle name="Header2 2 2 11 6 5" xfId="49011"/>
    <cellStyle name="Header2 2 2 11 7" xfId="4921"/>
    <cellStyle name="Header2 2 2 11 7 2" xfId="16118"/>
    <cellStyle name="Header2 2 2 11 7 3" xfId="27286"/>
    <cellStyle name="Header2 2 2 11 7 4" xfId="38451"/>
    <cellStyle name="Header2 2 2 11 7 5" xfId="49644"/>
    <cellStyle name="Header2 2 2 11 8" xfId="5552"/>
    <cellStyle name="Header2 2 2 11 8 2" xfId="16749"/>
    <cellStyle name="Header2 2 2 11 8 3" xfId="27917"/>
    <cellStyle name="Header2 2 2 11 8 4" xfId="39082"/>
    <cellStyle name="Header2 2 2 11 8 5" xfId="50275"/>
    <cellStyle name="Header2 2 2 11 9" xfId="6606"/>
    <cellStyle name="Header2 2 2 11 9 2" xfId="17803"/>
    <cellStyle name="Header2 2 2 11 9 3" xfId="28971"/>
    <cellStyle name="Header2 2 2 11 9 4" xfId="40136"/>
    <cellStyle name="Header2 2 2 11 9 5" xfId="51329"/>
    <cellStyle name="Header2 2 2 12" xfId="703"/>
    <cellStyle name="Header2 2 2 12 2" xfId="11901"/>
    <cellStyle name="Header2 2 2 12 3" xfId="23070"/>
    <cellStyle name="Header2 2 2 12 4" xfId="34235"/>
    <cellStyle name="Header2 2 2 12 5" xfId="45426"/>
    <cellStyle name="Header2 2 2 13" xfId="1747"/>
    <cellStyle name="Header2 2 2 13 2" xfId="12944"/>
    <cellStyle name="Header2 2 2 13 3" xfId="24112"/>
    <cellStyle name="Header2 2 2 13 4" xfId="35277"/>
    <cellStyle name="Header2 2 2 13 5" xfId="46470"/>
    <cellStyle name="Header2 2 2 14" xfId="1997"/>
    <cellStyle name="Header2 2 2 14 2" xfId="13194"/>
    <cellStyle name="Header2 2 2 14 3" xfId="24362"/>
    <cellStyle name="Header2 2 2 14 4" xfId="35527"/>
    <cellStyle name="Header2 2 2 14 5" xfId="46720"/>
    <cellStyle name="Header2 2 2 15" xfId="3036"/>
    <cellStyle name="Header2 2 2 15 2" xfId="14233"/>
    <cellStyle name="Header2 2 2 15 3" xfId="25401"/>
    <cellStyle name="Header2 2 2 15 4" xfId="36566"/>
    <cellStyle name="Header2 2 2 15 5" xfId="47759"/>
    <cellStyle name="Header2 2 2 16" xfId="3671"/>
    <cellStyle name="Header2 2 2 16 2" xfId="14868"/>
    <cellStyle name="Header2 2 2 16 3" xfId="26036"/>
    <cellStyle name="Header2 2 2 16 4" xfId="37201"/>
    <cellStyle name="Header2 2 2 16 5" xfId="48394"/>
    <cellStyle name="Header2 2 2 17" xfId="4303"/>
    <cellStyle name="Header2 2 2 17 2" xfId="15500"/>
    <cellStyle name="Header2 2 2 17 3" xfId="26668"/>
    <cellStyle name="Header2 2 2 17 4" xfId="37833"/>
    <cellStyle name="Header2 2 2 17 5" xfId="49026"/>
    <cellStyle name="Header2 2 2 18" xfId="4936"/>
    <cellStyle name="Header2 2 2 18 2" xfId="16133"/>
    <cellStyle name="Header2 2 2 18 3" xfId="27301"/>
    <cellStyle name="Header2 2 2 18 4" xfId="38466"/>
    <cellStyle name="Header2 2 2 18 5" xfId="49659"/>
    <cellStyle name="Header2 2 2 19" xfId="6083"/>
    <cellStyle name="Header2 2 2 19 2" xfId="17280"/>
    <cellStyle name="Header2 2 2 19 3" xfId="28448"/>
    <cellStyle name="Header2 2 2 19 4" xfId="39613"/>
    <cellStyle name="Header2 2 2 19 5" xfId="50806"/>
    <cellStyle name="Header2 2 2 2" xfId="118"/>
    <cellStyle name="Header2 2 2 2 10" xfId="6687"/>
    <cellStyle name="Header2 2 2 2 10 2" xfId="17884"/>
    <cellStyle name="Header2 2 2 2 10 3" xfId="29052"/>
    <cellStyle name="Header2 2 2 2 10 4" xfId="40217"/>
    <cellStyle name="Header2 2 2 2 10 5" xfId="51410"/>
    <cellStyle name="Header2 2 2 2 11" xfId="7321"/>
    <cellStyle name="Header2 2 2 2 11 2" xfId="18518"/>
    <cellStyle name="Header2 2 2 2 11 3" xfId="29686"/>
    <cellStyle name="Header2 2 2 2 11 4" xfId="40851"/>
    <cellStyle name="Header2 2 2 2 11 5" xfId="52044"/>
    <cellStyle name="Header2 2 2 2 12" xfId="7955"/>
    <cellStyle name="Header2 2 2 2 12 2" xfId="19152"/>
    <cellStyle name="Header2 2 2 2 12 3" xfId="30320"/>
    <cellStyle name="Header2 2 2 2 12 4" xfId="41485"/>
    <cellStyle name="Header2 2 2 2 12 5" xfId="52678"/>
    <cellStyle name="Header2 2 2 2 13" xfId="8593"/>
    <cellStyle name="Header2 2 2 2 13 2" xfId="19790"/>
    <cellStyle name="Header2 2 2 2 13 3" xfId="30958"/>
    <cellStyle name="Header2 2 2 2 13 4" xfId="42123"/>
    <cellStyle name="Header2 2 2 2 13 5" xfId="53316"/>
    <cellStyle name="Header2 2 2 2 14" xfId="9814"/>
    <cellStyle name="Header2 2 2 2 14 2" xfId="21011"/>
    <cellStyle name="Header2 2 2 2 14 3" xfId="32179"/>
    <cellStyle name="Header2 2 2 2 14 4" xfId="43344"/>
    <cellStyle name="Header2 2 2 2 14 5" xfId="54537"/>
    <cellStyle name="Header2 2 2 2 15" xfId="10671"/>
    <cellStyle name="Header2 2 2 2 15 2" xfId="21868"/>
    <cellStyle name="Header2 2 2 2 15 3" xfId="33036"/>
    <cellStyle name="Header2 2 2 2 15 4" xfId="44201"/>
    <cellStyle name="Header2 2 2 2 15 5" xfId="55394"/>
    <cellStyle name="Header2 2 2 2 16" xfId="11318"/>
    <cellStyle name="Header2 2 2 2 17" xfId="22488"/>
    <cellStyle name="Header2 2 2 2 18" xfId="33655"/>
    <cellStyle name="Header2 2 2 2 19" xfId="44841"/>
    <cellStyle name="Header2 2 2 2 2" xfId="767"/>
    <cellStyle name="Header2 2 2 2 2 2" xfId="11964"/>
    <cellStyle name="Header2 2 2 2 2 3" xfId="23132"/>
    <cellStyle name="Header2 2 2 2 2 4" xfId="34297"/>
    <cellStyle name="Header2 2 2 2 2 5" xfId="45490"/>
    <cellStyle name="Header2 2 2 2 3" xfId="1802"/>
    <cellStyle name="Header2 2 2 2 3 2" xfId="12999"/>
    <cellStyle name="Header2 2 2 2 3 3" xfId="24167"/>
    <cellStyle name="Header2 2 2 2 3 4" xfId="35332"/>
    <cellStyle name="Header2 2 2 2 3 5" xfId="46525"/>
    <cellStyle name="Header2 2 2 2 4" xfId="1986"/>
    <cellStyle name="Header2 2 2 2 4 2" xfId="13183"/>
    <cellStyle name="Header2 2 2 2 4 3" xfId="24351"/>
    <cellStyle name="Header2 2 2 2 4 4" xfId="35516"/>
    <cellStyle name="Header2 2 2 2 4 5" xfId="46709"/>
    <cellStyle name="Header2 2 2 2 5" xfId="3102"/>
    <cellStyle name="Header2 2 2 2 5 2" xfId="14299"/>
    <cellStyle name="Header2 2 2 2 5 3" xfId="25467"/>
    <cellStyle name="Header2 2 2 2 5 4" xfId="36632"/>
    <cellStyle name="Header2 2 2 2 5 5" xfId="47825"/>
    <cellStyle name="Header2 2 2 2 6" xfId="3736"/>
    <cellStyle name="Header2 2 2 2 6 2" xfId="14933"/>
    <cellStyle name="Header2 2 2 2 6 3" xfId="26101"/>
    <cellStyle name="Header2 2 2 2 6 4" xfId="37266"/>
    <cellStyle name="Header2 2 2 2 6 5" xfId="48459"/>
    <cellStyle name="Header2 2 2 2 7" xfId="4369"/>
    <cellStyle name="Header2 2 2 2 7 2" xfId="15566"/>
    <cellStyle name="Header2 2 2 2 7 3" xfId="26734"/>
    <cellStyle name="Header2 2 2 2 7 4" xfId="37899"/>
    <cellStyle name="Header2 2 2 2 7 5" xfId="49092"/>
    <cellStyle name="Header2 2 2 2 8" xfId="5000"/>
    <cellStyle name="Header2 2 2 2 8 2" xfId="16197"/>
    <cellStyle name="Header2 2 2 2 8 3" xfId="27365"/>
    <cellStyle name="Header2 2 2 2 8 4" xfId="38530"/>
    <cellStyle name="Header2 2 2 2 8 5" xfId="49723"/>
    <cellStyle name="Header2 2 2 2 9" xfId="6026"/>
    <cellStyle name="Header2 2 2 2 9 2" xfId="17223"/>
    <cellStyle name="Header2 2 2 2 9 3" xfId="28391"/>
    <cellStyle name="Header2 2 2 2 9 4" xfId="39556"/>
    <cellStyle name="Header2 2 2 2 9 5" xfId="50749"/>
    <cellStyle name="Header2 2 2 20" xfId="6623"/>
    <cellStyle name="Header2 2 2 20 2" xfId="17820"/>
    <cellStyle name="Header2 2 2 20 3" xfId="28988"/>
    <cellStyle name="Header2 2 2 20 4" xfId="40153"/>
    <cellStyle name="Header2 2 2 20 5" xfId="51346"/>
    <cellStyle name="Header2 2 2 21" xfId="7255"/>
    <cellStyle name="Header2 2 2 21 2" xfId="18452"/>
    <cellStyle name="Header2 2 2 21 3" xfId="29620"/>
    <cellStyle name="Header2 2 2 21 4" xfId="40785"/>
    <cellStyle name="Header2 2 2 21 5" xfId="51978"/>
    <cellStyle name="Header2 2 2 22" xfId="7889"/>
    <cellStyle name="Header2 2 2 22 2" xfId="19086"/>
    <cellStyle name="Header2 2 2 22 3" xfId="30254"/>
    <cellStyle name="Header2 2 2 22 4" xfId="41419"/>
    <cellStyle name="Header2 2 2 22 5" xfId="52612"/>
    <cellStyle name="Header2 2 2 23" xfId="8604"/>
    <cellStyle name="Header2 2 2 23 2" xfId="19801"/>
    <cellStyle name="Header2 2 2 23 3" xfId="30969"/>
    <cellStyle name="Header2 2 2 23 4" xfId="42134"/>
    <cellStyle name="Header2 2 2 23 5" xfId="53327"/>
    <cellStyle name="Header2 2 2 24" xfId="10595"/>
    <cellStyle name="Header2 2 2 24 2" xfId="21792"/>
    <cellStyle name="Header2 2 2 24 3" xfId="32960"/>
    <cellStyle name="Header2 2 2 24 4" xfId="44125"/>
    <cellStyle name="Header2 2 2 24 5" xfId="55318"/>
    <cellStyle name="Header2 2 2 25" xfId="10609"/>
    <cellStyle name="Header2 2 2 25 2" xfId="21806"/>
    <cellStyle name="Header2 2 2 25 3" xfId="32974"/>
    <cellStyle name="Header2 2 2 25 4" xfId="44139"/>
    <cellStyle name="Header2 2 2 25 5" xfId="55332"/>
    <cellStyle name="Header2 2 2 26" xfId="11253"/>
    <cellStyle name="Header2 2 2 27" xfId="22426"/>
    <cellStyle name="Header2 2 2 28" xfId="33593"/>
    <cellStyle name="Header2 2 2 29" xfId="44777"/>
    <cellStyle name="Header2 2 2 3" xfId="173"/>
    <cellStyle name="Header2 2 2 3 10" xfId="6742"/>
    <cellStyle name="Header2 2 2 3 10 2" xfId="17939"/>
    <cellStyle name="Header2 2 2 3 10 3" xfId="29107"/>
    <cellStyle name="Header2 2 2 3 10 4" xfId="40272"/>
    <cellStyle name="Header2 2 2 3 10 5" xfId="51465"/>
    <cellStyle name="Header2 2 2 3 11" xfId="7376"/>
    <cellStyle name="Header2 2 2 3 11 2" xfId="18573"/>
    <cellStyle name="Header2 2 2 3 11 3" xfId="29741"/>
    <cellStyle name="Header2 2 2 3 11 4" xfId="40906"/>
    <cellStyle name="Header2 2 2 3 11 5" xfId="52099"/>
    <cellStyle name="Header2 2 2 3 12" xfId="8010"/>
    <cellStyle name="Header2 2 2 3 12 2" xfId="19207"/>
    <cellStyle name="Header2 2 2 3 12 3" xfId="30375"/>
    <cellStyle name="Header2 2 2 3 12 4" xfId="41540"/>
    <cellStyle name="Header2 2 2 3 12 5" xfId="52733"/>
    <cellStyle name="Header2 2 2 3 13" xfId="8689"/>
    <cellStyle name="Header2 2 2 3 13 2" xfId="19886"/>
    <cellStyle name="Header2 2 2 3 13 3" xfId="31054"/>
    <cellStyle name="Header2 2 2 3 13 4" xfId="42219"/>
    <cellStyle name="Header2 2 2 3 13 5" xfId="53412"/>
    <cellStyle name="Header2 2 2 3 14" xfId="10366"/>
    <cellStyle name="Header2 2 2 3 14 2" xfId="21563"/>
    <cellStyle name="Header2 2 2 3 14 3" xfId="32731"/>
    <cellStyle name="Header2 2 2 3 14 4" xfId="43896"/>
    <cellStyle name="Header2 2 2 3 14 5" xfId="55089"/>
    <cellStyle name="Header2 2 2 3 15" xfId="10726"/>
    <cellStyle name="Header2 2 2 3 15 2" xfId="21923"/>
    <cellStyle name="Header2 2 2 3 15 3" xfId="33091"/>
    <cellStyle name="Header2 2 2 3 15 4" xfId="44256"/>
    <cellStyle name="Header2 2 2 3 15 5" xfId="55449"/>
    <cellStyle name="Header2 2 2 3 16" xfId="11373"/>
    <cellStyle name="Header2 2 2 3 17" xfId="22543"/>
    <cellStyle name="Header2 2 2 3 18" xfId="33710"/>
    <cellStyle name="Header2 2 2 3 19" xfId="44896"/>
    <cellStyle name="Header2 2 2 3 2" xfId="822"/>
    <cellStyle name="Header2 2 2 3 2 2" xfId="12019"/>
    <cellStyle name="Header2 2 2 3 2 3" xfId="23187"/>
    <cellStyle name="Header2 2 2 3 2 4" xfId="34352"/>
    <cellStyle name="Header2 2 2 3 2 5" xfId="45545"/>
    <cellStyle name="Header2 2 2 3 3" xfId="1385"/>
    <cellStyle name="Header2 2 2 3 3 2" xfId="12582"/>
    <cellStyle name="Header2 2 2 3 3 3" xfId="23750"/>
    <cellStyle name="Header2 2 2 3 3 4" xfId="34915"/>
    <cellStyle name="Header2 2 2 3 3 5" xfId="46108"/>
    <cellStyle name="Header2 2 2 3 4" xfId="2522"/>
    <cellStyle name="Header2 2 2 3 4 2" xfId="13719"/>
    <cellStyle name="Header2 2 2 3 4 3" xfId="24887"/>
    <cellStyle name="Header2 2 2 3 4 4" xfId="36052"/>
    <cellStyle name="Header2 2 2 3 4 5" xfId="47245"/>
    <cellStyle name="Header2 2 2 3 5" xfId="3157"/>
    <cellStyle name="Header2 2 2 3 5 2" xfId="14354"/>
    <cellStyle name="Header2 2 2 3 5 3" xfId="25522"/>
    <cellStyle name="Header2 2 2 3 5 4" xfId="36687"/>
    <cellStyle name="Header2 2 2 3 5 5" xfId="47880"/>
    <cellStyle name="Header2 2 2 3 6" xfId="3791"/>
    <cellStyle name="Header2 2 2 3 6 2" xfId="14988"/>
    <cellStyle name="Header2 2 2 3 6 3" xfId="26156"/>
    <cellStyle name="Header2 2 2 3 6 4" xfId="37321"/>
    <cellStyle name="Header2 2 2 3 6 5" xfId="48514"/>
    <cellStyle name="Header2 2 2 3 7" xfId="4424"/>
    <cellStyle name="Header2 2 2 3 7 2" xfId="15621"/>
    <cellStyle name="Header2 2 2 3 7 3" xfId="26789"/>
    <cellStyle name="Header2 2 2 3 7 4" xfId="37954"/>
    <cellStyle name="Header2 2 2 3 7 5" xfId="49147"/>
    <cellStyle name="Header2 2 2 3 8" xfId="5055"/>
    <cellStyle name="Header2 2 2 3 8 2" xfId="16252"/>
    <cellStyle name="Header2 2 2 3 8 3" xfId="27420"/>
    <cellStyle name="Header2 2 2 3 8 4" xfId="38585"/>
    <cellStyle name="Header2 2 2 3 8 5" xfId="49778"/>
    <cellStyle name="Header2 2 2 3 9" xfId="6050"/>
    <cellStyle name="Header2 2 2 3 9 2" xfId="17247"/>
    <cellStyle name="Header2 2 2 3 9 3" xfId="28415"/>
    <cellStyle name="Header2 2 2 3 9 4" xfId="39580"/>
    <cellStyle name="Header2 2 2 3 9 5" xfId="50773"/>
    <cellStyle name="Header2 2 2 4" xfId="258"/>
    <cellStyle name="Header2 2 2 4 10" xfId="6827"/>
    <cellStyle name="Header2 2 2 4 10 2" xfId="18024"/>
    <cellStyle name="Header2 2 2 4 10 3" xfId="29192"/>
    <cellStyle name="Header2 2 2 4 10 4" xfId="40357"/>
    <cellStyle name="Header2 2 2 4 10 5" xfId="51550"/>
    <cellStyle name="Header2 2 2 4 11" xfId="7461"/>
    <cellStyle name="Header2 2 2 4 11 2" xfId="18658"/>
    <cellStyle name="Header2 2 2 4 11 3" xfId="29826"/>
    <cellStyle name="Header2 2 2 4 11 4" xfId="40991"/>
    <cellStyle name="Header2 2 2 4 11 5" xfId="52184"/>
    <cellStyle name="Header2 2 2 4 12" xfId="8095"/>
    <cellStyle name="Header2 2 2 4 12 2" xfId="19292"/>
    <cellStyle name="Header2 2 2 4 12 3" xfId="30460"/>
    <cellStyle name="Header2 2 2 4 12 4" xfId="41625"/>
    <cellStyle name="Header2 2 2 4 12 5" xfId="52818"/>
    <cellStyle name="Header2 2 2 4 13" xfId="9146"/>
    <cellStyle name="Header2 2 2 4 13 2" xfId="20343"/>
    <cellStyle name="Header2 2 2 4 13 3" xfId="31511"/>
    <cellStyle name="Header2 2 2 4 13 4" xfId="42676"/>
    <cellStyle name="Header2 2 2 4 13 5" xfId="53869"/>
    <cellStyle name="Header2 2 2 4 14" xfId="10218"/>
    <cellStyle name="Header2 2 2 4 14 2" xfId="21415"/>
    <cellStyle name="Header2 2 2 4 14 3" xfId="32583"/>
    <cellStyle name="Header2 2 2 4 14 4" xfId="43748"/>
    <cellStyle name="Header2 2 2 4 14 5" xfId="54941"/>
    <cellStyle name="Header2 2 2 4 15" xfId="10811"/>
    <cellStyle name="Header2 2 2 4 15 2" xfId="22008"/>
    <cellStyle name="Header2 2 2 4 15 3" xfId="33176"/>
    <cellStyle name="Header2 2 2 4 15 4" xfId="44341"/>
    <cellStyle name="Header2 2 2 4 15 5" xfId="55534"/>
    <cellStyle name="Header2 2 2 4 16" xfId="11458"/>
    <cellStyle name="Header2 2 2 4 17" xfId="22628"/>
    <cellStyle name="Header2 2 2 4 18" xfId="33795"/>
    <cellStyle name="Header2 2 2 4 19" xfId="44981"/>
    <cellStyle name="Header2 2 2 4 2" xfId="907"/>
    <cellStyle name="Header2 2 2 4 2 2" xfId="12104"/>
    <cellStyle name="Header2 2 2 4 2 3" xfId="23272"/>
    <cellStyle name="Header2 2 2 4 2 4" xfId="34437"/>
    <cellStyle name="Header2 2 2 4 2 5" xfId="45630"/>
    <cellStyle name="Header2 2 2 4 3" xfId="1476"/>
    <cellStyle name="Header2 2 2 4 3 2" xfId="12673"/>
    <cellStyle name="Header2 2 2 4 3 3" xfId="23841"/>
    <cellStyle name="Header2 2 2 4 3 4" xfId="35006"/>
    <cellStyle name="Header2 2 2 4 3 5" xfId="46199"/>
    <cellStyle name="Header2 2 2 4 4" xfId="2608"/>
    <cellStyle name="Header2 2 2 4 4 2" xfId="13805"/>
    <cellStyle name="Header2 2 2 4 4 3" xfId="24973"/>
    <cellStyle name="Header2 2 2 4 4 4" xfId="36138"/>
    <cellStyle name="Header2 2 2 4 4 5" xfId="47331"/>
    <cellStyle name="Header2 2 2 4 5" xfId="3242"/>
    <cellStyle name="Header2 2 2 4 5 2" xfId="14439"/>
    <cellStyle name="Header2 2 2 4 5 3" xfId="25607"/>
    <cellStyle name="Header2 2 2 4 5 4" xfId="36772"/>
    <cellStyle name="Header2 2 2 4 5 5" xfId="47965"/>
    <cellStyle name="Header2 2 2 4 6" xfId="3876"/>
    <cellStyle name="Header2 2 2 4 6 2" xfId="15073"/>
    <cellStyle name="Header2 2 2 4 6 3" xfId="26241"/>
    <cellStyle name="Header2 2 2 4 6 4" xfId="37406"/>
    <cellStyle name="Header2 2 2 4 6 5" xfId="48599"/>
    <cellStyle name="Header2 2 2 4 7" xfId="4509"/>
    <cellStyle name="Header2 2 2 4 7 2" xfId="15706"/>
    <cellStyle name="Header2 2 2 4 7 3" xfId="26874"/>
    <cellStyle name="Header2 2 2 4 7 4" xfId="38039"/>
    <cellStyle name="Header2 2 2 4 7 5" xfId="49232"/>
    <cellStyle name="Header2 2 2 4 8" xfId="5140"/>
    <cellStyle name="Header2 2 2 4 8 2" xfId="16337"/>
    <cellStyle name="Header2 2 2 4 8 3" xfId="27505"/>
    <cellStyle name="Header2 2 2 4 8 4" xfId="38670"/>
    <cellStyle name="Header2 2 2 4 8 5" xfId="49863"/>
    <cellStyle name="Header2 2 2 4 9" xfId="6194"/>
    <cellStyle name="Header2 2 2 4 9 2" xfId="17391"/>
    <cellStyle name="Header2 2 2 4 9 3" xfId="28559"/>
    <cellStyle name="Header2 2 2 4 9 4" xfId="39724"/>
    <cellStyle name="Header2 2 2 4 9 5" xfId="50917"/>
    <cellStyle name="Header2 2 2 5" xfId="344"/>
    <cellStyle name="Header2 2 2 5 10" xfId="6913"/>
    <cellStyle name="Header2 2 2 5 10 2" xfId="18110"/>
    <cellStyle name="Header2 2 2 5 10 3" xfId="29278"/>
    <cellStyle name="Header2 2 2 5 10 4" xfId="40443"/>
    <cellStyle name="Header2 2 2 5 10 5" xfId="51636"/>
    <cellStyle name="Header2 2 2 5 11" xfId="7547"/>
    <cellStyle name="Header2 2 2 5 11 2" xfId="18744"/>
    <cellStyle name="Header2 2 2 5 11 3" xfId="29912"/>
    <cellStyle name="Header2 2 2 5 11 4" xfId="41077"/>
    <cellStyle name="Header2 2 2 5 11 5" xfId="52270"/>
    <cellStyle name="Header2 2 2 5 12" xfId="8181"/>
    <cellStyle name="Header2 2 2 5 12 2" xfId="19378"/>
    <cellStyle name="Header2 2 2 5 12 3" xfId="30546"/>
    <cellStyle name="Header2 2 2 5 12 4" xfId="41711"/>
    <cellStyle name="Header2 2 2 5 12 5" xfId="52904"/>
    <cellStyle name="Header2 2 2 5 13" xfId="9232"/>
    <cellStyle name="Header2 2 2 5 13 2" xfId="20429"/>
    <cellStyle name="Header2 2 2 5 13 3" xfId="31597"/>
    <cellStyle name="Header2 2 2 5 13 4" xfId="42762"/>
    <cellStyle name="Header2 2 2 5 13 5" xfId="53955"/>
    <cellStyle name="Header2 2 2 5 14" xfId="10308"/>
    <cellStyle name="Header2 2 2 5 14 2" xfId="21505"/>
    <cellStyle name="Header2 2 2 5 14 3" xfId="32673"/>
    <cellStyle name="Header2 2 2 5 14 4" xfId="43838"/>
    <cellStyle name="Header2 2 2 5 14 5" xfId="55031"/>
    <cellStyle name="Header2 2 2 5 15" xfId="10897"/>
    <cellStyle name="Header2 2 2 5 15 2" xfId="22094"/>
    <cellStyle name="Header2 2 2 5 15 3" xfId="33262"/>
    <cellStyle name="Header2 2 2 5 15 4" xfId="44427"/>
    <cellStyle name="Header2 2 2 5 15 5" xfId="55620"/>
    <cellStyle name="Header2 2 2 5 16" xfId="11544"/>
    <cellStyle name="Header2 2 2 5 17" xfId="22714"/>
    <cellStyle name="Header2 2 2 5 18" xfId="33881"/>
    <cellStyle name="Header2 2 2 5 19" xfId="45067"/>
    <cellStyle name="Header2 2 2 5 2" xfId="993"/>
    <cellStyle name="Header2 2 2 5 2 2" xfId="12190"/>
    <cellStyle name="Header2 2 2 5 2 3" xfId="23358"/>
    <cellStyle name="Header2 2 2 5 2 4" xfId="34523"/>
    <cellStyle name="Header2 2 2 5 2 5" xfId="45716"/>
    <cellStyle name="Header2 2 2 5 3" xfId="1672"/>
    <cellStyle name="Header2 2 2 5 3 2" xfId="12869"/>
    <cellStyle name="Header2 2 2 5 3 3" xfId="24037"/>
    <cellStyle name="Header2 2 2 5 3 4" xfId="35202"/>
    <cellStyle name="Header2 2 2 5 3 5" xfId="46395"/>
    <cellStyle name="Header2 2 2 5 4" xfId="2694"/>
    <cellStyle name="Header2 2 2 5 4 2" xfId="13891"/>
    <cellStyle name="Header2 2 2 5 4 3" xfId="25059"/>
    <cellStyle name="Header2 2 2 5 4 4" xfId="36224"/>
    <cellStyle name="Header2 2 2 5 4 5" xfId="47417"/>
    <cellStyle name="Header2 2 2 5 5" xfId="3328"/>
    <cellStyle name="Header2 2 2 5 5 2" xfId="14525"/>
    <cellStyle name="Header2 2 2 5 5 3" xfId="25693"/>
    <cellStyle name="Header2 2 2 5 5 4" xfId="36858"/>
    <cellStyle name="Header2 2 2 5 5 5" xfId="48051"/>
    <cellStyle name="Header2 2 2 5 6" xfId="3962"/>
    <cellStyle name="Header2 2 2 5 6 2" xfId="15159"/>
    <cellStyle name="Header2 2 2 5 6 3" xfId="26327"/>
    <cellStyle name="Header2 2 2 5 6 4" xfId="37492"/>
    <cellStyle name="Header2 2 2 5 6 5" xfId="48685"/>
    <cellStyle name="Header2 2 2 5 7" xfId="4595"/>
    <cellStyle name="Header2 2 2 5 7 2" xfId="15792"/>
    <cellStyle name="Header2 2 2 5 7 3" xfId="26960"/>
    <cellStyle name="Header2 2 2 5 7 4" xfId="38125"/>
    <cellStyle name="Header2 2 2 5 7 5" xfId="49318"/>
    <cellStyle name="Header2 2 2 5 8" xfId="5226"/>
    <cellStyle name="Header2 2 2 5 8 2" xfId="16423"/>
    <cellStyle name="Header2 2 2 5 8 3" xfId="27591"/>
    <cellStyle name="Header2 2 2 5 8 4" xfId="38756"/>
    <cellStyle name="Header2 2 2 5 8 5" xfId="49949"/>
    <cellStyle name="Header2 2 2 5 9" xfId="6280"/>
    <cellStyle name="Header2 2 2 5 9 2" xfId="17477"/>
    <cellStyle name="Header2 2 2 5 9 3" xfId="28645"/>
    <cellStyle name="Header2 2 2 5 9 4" xfId="39810"/>
    <cellStyle name="Header2 2 2 5 9 5" xfId="51003"/>
    <cellStyle name="Header2 2 2 6" xfId="318"/>
    <cellStyle name="Header2 2 2 6 10" xfId="6887"/>
    <cellStyle name="Header2 2 2 6 10 2" xfId="18084"/>
    <cellStyle name="Header2 2 2 6 10 3" xfId="29252"/>
    <cellStyle name="Header2 2 2 6 10 4" xfId="40417"/>
    <cellStyle name="Header2 2 2 6 10 5" xfId="51610"/>
    <cellStyle name="Header2 2 2 6 11" xfId="7521"/>
    <cellStyle name="Header2 2 2 6 11 2" xfId="18718"/>
    <cellStyle name="Header2 2 2 6 11 3" xfId="29886"/>
    <cellStyle name="Header2 2 2 6 11 4" xfId="41051"/>
    <cellStyle name="Header2 2 2 6 11 5" xfId="52244"/>
    <cellStyle name="Header2 2 2 6 12" xfId="8155"/>
    <cellStyle name="Header2 2 2 6 12 2" xfId="19352"/>
    <cellStyle name="Header2 2 2 6 12 3" xfId="30520"/>
    <cellStyle name="Header2 2 2 6 12 4" xfId="41685"/>
    <cellStyle name="Header2 2 2 6 12 5" xfId="52878"/>
    <cellStyle name="Header2 2 2 6 13" xfId="9206"/>
    <cellStyle name="Header2 2 2 6 13 2" xfId="20403"/>
    <cellStyle name="Header2 2 2 6 13 3" xfId="31571"/>
    <cellStyle name="Header2 2 2 6 13 4" xfId="42736"/>
    <cellStyle name="Header2 2 2 6 13 5" xfId="53929"/>
    <cellStyle name="Header2 2 2 6 14" xfId="8516"/>
    <cellStyle name="Header2 2 2 6 14 2" xfId="19713"/>
    <cellStyle name="Header2 2 2 6 14 3" xfId="30881"/>
    <cellStyle name="Header2 2 2 6 14 4" xfId="42046"/>
    <cellStyle name="Header2 2 2 6 14 5" xfId="53239"/>
    <cellStyle name="Header2 2 2 6 15" xfId="10871"/>
    <cellStyle name="Header2 2 2 6 15 2" xfId="22068"/>
    <cellStyle name="Header2 2 2 6 15 3" xfId="33236"/>
    <cellStyle name="Header2 2 2 6 15 4" xfId="44401"/>
    <cellStyle name="Header2 2 2 6 15 5" xfId="55594"/>
    <cellStyle name="Header2 2 2 6 16" xfId="11518"/>
    <cellStyle name="Header2 2 2 6 17" xfId="22688"/>
    <cellStyle name="Header2 2 2 6 18" xfId="33855"/>
    <cellStyle name="Header2 2 2 6 19" xfId="45041"/>
    <cellStyle name="Header2 2 2 6 2" xfId="967"/>
    <cellStyle name="Header2 2 2 6 2 2" xfId="12164"/>
    <cellStyle name="Header2 2 2 6 2 3" xfId="23332"/>
    <cellStyle name="Header2 2 2 6 2 4" xfId="34497"/>
    <cellStyle name="Header2 2 2 6 2 5" xfId="45690"/>
    <cellStyle name="Header2 2 2 6 3" xfId="1401"/>
    <cellStyle name="Header2 2 2 6 3 2" xfId="12598"/>
    <cellStyle name="Header2 2 2 6 3 3" xfId="23766"/>
    <cellStyle name="Header2 2 2 6 3 4" xfId="34931"/>
    <cellStyle name="Header2 2 2 6 3 5" xfId="46124"/>
    <cellStyle name="Header2 2 2 6 4" xfId="2668"/>
    <cellStyle name="Header2 2 2 6 4 2" xfId="13865"/>
    <cellStyle name="Header2 2 2 6 4 3" xfId="25033"/>
    <cellStyle name="Header2 2 2 6 4 4" xfId="36198"/>
    <cellStyle name="Header2 2 2 6 4 5" xfId="47391"/>
    <cellStyle name="Header2 2 2 6 5" xfId="3302"/>
    <cellStyle name="Header2 2 2 6 5 2" xfId="14499"/>
    <cellStyle name="Header2 2 2 6 5 3" xfId="25667"/>
    <cellStyle name="Header2 2 2 6 5 4" xfId="36832"/>
    <cellStyle name="Header2 2 2 6 5 5" xfId="48025"/>
    <cellStyle name="Header2 2 2 6 6" xfId="3936"/>
    <cellStyle name="Header2 2 2 6 6 2" xfId="15133"/>
    <cellStyle name="Header2 2 2 6 6 3" xfId="26301"/>
    <cellStyle name="Header2 2 2 6 6 4" xfId="37466"/>
    <cellStyle name="Header2 2 2 6 6 5" xfId="48659"/>
    <cellStyle name="Header2 2 2 6 7" xfId="4569"/>
    <cellStyle name="Header2 2 2 6 7 2" xfId="15766"/>
    <cellStyle name="Header2 2 2 6 7 3" xfId="26934"/>
    <cellStyle name="Header2 2 2 6 7 4" xfId="38099"/>
    <cellStyle name="Header2 2 2 6 7 5" xfId="49292"/>
    <cellStyle name="Header2 2 2 6 8" xfId="5200"/>
    <cellStyle name="Header2 2 2 6 8 2" xfId="16397"/>
    <cellStyle name="Header2 2 2 6 8 3" xfId="27565"/>
    <cellStyle name="Header2 2 2 6 8 4" xfId="38730"/>
    <cellStyle name="Header2 2 2 6 8 5" xfId="49923"/>
    <cellStyle name="Header2 2 2 6 9" xfId="6254"/>
    <cellStyle name="Header2 2 2 6 9 2" xfId="17451"/>
    <cellStyle name="Header2 2 2 6 9 3" xfId="28619"/>
    <cellStyle name="Header2 2 2 6 9 4" xfId="39784"/>
    <cellStyle name="Header2 2 2 6 9 5" xfId="50977"/>
    <cellStyle name="Header2 2 2 7" xfId="381"/>
    <cellStyle name="Header2 2 2 7 10" xfId="6950"/>
    <cellStyle name="Header2 2 2 7 10 2" xfId="18147"/>
    <cellStyle name="Header2 2 2 7 10 3" xfId="29315"/>
    <cellStyle name="Header2 2 2 7 10 4" xfId="40480"/>
    <cellStyle name="Header2 2 2 7 10 5" xfId="51673"/>
    <cellStyle name="Header2 2 2 7 11" xfId="7584"/>
    <cellStyle name="Header2 2 2 7 11 2" xfId="18781"/>
    <cellStyle name="Header2 2 2 7 11 3" xfId="29949"/>
    <cellStyle name="Header2 2 2 7 11 4" xfId="41114"/>
    <cellStyle name="Header2 2 2 7 11 5" xfId="52307"/>
    <cellStyle name="Header2 2 2 7 12" xfId="8218"/>
    <cellStyle name="Header2 2 2 7 12 2" xfId="19415"/>
    <cellStyle name="Header2 2 2 7 12 3" xfId="30583"/>
    <cellStyle name="Header2 2 2 7 12 4" xfId="41748"/>
    <cellStyle name="Header2 2 2 7 12 5" xfId="52941"/>
    <cellStyle name="Header2 2 2 7 13" xfId="9269"/>
    <cellStyle name="Header2 2 2 7 13 2" xfId="20466"/>
    <cellStyle name="Header2 2 2 7 13 3" xfId="31634"/>
    <cellStyle name="Header2 2 2 7 13 4" xfId="42799"/>
    <cellStyle name="Header2 2 2 7 13 5" xfId="53992"/>
    <cellStyle name="Header2 2 2 7 14" xfId="9796"/>
    <cellStyle name="Header2 2 2 7 14 2" xfId="20993"/>
    <cellStyle name="Header2 2 2 7 14 3" xfId="32161"/>
    <cellStyle name="Header2 2 2 7 14 4" xfId="43326"/>
    <cellStyle name="Header2 2 2 7 14 5" xfId="54519"/>
    <cellStyle name="Header2 2 2 7 15" xfId="10934"/>
    <cellStyle name="Header2 2 2 7 15 2" xfId="22131"/>
    <cellStyle name="Header2 2 2 7 15 3" xfId="33299"/>
    <cellStyle name="Header2 2 2 7 15 4" xfId="44464"/>
    <cellStyle name="Header2 2 2 7 15 5" xfId="55657"/>
    <cellStyle name="Header2 2 2 7 16" xfId="11581"/>
    <cellStyle name="Header2 2 2 7 17" xfId="22751"/>
    <cellStyle name="Header2 2 2 7 18" xfId="33918"/>
    <cellStyle name="Header2 2 2 7 19" xfId="45104"/>
    <cellStyle name="Header2 2 2 7 2" xfId="1030"/>
    <cellStyle name="Header2 2 2 7 2 2" xfId="12227"/>
    <cellStyle name="Header2 2 2 7 2 3" xfId="23395"/>
    <cellStyle name="Header2 2 2 7 2 4" xfId="34560"/>
    <cellStyle name="Header2 2 2 7 2 5" xfId="45753"/>
    <cellStyle name="Header2 2 2 7 3" xfId="1448"/>
    <cellStyle name="Header2 2 2 7 3 2" xfId="12645"/>
    <cellStyle name="Header2 2 2 7 3 3" xfId="23813"/>
    <cellStyle name="Header2 2 2 7 3 4" xfId="34978"/>
    <cellStyle name="Header2 2 2 7 3 5" xfId="46171"/>
    <cellStyle name="Header2 2 2 7 4" xfId="2731"/>
    <cellStyle name="Header2 2 2 7 4 2" xfId="13928"/>
    <cellStyle name="Header2 2 2 7 4 3" xfId="25096"/>
    <cellStyle name="Header2 2 2 7 4 4" xfId="36261"/>
    <cellStyle name="Header2 2 2 7 4 5" xfId="47454"/>
    <cellStyle name="Header2 2 2 7 5" xfId="3365"/>
    <cellStyle name="Header2 2 2 7 5 2" xfId="14562"/>
    <cellStyle name="Header2 2 2 7 5 3" xfId="25730"/>
    <cellStyle name="Header2 2 2 7 5 4" xfId="36895"/>
    <cellStyle name="Header2 2 2 7 5 5" xfId="48088"/>
    <cellStyle name="Header2 2 2 7 6" xfId="3999"/>
    <cellStyle name="Header2 2 2 7 6 2" xfId="15196"/>
    <cellStyle name="Header2 2 2 7 6 3" xfId="26364"/>
    <cellStyle name="Header2 2 2 7 6 4" xfId="37529"/>
    <cellStyle name="Header2 2 2 7 6 5" xfId="48722"/>
    <cellStyle name="Header2 2 2 7 7" xfId="4632"/>
    <cellStyle name="Header2 2 2 7 7 2" xfId="15829"/>
    <cellStyle name="Header2 2 2 7 7 3" xfId="26997"/>
    <cellStyle name="Header2 2 2 7 7 4" xfId="38162"/>
    <cellStyle name="Header2 2 2 7 7 5" xfId="49355"/>
    <cellStyle name="Header2 2 2 7 8" xfId="5263"/>
    <cellStyle name="Header2 2 2 7 8 2" xfId="16460"/>
    <cellStyle name="Header2 2 2 7 8 3" xfId="27628"/>
    <cellStyle name="Header2 2 2 7 8 4" xfId="38793"/>
    <cellStyle name="Header2 2 2 7 8 5" xfId="49986"/>
    <cellStyle name="Header2 2 2 7 9" xfId="6317"/>
    <cellStyle name="Header2 2 2 7 9 2" xfId="17514"/>
    <cellStyle name="Header2 2 2 7 9 3" xfId="28682"/>
    <cellStyle name="Header2 2 2 7 9 4" xfId="39847"/>
    <cellStyle name="Header2 2 2 7 9 5" xfId="51040"/>
    <cellStyle name="Header2 2 2 8" xfId="461"/>
    <cellStyle name="Header2 2 2 8 10" xfId="7030"/>
    <cellStyle name="Header2 2 2 8 10 2" xfId="18227"/>
    <cellStyle name="Header2 2 2 8 10 3" xfId="29395"/>
    <cellStyle name="Header2 2 2 8 10 4" xfId="40560"/>
    <cellStyle name="Header2 2 2 8 10 5" xfId="51753"/>
    <cellStyle name="Header2 2 2 8 11" xfId="7664"/>
    <cellStyle name="Header2 2 2 8 11 2" xfId="18861"/>
    <cellStyle name="Header2 2 2 8 11 3" xfId="30029"/>
    <cellStyle name="Header2 2 2 8 11 4" xfId="41194"/>
    <cellStyle name="Header2 2 2 8 11 5" xfId="52387"/>
    <cellStyle name="Header2 2 2 8 12" xfId="8298"/>
    <cellStyle name="Header2 2 2 8 12 2" xfId="19495"/>
    <cellStyle name="Header2 2 2 8 12 3" xfId="30663"/>
    <cellStyle name="Header2 2 2 8 12 4" xfId="41828"/>
    <cellStyle name="Header2 2 2 8 12 5" xfId="53021"/>
    <cellStyle name="Header2 2 2 8 13" xfId="9349"/>
    <cellStyle name="Header2 2 2 8 13 2" xfId="20546"/>
    <cellStyle name="Header2 2 2 8 13 3" xfId="31714"/>
    <cellStyle name="Header2 2 2 8 13 4" xfId="42879"/>
    <cellStyle name="Header2 2 2 8 13 5" xfId="54072"/>
    <cellStyle name="Header2 2 2 8 14" xfId="10233"/>
    <cellStyle name="Header2 2 2 8 14 2" xfId="21430"/>
    <cellStyle name="Header2 2 2 8 14 3" xfId="32598"/>
    <cellStyle name="Header2 2 2 8 14 4" xfId="43763"/>
    <cellStyle name="Header2 2 2 8 14 5" xfId="54956"/>
    <cellStyle name="Header2 2 2 8 15" xfId="11014"/>
    <cellStyle name="Header2 2 2 8 15 2" xfId="22211"/>
    <cellStyle name="Header2 2 2 8 15 3" xfId="33379"/>
    <cellStyle name="Header2 2 2 8 15 4" xfId="44544"/>
    <cellStyle name="Header2 2 2 8 15 5" xfId="55737"/>
    <cellStyle name="Header2 2 2 8 16" xfId="11661"/>
    <cellStyle name="Header2 2 2 8 17" xfId="22831"/>
    <cellStyle name="Header2 2 2 8 18" xfId="33998"/>
    <cellStyle name="Header2 2 2 8 19" xfId="45184"/>
    <cellStyle name="Header2 2 2 8 2" xfId="1110"/>
    <cellStyle name="Header2 2 2 8 2 2" xfId="12307"/>
    <cellStyle name="Header2 2 2 8 2 3" xfId="23475"/>
    <cellStyle name="Header2 2 2 8 2 4" xfId="34640"/>
    <cellStyle name="Header2 2 2 8 2 5" xfId="45833"/>
    <cellStyle name="Header2 2 2 8 3" xfId="1547"/>
    <cellStyle name="Header2 2 2 8 3 2" xfId="12744"/>
    <cellStyle name="Header2 2 2 8 3 3" xfId="23912"/>
    <cellStyle name="Header2 2 2 8 3 4" xfId="35077"/>
    <cellStyle name="Header2 2 2 8 3 5" xfId="46270"/>
    <cellStyle name="Header2 2 2 8 4" xfId="2811"/>
    <cellStyle name="Header2 2 2 8 4 2" xfId="14008"/>
    <cellStyle name="Header2 2 2 8 4 3" xfId="25176"/>
    <cellStyle name="Header2 2 2 8 4 4" xfId="36341"/>
    <cellStyle name="Header2 2 2 8 4 5" xfId="47534"/>
    <cellStyle name="Header2 2 2 8 5" xfId="3445"/>
    <cellStyle name="Header2 2 2 8 5 2" xfId="14642"/>
    <cellStyle name="Header2 2 2 8 5 3" xfId="25810"/>
    <cellStyle name="Header2 2 2 8 5 4" xfId="36975"/>
    <cellStyle name="Header2 2 2 8 5 5" xfId="48168"/>
    <cellStyle name="Header2 2 2 8 6" xfId="4079"/>
    <cellStyle name="Header2 2 2 8 6 2" xfId="15276"/>
    <cellStyle name="Header2 2 2 8 6 3" xfId="26444"/>
    <cellStyle name="Header2 2 2 8 6 4" xfId="37609"/>
    <cellStyle name="Header2 2 2 8 6 5" xfId="48802"/>
    <cellStyle name="Header2 2 2 8 7" xfId="4712"/>
    <cellStyle name="Header2 2 2 8 7 2" xfId="15909"/>
    <cellStyle name="Header2 2 2 8 7 3" xfId="27077"/>
    <cellStyle name="Header2 2 2 8 7 4" xfId="38242"/>
    <cellStyle name="Header2 2 2 8 7 5" xfId="49435"/>
    <cellStyle name="Header2 2 2 8 8" xfId="5343"/>
    <cellStyle name="Header2 2 2 8 8 2" xfId="16540"/>
    <cellStyle name="Header2 2 2 8 8 3" xfId="27708"/>
    <cellStyle name="Header2 2 2 8 8 4" xfId="38873"/>
    <cellStyle name="Header2 2 2 8 8 5" xfId="50066"/>
    <cellStyle name="Header2 2 2 8 9" xfId="6397"/>
    <cellStyle name="Header2 2 2 8 9 2" xfId="17594"/>
    <cellStyle name="Header2 2 2 8 9 3" xfId="28762"/>
    <cellStyle name="Header2 2 2 8 9 4" xfId="39927"/>
    <cellStyle name="Header2 2 2 8 9 5" xfId="51120"/>
    <cellStyle name="Header2 2 2 9" xfId="519"/>
    <cellStyle name="Header2 2 2 9 10" xfId="7088"/>
    <cellStyle name="Header2 2 2 9 10 2" xfId="18285"/>
    <cellStyle name="Header2 2 2 9 10 3" xfId="29453"/>
    <cellStyle name="Header2 2 2 9 10 4" xfId="40618"/>
    <cellStyle name="Header2 2 2 9 10 5" xfId="51811"/>
    <cellStyle name="Header2 2 2 9 11" xfId="7722"/>
    <cellStyle name="Header2 2 2 9 11 2" xfId="18919"/>
    <cellStyle name="Header2 2 2 9 11 3" xfId="30087"/>
    <cellStyle name="Header2 2 2 9 11 4" xfId="41252"/>
    <cellStyle name="Header2 2 2 9 11 5" xfId="52445"/>
    <cellStyle name="Header2 2 2 9 12" xfId="8356"/>
    <cellStyle name="Header2 2 2 9 12 2" xfId="19553"/>
    <cellStyle name="Header2 2 2 9 12 3" xfId="30721"/>
    <cellStyle name="Header2 2 2 9 12 4" xfId="41886"/>
    <cellStyle name="Header2 2 2 9 12 5" xfId="53079"/>
    <cellStyle name="Header2 2 2 9 13" xfId="9407"/>
    <cellStyle name="Header2 2 2 9 13 2" xfId="20604"/>
    <cellStyle name="Header2 2 2 9 13 3" xfId="31772"/>
    <cellStyle name="Header2 2 2 9 13 4" xfId="42937"/>
    <cellStyle name="Header2 2 2 9 13 5" xfId="54130"/>
    <cellStyle name="Header2 2 2 9 14" xfId="10105"/>
    <cellStyle name="Header2 2 2 9 14 2" xfId="21302"/>
    <cellStyle name="Header2 2 2 9 14 3" xfId="32470"/>
    <cellStyle name="Header2 2 2 9 14 4" xfId="43635"/>
    <cellStyle name="Header2 2 2 9 14 5" xfId="54828"/>
    <cellStyle name="Header2 2 2 9 15" xfId="11072"/>
    <cellStyle name="Header2 2 2 9 15 2" xfId="22269"/>
    <cellStyle name="Header2 2 2 9 15 3" xfId="33437"/>
    <cellStyle name="Header2 2 2 9 15 4" xfId="44602"/>
    <cellStyle name="Header2 2 2 9 15 5" xfId="55795"/>
    <cellStyle name="Header2 2 2 9 16" xfId="11719"/>
    <cellStyle name="Header2 2 2 9 17" xfId="22889"/>
    <cellStyle name="Header2 2 2 9 18" xfId="34056"/>
    <cellStyle name="Header2 2 2 9 19" xfId="45242"/>
    <cellStyle name="Header2 2 2 9 2" xfId="1168"/>
    <cellStyle name="Header2 2 2 9 2 2" xfId="12365"/>
    <cellStyle name="Header2 2 2 9 2 3" xfId="23533"/>
    <cellStyle name="Header2 2 2 9 2 4" xfId="34698"/>
    <cellStyle name="Header2 2 2 9 2 5" xfId="45891"/>
    <cellStyle name="Header2 2 2 9 3" xfId="1918"/>
    <cellStyle name="Header2 2 2 9 3 2" xfId="13115"/>
    <cellStyle name="Header2 2 2 9 3 3" xfId="24283"/>
    <cellStyle name="Header2 2 2 9 3 4" xfId="35448"/>
    <cellStyle name="Header2 2 2 9 3 5" xfId="46641"/>
    <cellStyle name="Header2 2 2 9 4" xfId="2869"/>
    <cellStyle name="Header2 2 2 9 4 2" xfId="14066"/>
    <cellStyle name="Header2 2 2 9 4 3" xfId="25234"/>
    <cellStyle name="Header2 2 2 9 4 4" xfId="36399"/>
    <cellStyle name="Header2 2 2 9 4 5" xfId="47592"/>
    <cellStyle name="Header2 2 2 9 5" xfId="3503"/>
    <cellStyle name="Header2 2 2 9 5 2" xfId="14700"/>
    <cellStyle name="Header2 2 2 9 5 3" xfId="25868"/>
    <cellStyle name="Header2 2 2 9 5 4" xfId="37033"/>
    <cellStyle name="Header2 2 2 9 5 5" xfId="48226"/>
    <cellStyle name="Header2 2 2 9 6" xfId="4137"/>
    <cellStyle name="Header2 2 2 9 6 2" xfId="15334"/>
    <cellStyle name="Header2 2 2 9 6 3" xfId="26502"/>
    <cellStyle name="Header2 2 2 9 6 4" xfId="37667"/>
    <cellStyle name="Header2 2 2 9 6 5" xfId="48860"/>
    <cellStyle name="Header2 2 2 9 7" xfId="4770"/>
    <cellStyle name="Header2 2 2 9 7 2" xfId="15967"/>
    <cellStyle name="Header2 2 2 9 7 3" xfId="27135"/>
    <cellStyle name="Header2 2 2 9 7 4" xfId="38300"/>
    <cellStyle name="Header2 2 2 9 7 5" xfId="49493"/>
    <cellStyle name="Header2 2 2 9 8" xfId="5401"/>
    <cellStyle name="Header2 2 2 9 8 2" xfId="16598"/>
    <cellStyle name="Header2 2 2 9 8 3" xfId="27766"/>
    <cellStyle name="Header2 2 2 9 8 4" xfId="38931"/>
    <cellStyle name="Header2 2 2 9 8 5" xfId="50124"/>
    <cellStyle name="Header2 2 2 9 9" xfId="6455"/>
    <cellStyle name="Header2 2 2 9 9 2" xfId="17652"/>
    <cellStyle name="Header2 2 2 9 9 3" xfId="28820"/>
    <cellStyle name="Header2 2 2 9 9 4" xfId="39985"/>
    <cellStyle name="Header2 2 2 9 9 5" xfId="51178"/>
    <cellStyle name="Header2 2 20" xfId="259"/>
    <cellStyle name="Header2 2 20 10" xfId="6828"/>
    <cellStyle name="Header2 2 20 10 2" xfId="18025"/>
    <cellStyle name="Header2 2 20 10 3" xfId="29193"/>
    <cellStyle name="Header2 2 20 10 4" xfId="40358"/>
    <cellStyle name="Header2 2 20 10 5" xfId="51551"/>
    <cellStyle name="Header2 2 20 11" xfId="7462"/>
    <cellStyle name="Header2 2 20 11 2" xfId="18659"/>
    <cellStyle name="Header2 2 20 11 3" xfId="29827"/>
    <cellStyle name="Header2 2 20 11 4" xfId="40992"/>
    <cellStyle name="Header2 2 20 11 5" xfId="52185"/>
    <cellStyle name="Header2 2 20 12" xfId="8096"/>
    <cellStyle name="Header2 2 20 12 2" xfId="19293"/>
    <cellStyle name="Header2 2 20 12 3" xfId="30461"/>
    <cellStyle name="Header2 2 20 12 4" xfId="41626"/>
    <cellStyle name="Header2 2 20 12 5" xfId="52819"/>
    <cellStyle name="Header2 2 20 13" xfId="9147"/>
    <cellStyle name="Header2 2 20 13 2" xfId="20344"/>
    <cellStyle name="Header2 2 20 13 3" xfId="31512"/>
    <cellStyle name="Header2 2 20 13 4" xfId="42677"/>
    <cellStyle name="Header2 2 20 13 5" xfId="53870"/>
    <cellStyle name="Header2 2 20 14" xfId="9620"/>
    <cellStyle name="Header2 2 20 14 2" xfId="20817"/>
    <cellStyle name="Header2 2 20 14 3" xfId="31985"/>
    <cellStyle name="Header2 2 20 14 4" xfId="43150"/>
    <cellStyle name="Header2 2 20 14 5" xfId="54343"/>
    <cellStyle name="Header2 2 20 15" xfId="10812"/>
    <cellStyle name="Header2 2 20 15 2" xfId="22009"/>
    <cellStyle name="Header2 2 20 15 3" xfId="33177"/>
    <cellStyle name="Header2 2 20 15 4" xfId="44342"/>
    <cellStyle name="Header2 2 20 15 5" xfId="55535"/>
    <cellStyle name="Header2 2 20 16" xfId="11459"/>
    <cellStyle name="Header2 2 20 17" xfId="22629"/>
    <cellStyle name="Header2 2 20 18" xfId="33796"/>
    <cellStyle name="Header2 2 20 19" xfId="44982"/>
    <cellStyle name="Header2 2 20 2" xfId="908"/>
    <cellStyle name="Header2 2 20 2 2" xfId="12105"/>
    <cellStyle name="Header2 2 20 2 3" xfId="23273"/>
    <cellStyle name="Header2 2 20 2 4" xfId="34438"/>
    <cellStyle name="Header2 2 20 2 5" xfId="45631"/>
    <cellStyle name="Header2 2 20 3" xfId="1422"/>
    <cellStyle name="Header2 2 20 3 2" xfId="12619"/>
    <cellStyle name="Header2 2 20 3 3" xfId="23787"/>
    <cellStyle name="Header2 2 20 3 4" xfId="34952"/>
    <cellStyle name="Header2 2 20 3 5" xfId="46145"/>
    <cellStyle name="Header2 2 20 4" xfId="2609"/>
    <cellStyle name="Header2 2 20 4 2" xfId="13806"/>
    <cellStyle name="Header2 2 20 4 3" xfId="24974"/>
    <cellStyle name="Header2 2 20 4 4" xfId="36139"/>
    <cellStyle name="Header2 2 20 4 5" xfId="47332"/>
    <cellStyle name="Header2 2 20 5" xfId="3243"/>
    <cellStyle name="Header2 2 20 5 2" xfId="14440"/>
    <cellStyle name="Header2 2 20 5 3" xfId="25608"/>
    <cellStyle name="Header2 2 20 5 4" xfId="36773"/>
    <cellStyle name="Header2 2 20 5 5" xfId="47966"/>
    <cellStyle name="Header2 2 20 6" xfId="3877"/>
    <cellStyle name="Header2 2 20 6 2" xfId="15074"/>
    <cellStyle name="Header2 2 20 6 3" xfId="26242"/>
    <cellStyle name="Header2 2 20 6 4" xfId="37407"/>
    <cellStyle name="Header2 2 20 6 5" xfId="48600"/>
    <cellStyle name="Header2 2 20 7" xfId="4510"/>
    <cellStyle name="Header2 2 20 7 2" xfId="15707"/>
    <cellStyle name="Header2 2 20 7 3" xfId="26875"/>
    <cellStyle name="Header2 2 20 7 4" xfId="38040"/>
    <cellStyle name="Header2 2 20 7 5" xfId="49233"/>
    <cellStyle name="Header2 2 20 8" xfId="5141"/>
    <cellStyle name="Header2 2 20 8 2" xfId="16338"/>
    <cellStyle name="Header2 2 20 8 3" xfId="27506"/>
    <cellStyle name="Header2 2 20 8 4" xfId="38671"/>
    <cellStyle name="Header2 2 20 8 5" xfId="49864"/>
    <cellStyle name="Header2 2 20 9" xfId="6195"/>
    <cellStyle name="Header2 2 20 9 2" xfId="17392"/>
    <cellStyle name="Header2 2 20 9 3" xfId="28560"/>
    <cellStyle name="Header2 2 20 9 4" xfId="39725"/>
    <cellStyle name="Header2 2 20 9 5" xfId="50918"/>
    <cellStyle name="Header2 2 21" xfId="309"/>
    <cellStyle name="Header2 2 21 10" xfId="6878"/>
    <cellStyle name="Header2 2 21 10 2" xfId="18075"/>
    <cellStyle name="Header2 2 21 10 3" xfId="29243"/>
    <cellStyle name="Header2 2 21 10 4" xfId="40408"/>
    <cellStyle name="Header2 2 21 10 5" xfId="51601"/>
    <cellStyle name="Header2 2 21 11" xfId="7512"/>
    <cellStyle name="Header2 2 21 11 2" xfId="18709"/>
    <cellStyle name="Header2 2 21 11 3" xfId="29877"/>
    <cellStyle name="Header2 2 21 11 4" xfId="41042"/>
    <cellStyle name="Header2 2 21 11 5" xfId="52235"/>
    <cellStyle name="Header2 2 21 12" xfId="8146"/>
    <cellStyle name="Header2 2 21 12 2" xfId="19343"/>
    <cellStyle name="Header2 2 21 12 3" xfId="30511"/>
    <cellStyle name="Header2 2 21 12 4" xfId="41676"/>
    <cellStyle name="Header2 2 21 12 5" xfId="52869"/>
    <cellStyle name="Header2 2 21 13" xfId="9197"/>
    <cellStyle name="Header2 2 21 13 2" xfId="20394"/>
    <cellStyle name="Header2 2 21 13 3" xfId="31562"/>
    <cellStyle name="Header2 2 21 13 4" xfId="42727"/>
    <cellStyle name="Header2 2 21 13 5" xfId="53920"/>
    <cellStyle name="Header2 2 21 14" xfId="10469"/>
    <cellStyle name="Header2 2 21 14 2" xfId="21666"/>
    <cellStyle name="Header2 2 21 14 3" xfId="32834"/>
    <cellStyle name="Header2 2 21 14 4" xfId="43999"/>
    <cellStyle name="Header2 2 21 14 5" xfId="55192"/>
    <cellStyle name="Header2 2 21 15" xfId="10862"/>
    <cellStyle name="Header2 2 21 15 2" xfId="22059"/>
    <cellStyle name="Header2 2 21 15 3" xfId="33227"/>
    <cellStyle name="Header2 2 21 15 4" xfId="44392"/>
    <cellStyle name="Header2 2 21 15 5" xfId="55585"/>
    <cellStyle name="Header2 2 21 16" xfId="11509"/>
    <cellStyle name="Header2 2 21 17" xfId="22679"/>
    <cellStyle name="Header2 2 21 18" xfId="33846"/>
    <cellStyle name="Header2 2 21 19" xfId="45032"/>
    <cellStyle name="Header2 2 21 2" xfId="958"/>
    <cellStyle name="Header2 2 21 2 2" xfId="12155"/>
    <cellStyle name="Header2 2 21 2 3" xfId="23323"/>
    <cellStyle name="Header2 2 21 2 4" xfId="34488"/>
    <cellStyle name="Header2 2 21 2 5" xfId="45681"/>
    <cellStyle name="Header2 2 21 3" xfId="1346"/>
    <cellStyle name="Header2 2 21 3 2" xfId="12543"/>
    <cellStyle name="Header2 2 21 3 3" xfId="23711"/>
    <cellStyle name="Header2 2 21 3 4" xfId="34876"/>
    <cellStyle name="Header2 2 21 3 5" xfId="46069"/>
    <cellStyle name="Header2 2 21 4" xfId="2659"/>
    <cellStyle name="Header2 2 21 4 2" xfId="13856"/>
    <cellStyle name="Header2 2 21 4 3" xfId="25024"/>
    <cellStyle name="Header2 2 21 4 4" xfId="36189"/>
    <cellStyle name="Header2 2 21 4 5" xfId="47382"/>
    <cellStyle name="Header2 2 21 5" xfId="3293"/>
    <cellStyle name="Header2 2 21 5 2" xfId="14490"/>
    <cellStyle name="Header2 2 21 5 3" xfId="25658"/>
    <cellStyle name="Header2 2 21 5 4" xfId="36823"/>
    <cellStyle name="Header2 2 21 5 5" xfId="48016"/>
    <cellStyle name="Header2 2 21 6" xfId="3927"/>
    <cellStyle name="Header2 2 21 6 2" xfId="15124"/>
    <cellStyle name="Header2 2 21 6 3" xfId="26292"/>
    <cellStyle name="Header2 2 21 6 4" xfId="37457"/>
    <cellStyle name="Header2 2 21 6 5" xfId="48650"/>
    <cellStyle name="Header2 2 21 7" xfId="4560"/>
    <cellStyle name="Header2 2 21 7 2" xfId="15757"/>
    <cellStyle name="Header2 2 21 7 3" xfId="26925"/>
    <cellStyle name="Header2 2 21 7 4" xfId="38090"/>
    <cellStyle name="Header2 2 21 7 5" xfId="49283"/>
    <cellStyle name="Header2 2 21 8" xfId="5191"/>
    <cellStyle name="Header2 2 21 8 2" xfId="16388"/>
    <cellStyle name="Header2 2 21 8 3" xfId="27556"/>
    <cellStyle name="Header2 2 21 8 4" xfId="38721"/>
    <cellStyle name="Header2 2 21 8 5" xfId="49914"/>
    <cellStyle name="Header2 2 21 9" xfId="6245"/>
    <cellStyle name="Header2 2 21 9 2" xfId="17442"/>
    <cellStyle name="Header2 2 21 9 3" xfId="28610"/>
    <cellStyle name="Header2 2 21 9 4" xfId="39775"/>
    <cellStyle name="Header2 2 21 9 5" xfId="50968"/>
    <cellStyle name="Header2 2 22" xfId="374"/>
    <cellStyle name="Header2 2 22 10" xfId="6943"/>
    <cellStyle name="Header2 2 22 10 2" xfId="18140"/>
    <cellStyle name="Header2 2 22 10 3" xfId="29308"/>
    <cellStyle name="Header2 2 22 10 4" xfId="40473"/>
    <cellStyle name="Header2 2 22 10 5" xfId="51666"/>
    <cellStyle name="Header2 2 22 11" xfId="7577"/>
    <cellStyle name="Header2 2 22 11 2" xfId="18774"/>
    <cellStyle name="Header2 2 22 11 3" xfId="29942"/>
    <cellStyle name="Header2 2 22 11 4" xfId="41107"/>
    <cellStyle name="Header2 2 22 11 5" xfId="52300"/>
    <cellStyle name="Header2 2 22 12" xfId="8211"/>
    <cellStyle name="Header2 2 22 12 2" xfId="19408"/>
    <cellStyle name="Header2 2 22 12 3" xfId="30576"/>
    <cellStyle name="Header2 2 22 12 4" xfId="41741"/>
    <cellStyle name="Header2 2 22 12 5" xfId="52934"/>
    <cellStyle name="Header2 2 22 13" xfId="9262"/>
    <cellStyle name="Header2 2 22 13 2" xfId="20459"/>
    <cellStyle name="Header2 2 22 13 3" xfId="31627"/>
    <cellStyle name="Header2 2 22 13 4" xfId="42792"/>
    <cellStyle name="Header2 2 22 13 5" xfId="53985"/>
    <cellStyle name="Header2 2 22 14" xfId="10043"/>
    <cellStyle name="Header2 2 22 14 2" xfId="21240"/>
    <cellStyle name="Header2 2 22 14 3" xfId="32408"/>
    <cellStyle name="Header2 2 22 14 4" xfId="43573"/>
    <cellStyle name="Header2 2 22 14 5" xfId="54766"/>
    <cellStyle name="Header2 2 22 15" xfId="10927"/>
    <cellStyle name="Header2 2 22 15 2" xfId="22124"/>
    <cellStyle name="Header2 2 22 15 3" xfId="33292"/>
    <cellStyle name="Header2 2 22 15 4" xfId="44457"/>
    <cellStyle name="Header2 2 22 15 5" xfId="55650"/>
    <cellStyle name="Header2 2 22 16" xfId="11574"/>
    <cellStyle name="Header2 2 22 17" xfId="22744"/>
    <cellStyle name="Header2 2 22 18" xfId="33911"/>
    <cellStyle name="Header2 2 22 19" xfId="45097"/>
    <cellStyle name="Header2 2 22 2" xfId="1023"/>
    <cellStyle name="Header2 2 22 2 2" xfId="12220"/>
    <cellStyle name="Header2 2 22 2 3" xfId="23388"/>
    <cellStyle name="Header2 2 22 2 4" xfId="34553"/>
    <cellStyle name="Header2 2 22 2 5" xfId="45746"/>
    <cellStyle name="Header2 2 22 3" xfId="1847"/>
    <cellStyle name="Header2 2 22 3 2" xfId="13044"/>
    <cellStyle name="Header2 2 22 3 3" xfId="24212"/>
    <cellStyle name="Header2 2 22 3 4" xfId="35377"/>
    <cellStyle name="Header2 2 22 3 5" xfId="46570"/>
    <cellStyle name="Header2 2 22 4" xfId="2724"/>
    <cellStyle name="Header2 2 22 4 2" xfId="13921"/>
    <cellStyle name="Header2 2 22 4 3" xfId="25089"/>
    <cellStyle name="Header2 2 22 4 4" xfId="36254"/>
    <cellStyle name="Header2 2 22 4 5" xfId="47447"/>
    <cellStyle name="Header2 2 22 5" xfId="3358"/>
    <cellStyle name="Header2 2 22 5 2" xfId="14555"/>
    <cellStyle name="Header2 2 22 5 3" xfId="25723"/>
    <cellStyle name="Header2 2 22 5 4" xfId="36888"/>
    <cellStyle name="Header2 2 22 5 5" xfId="48081"/>
    <cellStyle name="Header2 2 22 6" xfId="3992"/>
    <cellStyle name="Header2 2 22 6 2" xfId="15189"/>
    <cellStyle name="Header2 2 22 6 3" xfId="26357"/>
    <cellStyle name="Header2 2 22 6 4" xfId="37522"/>
    <cellStyle name="Header2 2 22 6 5" xfId="48715"/>
    <cellStyle name="Header2 2 22 7" xfId="4625"/>
    <cellStyle name="Header2 2 22 7 2" xfId="15822"/>
    <cellStyle name="Header2 2 22 7 3" xfId="26990"/>
    <cellStyle name="Header2 2 22 7 4" xfId="38155"/>
    <cellStyle name="Header2 2 22 7 5" xfId="49348"/>
    <cellStyle name="Header2 2 22 8" xfId="5256"/>
    <cellStyle name="Header2 2 22 8 2" xfId="16453"/>
    <cellStyle name="Header2 2 22 8 3" xfId="27621"/>
    <cellStyle name="Header2 2 22 8 4" xfId="38786"/>
    <cellStyle name="Header2 2 22 8 5" xfId="49979"/>
    <cellStyle name="Header2 2 22 9" xfId="6310"/>
    <cellStyle name="Header2 2 22 9 2" xfId="17507"/>
    <cellStyle name="Header2 2 22 9 3" xfId="28675"/>
    <cellStyle name="Header2 2 22 9 4" xfId="39840"/>
    <cellStyle name="Header2 2 22 9 5" xfId="51033"/>
    <cellStyle name="Header2 2 23" xfId="349"/>
    <cellStyle name="Header2 2 23 10" xfId="6918"/>
    <cellStyle name="Header2 2 23 10 2" xfId="18115"/>
    <cellStyle name="Header2 2 23 10 3" xfId="29283"/>
    <cellStyle name="Header2 2 23 10 4" xfId="40448"/>
    <cellStyle name="Header2 2 23 10 5" xfId="51641"/>
    <cellStyle name="Header2 2 23 11" xfId="7552"/>
    <cellStyle name="Header2 2 23 11 2" xfId="18749"/>
    <cellStyle name="Header2 2 23 11 3" xfId="29917"/>
    <cellStyle name="Header2 2 23 11 4" xfId="41082"/>
    <cellStyle name="Header2 2 23 11 5" xfId="52275"/>
    <cellStyle name="Header2 2 23 12" xfId="8186"/>
    <cellStyle name="Header2 2 23 12 2" xfId="19383"/>
    <cellStyle name="Header2 2 23 12 3" xfId="30551"/>
    <cellStyle name="Header2 2 23 12 4" xfId="41716"/>
    <cellStyle name="Header2 2 23 12 5" xfId="52909"/>
    <cellStyle name="Header2 2 23 13" xfId="9237"/>
    <cellStyle name="Header2 2 23 13 2" xfId="20434"/>
    <cellStyle name="Header2 2 23 13 3" xfId="31602"/>
    <cellStyle name="Header2 2 23 13 4" xfId="42767"/>
    <cellStyle name="Header2 2 23 13 5" xfId="53960"/>
    <cellStyle name="Header2 2 23 14" xfId="10082"/>
    <cellStyle name="Header2 2 23 14 2" xfId="21279"/>
    <cellStyle name="Header2 2 23 14 3" xfId="32447"/>
    <cellStyle name="Header2 2 23 14 4" xfId="43612"/>
    <cellStyle name="Header2 2 23 14 5" xfId="54805"/>
    <cellStyle name="Header2 2 23 15" xfId="10902"/>
    <cellStyle name="Header2 2 23 15 2" xfId="22099"/>
    <cellStyle name="Header2 2 23 15 3" xfId="33267"/>
    <cellStyle name="Header2 2 23 15 4" xfId="44432"/>
    <cellStyle name="Header2 2 23 15 5" xfId="55625"/>
    <cellStyle name="Header2 2 23 16" xfId="11549"/>
    <cellStyle name="Header2 2 23 17" xfId="22719"/>
    <cellStyle name="Header2 2 23 18" xfId="33886"/>
    <cellStyle name="Header2 2 23 19" xfId="45072"/>
    <cellStyle name="Header2 2 23 2" xfId="998"/>
    <cellStyle name="Header2 2 23 2 2" xfId="12195"/>
    <cellStyle name="Header2 2 23 2 3" xfId="23363"/>
    <cellStyle name="Header2 2 23 2 4" xfId="34528"/>
    <cellStyle name="Header2 2 23 2 5" xfId="45721"/>
    <cellStyle name="Header2 2 23 3" xfId="1889"/>
    <cellStyle name="Header2 2 23 3 2" xfId="13086"/>
    <cellStyle name="Header2 2 23 3 3" xfId="24254"/>
    <cellStyle name="Header2 2 23 3 4" xfId="35419"/>
    <cellStyle name="Header2 2 23 3 5" xfId="46612"/>
    <cellStyle name="Header2 2 23 4" xfId="2699"/>
    <cellStyle name="Header2 2 23 4 2" xfId="13896"/>
    <cellStyle name="Header2 2 23 4 3" xfId="25064"/>
    <cellStyle name="Header2 2 23 4 4" xfId="36229"/>
    <cellStyle name="Header2 2 23 4 5" xfId="47422"/>
    <cellStyle name="Header2 2 23 5" xfId="3333"/>
    <cellStyle name="Header2 2 23 5 2" xfId="14530"/>
    <cellStyle name="Header2 2 23 5 3" xfId="25698"/>
    <cellStyle name="Header2 2 23 5 4" xfId="36863"/>
    <cellStyle name="Header2 2 23 5 5" xfId="48056"/>
    <cellStyle name="Header2 2 23 6" xfId="3967"/>
    <cellStyle name="Header2 2 23 6 2" xfId="15164"/>
    <cellStyle name="Header2 2 23 6 3" xfId="26332"/>
    <cellStyle name="Header2 2 23 6 4" xfId="37497"/>
    <cellStyle name="Header2 2 23 6 5" xfId="48690"/>
    <cellStyle name="Header2 2 23 7" xfId="4600"/>
    <cellStyle name="Header2 2 23 7 2" xfId="15797"/>
    <cellStyle name="Header2 2 23 7 3" xfId="26965"/>
    <cellStyle name="Header2 2 23 7 4" xfId="38130"/>
    <cellStyle name="Header2 2 23 7 5" xfId="49323"/>
    <cellStyle name="Header2 2 23 8" xfId="5231"/>
    <cellStyle name="Header2 2 23 8 2" xfId="16428"/>
    <cellStyle name="Header2 2 23 8 3" xfId="27596"/>
    <cellStyle name="Header2 2 23 8 4" xfId="38761"/>
    <cellStyle name="Header2 2 23 8 5" xfId="49954"/>
    <cellStyle name="Header2 2 23 9" xfId="6285"/>
    <cellStyle name="Header2 2 23 9 2" xfId="17482"/>
    <cellStyle name="Header2 2 23 9 3" xfId="28650"/>
    <cellStyle name="Header2 2 23 9 4" xfId="39815"/>
    <cellStyle name="Header2 2 23 9 5" xfId="51008"/>
    <cellStyle name="Header2 2 24" xfId="390"/>
    <cellStyle name="Header2 2 24 10" xfId="6959"/>
    <cellStyle name="Header2 2 24 10 2" xfId="18156"/>
    <cellStyle name="Header2 2 24 10 3" xfId="29324"/>
    <cellStyle name="Header2 2 24 10 4" xfId="40489"/>
    <cellStyle name="Header2 2 24 10 5" xfId="51682"/>
    <cellStyle name="Header2 2 24 11" xfId="7593"/>
    <cellStyle name="Header2 2 24 11 2" xfId="18790"/>
    <cellStyle name="Header2 2 24 11 3" xfId="29958"/>
    <cellStyle name="Header2 2 24 11 4" xfId="41123"/>
    <cellStyle name="Header2 2 24 11 5" xfId="52316"/>
    <cellStyle name="Header2 2 24 12" xfId="8227"/>
    <cellStyle name="Header2 2 24 12 2" xfId="19424"/>
    <cellStyle name="Header2 2 24 12 3" xfId="30592"/>
    <cellStyle name="Header2 2 24 12 4" xfId="41757"/>
    <cellStyle name="Header2 2 24 12 5" xfId="52950"/>
    <cellStyle name="Header2 2 24 13" xfId="9278"/>
    <cellStyle name="Header2 2 24 13 2" xfId="20475"/>
    <cellStyle name="Header2 2 24 13 3" xfId="31643"/>
    <cellStyle name="Header2 2 24 13 4" xfId="42808"/>
    <cellStyle name="Header2 2 24 13 5" xfId="54001"/>
    <cellStyle name="Header2 2 24 14" xfId="10278"/>
    <cellStyle name="Header2 2 24 14 2" xfId="21475"/>
    <cellStyle name="Header2 2 24 14 3" xfId="32643"/>
    <cellStyle name="Header2 2 24 14 4" xfId="43808"/>
    <cellStyle name="Header2 2 24 14 5" xfId="55001"/>
    <cellStyle name="Header2 2 24 15" xfId="10943"/>
    <cellStyle name="Header2 2 24 15 2" xfId="22140"/>
    <cellStyle name="Header2 2 24 15 3" xfId="33308"/>
    <cellStyle name="Header2 2 24 15 4" xfId="44473"/>
    <cellStyle name="Header2 2 24 15 5" xfId="55666"/>
    <cellStyle name="Header2 2 24 16" xfId="11590"/>
    <cellStyle name="Header2 2 24 17" xfId="22760"/>
    <cellStyle name="Header2 2 24 18" xfId="33927"/>
    <cellStyle name="Header2 2 24 19" xfId="45113"/>
    <cellStyle name="Header2 2 24 2" xfId="1039"/>
    <cellStyle name="Header2 2 24 2 2" xfId="12236"/>
    <cellStyle name="Header2 2 24 2 3" xfId="23404"/>
    <cellStyle name="Header2 2 24 2 4" xfId="34569"/>
    <cellStyle name="Header2 2 24 2 5" xfId="45762"/>
    <cellStyle name="Header2 2 24 3" xfId="1403"/>
    <cellStyle name="Header2 2 24 3 2" xfId="12600"/>
    <cellStyle name="Header2 2 24 3 3" xfId="23768"/>
    <cellStyle name="Header2 2 24 3 4" xfId="34933"/>
    <cellStyle name="Header2 2 24 3 5" xfId="46126"/>
    <cellStyle name="Header2 2 24 4" xfId="2740"/>
    <cellStyle name="Header2 2 24 4 2" xfId="13937"/>
    <cellStyle name="Header2 2 24 4 3" xfId="25105"/>
    <cellStyle name="Header2 2 24 4 4" xfId="36270"/>
    <cellStyle name="Header2 2 24 4 5" xfId="47463"/>
    <cellStyle name="Header2 2 24 5" xfId="3374"/>
    <cellStyle name="Header2 2 24 5 2" xfId="14571"/>
    <cellStyle name="Header2 2 24 5 3" xfId="25739"/>
    <cellStyle name="Header2 2 24 5 4" xfId="36904"/>
    <cellStyle name="Header2 2 24 5 5" xfId="48097"/>
    <cellStyle name="Header2 2 24 6" xfId="4008"/>
    <cellStyle name="Header2 2 24 6 2" xfId="15205"/>
    <cellStyle name="Header2 2 24 6 3" xfId="26373"/>
    <cellStyle name="Header2 2 24 6 4" xfId="37538"/>
    <cellStyle name="Header2 2 24 6 5" xfId="48731"/>
    <cellStyle name="Header2 2 24 7" xfId="4641"/>
    <cellStyle name="Header2 2 24 7 2" xfId="15838"/>
    <cellStyle name="Header2 2 24 7 3" xfId="27006"/>
    <cellStyle name="Header2 2 24 7 4" xfId="38171"/>
    <cellStyle name="Header2 2 24 7 5" xfId="49364"/>
    <cellStyle name="Header2 2 24 8" xfId="5272"/>
    <cellStyle name="Header2 2 24 8 2" xfId="16469"/>
    <cellStyle name="Header2 2 24 8 3" xfId="27637"/>
    <cellStyle name="Header2 2 24 8 4" xfId="38802"/>
    <cellStyle name="Header2 2 24 8 5" xfId="49995"/>
    <cellStyle name="Header2 2 24 9" xfId="6326"/>
    <cellStyle name="Header2 2 24 9 2" xfId="17523"/>
    <cellStyle name="Header2 2 24 9 3" xfId="28691"/>
    <cellStyle name="Header2 2 24 9 4" xfId="39856"/>
    <cellStyle name="Header2 2 24 9 5" xfId="51049"/>
    <cellStyle name="Header2 2 25" xfId="450"/>
    <cellStyle name="Header2 2 25 10" xfId="7019"/>
    <cellStyle name="Header2 2 25 10 2" xfId="18216"/>
    <cellStyle name="Header2 2 25 10 3" xfId="29384"/>
    <cellStyle name="Header2 2 25 10 4" xfId="40549"/>
    <cellStyle name="Header2 2 25 10 5" xfId="51742"/>
    <cellStyle name="Header2 2 25 11" xfId="7653"/>
    <cellStyle name="Header2 2 25 11 2" xfId="18850"/>
    <cellStyle name="Header2 2 25 11 3" xfId="30018"/>
    <cellStyle name="Header2 2 25 11 4" xfId="41183"/>
    <cellStyle name="Header2 2 25 11 5" xfId="52376"/>
    <cellStyle name="Header2 2 25 12" xfId="8287"/>
    <cellStyle name="Header2 2 25 12 2" xfId="19484"/>
    <cellStyle name="Header2 2 25 12 3" xfId="30652"/>
    <cellStyle name="Header2 2 25 12 4" xfId="41817"/>
    <cellStyle name="Header2 2 25 12 5" xfId="53010"/>
    <cellStyle name="Header2 2 25 13" xfId="9338"/>
    <cellStyle name="Header2 2 25 13 2" xfId="20535"/>
    <cellStyle name="Header2 2 25 13 3" xfId="31703"/>
    <cellStyle name="Header2 2 25 13 4" xfId="42868"/>
    <cellStyle name="Header2 2 25 13 5" xfId="54061"/>
    <cellStyle name="Header2 2 25 14" xfId="10527"/>
    <cellStyle name="Header2 2 25 14 2" xfId="21724"/>
    <cellStyle name="Header2 2 25 14 3" xfId="32892"/>
    <cellStyle name="Header2 2 25 14 4" xfId="44057"/>
    <cellStyle name="Header2 2 25 14 5" xfId="55250"/>
    <cellStyle name="Header2 2 25 15" xfId="11003"/>
    <cellStyle name="Header2 2 25 15 2" xfId="22200"/>
    <cellStyle name="Header2 2 25 15 3" xfId="33368"/>
    <cellStyle name="Header2 2 25 15 4" xfId="44533"/>
    <cellStyle name="Header2 2 25 15 5" xfId="55726"/>
    <cellStyle name="Header2 2 25 16" xfId="11650"/>
    <cellStyle name="Header2 2 25 17" xfId="22820"/>
    <cellStyle name="Header2 2 25 18" xfId="33987"/>
    <cellStyle name="Header2 2 25 19" xfId="45173"/>
    <cellStyle name="Header2 2 25 2" xfId="1099"/>
    <cellStyle name="Header2 2 25 2 2" xfId="12296"/>
    <cellStyle name="Header2 2 25 2 3" xfId="23464"/>
    <cellStyle name="Header2 2 25 2 4" xfId="34629"/>
    <cellStyle name="Header2 2 25 2 5" xfId="45822"/>
    <cellStyle name="Header2 2 25 3" xfId="1369"/>
    <cellStyle name="Header2 2 25 3 2" xfId="12566"/>
    <cellStyle name="Header2 2 25 3 3" xfId="23734"/>
    <cellStyle name="Header2 2 25 3 4" xfId="34899"/>
    <cellStyle name="Header2 2 25 3 5" xfId="46092"/>
    <cellStyle name="Header2 2 25 4" xfId="2800"/>
    <cellStyle name="Header2 2 25 4 2" xfId="13997"/>
    <cellStyle name="Header2 2 25 4 3" xfId="25165"/>
    <cellStyle name="Header2 2 25 4 4" xfId="36330"/>
    <cellStyle name="Header2 2 25 4 5" xfId="47523"/>
    <cellStyle name="Header2 2 25 5" xfId="3434"/>
    <cellStyle name="Header2 2 25 5 2" xfId="14631"/>
    <cellStyle name="Header2 2 25 5 3" xfId="25799"/>
    <cellStyle name="Header2 2 25 5 4" xfId="36964"/>
    <cellStyle name="Header2 2 25 5 5" xfId="48157"/>
    <cellStyle name="Header2 2 25 6" xfId="4068"/>
    <cellStyle name="Header2 2 25 6 2" xfId="15265"/>
    <cellStyle name="Header2 2 25 6 3" xfId="26433"/>
    <cellStyle name="Header2 2 25 6 4" xfId="37598"/>
    <cellStyle name="Header2 2 25 6 5" xfId="48791"/>
    <cellStyle name="Header2 2 25 7" xfId="4701"/>
    <cellStyle name="Header2 2 25 7 2" xfId="15898"/>
    <cellStyle name="Header2 2 25 7 3" xfId="27066"/>
    <cellStyle name="Header2 2 25 7 4" xfId="38231"/>
    <cellStyle name="Header2 2 25 7 5" xfId="49424"/>
    <cellStyle name="Header2 2 25 8" xfId="5332"/>
    <cellStyle name="Header2 2 25 8 2" xfId="16529"/>
    <cellStyle name="Header2 2 25 8 3" xfId="27697"/>
    <cellStyle name="Header2 2 25 8 4" xfId="38862"/>
    <cellStyle name="Header2 2 25 8 5" xfId="50055"/>
    <cellStyle name="Header2 2 25 9" xfId="6386"/>
    <cellStyle name="Header2 2 25 9 2" xfId="17583"/>
    <cellStyle name="Header2 2 25 9 3" xfId="28751"/>
    <cellStyle name="Header2 2 25 9 4" xfId="39916"/>
    <cellStyle name="Header2 2 25 9 5" xfId="51109"/>
    <cellStyle name="Header2 2 26" xfId="432"/>
    <cellStyle name="Header2 2 26 10" xfId="7001"/>
    <cellStyle name="Header2 2 26 10 2" xfId="18198"/>
    <cellStyle name="Header2 2 26 10 3" xfId="29366"/>
    <cellStyle name="Header2 2 26 10 4" xfId="40531"/>
    <cellStyle name="Header2 2 26 10 5" xfId="51724"/>
    <cellStyle name="Header2 2 26 11" xfId="7635"/>
    <cellStyle name="Header2 2 26 11 2" xfId="18832"/>
    <cellStyle name="Header2 2 26 11 3" xfId="30000"/>
    <cellStyle name="Header2 2 26 11 4" xfId="41165"/>
    <cellStyle name="Header2 2 26 11 5" xfId="52358"/>
    <cellStyle name="Header2 2 26 12" xfId="8269"/>
    <cellStyle name="Header2 2 26 12 2" xfId="19466"/>
    <cellStyle name="Header2 2 26 12 3" xfId="30634"/>
    <cellStyle name="Header2 2 26 12 4" xfId="41799"/>
    <cellStyle name="Header2 2 26 12 5" xfId="52992"/>
    <cellStyle name="Header2 2 26 13" xfId="9320"/>
    <cellStyle name="Header2 2 26 13 2" xfId="20517"/>
    <cellStyle name="Header2 2 26 13 3" xfId="31685"/>
    <cellStyle name="Header2 2 26 13 4" xfId="42850"/>
    <cellStyle name="Header2 2 26 13 5" xfId="54043"/>
    <cellStyle name="Header2 2 26 14" xfId="10325"/>
    <cellStyle name="Header2 2 26 14 2" xfId="21522"/>
    <cellStyle name="Header2 2 26 14 3" xfId="32690"/>
    <cellStyle name="Header2 2 26 14 4" xfId="43855"/>
    <cellStyle name="Header2 2 26 14 5" xfId="55048"/>
    <cellStyle name="Header2 2 26 15" xfId="10985"/>
    <cellStyle name="Header2 2 26 15 2" xfId="22182"/>
    <cellStyle name="Header2 2 26 15 3" xfId="33350"/>
    <cellStyle name="Header2 2 26 15 4" xfId="44515"/>
    <cellStyle name="Header2 2 26 15 5" xfId="55708"/>
    <cellStyle name="Header2 2 26 16" xfId="11632"/>
    <cellStyle name="Header2 2 26 17" xfId="22802"/>
    <cellStyle name="Header2 2 26 18" xfId="33969"/>
    <cellStyle name="Header2 2 26 19" xfId="45155"/>
    <cellStyle name="Header2 2 26 2" xfId="1081"/>
    <cellStyle name="Header2 2 26 2 2" xfId="12278"/>
    <cellStyle name="Header2 2 26 2 3" xfId="23446"/>
    <cellStyle name="Header2 2 26 2 4" xfId="34611"/>
    <cellStyle name="Header2 2 26 2 5" xfId="45804"/>
    <cellStyle name="Header2 2 26 3" xfId="1589"/>
    <cellStyle name="Header2 2 26 3 2" xfId="12786"/>
    <cellStyle name="Header2 2 26 3 3" xfId="23954"/>
    <cellStyle name="Header2 2 26 3 4" xfId="35119"/>
    <cellStyle name="Header2 2 26 3 5" xfId="46312"/>
    <cellStyle name="Header2 2 26 4" xfId="2782"/>
    <cellStyle name="Header2 2 26 4 2" xfId="13979"/>
    <cellStyle name="Header2 2 26 4 3" xfId="25147"/>
    <cellStyle name="Header2 2 26 4 4" xfId="36312"/>
    <cellStyle name="Header2 2 26 4 5" xfId="47505"/>
    <cellStyle name="Header2 2 26 5" xfId="3416"/>
    <cellStyle name="Header2 2 26 5 2" xfId="14613"/>
    <cellStyle name="Header2 2 26 5 3" xfId="25781"/>
    <cellStyle name="Header2 2 26 5 4" xfId="36946"/>
    <cellStyle name="Header2 2 26 5 5" xfId="48139"/>
    <cellStyle name="Header2 2 26 6" xfId="4050"/>
    <cellStyle name="Header2 2 26 6 2" xfId="15247"/>
    <cellStyle name="Header2 2 26 6 3" xfId="26415"/>
    <cellStyle name="Header2 2 26 6 4" xfId="37580"/>
    <cellStyle name="Header2 2 26 6 5" xfId="48773"/>
    <cellStyle name="Header2 2 26 7" xfId="4683"/>
    <cellStyle name="Header2 2 26 7 2" xfId="15880"/>
    <cellStyle name="Header2 2 26 7 3" xfId="27048"/>
    <cellStyle name="Header2 2 26 7 4" xfId="38213"/>
    <cellStyle name="Header2 2 26 7 5" xfId="49406"/>
    <cellStyle name="Header2 2 26 8" xfId="5314"/>
    <cellStyle name="Header2 2 26 8 2" xfId="16511"/>
    <cellStyle name="Header2 2 26 8 3" xfId="27679"/>
    <cellStyle name="Header2 2 26 8 4" xfId="38844"/>
    <cellStyle name="Header2 2 26 8 5" xfId="50037"/>
    <cellStyle name="Header2 2 26 9" xfId="6368"/>
    <cellStyle name="Header2 2 26 9 2" xfId="17565"/>
    <cellStyle name="Header2 2 26 9 3" xfId="28733"/>
    <cellStyle name="Header2 2 26 9 4" xfId="39898"/>
    <cellStyle name="Header2 2 26 9 5" xfId="51091"/>
    <cellStyle name="Header2 2 27" xfId="591"/>
    <cellStyle name="Header2 2 27 10" xfId="7160"/>
    <cellStyle name="Header2 2 27 10 2" xfId="18357"/>
    <cellStyle name="Header2 2 27 10 3" xfId="29525"/>
    <cellStyle name="Header2 2 27 10 4" xfId="40690"/>
    <cellStyle name="Header2 2 27 10 5" xfId="51883"/>
    <cellStyle name="Header2 2 27 11" xfId="7794"/>
    <cellStyle name="Header2 2 27 11 2" xfId="18991"/>
    <cellStyle name="Header2 2 27 11 3" xfId="30159"/>
    <cellStyle name="Header2 2 27 11 4" xfId="41324"/>
    <cellStyle name="Header2 2 27 11 5" xfId="52517"/>
    <cellStyle name="Header2 2 27 12" xfId="8428"/>
    <cellStyle name="Header2 2 27 12 2" xfId="19625"/>
    <cellStyle name="Header2 2 27 12 3" xfId="30793"/>
    <cellStyle name="Header2 2 27 12 4" xfId="41958"/>
    <cellStyle name="Header2 2 27 12 5" xfId="53151"/>
    <cellStyle name="Header2 2 27 13" xfId="9479"/>
    <cellStyle name="Header2 2 27 13 2" xfId="20676"/>
    <cellStyle name="Header2 2 27 13 3" xfId="31844"/>
    <cellStyle name="Header2 2 27 13 4" xfId="43009"/>
    <cellStyle name="Header2 2 27 13 5" xfId="54202"/>
    <cellStyle name="Header2 2 27 14" xfId="10441"/>
    <cellStyle name="Header2 2 27 14 2" xfId="21638"/>
    <cellStyle name="Header2 2 27 14 3" xfId="32806"/>
    <cellStyle name="Header2 2 27 14 4" xfId="43971"/>
    <cellStyle name="Header2 2 27 14 5" xfId="55164"/>
    <cellStyle name="Header2 2 27 15" xfId="11144"/>
    <cellStyle name="Header2 2 27 15 2" xfId="22341"/>
    <cellStyle name="Header2 2 27 15 3" xfId="33509"/>
    <cellStyle name="Header2 2 27 15 4" xfId="44674"/>
    <cellStyle name="Header2 2 27 15 5" xfId="55867"/>
    <cellStyle name="Header2 2 27 16" xfId="11791"/>
    <cellStyle name="Header2 2 27 17" xfId="22961"/>
    <cellStyle name="Header2 2 27 18" xfId="34128"/>
    <cellStyle name="Header2 2 27 19" xfId="45314"/>
    <cellStyle name="Header2 2 27 2" xfId="1240"/>
    <cellStyle name="Header2 2 27 2 2" xfId="12437"/>
    <cellStyle name="Header2 2 27 2 3" xfId="23605"/>
    <cellStyle name="Header2 2 27 2 4" xfId="34770"/>
    <cellStyle name="Header2 2 27 2 5" xfId="45963"/>
    <cellStyle name="Header2 2 27 3" xfId="1671"/>
    <cellStyle name="Header2 2 27 3 2" xfId="12868"/>
    <cellStyle name="Header2 2 27 3 3" xfId="24036"/>
    <cellStyle name="Header2 2 27 3 4" xfId="35201"/>
    <cellStyle name="Header2 2 27 3 5" xfId="46394"/>
    <cellStyle name="Header2 2 27 4" xfId="2941"/>
    <cellStyle name="Header2 2 27 4 2" xfId="14138"/>
    <cellStyle name="Header2 2 27 4 3" xfId="25306"/>
    <cellStyle name="Header2 2 27 4 4" xfId="36471"/>
    <cellStyle name="Header2 2 27 4 5" xfId="47664"/>
    <cellStyle name="Header2 2 27 5" xfId="3575"/>
    <cellStyle name="Header2 2 27 5 2" xfId="14772"/>
    <cellStyle name="Header2 2 27 5 3" xfId="25940"/>
    <cellStyle name="Header2 2 27 5 4" xfId="37105"/>
    <cellStyle name="Header2 2 27 5 5" xfId="48298"/>
    <cellStyle name="Header2 2 27 6" xfId="4209"/>
    <cellStyle name="Header2 2 27 6 2" xfId="15406"/>
    <cellStyle name="Header2 2 27 6 3" xfId="26574"/>
    <cellStyle name="Header2 2 27 6 4" xfId="37739"/>
    <cellStyle name="Header2 2 27 6 5" xfId="48932"/>
    <cellStyle name="Header2 2 27 7" xfId="4842"/>
    <cellStyle name="Header2 2 27 7 2" xfId="16039"/>
    <cellStyle name="Header2 2 27 7 3" xfId="27207"/>
    <cellStyle name="Header2 2 27 7 4" xfId="38372"/>
    <cellStyle name="Header2 2 27 7 5" xfId="49565"/>
    <cellStyle name="Header2 2 27 8" xfId="5473"/>
    <cellStyle name="Header2 2 27 8 2" xfId="16670"/>
    <cellStyle name="Header2 2 27 8 3" xfId="27838"/>
    <cellStyle name="Header2 2 27 8 4" xfId="39003"/>
    <cellStyle name="Header2 2 27 8 5" xfId="50196"/>
    <cellStyle name="Header2 2 27 9" xfId="6527"/>
    <cellStyle name="Header2 2 27 9 2" xfId="17724"/>
    <cellStyle name="Header2 2 27 9 3" xfId="28892"/>
    <cellStyle name="Header2 2 27 9 4" xfId="40057"/>
    <cellStyle name="Header2 2 27 9 5" xfId="51250"/>
    <cellStyle name="Header2 2 28" xfId="430"/>
    <cellStyle name="Header2 2 28 10" xfId="6999"/>
    <cellStyle name="Header2 2 28 10 2" xfId="18196"/>
    <cellStyle name="Header2 2 28 10 3" xfId="29364"/>
    <cellStyle name="Header2 2 28 10 4" xfId="40529"/>
    <cellStyle name="Header2 2 28 10 5" xfId="51722"/>
    <cellStyle name="Header2 2 28 11" xfId="7633"/>
    <cellStyle name="Header2 2 28 11 2" xfId="18830"/>
    <cellStyle name="Header2 2 28 11 3" xfId="29998"/>
    <cellStyle name="Header2 2 28 11 4" xfId="41163"/>
    <cellStyle name="Header2 2 28 11 5" xfId="52356"/>
    <cellStyle name="Header2 2 28 12" xfId="8267"/>
    <cellStyle name="Header2 2 28 12 2" xfId="19464"/>
    <cellStyle name="Header2 2 28 12 3" xfId="30632"/>
    <cellStyle name="Header2 2 28 12 4" xfId="41797"/>
    <cellStyle name="Header2 2 28 12 5" xfId="52990"/>
    <cellStyle name="Header2 2 28 13" xfId="9318"/>
    <cellStyle name="Header2 2 28 13 2" xfId="20515"/>
    <cellStyle name="Header2 2 28 13 3" xfId="31683"/>
    <cellStyle name="Header2 2 28 13 4" xfId="42848"/>
    <cellStyle name="Header2 2 28 13 5" xfId="54041"/>
    <cellStyle name="Header2 2 28 14" xfId="10477"/>
    <cellStyle name="Header2 2 28 14 2" xfId="21674"/>
    <cellStyle name="Header2 2 28 14 3" xfId="32842"/>
    <cellStyle name="Header2 2 28 14 4" xfId="44007"/>
    <cellStyle name="Header2 2 28 14 5" xfId="55200"/>
    <cellStyle name="Header2 2 28 15" xfId="10983"/>
    <cellStyle name="Header2 2 28 15 2" xfId="22180"/>
    <cellStyle name="Header2 2 28 15 3" xfId="33348"/>
    <cellStyle name="Header2 2 28 15 4" xfId="44513"/>
    <cellStyle name="Header2 2 28 15 5" xfId="55706"/>
    <cellStyle name="Header2 2 28 16" xfId="11630"/>
    <cellStyle name="Header2 2 28 17" xfId="22800"/>
    <cellStyle name="Header2 2 28 18" xfId="33967"/>
    <cellStyle name="Header2 2 28 19" xfId="45153"/>
    <cellStyle name="Header2 2 28 2" xfId="1079"/>
    <cellStyle name="Header2 2 28 2 2" xfId="12276"/>
    <cellStyle name="Header2 2 28 2 3" xfId="23444"/>
    <cellStyle name="Header2 2 28 2 4" xfId="34609"/>
    <cellStyle name="Header2 2 28 2 5" xfId="45802"/>
    <cellStyle name="Header2 2 28 3" xfId="1774"/>
    <cellStyle name="Header2 2 28 3 2" xfId="12971"/>
    <cellStyle name="Header2 2 28 3 3" xfId="24139"/>
    <cellStyle name="Header2 2 28 3 4" xfId="35304"/>
    <cellStyle name="Header2 2 28 3 5" xfId="46497"/>
    <cellStyle name="Header2 2 28 4" xfId="2780"/>
    <cellStyle name="Header2 2 28 4 2" xfId="13977"/>
    <cellStyle name="Header2 2 28 4 3" xfId="25145"/>
    <cellStyle name="Header2 2 28 4 4" xfId="36310"/>
    <cellStyle name="Header2 2 28 4 5" xfId="47503"/>
    <cellStyle name="Header2 2 28 5" xfId="3414"/>
    <cellStyle name="Header2 2 28 5 2" xfId="14611"/>
    <cellStyle name="Header2 2 28 5 3" xfId="25779"/>
    <cellStyle name="Header2 2 28 5 4" xfId="36944"/>
    <cellStyle name="Header2 2 28 5 5" xfId="48137"/>
    <cellStyle name="Header2 2 28 6" xfId="4048"/>
    <cellStyle name="Header2 2 28 6 2" xfId="15245"/>
    <cellStyle name="Header2 2 28 6 3" xfId="26413"/>
    <cellStyle name="Header2 2 28 6 4" xfId="37578"/>
    <cellStyle name="Header2 2 28 6 5" xfId="48771"/>
    <cellStyle name="Header2 2 28 7" xfId="4681"/>
    <cellStyle name="Header2 2 28 7 2" xfId="15878"/>
    <cellStyle name="Header2 2 28 7 3" xfId="27046"/>
    <cellStyle name="Header2 2 28 7 4" xfId="38211"/>
    <cellStyle name="Header2 2 28 7 5" xfId="49404"/>
    <cellStyle name="Header2 2 28 8" xfId="5312"/>
    <cellStyle name="Header2 2 28 8 2" xfId="16509"/>
    <cellStyle name="Header2 2 28 8 3" xfId="27677"/>
    <cellStyle name="Header2 2 28 8 4" xfId="38842"/>
    <cellStyle name="Header2 2 28 8 5" xfId="50035"/>
    <cellStyle name="Header2 2 28 9" xfId="6366"/>
    <cellStyle name="Header2 2 28 9 2" xfId="17563"/>
    <cellStyle name="Header2 2 28 9 3" xfId="28731"/>
    <cellStyle name="Header2 2 28 9 4" xfId="39896"/>
    <cellStyle name="Header2 2 28 9 5" xfId="51089"/>
    <cellStyle name="Header2 2 29" xfId="596"/>
    <cellStyle name="Header2 2 29 10" xfId="7165"/>
    <cellStyle name="Header2 2 29 10 2" xfId="18362"/>
    <cellStyle name="Header2 2 29 10 3" xfId="29530"/>
    <cellStyle name="Header2 2 29 10 4" xfId="40695"/>
    <cellStyle name="Header2 2 29 10 5" xfId="51888"/>
    <cellStyle name="Header2 2 29 11" xfId="7799"/>
    <cellStyle name="Header2 2 29 11 2" xfId="18996"/>
    <cellStyle name="Header2 2 29 11 3" xfId="30164"/>
    <cellStyle name="Header2 2 29 11 4" xfId="41329"/>
    <cellStyle name="Header2 2 29 11 5" xfId="52522"/>
    <cellStyle name="Header2 2 29 12" xfId="8433"/>
    <cellStyle name="Header2 2 29 12 2" xfId="19630"/>
    <cellStyle name="Header2 2 29 12 3" xfId="30798"/>
    <cellStyle name="Header2 2 29 12 4" xfId="41963"/>
    <cellStyle name="Header2 2 29 12 5" xfId="53156"/>
    <cellStyle name="Header2 2 29 13" xfId="9484"/>
    <cellStyle name="Header2 2 29 13 2" xfId="20681"/>
    <cellStyle name="Header2 2 29 13 3" xfId="31849"/>
    <cellStyle name="Header2 2 29 13 4" xfId="43014"/>
    <cellStyle name="Header2 2 29 13 5" xfId="54207"/>
    <cellStyle name="Header2 2 29 14" xfId="9608"/>
    <cellStyle name="Header2 2 29 14 2" xfId="20805"/>
    <cellStyle name="Header2 2 29 14 3" xfId="31973"/>
    <cellStyle name="Header2 2 29 14 4" xfId="43138"/>
    <cellStyle name="Header2 2 29 14 5" xfId="54331"/>
    <cellStyle name="Header2 2 29 15" xfId="11149"/>
    <cellStyle name="Header2 2 29 15 2" xfId="22346"/>
    <cellStyle name="Header2 2 29 15 3" xfId="33514"/>
    <cellStyle name="Header2 2 29 15 4" xfId="44679"/>
    <cellStyle name="Header2 2 29 15 5" xfId="55872"/>
    <cellStyle name="Header2 2 29 16" xfId="11796"/>
    <cellStyle name="Header2 2 29 17" xfId="22966"/>
    <cellStyle name="Header2 2 29 18" xfId="34133"/>
    <cellStyle name="Header2 2 29 19" xfId="45319"/>
    <cellStyle name="Header2 2 29 2" xfId="1245"/>
    <cellStyle name="Header2 2 29 2 2" xfId="12442"/>
    <cellStyle name="Header2 2 29 2 3" xfId="23610"/>
    <cellStyle name="Header2 2 29 2 4" xfId="34775"/>
    <cellStyle name="Header2 2 29 2 5" xfId="45968"/>
    <cellStyle name="Header2 2 29 3" xfId="1453"/>
    <cellStyle name="Header2 2 29 3 2" xfId="12650"/>
    <cellStyle name="Header2 2 29 3 3" xfId="23818"/>
    <cellStyle name="Header2 2 29 3 4" xfId="34983"/>
    <cellStyle name="Header2 2 29 3 5" xfId="46176"/>
    <cellStyle name="Header2 2 29 4" xfId="2946"/>
    <cellStyle name="Header2 2 29 4 2" xfId="14143"/>
    <cellStyle name="Header2 2 29 4 3" xfId="25311"/>
    <cellStyle name="Header2 2 29 4 4" xfId="36476"/>
    <cellStyle name="Header2 2 29 4 5" xfId="47669"/>
    <cellStyle name="Header2 2 29 5" xfId="3580"/>
    <cellStyle name="Header2 2 29 5 2" xfId="14777"/>
    <cellStyle name="Header2 2 29 5 3" xfId="25945"/>
    <cellStyle name="Header2 2 29 5 4" xfId="37110"/>
    <cellStyle name="Header2 2 29 5 5" xfId="48303"/>
    <cellStyle name="Header2 2 29 6" xfId="4214"/>
    <cellStyle name="Header2 2 29 6 2" xfId="15411"/>
    <cellStyle name="Header2 2 29 6 3" xfId="26579"/>
    <cellStyle name="Header2 2 29 6 4" xfId="37744"/>
    <cellStyle name="Header2 2 29 6 5" xfId="48937"/>
    <cellStyle name="Header2 2 29 7" xfId="4847"/>
    <cellStyle name="Header2 2 29 7 2" xfId="16044"/>
    <cellStyle name="Header2 2 29 7 3" xfId="27212"/>
    <cellStyle name="Header2 2 29 7 4" xfId="38377"/>
    <cellStyle name="Header2 2 29 7 5" xfId="49570"/>
    <cellStyle name="Header2 2 29 8" xfId="5478"/>
    <cellStyle name="Header2 2 29 8 2" xfId="16675"/>
    <cellStyle name="Header2 2 29 8 3" xfId="27843"/>
    <cellStyle name="Header2 2 29 8 4" xfId="39008"/>
    <cellStyle name="Header2 2 29 8 5" xfId="50201"/>
    <cellStyle name="Header2 2 29 9" xfId="6532"/>
    <cellStyle name="Header2 2 29 9 2" xfId="17729"/>
    <cellStyle name="Header2 2 29 9 3" xfId="28897"/>
    <cellStyle name="Header2 2 29 9 4" xfId="40062"/>
    <cellStyle name="Header2 2 29 9 5" xfId="51255"/>
    <cellStyle name="Header2 2 3" xfId="56"/>
    <cellStyle name="Header2 2 3 10" xfId="592"/>
    <cellStyle name="Header2 2 3 10 10" xfId="7161"/>
    <cellStyle name="Header2 2 3 10 10 2" xfId="18358"/>
    <cellStyle name="Header2 2 3 10 10 3" xfId="29526"/>
    <cellStyle name="Header2 2 3 10 10 4" xfId="40691"/>
    <cellStyle name="Header2 2 3 10 10 5" xfId="51884"/>
    <cellStyle name="Header2 2 3 10 11" xfId="7795"/>
    <cellStyle name="Header2 2 3 10 11 2" xfId="18992"/>
    <cellStyle name="Header2 2 3 10 11 3" xfId="30160"/>
    <cellStyle name="Header2 2 3 10 11 4" xfId="41325"/>
    <cellStyle name="Header2 2 3 10 11 5" xfId="52518"/>
    <cellStyle name="Header2 2 3 10 12" xfId="8429"/>
    <cellStyle name="Header2 2 3 10 12 2" xfId="19626"/>
    <cellStyle name="Header2 2 3 10 12 3" xfId="30794"/>
    <cellStyle name="Header2 2 3 10 12 4" xfId="41959"/>
    <cellStyle name="Header2 2 3 10 12 5" xfId="53152"/>
    <cellStyle name="Header2 2 3 10 13" xfId="9480"/>
    <cellStyle name="Header2 2 3 10 13 2" xfId="20677"/>
    <cellStyle name="Header2 2 3 10 13 3" xfId="31845"/>
    <cellStyle name="Header2 2 3 10 13 4" xfId="43010"/>
    <cellStyle name="Header2 2 3 10 13 5" xfId="54203"/>
    <cellStyle name="Header2 2 3 10 14" xfId="10318"/>
    <cellStyle name="Header2 2 3 10 14 2" xfId="21515"/>
    <cellStyle name="Header2 2 3 10 14 3" xfId="32683"/>
    <cellStyle name="Header2 2 3 10 14 4" xfId="43848"/>
    <cellStyle name="Header2 2 3 10 14 5" xfId="55041"/>
    <cellStyle name="Header2 2 3 10 15" xfId="11145"/>
    <cellStyle name="Header2 2 3 10 15 2" xfId="22342"/>
    <cellStyle name="Header2 2 3 10 15 3" xfId="33510"/>
    <cellStyle name="Header2 2 3 10 15 4" xfId="44675"/>
    <cellStyle name="Header2 2 3 10 15 5" xfId="55868"/>
    <cellStyle name="Header2 2 3 10 16" xfId="11792"/>
    <cellStyle name="Header2 2 3 10 17" xfId="22962"/>
    <cellStyle name="Header2 2 3 10 18" xfId="34129"/>
    <cellStyle name="Header2 2 3 10 19" xfId="45315"/>
    <cellStyle name="Header2 2 3 10 2" xfId="1241"/>
    <cellStyle name="Header2 2 3 10 2 2" xfId="12438"/>
    <cellStyle name="Header2 2 3 10 2 3" xfId="23606"/>
    <cellStyle name="Header2 2 3 10 2 4" xfId="34771"/>
    <cellStyle name="Header2 2 3 10 2 5" xfId="45964"/>
    <cellStyle name="Header2 2 3 10 3" xfId="1677"/>
    <cellStyle name="Header2 2 3 10 3 2" xfId="12874"/>
    <cellStyle name="Header2 2 3 10 3 3" xfId="24042"/>
    <cellStyle name="Header2 2 3 10 3 4" xfId="35207"/>
    <cellStyle name="Header2 2 3 10 3 5" xfId="46400"/>
    <cellStyle name="Header2 2 3 10 4" xfId="2942"/>
    <cellStyle name="Header2 2 3 10 4 2" xfId="14139"/>
    <cellStyle name="Header2 2 3 10 4 3" xfId="25307"/>
    <cellStyle name="Header2 2 3 10 4 4" xfId="36472"/>
    <cellStyle name="Header2 2 3 10 4 5" xfId="47665"/>
    <cellStyle name="Header2 2 3 10 5" xfId="3576"/>
    <cellStyle name="Header2 2 3 10 5 2" xfId="14773"/>
    <cellStyle name="Header2 2 3 10 5 3" xfId="25941"/>
    <cellStyle name="Header2 2 3 10 5 4" xfId="37106"/>
    <cellStyle name="Header2 2 3 10 5 5" xfId="48299"/>
    <cellStyle name="Header2 2 3 10 6" xfId="4210"/>
    <cellStyle name="Header2 2 3 10 6 2" xfId="15407"/>
    <cellStyle name="Header2 2 3 10 6 3" xfId="26575"/>
    <cellStyle name="Header2 2 3 10 6 4" xfId="37740"/>
    <cellStyle name="Header2 2 3 10 6 5" xfId="48933"/>
    <cellStyle name="Header2 2 3 10 7" xfId="4843"/>
    <cellStyle name="Header2 2 3 10 7 2" xfId="16040"/>
    <cellStyle name="Header2 2 3 10 7 3" xfId="27208"/>
    <cellStyle name="Header2 2 3 10 7 4" xfId="38373"/>
    <cellStyle name="Header2 2 3 10 7 5" xfId="49566"/>
    <cellStyle name="Header2 2 3 10 8" xfId="5474"/>
    <cellStyle name="Header2 2 3 10 8 2" xfId="16671"/>
    <cellStyle name="Header2 2 3 10 8 3" xfId="27839"/>
    <cellStyle name="Header2 2 3 10 8 4" xfId="39004"/>
    <cellStyle name="Header2 2 3 10 8 5" xfId="50197"/>
    <cellStyle name="Header2 2 3 10 9" xfId="6528"/>
    <cellStyle name="Header2 2 3 10 9 2" xfId="17725"/>
    <cellStyle name="Header2 2 3 10 9 3" xfId="28893"/>
    <cellStyle name="Header2 2 3 10 9 4" xfId="40058"/>
    <cellStyle name="Header2 2 3 10 9 5" xfId="51251"/>
    <cellStyle name="Header2 2 3 11" xfId="659"/>
    <cellStyle name="Header2 2 3 11 10" xfId="7228"/>
    <cellStyle name="Header2 2 3 11 10 2" xfId="18425"/>
    <cellStyle name="Header2 2 3 11 10 3" xfId="29593"/>
    <cellStyle name="Header2 2 3 11 10 4" xfId="40758"/>
    <cellStyle name="Header2 2 3 11 10 5" xfId="51951"/>
    <cellStyle name="Header2 2 3 11 11" xfId="7862"/>
    <cellStyle name="Header2 2 3 11 11 2" xfId="19059"/>
    <cellStyle name="Header2 2 3 11 11 3" xfId="30227"/>
    <cellStyle name="Header2 2 3 11 11 4" xfId="41392"/>
    <cellStyle name="Header2 2 3 11 11 5" xfId="52585"/>
    <cellStyle name="Header2 2 3 11 12" xfId="8496"/>
    <cellStyle name="Header2 2 3 11 12 2" xfId="19693"/>
    <cellStyle name="Header2 2 3 11 12 3" xfId="30861"/>
    <cellStyle name="Header2 2 3 11 12 4" xfId="42026"/>
    <cellStyle name="Header2 2 3 11 12 5" xfId="53219"/>
    <cellStyle name="Header2 2 3 11 13" xfId="9547"/>
    <cellStyle name="Header2 2 3 11 13 2" xfId="20744"/>
    <cellStyle name="Header2 2 3 11 13 3" xfId="31912"/>
    <cellStyle name="Header2 2 3 11 13 4" xfId="43077"/>
    <cellStyle name="Header2 2 3 11 13 5" xfId="54270"/>
    <cellStyle name="Header2 2 3 11 14" xfId="10238"/>
    <cellStyle name="Header2 2 3 11 14 2" xfId="21435"/>
    <cellStyle name="Header2 2 3 11 14 3" xfId="32603"/>
    <cellStyle name="Header2 2 3 11 14 4" xfId="43768"/>
    <cellStyle name="Header2 2 3 11 14 5" xfId="54961"/>
    <cellStyle name="Header2 2 3 11 15" xfId="11212"/>
    <cellStyle name="Header2 2 3 11 15 2" xfId="22409"/>
    <cellStyle name="Header2 2 3 11 15 3" xfId="33577"/>
    <cellStyle name="Header2 2 3 11 15 4" xfId="44742"/>
    <cellStyle name="Header2 2 3 11 15 5" xfId="55935"/>
    <cellStyle name="Header2 2 3 11 16" xfId="11859"/>
    <cellStyle name="Header2 2 3 11 17" xfId="23029"/>
    <cellStyle name="Header2 2 3 11 18" xfId="34196"/>
    <cellStyle name="Header2 2 3 11 19" xfId="45382"/>
    <cellStyle name="Header2 2 3 11 2" xfId="1308"/>
    <cellStyle name="Header2 2 3 11 2 2" xfId="12505"/>
    <cellStyle name="Header2 2 3 11 2 3" xfId="23673"/>
    <cellStyle name="Header2 2 3 11 2 4" xfId="34838"/>
    <cellStyle name="Header2 2 3 11 2 5" xfId="46031"/>
    <cellStyle name="Header2 2 3 11 3" xfId="1563"/>
    <cellStyle name="Header2 2 3 11 3 2" xfId="12760"/>
    <cellStyle name="Header2 2 3 11 3 3" xfId="23928"/>
    <cellStyle name="Header2 2 3 11 3 4" xfId="35093"/>
    <cellStyle name="Header2 2 3 11 3 5" xfId="46286"/>
    <cellStyle name="Header2 2 3 11 4" xfId="3009"/>
    <cellStyle name="Header2 2 3 11 4 2" xfId="14206"/>
    <cellStyle name="Header2 2 3 11 4 3" xfId="25374"/>
    <cellStyle name="Header2 2 3 11 4 4" xfId="36539"/>
    <cellStyle name="Header2 2 3 11 4 5" xfId="47732"/>
    <cellStyle name="Header2 2 3 11 5" xfId="3643"/>
    <cellStyle name="Header2 2 3 11 5 2" xfId="14840"/>
    <cellStyle name="Header2 2 3 11 5 3" xfId="26008"/>
    <cellStyle name="Header2 2 3 11 5 4" xfId="37173"/>
    <cellStyle name="Header2 2 3 11 5 5" xfId="48366"/>
    <cellStyle name="Header2 2 3 11 6" xfId="4277"/>
    <cellStyle name="Header2 2 3 11 6 2" xfId="15474"/>
    <cellStyle name="Header2 2 3 11 6 3" xfId="26642"/>
    <cellStyle name="Header2 2 3 11 6 4" xfId="37807"/>
    <cellStyle name="Header2 2 3 11 6 5" xfId="49000"/>
    <cellStyle name="Header2 2 3 11 7" xfId="4910"/>
    <cellStyle name="Header2 2 3 11 7 2" xfId="16107"/>
    <cellStyle name="Header2 2 3 11 7 3" xfId="27275"/>
    <cellStyle name="Header2 2 3 11 7 4" xfId="38440"/>
    <cellStyle name="Header2 2 3 11 7 5" xfId="49633"/>
    <cellStyle name="Header2 2 3 11 8" xfId="5541"/>
    <cellStyle name="Header2 2 3 11 8 2" xfId="16738"/>
    <cellStyle name="Header2 2 3 11 8 3" xfId="27906"/>
    <cellStyle name="Header2 2 3 11 8 4" xfId="39071"/>
    <cellStyle name="Header2 2 3 11 8 5" xfId="50264"/>
    <cellStyle name="Header2 2 3 11 9" xfId="6595"/>
    <cellStyle name="Header2 2 3 11 9 2" xfId="17792"/>
    <cellStyle name="Header2 2 3 11 9 3" xfId="28960"/>
    <cellStyle name="Header2 2 3 11 9 4" xfId="40125"/>
    <cellStyle name="Header2 2 3 11 9 5" xfId="51318"/>
    <cellStyle name="Header2 2 3 12" xfId="706"/>
    <cellStyle name="Header2 2 3 12 2" xfId="11904"/>
    <cellStyle name="Header2 2 3 12 3" xfId="23073"/>
    <cellStyle name="Header2 2 3 12 4" xfId="34238"/>
    <cellStyle name="Header2 2 3 12 5" xfId="45429"/>
    <cellStyle name="Header2 2 3 13" xfId="1737"/>
    <cellStyle name="Header2 2 3 13 2" xfId="12934"/>
    <cellStyle name="Header2 2 3 13 3" xfId="24102"/>
    <cellStyle name="Header2 2 3 13 4" xfId="35267"/>
    <cellStyle name="Header2 2 3 13 5" xfId="46460"/>
    <cellStyle name="Header2 2 3 14" xfId="2282"/>
    <cellStyle name="Header2 2 3 14 2" xfId="13479"/>
    <cellStyle name="Header2 2 3 14 3" xfId="24647"/>
    <cellStyle name="Header2 2 3 14 4" xfId="35812"/>
    <cellStyle name="Header2 2 3 14 5" xfId="47005"/>
    <cellStyle name="Header2 2 3 15" xfId="3040"/>
    <cellStyle name="Header2 2 3 15 2" xfId="14237"/>
    <cellStyle name="Header2 2 3 15 3" xfId="25405"/>
    <cellStyle name="Header2 2 3 15 4" xfId="36570"/>
    <cellStyle name="Header2 2 3 15 5" xfId="47763"/>
    <cellStyle name="Header2 2 3 16" xfId="3675"/>
    <cellStyle name="Header2 2 3 16 2" xfId="14872"/>
    <cellStyle name="Header2 2 3 16 3" xfId="26040"/>
    <cellStyle name="Header2 2 3 16 4" xfId="37205"/>
    <cellStyle name="Header2 2 3 16 5" xfId="48398"/>
    <cellStyle name="Header2 2 3 17" xfId="4307"/>
    <cellStyle name="Header2 2 3 17 2" xfId="15504"/>
    <cellStyle name="Header2 2 3 17 3" xfId="26672"/>
    <cellStyle name="Header2 2 3 17 4" xfId="37837"/>
    <cellStyle name="Header2 2 3 17 5" xfId="49030"/>
    <cellStyle name="Header2 2 3 18" xfId="4940"/>
    <cellStyle name="Header2 2 3 18 2" xfId="16137"/>
    <cellStyle name="Header2 2 3 18 3" xfId="27305"/>
    <cellStyle name="Header2 2 3 18 4" xfId="38470"/>
    <cellStyle name="Header2 2 3 18 5" xfId="49663"/>
    <cellStyle name="Header2 2 3 19" xfId="5930"/>
    <cellStyle name="Header2 2 3 19 2" xfId="17127"/>
    <cellStyle name="Header2 2 3 19 3" xfId="28295"/>
    <cellStyle name="Header2 2 3 19 4" xfId="39460"/>
    <cellStyle name="Header2 2 3 19 5" xfId="50653"/>
    <cellStyle name="Header2 2 3 2" xfId="121"/>
    <cellStyle name="Header2 2 3 2 10" xfId="6690"/>
    <cellStyle name="Header2 2 3 2 10 2" xfId="17887"/>
    <cellStyle name="Header2 2 3 2 10 3" xfId="29055"/>
    <cellStyle name="Header2 2 3 2 10 4" xfId="40220"/>
    <cellStyle name="Header2 2 3 2 10 5" xfId="51413"/>
    <cellStyle name="Header2 2 3 2 11" xfId="7324"/>
    <cellStyle name="Header2 2 3 2 11 2" xfId="18521"/>
    <cellStyle name="Header2 2 3 2 11 3" xfId="29689"/>
    <cellStyle name="Header2 2 3 2 11 4" xfId="40854"/>
    <cellStyle name="Header2 2 3 2 11 5" xfId="52047"/>
    <cellStyle name="Header2 2 3 2 12" xfId="7958"/>
    <cellStyle name="Header2 2 3 2 12 2" xfId="19155"/>
    <cellStyle name="Header2 2 3 2 12 3" xfId="30323"/>
    <cellStyle name="Header2 2 3 2 12 4" xfId="41488"/>
    <cellStyle name="Header2 2 3 2 12 5" xfId="52681"/>
    <cellStyle name="Header2 2 3 2 13" xfId="8530"/>
    <cellStyle name="Header2 2 3 2 13 2" xfId="19727"/>
    <cellStyle name="Header2 2 3 2 13 3" xfId="30895"/>
    <cellStyle name="Header2 2 3 2 13 4" xfId="42060"/>
    <cellStyle name="Header2 2 3 2 13 5" xfId="53253"/>
    <cellStyle name="Header2 2 3 2 14" xfId="10338"/>
    <cellStyle name="Header2 2 3 2 14 2" xfId="21535"/>
    <cellStyle name="Header2 2 3 2 14 3" xfId="32703"/>
    <cellStyle name="Header2 2 3 2 14 4" xfId="43868"/>
    <cellStyle name="Header2 2 3 2 14 5" xfId="55061"/>
    <cellStyle name="Header2 2 3 2 15" xfId="10674"/>
    <cellStyle name="Header2 2 3 2 15 2" xfId="21871"/>
    <cellStyle name="Header2 2 3 2 15 3" xfId="33039"/>
    <cellStyle name="Header2 2 3 2 15 4" xfId="44204"/>
    <cellStyle name="Header2 2 3 2 15 5" xfId="55397"/>
    <cellStyle name="Header2 2 3 2 16" xfId="11321"/>
    <cellStyle name="Header2 2 3 2 17" xfId="22491"/>
    <cellStyle name="Header2 2 3 2 18" xfId="33658"/>
    <cellStyle name="Header2 2 3 2 19" xfId="44844"/>
    <cellStyle name="Header2 2 3 2 2" xfId="770"/>
    <cellStyle name="Header2 2 3 2 2 2" xfId="11967"/>
    <cellStyle name="Header2 2 3 2 2 3" xfId="23135"/>
    <cellStyle name="Header2 2 3 2 2 4" xfId="34300"/>
    <cellStyle name="Header2 2 3 2 2 5" xfId="45493"/>
    <cellStyle name="Header2 2 3 2 3" xfId="1669"/>
    <cellStyle name="Header2 2 3 2 3 2" xfId="12866"/>
    <cellStyle name="Header2 2 3 2 3 3" xfId="24034"/>
    <cellStyle name="Header2 2 3 2 3 4" xfId="35199"/>
    <cellStyle name="Header2 2 3 2 3 5" xfId="46392"/>
    <cellStyle name="Header2 2 3 2 4" xfId="2337"/>
    <cellStyle name="Header2 2 3 2 4 2" xfId="13534"/>
    <cellStyle name="Header2 2 3 2 4 3" xfId="24702"/>
    <cellStyle name="Header2 2 3 2 4 4" xfId="35867"/>
    <cellStyle name="Header2 2 3 2 4 5" xfId="47060"/>
    <cellStyle name="Header2 2 3 2 5" xfId="3105"/>
    <cellStyle name="Header2 2 3 2 5 2" xfId="14302"/>
    <cellStyle name="Header2 2 3 2 5 3" xfId="25470"/>
    <cellStyle name="Header2 2 3 2 5 4" xfId="36635"/>
    <cellStyle name="Header2 2 3 2 5 5" xfId="47828"/>
    <cellStyle name="Header2 2 3 2 6" xfId="3739"/>
    <cellStyle name="Header2 2 3 2 6 2" xfId="14936"/>
    <cellStyle name="Header2 2 3 2 6 3" xfId="26104"/>
    <cellStyle name="Header2 2 3 2 6 4" xfId="37269"/>
    <cellStyle name="Header2 2 3 2 6 5" xfId="48462"/>
    <cellStyle name="Header2 2 3 2 7" xfId="4372"/>
    <cellStyle name="Header2 2 3 2 7 2" xfId="15569"/>
    <cellStyle name="Header2 2 3 2 7 3" xfId="26737"/>
    <cellStyle name="Header2 2 3 2 7 4" xfId="37902"/>
    <cellStyle name="Header2 2 3 2 7 5" xfId="49095"/>
    <cellStyle name="Header2 2 3 2 8" xfId="5003"/>
    <cellStyle name="Header2 2 3 2 8 2" xfId="16200"/>
    <cellStyle name="Header2 2 3 2 8 3" xfId="27368"/>
    <cellStyle name="Header2 2 3 2 8 4" xfId="38533"/>
    <cellStyle name="Header2 2 3 2 8 5" xfId="49726"/>
    <cellStyle name="Header2 2 3 2 9" xfId="5627"/>
    <cellStyle name="Header2 2 3 2 9 2" xfId="16824"/>
    <cellStyle name="Header2 2 3 2 9 3" xfId="27992"/>
    <cellStyle name="Header2 2 3 2 9 4" xfId="39157"/>
    <cellStyle name="Header2 2 3 2 9 5" xfId="50350"/>
    <cellStyle name="Header2 2 3 20" xfId="6627"/>
    <cellStyle name="Header2 2 3 20 2" xfId="17824"/>
    <cellStyle name="Header2 2 3 20 3" xfId="28992"/>
    <cellStyle name="Header2 2 3 20 4" xfId="40157"/>
    <cellStyle name="Header2 2 3 20 5" xfId="51350"/>
    <cellStyle name="Header2 2 3 21" xfId="7259"/>
    <cellStyle name="Header2 2 3 21 2" xfId="18456"/>
    <cellStyle name="Header2 2 3 21 3" xfId="29624"/>
    <cellStyle name="Header2 2 3 21 4" xfId="40789"/>
    <cellStyle name="Header2 2 3 21 5" xfId="51982"/>
    <cellStyle name="Header2 2 3 22" xfId="7893"/>
    <cellStyle name="Header2 2 3 22 2" xfId="19090"/>
    <cellStyle name="Header2 2 3 22 3" xfId="30258"/>
    <cellStyle name="Header2 2 3 22 4" xfId="41423"/>
    <cellStyle name="Header2 2 3 22 5" xfId="52616"/>
    <cellStyle name="Header2 2 3 23" xfId="9009"/>
    <cellStyle name="Header2 2 3 23 2" xfId="20206"/>
    <cellStyle name="Header2 2 3 23 3" xfId="31374"/>
    <cellStyle name="Header2 2 3 23 4" xfId="42539"/>
    <cellStyle name="Header2 2 3 23 5" xfId="53732"/>
    <cellStyle name="Header2 2 3 24" xfId="10407"/>
    <cellStyle name="Header2 2 3 24 2" xfId="21604"/>
    <cellStyle name="Header2 2 3 24 3" xfId="32772"/>
    <cellStyle name="Header2 2 3 24 4" xfId="43937"/>
    <cellStyle name="Header2 2 3 24 5" xfId="55130"/>
    <cellStyle name="Header2 2 3 25" xfId="10612"/>
    <cellStyle name="Header2 2 3 25 2" xfId="21809"/>
    <cellStyle name="Header2 2 3 25 3" xfId="32977"/>
    <cellStyle name="Header2 2 3 25 4" xfId="44142"/>
    <cellStyle name="Header2 2 3 25 5" xfId="55335"/>
    <cellStyle name="Header2 2 3 26" xfId="11257"/>
    <cellStyle name="Header2 2 3 27" xfId="22429"/>
    <cellStyle name="Header2 2 3 28" xfId="33596"/>
    <cellStyle name="Header2 2 3 29" xfId="44780"/>
    <cellStyle name="Header2 2 3 3" xfId="177"/>
    <cellStyle name="Header2 2 3 3 10" xfId="6746"/>
    <cellStyle name="Header2 2 3 3 10 2" xfId="17943"/>
    <cellStyle name="Header2 2 3 3 10 3" xfId="29111"/>
    <cellStyle name="Header2 2 3 3 10 4" xfId="40276"/>
    <cellStyle name="Header2 2 3 3 10 5" xfId="51469"/>
    <cellStyle name="Header2 2 3 3 11" xfId="7380"/>
    <cellStyle name="Header2 2 3 3 11 2" xfId="18577"/>
    <cellStyle name="Header2 2 3 3 11 3" xfId="29745"/>
    <cellStyle name="Header2 2 3 3 11 4" xfId="40910"/>
    <cellStyle name="Header2 2 3 3 11 5" xfId="52103"/>
    <cellStyle name="Header2 2 3 3 12" xfId="8014"/>
    <cellStyle name="Header2 2 3 3 12 2" xfId="19211"/>
    <cellStyle name="Header2 2 3 3 12 3" xfId="30379"/>
    <cellStyle name="Header2 2 3 3 12 4" xfId="41544"/>
    <cellStyle name="Header2 2 3 3 12 5" xfId="52737"/>
    <cellStyle name="Header2 2 3 3 13" xfId="8570"/>
    <cellStyle name="Header2 2 3 3 13 2" xfId="19767"/>
    <cellStyle name="Header2 2 3 3 13 3" xfId="30935"/>
    <cellStyle name="Header2 2 3 3 13 4" xfId="42100"/>
    <cellStyle name="Header2 2 3 3 13 5" xfId="53293"/>
    <cellStyle name="Header2 2 3 3 14" xfId="10374"/>
    <cellStyle name="Header2 2 3 3 14 2" xfId="21571"/>
    <cellStyle name="Header2 2 3 3 14 3" xfId="32739"/>
    <cellStyle name="Header2 2 3 3 14 4" xfId="43904"/>
    <cellStyle name="Header2 2 3 3 14 5" xfId="55097"/>
    <cellStyle name="Header2 2 3 3 15" xfId="10730"/>
    <cellStyle name="Header2 2 3 3 15 2" xfId="21927"/>
    <cellStyle name="Header2 2 3 3 15 3" xfId="33095"/>
    <cellStyle name="Header2 2 3 3 15 4" xfId="44260"/>
    <cellStyle name="Header2 2 3 3 15 5" xfId="55453"/>
    <cellStyle name="Header2 2 3 3 16" xfId="11377"/>
    <cellStyle name="Header2 2 3 3 17" xfId="22547"/>
    <cellStyle name="Header2 2 3 3 18" xfId="33714"/>
    <cellStyle name="Header2 2 3 3 19" xfId="44900"/>
    <cellStyle name="Header2 2 3 3 2" xfId="826"/>
    <cellStyle name="Header2 2 3 3 2 2" xfId="12023"/>
    <cellStyle name="Header2 2 3 3 2 3" xfId="23191"/>
    <cellStyle name="Header2 2 3 3 2 4" xfId="34356"/>
    <cellStyle name="Header2 2 3 3 2 5" xfId="45549"/>
    <cellStyle name="Header2 2 3 3 3" xfId="1676"/>
    <cellStyle name="Header2 2 3 3 3 2" xfId="12873"/>
    <cellStyle name="Header2 2 3 3 3 3" xfId="24041"/>
    <cellStyle name="Header2 2 3 3 3 4" xfId="35206"/>
    <cellStyle name="Header2 2 3 3 3 5" xfId="46399"/>
    <cellStyle name="Header2 2 3 3 4" xfId="2352"/>
    <cellStyle name="Header2 2 3 3 4 2" xfId="13549"/>
    <cellStyle name="Header2 2 3 3 4 3" xfId="24717"/>
    <cellStyle name="Header2 2 3 3 4 4" xfId="35882"/>
    <cellStyle name="Header2 2 3 3 4 5" xfId="47075"/>
    <cellStyle name="Header2 2 3 3 5" xfId="3161"/>
    <cellStyle name="Header2 2 3 3 5 2" xfId="14358"/>
    <cellStyle name="Header2 2 3 3 5 3" xfId="25526"/>
    <cellStyle name="Header2 2 3 3 5 4" xfId="36691"/>
    <cellStyle name="Header2 2 3 3 5 5" xfId="47884"/>
    <cellStyle name="Header2 2 3 3 6" xfId="3795"/>
    <cellStyle name="Header2 2 3 3 6 2" xfId="14992"/>
    <cellStyle name="Header2 2 3 3 6 3" xfId="26160"/>
    <cellStyle name="Header2 2 3 3 6 4" xfId="37325"/>
    <cellStyle name="Header2 2 3 3 6 5" xfId="48518"/>
    <cellStyle name="Header2 2 3 3 7" xfId="4428"/>
    <cellStyle name="Header2 2 3 3 7 2" xfId="15625"/>
    <cellStyle name="Header2 2 3 3 7 3" xfId="26793"/>
    <cellStyle name="Header2 2 3 3 7 4" xfId="37958"/>
    <cellStyle name="Header2 2 3 3 7 5" xfId="49151"/>
    <cellStyle name="Header2 2 3 3 8" xfId="5059"/>
    <cellStyle name="Header2 2 3 3 8 2" xfId="16256"/>
    <cellStyle name="Header2 2 3 3 8 3" xfId="27424"/>
    <cellStyle name="Header2 2 3 3 8 4" xfId="38589"/>
    <cellStyle name="Header2 2 3 3 8 5" xfId="49782"/>
    <cellStyle name="Header2 2 3 3 9" xfId="5774"/>
    <cellStyle name="Header2 2 3 3 9 2" xfId="16971"/>
    <cellStyle name="Header2 2 3 3 9 3" xfId="28139"/>
    <cellStyle name="Header2 2 3 3 9 4" xfId="39304"/>
    <cellStyle name="Header2 2 3 3 9 5" xfId="50497"/>
    <cellStyle name="Header2 2 3 4" xfId="244"/>
    <cellStyle name="Header2 2 3 4 10" xfId="6813"/>
    <cellStyle name="Header2 2 3 4 10 2" xfId="18010"/>
    <cellStyle name="Header2 2 3 4 10 3" xfId="29178"/>
    <cellStyle name="Header2 2 3 4 10 4" xfId="40343"/>
    <cellStyle name="Header2 2 3 4 10 5" xfId="51536"/>
    <cellStyle name="Header2 2 3 4 11" xfId="7447"/>
    <cellStyle name="Header2 2 3 4 11 2" xfId="18644"/>
    <cellStyle name="Header2 2 3 4 11 3" xfId="29812"/>
    <cellStyle name="Header2 2 3 4 11 4" xfId="40977"/>
    <cellStyle name="Header2 2 3 4 11 5" xfId="52170"/>
    <cellStyle name="Header2 2 3 4 12" xfId="8081"/>
    <cellStyle name="Header2 2 3 4 12 2" xfId="19278"/>
    <cellStyle name="Header2 2 3 4 12 3" xfId="30446"/>
    <cellStyle name="Header2 2 3 4 12 4" xfId="41611"/>
    <cellStyle name="Header2 2 3 4 12 5" xfId="52804"/>
    <cellStyle name="Header2 2 3 4 13" xfId="8512"/>
    <cellStyle name="Header2 2 3 4 13 2" xfId="19709"/>
    <cellStyle name="Header2 2 3 4 13 3" xfId="30877"/>
    <cellStyle name="Header2 2 3 4 13 4" xfId="42042"/>
    <cellStyle name="Header2 2 3 4 13 5" xfId="53235"/>
    <cellStyle name="Header2 2 3 4 14" xfId="10357"/>
    <cellStyle name="Header2 2 3 4 14 2" xfId="21554"/>
    <cellStyle name="Header2 2 3 4 14 3" xfId="32722"/>
    <cellStyle name="Header2 2 3 4 14 4" xfId="43887"/>
    <cellStyle name="Header2 2 3 4 14 5" xfId="55080"/>
    <cellStyle name="Header2 2 3 4 15" xfId="10797"/>
    <cellStyle name="Header2 2 3 4 15 2" xfId="21994"/>
    <cellStyle name="Header2 2 3 4 15 3" xfId="33162"/>
    <cellStyle name="Header2 2 3 4 15 4" xfId="44327"/>
    <cellStyle name="Header2 2 3 4 15 5" xfId="55520"/>
    <cellStyle name="Header2 2 3 4 16" xfId="11444"/>
    <cellStyle name="Header2 2 3 4 17" xfId="22614"/>
    <cellStyle name="Header2 2 3 4 18" xfId="33781"/>
    <cellStyle name="Header2 2 3 4 19" xfId="44967"/>
    <cellStyle name="Header2 2 3 4 2" xfId="893"/>
    <cellStyle name="Header2 2 3 4 2 2" xfId="12090"/>
    <cellStyle name="Header2 2 3 4 2 3" xfId="23258"/>
    <cellStyle name="Header2 2 3 4 2 4" xfId="34423"/>
    <cellStyle name="Header2 2 3 4 2 5" xfId="45616"/>
    <cellStyle name="Header2 2 3 4 3" xfId="1625"/>
    <cellStyle name="Header2 2 3 4 3 2" xfId="12822"/>
    <cellStyle name="Header2 2 3 4 3 3" xfId="23990"/>
    <cellStyle name="Header2 2 3 4 3 4" xfId="35155"/>
    <cellStyle name="Header2 2 3 4 3 5" xfId="46348"/>
    <cellStyle name="Header2 2 3 4 4" xfId="1766"/>
    <cellStyle name="Header2 2 3 4 4 2" xfId="12963"/>
    <cellStyle name="Header2 2 3 4 4 3" xfId="24131"/>
    <cellStyle name="Header2 2 3 4 4 4" xfId="35296"/>
    <cellStyle name="Header2 2 3 4 4 5" xfId="46489"/>
    <cellStyle name="Header2 2 3 4 5" xfId="3228"/>
    <cellStyle name="Header2 2 3 4 5 2" xfId="14425"/>
    <cellStyle name="Header2 2 3 4 5 3" xfId="25593"/>
    <cellStyle name="Header2 2 3 4 5 4" xfId="36758"/>
    <cellStyle name="Header2 2 3 4 5 5" xfId="47951"/>
    <cellStyle name="Header2 2 3 4 6" xfId="3862"/>
    <cellStyle name="Header2 2 3 4 6 2" xfId="15059"/>
    <cellStyle name="Header2 2 3 4 6 3" xfId="26227"/>
    <cellStyle name="Header2 2 3 4 6 4" xfId="37392"/>
    <cellStyle name="Header2 2 3 4 6 5" xfId="48585"/>
    <cellStyle name="Header2 2 3 4 7" xfId="4495"/>
    <cellStyle name="Header2 2 3 4 7 2" xfId="15692"/>
    <cellStyle name="Header2 2 3 4 7 3" xfId="26860"/>
    <cellStyle name="Header2 2 3 4 7 4" xfId="38025"/>
    <cellStyle name="Header2 2 3 4 7 5" xfId="49218"/>
    <cellStyle name="Header2 2 3 4 8" xfId="5126"/>
    <cellStyle name="Header2 2 3 4 8 2" xfId="16323"/>
    <cellStyle name="Header2 2 3 4 8 3" xfId="27491"/>
    <cellStyle name="Header2 2 3 4 8 4" xfId="38656"/>
    <cellStyle name="Header2 2 3 4 8 5" xfId="49849"/>
    <cellStyle name="Header2 2 3 4 9" xfId="6165"/>
    <cellStyle name="Header2 2 3 4 9 2" xfId="17362"/>
    <cellStyle name="Header2 2 3 4 9 3" xfId="28530"/>
    <cellStyle name="Header2 2 3 4 9 4" xfId="39695"/>
    <cellStyle name="Header2 2 3 4 9 5" xfId="50888"/>
    <cellStyle name="Header2 2 3 5" xfId="338"/>
    <cellStyle name="Header2 2 3 5 10" xfId="6907"/>
    <cellStyle name="Header2 2 3 5 10 2" xfId="18104"/>
    <cellStyle name="Header2 2 3 5 10 3" xfId="29272"/>
    <cellStyle name="Header2 2 3 5 10 4" xfId="40437"/>
    <cellStyle name="Header2 2 3 5 10 5" xfId="51630"/>
    <cellStyle name="Header2 2 3 5 11" xfId="7541"/>
    <cellStyle name="Header2 2 3 5 11 2" xfId="18738"/>
    <cellStyle name="Header2 2 3 5 11 3" xfId="29906"/>
    <cellStyle name="Header2 2 3 5 11 4" xfId="41071"/>
    <cellStyle name="Header2 2 3 5 11 5" xfId="52264"/>
    <cellStyle name="Header2 2 3 5 12" xfId="8175"/>
    <cellStyle name="Header2 2 3 5 12 2" xfId="19372"/>
    <cellStyle name="Header2 2 3 5 12 3" xfId="30540"/>
    <cellStyle name="Header2 2 3 5 12 4" xfId="41705"/>
    <cellStyle name="Header2 2 3 5 12 5" xfId="52898"/>
    <cellStyle name="Header2 2 3 5 13" xfId="9226"/>
    <cellStyle name="Header2 2 3 5 13 2" xfId="20423"/>
    <cellStyle name="Header2 2 3 5 13 3" xfId="31591"/>
    <cellStyle name="Header2 2 3 5 13 4" xfId="42756"/>
    <cellStyle name="Header2 2 3 5 13 5" xfId="53949"/>
    <cellStyle name="Header2 2 3 5 14" xfId="9983"/>
    <cellStyle name="Header2 2 3 5 14 2" xfId="21180"/>
    <cellStyle name="Header2 2 3 5 14 3" xfId="32348"/>
    <cellStyle name="Header2 2 3 5 14 4" xfId="43513"/>
    <cellStyle name="Header2 2 3 5 14 5" xfId="54706"/>
    <cellStyle name="Header2 2 3 5 15" xfId="10891"/>
    <cellStyle name="Header2 2 3 5 15 2" xfId="22088"/>
    <cellStyle name="Header2 2 3 5 15 3" xfId="33256"/>
    <cellStyle name="Header2 2 3 5 15 4" xfId="44421"/>
    <cellStyle name="Header2 2 3 5 15 5" xfId="55614"/>
    <cellStyle name="Header2 2 3 5 16" xfId="11538"/>
    <cellStyle name="Header2 2 3 5 17" xfId="22708"/>
    <cellStyle name="Header2 2 3 5 18" xfId="33875"/>
    <cellStyle name="Header2 2 3 5 19" xfId="45061"/>
    <cellStyle name="Header2 2 3 5 2" xfId="987"/>
    <cellStyle name="Header2 2 3 5 2 2" xfId="12184"/>
    <cellStyle name="Header2 2 3 5 2 3" xfId="23352"/>
    <cellStyle name="Header2 2 3 5 2 4" xfId="34517"/>
    <cellStyle name="Header2 2 3 5 2 5" xfId="45710"/>
    <cellStyle name="Header2 2 3 5 3" xfId="1926"/>
    <cellStyle name="Header2 2 3 5 3 2" xfId="13123"/>
    <cellStyle name="Header2 2 3 5 3 3" xfId="24291"/>
    <cellStyle name="Header2 2 3 5 3 4" xfId="35456"/>
    <cellStyle name="Header2 2 3 5 3 5" xfId="46649"/>
    <cellStyle name="Header2 2 3 5 4" xfId="2688"/>
    <cellStyle name="Header2 2 3 5 4 2" xfId="13885"/>
    <cellStyle name="Header2 2 3 5 4 3" xfId="25053"/>
    <cellStyle name="Header2 2 3 5 4 4" xfId="36218"/>
    <cellStyle name="Header2 2 3 5 4 5" xfId="47411"/>
    <cellStyle name="Header2 2 3 5 5" xfId="3322"/>
    <cellStyle name="Header2 2 3 5 5 2" xfId="14519"/>
    <cellStyle name="Header2 2 3 5 5 3" xfId="25687"/>
    <cellStyle name="Header2 2 3 5 5 4" xfId="36852"/>
    <cellStyle name="Header2 2 3 5 5 5" xfId="48045"/>
    <cellStyle name="Header2 2 3 5 6" xfId="3956"/>
    <cellStyle name="Header2 2 3 5 6 2" xfId="15153"/>
    <cellStyle name="Header2 2 3 5 6 3" xfId="26321"/>
    <cellStyle name="Header2 2 3 5 6 4" xfId="37486"/>
    <cellStyle name="Header2 2 3 5 6 5" xfId="48679"/>
    <cellStyle name="Header2 2 3 5 7" xfId="4589"/>
    <cellStyle name="Header2 2 3 5 7 2" xfId="15786"/>
    <cellStyle name="Header2 2 3 5 7 3" xfId="26954"/>
    <cellStyle name="Header2 2 3 5 7 4" xfId="38119"/>
    <cellStyle name="Header2 2 3 5 7 5" xfId="49312"/>
    <cellStyle name="Header2 2 3 5 8" xfId="5220"/>
    <cellStyle name="Header2 2 3 5 8 2" xfId="16417"/>
    <cellStyle name="Header2 2 3 5 8 3" xfId="27585"/>
    <cellStyle name="Header2 2 3 5 8 4" xfId="38750"/>
    <cellStyle name="Header2 2 3 5 8 5" xfId="49943"/>
    <cellStyle name="Header2 2 3 5 9" xfId="6274"/>
    <cellStyle name="Header2 2 3 5 9 2" xfId="17471"/>
    <cellStyle name="Header2 2 3 5 9 3" xfId="28639"/>
    <cellStyle name="Header2 2 3 5 9 4" xfId="39804"/>
    <cellStyle name="Header2 2 3 5 9 5" xfId="50997"/>
    <cellStyle name="Header2 2 3 6" xfId="342"/>
    <cellStyle name="Header2 2 3 6 10" xfId="6911"/>
    <cellStyle name="Header2 2 3 6 10 2" xfId="18108"/>
    <cellStyle name="Header2 2 3 6 10 3" xfId="29276"/>
    <cellStyle name="Header2 2 3 6 10 4" xfId="40441"/>
    <cellStyle name="Header2 2 3 6 10 5" xfId="51634"/>
    <cellStyle name="Header2 2 3 6 11" xfId="7545"/>
    <cellStyle name="Header2 2 3 6 11 2" xfId="18742"/>
    <cellStyle name="Header2 2 3 6 11 3" xfId="29910"/>
    <cellStyle name="Header2 2 3 6 11 4" xfId="41075"/>
    <cellStyle name="Header2 2 3 6 11 5" xfId="52268"/>
    <cellStyle name="Header2 2 3 6 12" xfId="8179"/>
    <cellStyle name="Header2 2 3 6 12 2" xfId="19376"/>
    <cellStyle name="Header2 2 3 6 12 3" xfId="30544"/>
    <cellStyle name="Header2 2 3 6 12 4" xfId="41709"/>
    <cellStyle name="Header2 2 3 6 12 5" xfId="52902"/>
    <cellStyle name="Header2 2 3 6 13" xfId="9230"/>
    <cellStyle name="Header2 2 3 6 13 2" xfId="20427"/>
    <cellStyle name="Header2 2 3 6 13 3" xfId="31595"/>
    <cellStyle name="Header2 2 3 6 13 4" xfId="42760"/>
    <cellStyle name="Header2 2 3 6 13 5" xfId="53953"/>
    <cellStyle name="Header2 2 3 6 14" xfId="10500"/>
    <cellStyle name="Header2 2 3 6 14 2" xfId="21697"/>
    <cellStyle name="Header2 2 3 6 14 3" xfId="32865"/>
    <cellStyle name="Header2 2 3 6 14 4" xfId="44030"/>
    <cellStyle name="Header2 2 3 6 14 5" xfId="55223"/>
    <cellStyle name="Header2 2 3 6 15" xfId="10895"/>
    <cellStyle name="Header2 2 3 6 15 2" xfId="22092"/>
    <cellStyle name="Header2 2 3 6 15 3" xfId="33260"/>
    <cellStyle name="Header2 2 3 6 15 4" xfId="44425"/>
    <cellStyle name="Header2 2 3 6 15 5" xfId="55618"/>
    <cellStyle name="Header2 2 3 6 16" xfId="11542"/>
    <cellStyle name="Header2 2 3 6 17" xfId="22712"/>
    <cellStyle name="Header2 2 3 6 18" xfId="33879"/>
    <cellStyle name="Header2 2 3 6 19" xfId="45065"/>
    <cellStyle name="Header2 2 3 6 2" xfId="991"/>
    <cellStyle name="Header2 2 3 6 2 2" xfId="12188"/>
    <cellStyle name="Header2 2 3 6 2 3" xfId="23356"/>
    <cellStyle name="Header2 2 3 6 2 4" xfId="34521"/>
    <cellStyle name="Header2 2 3 6 2 5" xfId="45714"/>
    <cellStyle name="Header2 2 3 6 3" xfId="1797"/>
    <cellStyle name="Header2 2 3 6 3 2" xfId="12994"/>
    <cellStyle name="Header2 2 3 6 3 3" xfId="24162"/>
    <cellStyle name="Header2 2 3 6 3 4" xfId="35327"/>
    <cellStyle name="Header2 2 3 6 3 5" xfId="46520"/>
    <cellStyle name="Header2 2 3 6 4" xfId="2692"/>
    <cellStyle name="Header2 2 3 6 4 2" xfId="13889"/>
    <cellStyle name="Header2 2 3 6 4 3" xfId="25057"/>
    <cellStyle name="Header2 2 3 6 4 4" xfId="36222"/>
    <cellStyle name="Header2 2 3 6 4 5" xfId="47415"/>
    <cellStyle name="Header2 2 3 6 5" xfId="3326"/>
    <cellStyle name="Header2 2 3 6 5 2" xfId="14523"/>
    <cellStyle name="Header2 2 3 6 5 3" xfId="25691"/>
    <cellStyle name="Header2 2 3 6 5 4" xfId="36856"/>
    <cellStyle name="Header2 2 3 6 5 5" xfId="48049"/>
    <cellStyle name="Header2 2 3 6 6" xfId="3960"/>
    <cellStyle name="Header2 2 3 6 6 2" xfId="15157"/>
    <cellStyle name="Header2 2 3 6 6 3" xfId="26325"/>
    <cellStyle name="Header2 2 3 6 6 4" xfId="37490"/>
    <cellStyle name="Header2 2 3 6 6 5" xfId="48683"/>
    <cellStyle name="Header2 2 3 6 7" xfId="4593"/>
    <cellStyle name="Header2 2 3 6 7 2" xfId="15790"/>
    <cellStyle name="Header2 2 3 6 7 3" xfId="26958"/>
    <cellStyle name="Header2 2 3 6 7 4" xfId="38123"/>
    <cellStyle name="Header2 2 3 6 7 5" xfId="49316"/>
    <cellStyle name="Header2 2 3 6 8" xfId="5224"/>
    <cellStyle name="Header2 2 3 6 8 2" xfId="16421"/>
    <cellStyle name="Header2 2 3 6 8 3" xfId="27589"/>
    <cellStyle name="Header2 2 3 6 8 4" xfId="38754"/>
    <cellStyle name="Header2 2 3 6 8 5" xfId="49947"/>
    <cellStyle name="Header2 2 3 6 9" xfId="6278"/>
    <cellStyle name="Header2 2 3 6 9 2" xfId="17475"/>
    <cellStyle name="Header2 2 3 6 9 3" xfId="28643"/>
    <cellStyle name="Header2 2 3 6 9 4" xfId="39808"/>
    <cellStyle name="Header2 2 3 6 9 5" xfId="51001"/>
    <cellStyle name="Header2 2 3 7" xfId="412"/>
    <cellStyle name="Header2 2 3 7 10" xfId="6981"/>
    <cellStyle name="Header2 2 3 7 10 2" xfId="18178"/>
    <cellStyle name="Header2 2 3 7 10 3" xfId="29346"/>
    <cellStyle name="Header2 2 3 7 10 4" xfId="40511"/>
    <cellStyle name="Header2 2 3 7 10 5" xfId="51704"/>
    <cellStyle name="Header2 2 3 7 11" xfId="7615"/>
    <cellStyle name="Header2 2 3 7 11 2" xfId="18812"/>
    <cellStyle name="Header2 2 3 7 11 3" xfId="29980"/>
    <cellStyle name="Header2 2 3 7 11 4" xfId="41145"/>
    <cellStyle name="Header2 2 3 7 11 5" xfId="52338"/>
    <cellStyle name="Header2 2 3 7 12" xfId="8249"/>
    <cellStyle name="Header2 2 3 7 12 2" xfId="19446"/>
    <cellStyle name="Header2 2 3 7 12 3" xfId="30614"/>
    <cellStyle name="Header2 2 3 7 12 4" xfId="41779"/>
    <cellStyle name="Header2 2 3 7 12 5" xfId="52972"/>
    <cellStyle name="Header2 2 3 7 13" xfId="9300"/>
    <cellStyle name="Header2 2 3 7 13 2" xfId="20497"/>
    <cellStyle name="Header2 2 3 7 13 3" xfId="31665"/>
    <cellStyle name="Header2 2 3 7 13 4" xfId="42830"/>
    <cellStyle name="Header2 2 3 7 13 5" xfId="54023"/>
    <cellStyle name="Header2 2 3 7 14" xfId="10268"/>
    <cellStyle name="Header2 2 3 7 14 2" xfId="21465"/>
    <cellStyle name="Header2 2 3 7 14 3" xfId="32633"/>
    <cellStyle name="Header2 2 3 7 14 4" xfId="43798"/>
    <cellStyle name="Header2 2 3 7 14 5" xfId="54991"/>
    <cellStyle name="Header2 2 3 7 15" xfId="10965"/>
    <cellStyle name="Header2 2 3 7 15 2" xfId="22162"/>
    <cellStyle name="Header2 2 3 7 15 3" xfId="33330"/>
    <cellStyle name="Header2 2 3 7 15 4" xfId="44495"/>
    <cellStyle name="Header2 2 3 7 15 5" xfId="55688"/>
    <cellStyle name="Header2 2 3 7 16" xfId="11612"/>
    <cellStyle name="Header2 2 3 7 17" xfId="22782"/>
    <cellStyle name="Header2 2 3 7 18" xfId="33949"/>
    <cellStyle name="Header2 2 3 7 19" xfId="45135"/>
    <cellStyle name="Header2 2 3 7 2" xfId="1061"/>
    <cellStyle name="Header2 2 3 7 2 2" xfId="12258"/>
    <cellStyle name="Header2 2 3 7 2 3" xfId="23426"/>
    <cellStyle name="Header2 2 3 7 2 4" xfId="34591"/>
    <cellStyle name="Header2 2 3 7 2 5" xfId="45784"/>
    <cellStyle name="Header2 2 3 7 3" xfId="1550"/>
    <cellStyle name="Header2 2 3 7 3 2" xfId="12747"/>
    <cellStyle name="Header2 2 3 7 3 3" xfId="23915"/>
    <cellStyle name="Header2 2 3 7 3 4" xfId="35080"/>
    <cellStyle name="Header2 2 3 7 3 5" xfId="46273"/>
    <cellStyle name="Header2 2 3 7 4" xfId="2762"/>
    <cellStyle name="Header2 2 3 7 4 2" xfId="13959"/>
    <cellStyle name="Header2 2 3 7 4 3" xfId="25127"/>
    <cellStyle name="Header2 2 3 7 4 4" xfId="36292"/>
    <cellStyle name="Header2 2 3 7 4 5" xfId="47485"/>
    <cellStyle name="Header2 2 3 7 5" xfId="3396"/>
    <cellStyle name="Header2 2 3 7 5 2" xfId="14593"/>
    <cellStyle name="Header2 2 3 7 5 3" xfId="25761"/>
    <cellStyle name="Header2 2 3 7 5 4" xfId="36926"/>
    <cellStyle name="Header2 2 3 7 5 5" xfId="48119"/>
    <cellStyle name="Header2 2 3 7 6" xfId="4030"/>
    <cellStyle name="Header2 2 3 7 6 2" xfId="15227"/>
    <cellStyle name="Header2 2 3 7 6 3" xfId="26395"/>
    <cellStyle name="Header2 2 3 7 6 4" xfId="37560"/>
    <cellStyle name="Header2 2 3 7 6 5" xfId="48753"/>
    <cellStyle name="Header2 2 3 7 7" xfId="4663"/>
    <cellStyle name="Header2 2 3 7 7 2" xfId="15860"/>
    <cellStyle name="Header2 2 3 7 7 3" xfId="27028"/>
    <cellStyle name="Header2 2 3 7 7 4" xfId="38193"/>
    <cellStyle name="Header2 2 3 7 7 5" xfId="49386"/>
    <cellStyle name="Header2 2 3 7 8" xfId="5294"/>
    <cellStyle name="Header2 2 3 7 8 2" xfId="16491"/>
    <cellStyle name="Header2 2 3 7 8 3" xfId="27659"/>
    <cellStyle name="Header2 2 3 7 8 4" xfId="38824"/>
    <cellStyle name="Header2 2 3 7 8 5" xfId="50017"/>
    <cellStyle name="Header2 2 3 7 9" xfId="6348"/>
    <cellStyle name="Header2 2 3 7 9 2" xfId="17545"/>
    <cellStyle name="Header2 2 3 7 9 3" xfId="28713"/>
    <cellStyle name="Header2 2 3 7 9 4" xfId="39878"/>
    <cellStyle name="Header2 2 3 7 9 5" xfId="51071"/>
    <cellStyle name="Header2 2 3 8" xfId="465"/>
    <cellStyle name="Header2 2 3 8 10" xfId="7034"/>
    <cellStyle name="Header2 2 3 8 10 2" xfId="18231"/>
    <cellStyle name="Header2 2 3 8 10 3" xfId="29399"/>
    <cellStyle name="Header2 2 3 8 10 4" xfId="40564"/>
    <cellStyle name="Header2 2 3 8 10 5" xfId="51757"/>
    <cellStyle name="Header2 2 3 8 11" xfId="7668"/>
    <cellStyle name="Header2 2 3 8 11 2" xfId="18865"/>
    <cellStyle name="Header2 2 3 8 11 3" xfId="30033"/>
    <cellStyle name="Header2 2 3 8 11 4" xfId="41198"/>
    <cellStyle name="Header2 2 3 8 11 5" xfId="52391"/>
    <cellStyle name="Header2 2 3 8 12" xfId="8302"/>
    <cellStyle name="Header2 2 3 8 12 2" xfId="19499"/>
    <cellStyle name="Header2 2 3 8 12 3" xfId="30667"/>
    <cellStyle name="Header2 2 3 8 12 4" xfId="41832"/>
    <cellStyle name="Header2 2 3 8 12 5" xfId="53025"/>
    <cellStyle name="Header2 2 3 8 13" xfId="9353"/>
    <cellStyle name="Header2 2 3 8 13 2" xfId="20550"/>
    <cellStyle name="Header2 2 3 8 13 3" xfId="31718"/>
    <cellStyle name="Header2 2 3 8 13 4" xfId="42883"/>
    <cellStyle name="Header2 2 3 8 13 5" xfId="54076"/>
    <cellStyle name="Header2 2 3 8 14" xfId="10565"/>
    <cellStyle name="Header2 2 3 8 14 2" xfId="21762"/>
    <cellStyle name="Header2 2 3 8 14 3" xfId="32930"/>
    <cellStyle name="Header2 2 3 8 14 4" xfId="44095"/>
    <cellStyle name="Header2 2 3 8 14 5" xfId="55288"/>
    <cellStyle name="Header2 2 3 8 15" xfId="11018"/>
    <cellStyle name="Header2 2 3 8 15 2" xfId="22215"/>
    <cellStyle name="Header2 2 3 8 15 3" xfId="33383"/>
    <cellStyle name="Header2 2 3 8 15 4" xfId="44548"/>
    <cellStyle name="Header2 2 3 8 15 5" xfId="55741"/>
    <cellStyle name="Header2 2 3 8 16" xfId="11665"/>
    <cellStyle name="Header2 2 3 8 17" xfId="22835"/>
    <cellStyle name="Header2 2 3 8 18" xfId="34002"/>
    <cellStyle name="Header2 2 3 8 19" xfId="45188"/>
    <cellStyle name="Header2 2 3 8 2" xfId="1114"/>
    <cellStyle name="Header2 2 3 8 2 2" xfId="12311"/>
    <cellStyle name="Header2 2 3 8 2 3" xfId="23479"/>
    <cellStyle name="Header2 2 3 8 2 4" xfId="34644"/>
    <cellStyle name="Header2 2 3 8 2 5" xfId="45837"/>
    <cellStyle name="Header2 2 3 8 3" xfId="1906"/>
    <cellStyle name="Header2 2 3 8 3 2" xfId="13103"/>
    <cellStyle name="Header2 2 3 8 3 3" xfId="24271"/>
    <cellStyle name="Header2 2 3 8 3 4" xfId="35436"/>
    <cellStyle name="Header2 2 3 8 3 5" xfId="46629"/>
    <cellStyle name="Header2 2 3 8 4" xfId="2815"/>
    <cellStyle name="Header2 2 3 8 4 2" xfId="14012"/>
    <cellStyle name="Header2 2 3 8 4 3" xfId="25180"/>
    <cellStyle name="Header2 2 3 8 4 4" xfId="36345"/>
    <cellStyle name="Header2 2 3 8 4 5" xfId="47538"/>
    <cellStyle name="Header2 2 3 8 5" xfId="3449"/>
    <cellStyle name="Header2 2 3 8 5 2" xfId="14646"/>
    <cellStyle name="Header2 2 3 8 5 3" xfId="25814"/>
    <cellStyle name="Header2 2 3 8 5 4" xfId="36979"/>
    <cellStyle name="Header2 2 3 8 5 5" xfId="48172"/>
    <cellStyle name="Header2 2 3 8 6" xfId="4083"/>
    <cellStyle name="Header2 2 3 8 6 2" xfId="15280"/>
    <cellStyle name="Header2 2 3 8 6 3" xfId="26448"/>
    <cellStyle name="Header2 2 3 8 6 4" xfId="37613"/>
    <cellStyle name="Header2 2 3 8 6 5" xfId="48806"/>
    <cellStyle name="Header2 2 3 8 7" xfId="4716"/>
    <cellStyle name="Header2 2 3 8 7 2" xfId="15913"/>
    <cellStyle name="Header2 2 3 8 7 3" xfId="27081"/>
    <cellStyle name="Header2 2 3 8 7 4" xfId="38246"/>
    <cellStyle name="Header2 2 3 8 7 5" xfId="49439"/>
    <cellStyle name="Header2 2 3 8 8" xfId="5347"/>
    <cellStyle name="Header2 2 3 8 8 2" xfId="16544"/>
    <cellStyle name="Header2 2 3 8 8 3" xfId="27712"/>
    <cellStyle name="Header2 2 3 8 8 4" xfId="38877"/>
    <cellStyle name="Header2 2 3 8 8 5" xfId="50070"/>
    <cellStyle name="Header2 2 3 8 9" xfId="6401"/>
    <cellStyle name="Header2 2 3 8 9 2" xfId="17598"/>
    <cellStyle name="Header2 2 3 8 9 3" xfId="28766"/>
    <cellStyle name="Header2 2 3 8 9 4" xfId="39931"/>
    <cellStyle name="Header2 2 3 8 9 5" xfId="51124"/>
    <cellStyle name="Header2 2 3 9" xfId="523"/>
    <cellStyle name="Header2 2 3 9 10" xfId="7092"/>
    <cellStyle name="Header2 2 3 9 10 2" xfId="18289"/>
    <cellStyle name="Header2 2 3 9 10 3" xfId="29457"/>
    <cellStyle name="Header2 2 3 9 10 4" xfId="40622"/>
    <cellStyle name="Header2 2 3 9 10 5" xfId="51815"/>
    <cellStyle name="Header2 2 3 9 11" xfId="7726"/>
    <cellStyle name="Header2 2 3 9 11 2" xfId="18923"/>
    <cellStyle name="Header2 2 3 9 11 3" xfId="30091"/>
    <cellStyle name="Header2 2 3 9 11 4" xfId="41256"/>
    <cellStyle name="Header2 2 3 9 11 5" xfId="52449"/>
    <cellStyle name="Header2 2 3 9 12" xfId="8360"/>
    <cellStyle name="Header2 2 3 9 12 2" xfId="19557"/>
    <cellStyle name="Header2 2 3 9 12 3" xfId="30725"/>
    <cellStyle name="Header2 2 3 9 12 4" xfId="41890"/>
    <cellStyle name="Header2 2 3 9 12 5" xfId="53083"/>
    <cellStyle name="Header2 2 3 9 13" xfId="9411"/>
    <cellStyle name="Header2 2 3 9 13 2" xfId="20608"/>
    <cellStyle name="Header2 2 3 9 13 3" xfId="31776"/>
    <cellStyle name="Header2 2 3 9 13 4" xfId="42941"/>
    <cellStyle name="Header2 2 3 9 13 5" xfId="54134"/>
    <cellStyle name="Header2 2 3 9 14" xfId="10460"/>
    <cellStyle name="Header2 2 3 9 14 2" xfId="21657"/>
    <cellStyle name="Header2 2 3 9 14 3" xfId="32825"/>
    <cellStyle name="Header2 2 3 9 14 4" xfId="43990"/>
    <cellStyle name="Header2 2 3 9 14 5" xfId="55183"/>
    <cellStyle name="Header2 2 3 9 15" xfId="11076"/>
    <cellStyle name="Header2 2 3 9 15 2" xfId="22273"/>
    <cellStyle name="Header2 2 3 9 15 3" xfId="33441"/>
    <cellStyle name="Header2 2 3 9 15 4" xfId="44606"/>
    <cellStyle name="Header2 2 3 9 15 5" xfId="55799"/>
    <cellStyle name="Header2 2 3 9 16" xfId="11723"/>
    <cellStyle name="Header2 2 3 9 17" xfId="22893"/>
    <cellStyle name="Header2 2 3 9 18" xfId="34060"/>
    <cellStyle name="Header2 2 3 9 19" xfId="45246"/>
    <cellStyle name="Header2 2 3 9 2" xfId="1172"/>
    <cellStyle name="Header2 2 3 9 2 2" xfId="12369"/>
    <cellStyle name="Header2 2 3 9 2 3" xfId="23537"/>
    <cellStyle name="Header2 2 3 9 2 4" xfId="34702"/>
    <cellStyle name="Header2 2 3 9 2 5" xfId="45895"/>
    <cellStyle name="Header2 2 3 9 3" xfId="1756"/>
    <cellStyle name="Header2 2 3 9 3 2" xfId="12953"/>
    <cellStyle name="Header2 2 3 9 3 3" xfId="24121"/>
    <cellStyle name="Header2 2 3 9 3 4" xfId="35286"/>
    <cellStyle name="Header2 2 3 9 3 5" xfId="46479"/>
    <cellStyle name="Header2 2 3 9 4" xfId="2873"/>
    <cellStyle name="Header2 2 3 9 4 2" xfId="14070"/>
    <cellStyle name="Header2 2 3 9 4 3" xfId="25238"/>
    <cellStyle name="Header2 2 3 9 4 4" xfId="36403"/>
    <cellStyle name="Header2 2 3 9 4 5" xfId="47596"/>
    <cellStyle name="Header2 2 3 9 5" xfId="3507"/>
    <cellStyle name="Header2 2 3 9 5 2" xfId="14704"/>
    <cellStyle name="Header2 2 3 9 5 3" xfId="25872"/>
    <cellStyle name="Header2 2 3 9 5 4" xfId="37037"/>
    <cellStyle name="Header2 2 3 9 5 5" xfId="48230"/>
    <cellStyle name="Header2 2 3 9 6" xfId="4141"/>
    <cellStyle name="Header2 2 3 9 6 2" xfId="15338"/>
    <cellStyle name="Header2 2 3 9 6 3" xfId="26506"/>
    <cellStyle name="Header2 2 3 9 6 4" xfId="37671"/>
    <cellStyle name="Header2 2 3 9 6 5" xfId="48864"/>
    <cellStyle name="Header2 2 3 9 7" xfId="4774"/>
    <cellStyle name="Header2 2 3 9 7 2" xfId="15971"/>
    <cellStyle name="Header2 2 3 9 7 3" xfId="27139"/>
    <cellStyle name="Header2 2 3 9 7 4" xfId="38304"/>
    <cellStyle name="Header2 2 3 9 7 5" xfId="49497"/>
    <cellStyle name="Header2 2 3 9 8" xfId="5405"/>
    <cellStyle name="Header2 2 3 9 8 2" xfId="16602"/>
    <cellStyle name="Header2 2 3 9 8 3" xfId="27770"/>
    <cellStyle name="Header2 2 3 9 8 4" xfId="38935"/>
    <cellStyle name="Header2 2 3 9 8 5" xfId="50128"/>
    <cellStyle name="Header2 2 3 9 9" xfId="6459"/>
    <cellStyle name="Header2 2 3 9 9 2" xfId="17656"/>
    <cellStyle name="Header2 2 3 9 9 3" xfId="28824"/>
    <cellStyle name="Header2 2 3 9 9 4" xfId="39989"/>
    <cellStyle name="Header2 2 3 9 9 5" xfId="51182"/>
    <cellStyle name="Header2 2 30" xfId="697"/>
    <cellStyle name="Header2 2 30 2" xfId="11895"/>
    <cellStyle name="Header2 2 30 3" xfId="23064"/>
    <cellStyle name="Header2 2 30 4" xfId="34231"/>
    <cellStyle name="Header2 2 30 5" xfId="45420"/>
    <cellStyle name="Header2 2 31" xfId="1367"/>
    <cellStyle name="Header2 2 31 2" xfId="12564"/>
    <cellStyle name="Header2 2 31 3" xfId="23732"/>
    <cellStyle name="Header2 2 31 4" xfId="34897"/>
    <cellStyle name="Header2 2 31 5" xfId="46090"/>
    <cellStyle name="Header2 2 32" xfId="2463"/>
    <cellStyle name="Header2 2 32 2" xfId="13660"/>
    <cellStyle name="Header2 2 32 3" xfId="24828"/>
    <cellStyle name="Header2 2 32 4" xfId="35993"/>
    <cellStyle name="Header2 2 32 5" xfId="47186"/>
    <cellStyle name="Header2 2 33" xfId="3027"/>
    <cellStyle name="Header2 2 33 2" xfId="14224"/>
    <cellStyle name="Header2 2 33 3" xfId="25392"/>
    <cellStyle name="Header2 2 33 4" xfId="36557"/>
    <cellStyle name="Header2 2 33 5" xfId="47750"/>
    <cellStyle name="Header2 2 34" xfId="3661"/>
    <cellStyle name="Header2 2 34 2" xfId="14858"/>
    <cellStyle name="Header2 2 34 3" xfId="26026"/>
    <cellStyle name="Header2 2 34 4" xfId="37191"/>
    <cellStyle name="Header2 2 34 5" xfId="48384"/>
    <cellStyle name="Header2 2 35" xfId="4293"/>
    <cellStyle name="Header2 2 35 2" xfId="15490"/>
    <cellStyle name="Header2 2 35 3" xfId="26658"/>
    <cellStyle name="Header2 2 35 4" xfId="37823"/>
    <cellStyle name="Header2 2 35 5" xfId="49016"/>
    <cellStyle name="Header2 2 36" xfId="4926"/>
    <cellStyle name="Header2 2 36 2" xfId="16123"/>
    <cellStyle name="Header2 2 36 3" xfId="27291"/>
    <cellStyle name="Header2 2 36 4" xfId="38456"/>
    <cellStyle name="Header2 2 36 5" xfId="49649"/>
    <cellStyle name="Header2 2 37" xfId="6067"/>
    <cellStyle name="Header2 2 37 2" xfId="17264"/>
    <cellStyle name="Header2 2 37 3" xfId="28432"/>
    <cellStyle name="Header2 2 37 4" xfId="39597"/>
    <cellStyle name="Header2 2 37 5" xfId="50790"/>
    <cellStyle name="Header2 2 38" xfId="6613"/>
    <cellStyle name="Header2 2 38 2" xfId="17810"/>
    <cellStyle name="Header2 2 38 3" xfId="28978"/>
    <cellStyle name="Header2 2 38 4" xfId="40143"/>
    <cellStyle name="Header2 2 38 5" xfId="51336"/>
    <cellStyle name="Header2 2 39" xfId="7246"/>
    <cellStyle name="Header2 2 39 2" xfId="18443"/>
    <cellStyle name="Header2 2 39 3" xfId="29611"/>
    <cellStyle name="Header2 2 39 4" xfId="40776"/>
    <cellStyle name="Header2 2 39 5" xfId="51969"/>
    <cellStyle name="Header2 2 4" xfId="60"/>
    <cellStyle name="Header2 2 4 10" xfId="583"/>
    <cellStyle name="Header2 2 4 10 10" xfId="7152"/>
    <cellStyle name="Header2 2 4 10 10 2" xfId="18349"/>
    <cellStyle name="Header2 2 4 10 10 3" xfId="29517"/>
    <cellStyle name="Header2 2 4 10 10 4" xfId="40682"/>
    <cellStyle name="Header2 2 4 10 10 5" xfId="51875"/>
    <cellStyle name="Header2 2 4 10 11" xfId="7786"/>
    <cellStyle name="Header2 2 4 10 11 2" xfId="18983"/>
    <cellStyle name="Header2 2 4 10 11 3" xfId="30151"/>
    <cellStyle name="Header2 2 4 10 11 4" xfId="41316"/>
    <cellStyle name="Header2 2 4 10 11 5" xfId="52509"/>
    <cellStyle name="Header2 2 4 10 12" xfId="8420"/>
    <cellStyle name="Header2 2 4 10 12 2" xfId="19617"/>
    <cellStyle name="Header2 2 4 10 12 3" xfId="30785"/>
    <cellStyle name="Header2 2 4 10 12 4" xfId="41950"/>
    <cellStyle name="Header2 2 4 10 12 5" xfId="53143"/>
    <cellStyle name="Header2 2 4 10 13" xfId="9471"/>
    <cellStyle name="Header2 2 4 10 13 2" xfId="20668"/>
    <cellStyle name="Header2 2 4 10 13 3" xfId="31836"/>
    <cellStyle name="Header2 2 4 10 13 4" xfId="43001"/>
    <cellStyle name="Header2 2 4 10 13 5" xfId="54194"/>
    <cellStyle name="Header2 2 4 10 14" xfId="10230"/>
    <cellStyle name="Header2 2 4 10 14 2" xfId="21427"/>
    <cellStyle name="Header2 2 4 10 14 3" xfId="32595"/>
    <cellStyle name="Header2 2 4 10 14 4" xfId="43760"/>
    <cellStyle name="Header2 2 4 10 14 5" xfId="54953"/>
    <cellStyle name="Header2 2 4 10 15" xfId="11136"/>
    <cellStyle name="Header2 2 4 10 15 2" xfId="22333"/>
    <cellStyle name="Header2 2 4 10 15 3" xfId="33501"/>
    <cellStyle name="Header2 2 4 10 15 4" xfId="44666"/>
    <cellStyle name="Header2 2 4 10 15 5" xfId="55859"/>
    <cellStyle name="Header2 2 4 10 16" xfId="11783"/>
    <cellStyle name="Header2 2 4 10 17" xfId="22953"/>
    <cellStyle name="Header2 2 4 10 18" xfId="34120"/>
    <cellStyle name="Header2 2 4 10 19" xfId="45306"/>
    <cellStyle name="Header2 2 4 10 2" xfId="1232"/>
    <cellStyle name="Header2 2 4 10 2 2" xfId="12429"/>
    <cellStyle name="Header2 2 4 10 2 3" xfId="23597"/>
    <cellStyle name="Header2 2 4 10 2 4" xfId="34762"/>
    <cellStyle name="Header2 2 4 10 2 5" xfId="45955"/>
    <cellStyle name="Header2 2 4 10 3" xfId="1571"/>
    <cellStyle name="Header2 2 4 10 3 2" xfId="12768"/>
    <cellStyle name="Header2 2 4 10 3 3" xfId="23936"/>
    <cellStyle name="Header2 2 4 10 3 4" xfId="35101"/>
    <cellStyle name="Header2 2 4 10 3 5" xfId="46294"/>
    <cellStyle name="Header2 2 4 10 4" xfId="2933"/>
    <cellStyle name="Header2 2 4 10 4 2" xfId="14130"/>
    <cellStyle name="Header2 2 4 10 4 3" xfId="25298"/>
    <cellStyle name="Header2 2 4 10 4 4" xfId="36463"/>
    <cellStyle name="Header2 2 4 10 4 5" xfId="47656"/>
    <cellStyle name="Header2 2 4 10 5" xfId="3567"/>
    <cellStyle name="Header2 2 4 10 5 2" xfId="14764"/>
    <cellStyle name="Header2 2 4 10 5 3" xfId="25932"/>
    <cellStyle name="Header2 2 4 10 5 4" xfId="37097"/>
    <cellStyle name="Header2 2 4 10 5 5" xfId="48290"/>
    <cellStyle name="Header2 2 4 10 6" xfId="4201"/>
    <cellStyle name="Header2 2 4 10 6 2" xfId="15398"/>
    <cellStyle name="Header2 2 4 10 6 3" xfId="26566"/>
    <cellStyle name="Header2 2 4 10 6 4" xfId="37731"/>
    <cellStyle name="Header2 2 4 10 6 5" xfId="48924"/>
    <cellStyle name="Header2 2 4 10 7" xfId="4834"/>
    <cellStyle name="Header2 2 4 10 7 2" xfId="16031"/>
    <cellStyle name="Header2 2 4 10 7 3" xfId="27199"/>
    <cellStyle name="Header2 2 4 10 7 4" xfId="38364"/>
    <cellStyle name="Header2 2 4 10 7 5" xfId="49557"/>
    <cellStyle name="Header2 2 4 10 8" xfId="5465"/>
    <cellStyle name="Header2 2 4 10 8 2" xfId="16662"/>
    <cellStyle name="Header2 2 4 10 8 3" xfId="27830"/>
    <cellStyle name="Header2 2 4 10 8 4" xfId="38995"/>
    <cellStyle name="Header2 2 4 10 8 5" xfId="50188"/>
    <cellStyle name="Header2 2 4 10 9" xfId="6519"/>
    <cellStyle name="Header2 2 4 10 9 2" xfId="17716"/>
    <cellStyle name="Header2 2 4 10 9 3" xfId="28884"/>
    <cellStyle name="Header2 2 4 10 9 4" xfId="40049"/>
    <cellStyle name="Header2 2 4 10 9 5" xfId="51242"/>
    <cellStyle name="Header2 2 4 11" xfId="648"/>
    <cellStyle name="Header2 2 4 11 10" xfId="7217"/>
    <cellStyle name="Header2 2 4 11 10 2" xfId="18414"/>
    <cellStyle name="Header2 2 4 11 10 3" xfId="29582"/>
    <cellStyle name="Header2 2 4 11 10 4" xfId="40747"/>
    <cellStyle name="Header2 2 4 11 10 5" xfId="51940"/>
    <cellStyle name="Header2 2 4 11 11" xfId="7851"/>
    <cellStyle name="Header2 2 4 11 11 2" xfId="19048"/>
    <cellStyle name="Header2 2 4 11 11 3" xfId="30216"/>
    <cellStyle name="Header2 2 4 11 11 4" xfId="41381"/>
    <cellStyle name="Header2 2 4 11 11 5" xfId="52574"/>
    <cellStyle name="Header2 2 4 11 12" xfId="8485"/>
    <cellStyle name="Header2 2 4 11 12 2" xfId="19682"/>
    <cellStyle name="Header2 2 4 11 12 3" xfId="30850"/>
    <cellStyle name="Header2 2 4 11 12 4" xfId="42015"/>
    <cellStyle name="Header2 2 4 11 12 5" xfId="53208"/>
    <cellStyle name="Header2 2 4 11 13" xfId="9536"/>
    <cellStyle name="Header2 2 4 11 13 2" xfId="20733"/>
    <cellStyle name="Header2 2 4 11 13 3" xfId="31901"/>
    <cellStyle name="Header2 2 4 11 13 4" xfId="43066"/>
    <cellStyle name="Header2 2 4 11 13 5" xfId="54259"/>
    <cellStyle name="Header2 2 4 11 14" xfId="10251"/>
    <cellStyle name="Header2 2 4 11 14 2" xfId="21448"/>
    <cellStyle name="Header2 2 4 11 14 3" xfId="32616"/>
    <cellStyle name="Header2 2 4 11 14 4" xfId="43781"/>
    <cellStyle name="Header2 2 4 11 14 5" xfId="54974"/>
    <cellStyle name="Header2 2 4 11 15" xfId="11201"/>
    <cellStyle name="Header2 2 4 11 15 2" xfId="22398"/>
    <cellStyle name="Header2 2 4 11 15 3" xfId="33566"/>
    <cellStyle name="Header2 2 4 11 15 4" xfId="44731"/>
    <cellStyle name="Header2 2 4 11 15 5" xfId="55924"/>
    <cellStyle name="Header2 2 4 11 16" xfId="11848"/>
    <cellStyle name="Header2 2 4 11 17" xfId="23018"/>
    <cellStyle name="Header2 2 4 11 18" xfId="34185"/>
    <cellStyle name="Header2 2 4 11 19" xfId="45371"/>
    <cellStyle name="Header2 2 4 11 2" xfId="1297"/>
    <cellStyle name="Header2 2 4 11 2 2" xfId="12494"/>
    <cellStyle name="Header2 2 4 11 2 3" xfId="23662"/>
    <cellStyle name="Header2 2 4 11 2 4" xfId="34827"/>
    <cellStyle name="Header2 2 4 11 2 5" xfId="46020"/>
    <cellStyle name="Header2 2 4 11 3" xfId="1516"/>
    <cellStyle name="Header2 2 4 11 3 2" xfId="12713"/>
    <cellStyle name="Header2 2 4 11 3 3" xfId="23881"/>
    <cellStyle name="Header2 2 4 11 3 4" xfId="35046"/>
    <cellStyle name="Header2 2 4 11 3 5" xfId="46239"/>
    <cellStyle name="Header2 2 4 11 4" xfId="2998"/>
    <cellStyle name="Header2 2 4 11 4 2" xfId="14195"/>
    <cellStyle name="Header2 2 4 11 4 3" xfId="25363"/>
    <cellStyle name="Header2 2 4 11 4 4" xfId="36528"/>
    <cellStyle name="Header2 2 4 11 4 5" xfId="47721"/>
    <cellStyle name="Header2 2 4 11 5" xfId="3632"/>
    <cellStyle name="Header2 2 4 11 5 2" xfId="14829"/>
    <cellStyle name="Header2 2 4 11 5 3" xfId="25997"/>
    <cellStyle name="Header2 2 4 11 5 4" xfId="37162"/>
    <cellStyle name="Header2 2 4 11 5 5" xfId="48355"/>
    <cellStyle name="Header2 2 4 11 6" xfId="4266"/>
    <cellStyle name="Header2 2 4 11 6 2" xfId="15463"/>
    <cellStyle name="Header2 2 4 11 6 3" xfId="26631"/>
    <cellStyle name="Header2 2 4 11 6 4" xfId="37796"/>
    <cellStyle name="Header2 2 4 11 6 5" xfId="48989"/>
    <cellStyle name="Header2 2 4 11 7" xfId="4899"/>
    <cellStyle name="Header2 2 4 11 7 2" xfId="16096"/>
    <cellStyle name="Header2 2 4 11 7 3" xfId="27264"/>
    <cellStyle name="Header2 2 4 11 7 4" xfId="38429"/>
    <cellStyle name="Header2 2 4 11 7 5" xfId="49622"/>
    <cellStyle name="Header2 2 4 11 8" xfId="5530"/>
    <cellStyle name="Header2 2 4 11 8 2" xfId="16727"/>
    <cellStyle name="Header2 2 4 11 8 3" xfId="27895"/>
    <cellStyle name="Header2 2 4 11 8 4" xfId="39060"/>
    <cellStyle name="Header2 2 4 11 8 5" xfId="50253"/>
    <cellStyle name="Header2 2 4 11 9" xfId="6584"/>
    <cellStyle name="Header2 2 4 11 9 2" xfId="17781"/>
    <cellStyle name="Header2 2 4 11 9 3" xfId="28949"/>
    <cellStyle name="Header2 2 4 11 9 4" xfId="40114"/>
    <cellStyle name="Header2 2 4 11 9 5" xfId="51307"/>
    <cellStyle name="Header2 2 4 12" xfId="709"/>
    <cellStyle name="Header2 2 4 12 2" xfId="11907"/>
    <cellStyle name="Header2 2 4 12 3" xfId="23076"/>
    <cellStyle name="Header2 2 4 12 4" xfId="34241"/>
    <cellStyle name="Header2 2 4 12 5" xfId="45432"/>
    <cellStyle name="Header2 2 4 13" xfId="1477"/>
    <cellStyle name="Header2 2 4 13 2" xfId="12674"/>
    <cellStyle name="Header2 2 4 13 3" xfId="23842"/>
    <cellStyle name="Header2 2 4 13 4" xfId="35007"/>
    <cellStyle name="Header2 2 4 13 5" xfId="46200"/>
    <cellStyle name="Header2 2 4 14" xfId="2067"/>
    <cellStyle name="Header2 2 4 14 2" xfId="13264"/>
    <cellStyle name="Header2 2 4 14 3" xfId="24432"/>
    <cellStyle name="Header2 2 4 14 4" xfId="35597"/>
    <cellStyle name="Header2 2 4 14 5" xfId="46790"/>
    <cellStyle name="Header2 2 4 15" xfId="3044"/>
    <cellStyle name="Header2 2 4 15 2" xfId="14241"/>
    <cellStyle name="Header2 2 4 15 3" xfId="25409"/>
    <cellStyle name="Header2 2 4 15 4" xfId="36574"/>
    <cellStyle name="Header2 2 4 15 5" xfId="47767"/>
    <cellStyle name="Header2 2 4 16" xfId="3679"/>
    <cellStyle name="Header2 2 4 16 2" xfId="14876"/>
    <cellStyle name="Header2 2 4 16 3" xfId="26044"/>
    <cellStyle name="Header2 2 4 16 4" xfId="37209"/>
    <cellStyle name="Header2 2 4 16 5" xfId="48402"/>
    <cellStyle name="Header2 2 4 17" xfId="4311"/>
    <cellStyle name="Header2 2 4 17 2" xfId="15508"/>
    <cellStyle name="Header2 2 4 17 3" xfId="26676"/>
    <cellStyle name="Header2 2 4 17 4" xfId="37841"/>
    <cellStyle name="Header2 2 4 17 5" xfId="49034"/>
    <cellStyle name="Header2 2 4 18" xfId="4944"/>
    <cellStyle name="Header2 2 4 18 2" xfId="16141"/>
    <cellStyle name="Header2 2 4 18 3" xfId="27309"/>
    <cellStyle name="Header2 2 4 18 4" xfId="38474"/>
    <cellStyle name="Header2 2 4 18 5" xfId="49667"/>
    <cellStyle name="Header2 2 4 19" xfId="5800"/>
    <cellStyle name="Header2 2 4 19 2" xfId="16997"/>
    <cellStyle name="Header2 2 4 19 3" xfId="28165"/>
    <cellStyle name="Header2 2 4 19 4" xfId="39330"/>
    <cellStyle name="Header2 2 4 19 5" xfId="50523"/>
    <cellStyle name="Header2 2 4 2" xfId="125"/>
    <cellStyle name="Header2 2 4 2 10" xfId="6694"/>
    <cellStyle name="Header2 2 4 2 10 2" xfId="17891"/>
    <cellStyle name="Header2 2 4 2 10 3" xfId="29059"/>
    <cellStyle name="Header2 2 4 2 10 4" xfId="40224"/>
    <cellStyle name="Header2 2 4 2 10 5" xfId="51417"/>
    <cellStyle name="Header2 2 4 2 11" xfId="7328"/>
    <cellStyle name="Header2 2 4 2 11 2" xfId="18525"/>
    <cellStyle name="Header2 2 4 2 11 3" xfId="29693"/>
    <cellStyle name="Header2 2 4 2 11 4" xfId="40858"/>
    <cellStyle name="Header2 2 4 2 11 5" xfId="52051"/>
    <cellStyle name="Header2 2 4 2 12" xfId="7962"/>
    <cellStyle name="Header2 2 4 2 12 2" xfId="19159"/>
    <cellStyle name="Header2 2 4 2 12 3" xfId="30327"/>
    <cellStyle name="Header2 2 4 2 12 4" xfId="41492"/>
    <cellStyle name="Header2 2 4 2 12 5" xfId="52685"/>
    <cellStyle name="Header2 2 4 2 13" xfId="8808"/>
    <cellStyle name="Header2 2 4 2 13 2" xfId="20005"/>
    <cellStyle name="Header2 2 4 2 13 3" xfId="31173"/>
    <cellStyle name="Header2 2 4 2 13 4" xfId="42338"/>
    <cellStyle name="Header2 2 4 2 13 5" xfId="53531"/>
    <cellStyle name="Header2 2 4 2 14" xfId="9748"/>
    <cellStyle name="Header2 2 4 2 14 2" xfId="20945"/>
    <cellStyle name="Header2 2 4 2 14 3" xfId="32113"/>
    <cellStyle name="Header2 2 4 2 14 4" xfId="43278"/>
    <cellStyle name="Header2 2 4 2 14 5" xfId="54471"/>
    <cellStyle name="Header2 2 4 2 15" xfId="10678"/>
    <cellStyle name="Header2 2 4 2 15 2" xfId="21875"/>
    <cellStyle name="Header2 2 4 2 15 3" xfId="33043"/>
    <cellStyle name="Header2 2 4 2 15 4" xfId="44208"/>
    <cellStyle name="Header2 2 4 2 15 5" xfId="55401"/>
    <cellStyle name="Header2 2 4 2 16" xfId="11325"/>
    <cellStyle name="Header2 2 4 2 17" xfId="22495"/>
    <cellStyle name="Header2 2 4 2 18" xfId="33662"/>
    <cellStyle name="Header2 2 4 2 19" xfId="44848"/>
    <cellStyle name="Header2 2 4 2 2" xfId="774"/>
    <cellStyle name="Header2 2 4 2 2 2" xfId="11971"/>
    <cellStyle name="Header2 2 4 2 2 3" xfId="23139"/>
    <cellStyle name="Header2 2 4 2 2 4" xfId="34304"/>
    <cellStyle name="Header2 2 4 2 2 5" xfId="45497"/>
    <cellStyle name="Header2 2 4 2 3" xfId="1407"/>
    <cellStyle name="Header2 2 4 2 3 2" xfId="12604"/>
    <cellStyle name="Header2 2 4 2 3 3" xfId="23772"/>
    <cellStyle name="Header2 2 4 2 3 4" xfId="34937"/>
    <cellStyle name="Header2 2 4 2 3 5" xfId="46130"/>
    <cellStyle name="Header2 2 4 2 4" xfId="2103"/>
    <cellStyle name="Header2 2 4 2 4 2" xfId="13300"/>
    <cellStyle name="Header2 2 4 2 4 3" xfId="24468"/>
    <cellStyle name="Header2 2 4 2 4 4" xfId="35633"/>
    <cellStyle name="Header2 2 4 2 4 5" xfId="46826"/>
    <cellStyle name="Header2 2 4 2 5" xfId="3109"/>
    <cellStyle name="Header2 2 4 2 5 2" xfId="14306"/>
    <cellStyle name="Header2 2 4 2 5 3" xfId="25474"/>
    <cellStyle name="Header2 2 4 2 5 4" xfId="36639"/>
    <cellStyle name="Header2 2 4 2 5 5" xfId="47832"/>
    <cellStyle name="Header2 2 4 2 6" xfId="3743"/>
    <cellStyle name="Header2 2 4 2 6 2" xfId="14940"/>
    <cellStyle name="Header2 2 4 2 6 3" xfId="26108"/>
    <cellStyle name="Header2 2 4 2 6 4" xfId="37273"/>
    <cellStyle name="Header2 2 4 2 6 5" xfId="48466"/>
    <cellStyle name="Header2 2 4 2 7" xfId="4376"/>
    <cellStyle name="Header2 2 4 2 7 2" xfId="15573"/>
    <cellStyle name="Header2 2 4 2 7 3" xfId="26741"/>
    <cellStyle name="Header2 2 4 2 7 4" xfId="37906"/>
    <cellStyle name="Header2 2 4 2 7 5" xfId="49099"/>
    <cellStyle name="Header2 2 4 2 8" xfId="5007"/>
    <cellStyle name="Header2 2 4 2 8 2" xfId="16204"/>
    <cellStyle name="Header2 2 4 2 8 3" xfId="27372"/>
    <cellStyle name="Header2 2 4 2 8 4" xfId="38537"/>
    <cellStyle name="Header2 2 4 2 8 5" xfId="49730"/>
    <cellStyle name="Header2 2 4 2 9" xfId="5838"/>
    <cellStyle name="Header2 2 4 2 9 2" xfId="17035"/>
    <cellStyle name="Header2 2 4 2 9 3" xfId="28203"/>
    <cellStyle name="Header2 2 4 2 9 4" xfId="39368"/>
    <cellStyle name="Header2 2 4 2 9 5" xfId="50561"/>
    <cellStyle name="Header2 2 4 20" xfId="6631"/>
    <cellStyle name="Header2 2 4 20 2" xfId="17828"/>
    <cellStyle name="Header2 2 4 20 3" xfId="28996"/>
    <cellStyle name="Header2 2 4 20 4" xfId="40161"/>
    <cellStyle name="Header2 2 4 20 5" xfId="51354"/>
    <cellStyle name="Header2 2 4 21" xfId="7263"/>
    <cellStyle name="Header2 2 4 21 2" xfId="18460"/>
    <cellStyle name="Header2 2 4 21 3" xfId="29628"/>
    <cellStyle name="Header2 2 4 21 4" xfId="40793"/>
    <cellStyle name="Header2 2 4 21 5" xfId="51986"/>
    <cellStyle name="Header2 2 4 22" xfId="7897"/>
    <cellStyle name="Header2 2 4 22 2" xfId="19094"/>
    <cellStyle name="Header2 2 4 22 3" xfId="30262"/>
    <cellStyle name="Header2 2 4 22 4" xfId="41427"/>
    <cellStyle name="Header2 2 4 22 5" xfId="52620"/>
    <cellStyle name="Header2 2 4 23" xfId="8773"/>
    <cellStyle name="Header2 2 4 23 2" xfId="19970"/>
    <cellStyle name="Header2 2 4 23 3" xfId="31138"/>
    <cellStyle name="Header2 2 4 23 4" xfId="42303"/>
    <cellStyle name="Header2 2 4 23 5" xfId="53496"/>
    <cellStyle name="Header2 2 4 24" xfId="10160"/>
    <cellStyle name="Header2 2 4 24 2" xfId="21357"/>
    <cellStyle name="Header2 2 4 24 3" xfId="32525"/>
    <cellStyle name="Header2 2 4 24 4" xfId="43690"/>
    <cellStyle name="Header2 2 4 24 5" xfId="54883"/>
    <cellStyle name="Header2 2 4 25" xfId="10615"/>
    <cellStyle name="Header2 2 4 25 2" xfId="21812"/>
    <cellStyle name="Header2 2 4 25 3" xfId="32980"/>
    <cellStyle name="Header2 2 4 25 4" xfId="44145"/>
    <cellStyle name="Header2 2 4 25 5" xfId="55338"/>
    <cellStyle name="Header2 2 4 26" xfId="11261"/>
    <cellStyle name="Header2 2 4 27" xfId="22432"/>
    <cellStyle name="Header2 2 4 28" xfId="33599"/>
    <cellStyle name="Header2 2 4 29" xfId="44783"/>
    <cellStyle name="Header2 2 4 3" xfId="181"/>
    <cellStyle name="Header2 2 4 3 10" xfId="6750"/>
    <cellStyle name="Header2 2 4 3 10 2" xfId="17947"/>
    <cellStyle name="Header2 2 4 3 10 3" xfId="29115"/>
    <cellStyle name="Header2 2 4 3 10 4" xfId="40280"/>
    <cellStyle name="Header2 2 4 3 10 5" xfId="51473"/>
    <cellStyle name="Header2 2 4 3 11" xfId="7384"/>
    <cellStyle name="Header2 2 4 3 11 2" xfId="18581"/>
    <cellStyle name="Header2 2 4 3 11 3" xfId="29749"/>
    <cellStyle name="Header2 2 4 3 11 4" xfId="40914"/>
    <cellStyle name="Header2 2 4 3 11 5" xfId="52107"/>
    <cellStyle name="Header2 2 4 3 12" xfId="8018"/>
    <cellStyle name="Header2 2 4 3 12 2" xfId="19215"/>
    <cellStyle name="Header2 2 4 3 12 3" xfId="30383"/>
    <cellStyle name="Header2 2 4 3 12 4" xfId="41548"/>
    <cellStyle name="Header2 2 4 3 12 5" xfId="52741"/>
    <cellStyle name="Header2 2 4 3 13" xfId="8813"/>
    <cellStyle name="Header2 2 4 3 13 2" xfId="20010"/>
    <cellStyle name="Header2 2 4 3 13 3" xfId="31178"/>
    <cellStyle name="Header2 2 4 3 13 4" xfId="42343"/>
    <cellStyle name="Header2 2 4 3 13 5" xfId="53536"/>
    <cellStyle name="Header2 2 4 3 14" xfId="10067"/>
    <cellStyle name="Header2 2 4 3 14 2" xfId="21264"/>
    <cellStyle name="Header2 2 4 3 14 3" xfId="32432"/>
    <cellStyle name="Header2 2 4 3 14 4" xfId="43597"/>
    <cellStyle name="Header2 2 4 3 14 5" xfId="54790"/>
    <cellStyle name="Header2 2 4 3 15" xfId="10734"/>
    <cellStyle name="Header2 2 4 3 15 2" xfId="21931"/>
    <cellStyle name="Header2 2 4 3 15 3" xfId="33099"/>
    <cellStyle name="Header2 2 4 3 15 4" xfId="44264"/>
    <cellStyle name="Header2 2 4 3 15 5" xfId="55457"/>
    <cellStyle name="Header2 2 4 3 16" xfId="11381"/>
    <cellStyle name="Header2 2 4 3 17" xfId="22551"/>
    <cellStyle name="Header2 2 4 3 18" xfId="33718"/>
    <cellStyle name="Header2 2 4 3 19" xfId="44904"/>
    <cellStyle name="Header2 2 4 3 2" xfId="830"/>
    <cellStyle name="Header2 2 4 3 2 2" xfId="12027"/>
    <cellStyle name="Header2 2 4 3 2 3" xfId="23195"/>
    <cellStyle name="Header2 2 4 3 2 4" xfId="34360"/>
    <cellStyle name="Header2 2 4 3 2 5" xfId="45553"/>
    <cellStyle name="Header2 2 4 3 3" xfId="1443"/>
    <cellStyle name="Header2 2 4 3 3 2" xfId="12640"/>
    <cellStyle name="Header2 2 4 3 3 3" xfId="23808"/>
    <cellStyle name="Header2 2 4 3 3 4" xfId="34973"/>
    <cellStyle name="Header2 2 4 3 3 5" xfId="46166"/>
    <cellStyle name="Header2 2 4 3 4" xfId="2144"/>
    <cellStyle name="Header2 2 4 3 4 2" xfId="13341"/>
    <cellStyle name="Header2 2 4 3 4 3" xfId="24509"/>
    <cellStyle name="Header2 2 4 3 4 4" xfId="35674"/>
    <cellStyle name="Header2 2 4 3 4 5" xfId="46867"/>
    <cellStyle name="Header2 2 4 3 5" xfId="3165"/>
    <cellStyle name="Header2 2 4 3 5 2" xfId="14362"/>
    <cellStyle name="Header2 2 4 3 5 3" xfId="25530"/>
    <cellStyle name="Header2 2 4 3 5 4" xfId="36695"/>
    <cellStyle name="Header2 2 4 3 5 5" xfId="47888"/>
    <cellStyle name="Header2 2 4 3 6" xfId="3799"/>
    <cellStyle name="Header2 2 4 3 6 2" xfId="14996"/>
    <cellStyle name="Header2 2 4 3 6 3" xfId="26164"/>
    <cellStyle name="Header2 2 4 3 6 4" xfId="37329"/>
    <cellStyle name="Header2 2 4 3 6 5" xfId="48522"/>
    <cellStyle name="Header2 2 4 3 7" xfId="4432"/>
    <cellStyle name="Header2 2 4 3 7 2" xfId="15629"/>
    <cellStyle name="Header2 2 4 3 7 3" xfId="26797"/>
    <cellStyle name="Header2 2 4 3 7 4" xfId="37962"/>
    <cellStyle name="Header2 2 4 3 7 5" xfId="49155"/>
    <cellStyle name="Header2 2 4 3 8" xfId="5063"/>
    <cellStyle name="Header2 2 4 3 8 2" xfId="16260"/>
    <cellStyle name="Header2 2 4 3 8 3" xfId="27428"/>
    <cellStyle name="Header2 2 4 3 8 4" xfId="38593"/>
    <cellStyle name="Header2 2 4 3 8 5" xfId="49786"/>
    <cellStyle name="Header2 2 4 3 9" xfId="5631"/>
    <cellStyle name="Header2 2 4 3 9 2" xfId="16828"/>
    <cellStyle name="Header2 2 4 3 9 3" xfId="27996"/>
    <cellStyle name="Header2 2 4 3 9 4" xfId="39161"/>
    <cellStyle name="Header2 2 4 3 9 5" xfId="50354"/>
    <cellStyle name="Header2 2 4 4" xfId="262"/>
    <cellStyle name="Header2 2 4 4 10" xfId="6831"/>
    <cellStyle name="Header2 2 4 4 10 2" xfId="18028"/>
    <cellStyle name="Header2 2 4 4 10 3" xfId="29196"/>
    <cellStyle name="Header2 2 4 4 10 4" xfId="40361"/>
    <cellStyle name="Header2 2 4 4 10 5" xfId="51554"/>
    <cellStyle name="Header2 2 4 4 11" xfId="7465"/>
    <cellStyle name="Header2 2 4 4 11 2" xfId="18662"/>
    <cellStyle name="Header2 2 4 4 11 3" xfId="29830"/>
    <cellStyle name="Header2 2 4 4 11 4" xfId="40995"/>
    <cellStyle name="Header2 2 4 4 11 5" xfId="52188"/>
    <cellStyle name="Header2 2 4 4 12" xfId="8099"/>
    <cellStyle name="Header2 2 4 4 12 2" xfId="19296"/>
    <cellStyle name="Header2 2 4 4 12 3" xfId="30464"/>
    <cellStyle name="Header2 2 4 4 12 4" xfId="41629"/>
    <cellStyle name="Header2 2 4 4 12 5" xfId="52822"/>
    <cellStyle name="Header2 2 4 4 13" xfId="9150"/>
    <cellStyle name="Header2 2 4 4 13 2" xfId="20347"/>
    <cellStyle name="Header2 2 4 4 13 3" xfId="31515"/>
    <cellStyle name="Header2 2 4 4 13 4" xfId="42680"/>
    <cellStyle name="Header2 2 4 4 13 5" xfId="53873"/>
    <cellStyle name="Header2 2 4 4 14" xfId="10518"/>
    <cellStyle name="Header2 2 4 4 14 2" xfId="21715"/>
    <cellStyle name="Header2 2 4 4 14 3" xfId="32883"/>
    <cellStyle name="Header2 2 4 4 14 4" xfId="44048"/>
    <cellStyle name="Header2 2 4 4 14 5" xfId="55241"/>
    <cellStyle name="Header2 2 4 4 15" xfId="10815"/>
    <cellStyle name="Header2 2 4 4 15 2" xfId="22012"/>
    <cellStyle name="Header2 2 4 4 15 3" xfId="33180"/>
    <cellStyle name="Header2 2 4 4 15 4" xfId="44345"/>
    <cellStyle name="Header2 2 4 4 15 5" xfId="55538"/>
    <cellStyle name="Header2 2 4 4 16" xfId="11462"/>
    <cellStyle name="Header2 2 4 4 17" xfId="22632"/>
    <cellStyle name="Header2 2 4 4 18" xfId="33799"/>
    <cellStyle name="Header2 2 4 4 19" xfId="44985"/>
    <cellStyle name="Header2 2 4 4 2" xfId="911"/>
    <cellStyle name="Header2 2 4 4 2 2" xfId="12108"/>
    <cellStyle name="Header2 2 4 4 2 3" xfId="23276"/>
    <cellStyle name="Header2 2 4 4 2 4" xfId="34441"/>
    <cellStyle name="Header2 2 4 4 2 5" xfId="45634"/>
    <cellStyle name="Header2 2 4 4 3" xfId="1358"/>
    <cellStyle name="Header2 2 4 4 3 2" xfId="12555"/>
    <cellStyle name="Header2 2 4 4 3 3" xfId="23723"/>
    <cellStyle name="Header2 2 4 4 3 4" xfId="34888"/>
    <cellStyle name="Header2 2 4 4 3 5" xfId="46081"/>
    <cellStyle name="Header2 2 4 4 4" xfId="2612"/>
    <cellStyle name="Header2 2 4 4 4 2" xfId="13809"/>
    <cellStyle name="Header2 2 4 4 4 3" xfId="24977"/>
    <cellStyle name="Header2 2 4 4 4 4" xfId="36142"/>
    <cellStyle name="Header2 2 4 4 4 5" xfId="47335"/>
    <cellStyle name="Header2 2 4 4 5" xfId="3246"/>
    <cellStyle name="Header2 2 4 4 5 2" xfId="14443"/>
    <cellStyle name="Header2 2 4 4 5 3" xfId="25611"/>
    <cellStyle name="Header2 2 4 4 5 4" xfId="36776"/>
    <cellStyle name="Header2 2 4 4 5 5" xfId="47969"/>
    <cellStyle name="Header2 2 4 4 6" xfId="3880"/>
    <cellStyle name="Header2 2 4 4 6 2" xfId="15077"/>
    <cellStyle name="Header2 2 4 4 6 3" xfId="26245"/>
    <cellStyle name="Header2 2 4 4 6 4" xfId="37410"/>
    <cellStyle name="Header2 2 4 4 6 5" xfId="48603"/>
    <cellStyle name="Header2 2 4 4 7" xfId="4513"/>
    <cellStyle name="Header2 2 4 4 7 2" xfId="15710"/>
    <cellStyle name="Header2 2 4 4 7 3" xfId="26878"/>
    <cellStyle name="Header2 2 4 4 7 4" xfId="38043"/>
    <cellStyle name="Header2 2 4 4 7 5" xfId="49236"/>
    <cellStyle name="Header2 2 4 4 8" xfId="5144"/>
    <cellStyle name="Header2 2 4 4 8 2" xfId="16341"/>
    <cellStyle name="Header2 2 4 4 8 3" xfId="27509"/>
    <cellStyle name="Header2 2 4 4 8 4" xfId="38674"/>
    <cellStyle name="Header2 2 4 4 8 5" xfId="49867"/>
    <cellStyle name="Header2 2 4 4 9" xfId="6198"/>
    <cellStyle name="Header2 2 4 4 9 2" xfId="17395"/>
    <cellStyle name="Header2 2 4 4 9 3" xfId="28563"/>
    <cellStyle name="Header2 2 4 4 9 4" xfId="39728"/>
    <cellStyle name="Header2 2 4 4 9 5" xfId="50921"/>
    <cellStyle name="Header2 2 4 5" xfId="272"/>
    <cellStyle name="Header2 2 4 5 10" xfId="6841"/>
    <cellStyle name="Header2 2 4 5 10 2" xfId="18038"/>
    <cellStyle name="Header2 2 4 5 10 3" xfId="29206"/>
    <cellStyle name="Header2 2 4 5 10 4" xfId="40371"/>
    <cellStyle name="Header2 2 4 5 10 5" xfId="51564"/>
    <cellStyle name="Header2 2 4 5 11" xfId="7475"/>
    <cellStyle name="Header2 2 4 5 11 2" xfId="18672"/>
    <cellStyle name="Header2 2 4 5 11 3" xfId="29840"/>
    <cellStyle name="Header2 2 4 5 11 4" xfId="41005"/>
    <cellStyle name="Header2 2 4 5 11 5" xfId="52198"/>
    <cellStyle name="Header2 2 4 5 12" xfId="8109"/>
    <cellStyle name="Header2 2 4 5 12 2" xfId="19306"/>
    <cellStyle name="Header2 2 4 5 12 3" xfId="30474"/>
    <cellStyle name="Header2 2 4 5 12 4" xfId="41639"/>
    <cellStyle name="Header2 2 4 5 12 5" xfId="52832"/>
    <cellStyle name="Header2 2 4 5 13" xfId="9160"/>
    <cellStyle name="Header2 2 4 5 13 2" xfId="20357"/>
    <cellStyle name="Header2 2 4 5 13 3" xfId="31525"/>
    <cellStyle name="Header2 2 4 5 13 4" xfId="42690"/>
    <cellStyle name="Header2 2 4 5 13 5" xfId="53883"/>
    <cellStyle name="Header2 2 4 5 14" xfId="10568"/>
    <cellStyle name="Header2 2 4 5 14 2" xfId="21765"/>
    <cellStyle name="Header2 2 4 5 14 3" xfId="32933"/>
    <cellStyle name="Header2 2 4 5 14 4" xfId="44098"/>
    <cellStyle name="Header2 2 4 5 14 5" xfId="55291"/>
    <cellStyle name="Header2 2 4 5 15" xfId="10825"/>
    <cellStyle name="Header2 2 4 5 15 2" xfId="22022"/>
    <cellStyle name="Header2 2 4 5 15 3" xfId="33190"/>
    <cellStyle name="Header2 2 4 5 15 4" xfId="44355"/>
    <cellStyle name="Header2 2 4 5 15 5" xfId="55548"/>
    <cellStyle name="Header2 2 4 5 16" xfId="11472"/>
    <cellStyle name="Header2 2 4 5 17" xfId="22642"/>
    <cellStyle name="Header2 2 4 5 18" xfId="33809"/>
    <cellStyle name="Header2 2 4 5 19" xfId="44995"/>
    <cellStyle name="Header2 2 4 5 2" xfId="921"/>
    <cellStyle name="Header2 2 4 5 2 2" xfId="12118"/>
    <cellStyle name="Header2 2 4 5 2 3" xfId="23286"/>
    <cellStyle name="Header2 2 4 5 2 4" xfId="34451"/>
    <cellStyle name="Header2 2 4 5 2 5" xfId="45644"/>
    <cellStyle name="Header2 2 4 5 3" xfId="1859"/>
    <cellStyle name="Header2 2 4 5 3 2" xfId="13056"/>
    <cellStyle name="Header2 2 4 5 3 3" xfId="24224"/>
    <cellStyle name="Header2 2 4 5 3 4" xfId="35389"/>
    <cellStyle name="Header2 2 4 5 3 5" xfId="46582"/>
    <cellStyle name="Header2 2 4 5 4" xfId="2622"/>
    <cellStyle name="Header2 2 4 5 4 2" xfId="13819"/>
    <cellStyle name="Header2 2 4 5 4 3" xfId="24987"/>
    <cellStyle name="Header2 2 4 5 4 4" xfId="36152"/>
    <cellStyle name="Header2 2 4 5 4 5" xfId="47345"/>
    <cellStyle name="Header2 2 4 5 5" xfId="3256"/>
    <cellStyle name="Header2 2 4 5 5 2" xfId="14453"/>
    <cellStyle name="Header2 2 4 5 5 3" xfId="25621"/>
    <cellStyle name="Header2 2 4 5 5 4" xfId="36786"/>
    <cellStyle name="Header2 2 4 5 5 5" xfId="47979"/>
    <cellStyle name="Header2 2 4 5 6" xfId="3890"/>
    <cellStyle name="Header2 2 4 5 6 2" xfId="15087"/>
    <cellStyle name="Header2 2 4 5 6 3" xfId="26255"/>
    <cellStyle name="Header2 2 4 5 6 4" xfId="37420"/>
    <cellStyle name="Header2 2 4 5 6 5" xfId="48613"/>
    <cellStyle name="Header2 2 4 5 7" xfId="4523"/>
    <cellStyle name="Header2 2 4 5 7 2" xfId="15720"/>
    <cellStyle name="Header2 2 4 5 7 3" xfId="26888"/>
    <cellStyle name="Header2 2 4 5 7 4" xfId="38053"/>
    <cellStyle name="Header2 2 4 5 7 5" xfId="49246"/>
    <cellStyle name="Header2 2 4 5 8" xfId="5154"/>
    <cellStyle name="Header2 2 4 5 8 2" xfId="16351"/>
    <cellStyle name="Header2 2 4 5 8 3" xfId="27519"/>
    <cellStyle name="Header2 2 4 5 8 4" xfId="38684"/>
    <cellStyle name="Header2 2 4 5 8 5" xfId="49877"/>
    <cellStyle name="Header2 2 4 5 9" xfId="6208"/>
    <cellStyle name="Header2 2 4 5 9 2" xfId="17405"/>
    <cellStyle name="Header2 2 4 5 9 3" xfId="28573"/>
    <cellStyle name="Header2 2 4 5 9 4" xfId="39738"/>
    <cellStyle name="Header2 2 4 5 9 5" xfId="50931"/>
    <cellStyle name="Header2 2 4 6" xfId="351"/>
    <cellStyle name="Header2 2 4 6 10" xfId="6920"/>
    <cellStyle name="Header2 2 4 6 10 2" xfId="18117"/>
    <cellStyle name="Header2 2 4 6 10 3" xfId="29285"/>
    <cellStyle name="Header2 2 4 6 10 4" xfId="40450"/>
    <cellStyle name="Header2 2 4 6 10 5" xfId="51643"/>
    <cellStyle name="Header2 2 4 6 11" xfId="7554"/>
    <cellStyle name="Header2 2 4 6 11 2" xfId="18751"/>
    <cellStyle name="Header2 2 4 6 11 3" xfId="29919"/>
    <cellStyle name="Header2 2 4 6 11 4" xfId="41084"/>
    <cellStyle name="Header2 2 4 6 11 5" xfId="52277"/>
    <cellStyle name="Header2 2 4 6 12" xfId="8188"/>
    <cellStyle name="Header2 2 4 6 12 2" xfId="19385"/>
    <cellStyle name="Header2 2 4 6 12 3" xfId="30553"/>
    <cellStyle name="Header2 2 4 6 12 4" xfId="41718"/>
    <cellStyle name="Header2 2 4 6 12 5" xfId="52911"/>
    <cellStyle name="Header2 2 4 6 13" xfId="9239"/>
    <cellStyle name="Header2 2 4 6 13 2" xfId="20436"/>
    <cellStyle name="Header2 2 4 6 13 3" xfId="31604"/>
    <cellStyle name="Header2 2 4 6 13 4" xfId="42769"/>
    <cellStyle name="Header2 2 4 6 13 5" xfId="53962"/>
    <cellStyle name="Header2 2 4 6 14" xfId="10555"/>
    <cellStyle name="Header2 2 4 6 14 2" xfId="21752"/>
    <cellStyle name="Header2 2 4 6 14 3" xfId="32920"/>
    <cellStyle name="Header2 2 4 6 14 4" xfId="44085"/>
    <cellStyle name="Header2 2 4 6 14 5" xfId="55278"/>
    <cellStyle name="Header2 2 4 6 15" xfId="10904"/>
    <cellStyle name="Header2 2 4 6 15 2" xfId="22101"/>
    <cellStyle name="Header2 2 4 6 15 3" xfId="33269"/>
    <cellStyle name="Header2 2 4 6 15 4" xfId="44434"/>
    <cellStyle name="Header2 2 4 6 15 5" xfId="55627"/>
    <cellStyle name="Header2 2 4 6 16" xfId="11551"/>
    <cellStyle name="Header2 2 4 6 17" xfId="22721"/>
    <cellStyle name="Header2 2 4 6 18" xfId="33888"/>
    <cellStyle name="Header2 2 4 6 19" xfId="45074"/>
    <cellStyle name="Header2 2 4 6 2" xfId="1000"/>
    <cellStyle name="Header2 2 4 6 2 2" xfId="12197"/>
    <cellStyle name="Header2 2 4 6 2 3" xfId="23365"/>
    <cellStyle name="Header2 2 4 6 2 4" xfId="34530"/>
    <cellStyle name="Header2 2 4 6 2 5" xfId="45723"/>
    <cellStyle name="Header2 2 4 6 3" xfId="1394"/>
    <cellStyle name="Header2 2 4 6 3 2" xfId="12591"/>
    <cellStyle name="Header2 2 4 6 3 3" xfId="23759"/>
    <cellStyle name="Header2 2 4 6 3 4" xfId="34924"/>
    <cellStyle name="Header2 2 4 6 3 5" xfId="46117"/>
    <cellStyle name="Header2 2 4 6 4" xfId="2701"/>
    <cellStyle name="Header2 2 4 6 4 2" xfId="13898"/>
    <cellStyle name="Header2 2 4 6 4 3" xfId="25066"/>
    <cellStyle name="Header2 2 4 6 4 4" xfId="36231"/>
    <cellStyle name="Header2 2 4 6 4 5" xfId="47424"/>
    <cellStyle name="Header2 2 4 6 5" xfId="3335"/>
    <cellStyle name="Header2 2 4 6 5 2" xfId="14532"/>
    <cellStyle name="Header2 2 4 6 5 3" xfId="25700"/>
    <cellStyle name="Header2 2 4 6 5 4" xfId="36865"/>
    <cellStyle name="Header2 2 4 6 5 5" xfId="48058"/>
    <cellStyle name="Header2 2 4 6 6" xfId="3969"/>
    <cellStyle name="Header2 2 4 6 6 2" xfId="15166"/>
    <cellStyle name="Header2 2 4 6 6 3" xfId="26334"/>
    <cellStyle name="Header2 2 4 6 6 4" xfId="37499"/>
    <cellStyle name="Header2 2 4 6 6 5" xfId="48692"/>
    <cellStyle name="Header2 2 4 6 7" xfId="4602"/>
    <cellStyle name="Header2 2 4 6 7 2" xfId="15799"/>
    <cellStyle name="Header2 2 4 6 7 3" xfId="26967"/>
    <cellStyle name="Header2 2 4 6 7 4" xfId="38132"/>
    <cellStyle name="Header2 2 4 6 7 5" xfId="49325"/>
    <cellStyle name="Header2 2 4 6 8" xfId="5233"/>
    <cellStyle name="Header2 2 4 6 8 2" xfId="16430"/>
    <cellStyle name="Header2 2 4 6 8 3" xfId="27598"/>
    <cellStyle name="Header2 2 4 6 8 4" xfId="38763"/>
    <cellStyle name="Header2 2 4 6 8 5" xfId="49956"/>
    <cellStyle name="Header2 2 4 6 9" xfId="6287"/>
    <cellStyle name="Header2 2 4 6 9 2" xfId="17484"/>
    <cellStyle name="Header2 2 4 6 9 3" xfId="28652"/>
    <cellStyle name="Header2 2 4 6 9 4" xfId="39817"/>
    <cellStyle name="Header2 2 4 6 9 5" xfId="51010"/>
    <cellStyle name="Header2 2 4 7" xfId="434"/>
    <cellStyle name="Header2 2 4 7 10" xfId="7003"/>
    <cellStyle name="Header2 2 4 7 10 2" xfId="18200"/>
    <cellStyle name="Header2 2 4 7 10 3" xfId="29368"/>
    <cellStyle name="Header2 2 4 7 10 4" xfId="40533"/>
    <cellStyle name="Header2 2 4 7 10 5" xfId="51726"/>
    <cellStyle name="Header2 2 4 7 11" xfId="7637"/>
    <cellStyle name="Header2 2 4 7 11 2" xfId="18834"/>
    <cellStyle name="Header2 2 4 7 11 3" xfId="30002"/>
    <cellStyle name="Header2 2 4 7 11 4" xfId="41167"/>
    <cellStyle name="Header2 2 4 7 11 5" xfId="52360"/>
    <cellStyle name="Header2 2 4 7 12" xfId="8271"/>
    <cellStyle name="Header2 2 4 7 12 2" xfId="19468"/>
    <cellStyle name="Header2 2 4 7 12 3" xfId="30636"/>
    <cellStyle name="Header2 2 4 7 12 4" xfId="41801"/>
    <cellStyle name="Header2 2 4 7 12 5" xfId="52994"/>
    <cellStyle name="Header2 2 4 7 13" xfId="9322"/>
    <cellStyle name="Header2 2 4 7 13 2" xfId="20519"/>
    <cellStyle name="Header2 2 4 7 13 3" xfId="31687"/>
    <cellStyle name="Header2 2 4 7 13 4" xfId="42852"/>
    <cellStyle name="Header2 2 4 7 13 5" xfId="54045"/>
    <cellStyle name="Header2 2 4 7 14" xfId="10240"/>
    <cellStyle name="Header2 2 4 7 14 2" xfId="21437"/>
    <cellStyle name="Header2 2 4 7 14 3" xfId="32605"/>
    <cellStyle name="Header2 2 4 7 14 4" xfId="43770"/>
    <cellStyle name="Header2 2 4 7 14 5" xfId="54963"/>
    <cellStyle name="Header2 2 4 7 15" xfId="10987"/>
    <cellStyle name="Header2 2 4 7 15 2" xfId="22184"/>
    <cellStyle name="Header2 2 4 7 15 3" xfId="33352"/>
    <cellStyle name="Header2 2 4 7 15 4" xfId="44517"/>
    <cellStyle name="Header2 2 4 7 15 5" xfId="55710"/>
    <cellStyle name="Header2 2 4 7 16" xfId="11634"/>
    <cellStyle name="Header2 2 4 7 17" xfId="22804"/>
    <cellStyle name="Header2 2 4 7 18" xfId="33971"/>
    <cellStyle name="Header2 2 4 7 19" xfId="45157"/>
    <cellStyle name="Header2 2 4 7 2" xfId="1083"/>
    <cellStyle name="Header2 2 4 7 2 2" xfId="12280"/>
    <cellStyle name="Header2 2 4 7 2 3" xfId="23448"/>
    <cellStyle name="Header2 2 4 7 2 4" xfId="34613"/>
    <cellStyle name="Header2 2 4 7 2 5" xfId="45806"/>
    <cellStyle name="Header2 2 4 7 3" xfId="1327"/>
    <cellStyle name="Header2 2 4 7 3 2" xfId="12524"/>
    <cellStyle name="Header2 2 4 7 3 3" xfId="23692"/>
    <cellStyle name="Header2 2 4 7 3 4" xfId="34857"/>
    <cellStyle name="Header2 2 4 7 3 5" xfId="46050"/>
    <cellStyle name="Header2 2 4 7 4" xfId="2784"/>
    <cellStyle name="Header2 2 4 7 4 2" xfId="13981"/>
    <cellStyle name="Header2 2 4 7 4 3" xfId="25149"/>
    <cellStyle name="Header2 2 4 7 4 4" xfId="36314"/>
    <cellStyle name="Header2 2 4 7 4 5" xfId="47507"/>
    <cellStyle name="Header2 2 4 7 5" xfId="3418"/>
    <cellStyle name="Header2 2 4 7 5 2" xfId="14615"/>
    <cellStyle name="Header2 2 4 7 5 3" xfId="25783"/>
    <cellStyle name="Header2 2 4 7 5 4" xfId="36948"/>
    <cellStyle name="Header2 2 4 7 5 5" xfId="48141"/>
    <cellStyle name="Header2 2 4 7 6" xfId="4052"/>
    <cellStyle name="Header2 2 4 7 6 2" xfId="15249"/>
    <cellStyle name="Header2 2 4 7 6 3" xfId="26417"/>
    <cellStyle name="Header2 2 4 7 6 4" xfId="37582"/>
    <cellStyle name="Header2 2 4 7 6 5" xfId="48775"/>
    <cellStyle name="Header2 2 4 7 7" xfId="4685"/>
    <cellStyle name="Header2 2 4 7 7 2" xfId="15882"/>
    <cellStyle name="Header2 2 4 7 7 3" xfId="27050"/>
    <cellStyle name="Header2 2 4 7 7 4" xfId="38215"/>
    <cellStyle name="Header2 2 4 7 7 5" xfId="49408"/>
    <cellStyle name="Header2 2 4 7 8" xfId="5316"/>
    <cellStyle name="Header2 2 4 7 8 2" xfId="16513"/>
    <cellStyle name="Header2 2 4 7 8 3" xfId="27681"/>
    <cellStyle name="Header2 2 4 7 8 4" xfId="38846"/>
    <cellStyle name="Header2 2 4 7 8 5" xfId="50039"/>
    <cellStyle name="Header2 2 4 7 9" xfId="6370"/>
    <cellStyle name="Header2 2 4 7 9 2" xfId="17567"/>
    <cellStyle name="Header2 2 4 7 9 3" xfId="28735"/>
    <cellStyle name="Header2 2 4 7 9 4" xfId="39900"/>
    <cellStyle name="Header2 2 4 7 9 5" xfId="51093"/>
    <cellStyle name="Header2 2 4 8" xfId="469"/>
    <cellStyle name="Header2 2 4 8 10" xfId="7038"/>
    <cellStyle name="Header2 2 4 8 10 2" xfId="18235"/>
    <cellStyle name="Header2 2 4 8 10 3" xfId="29403"/>
    <cellStyle name="Header2 2 4 8 10 4" xfId="40568"/>
    <cellStyle name="Header2 2 4 8 10 5" xfId="51761"/>
    <cellStyle name="Header2 2 4 8 11" xfId="7672"/>
    <cellStyle name="Header2 2 4 8 11 2" xfId="18869"/>
    <cellStyle name="Header2 2 4 8 11 3" xfId="30037"/>
    <cellStyle name="Header2 2 4 8 11 4" xfId="41202"/>
    <cellStyle name="Header2 2 4 8 11 5" xfId="52395"/>
    <cellStyle name="Header2 2 4 8 12" xfId="8306"/>
    <cellStyle name="Header2 2 4 8 12 2" xfId="19503"/>
    <cellStyle name="Header2 2 4 8 12 3" xfId="30671"/>
    <cellStyle name="Header2 2 4 8 12 4" xfId="41836"/>
    <cellStyle name="Header2 2 4 8 12 5" xfId="53029"/>
    <cellStyle name="Header2 2 4 8 13" xfId="9357"/>
    <cellStyle name="Header2 2 4 8 13 2" xfId="20554"/>
    <cellStyle name="Header2 2 4 8 13 3" xfId="31722"/>
    <cellStyle name="Header2 2 4 8 13 4" xfId="42887"/>
    <cellStyle name="Header2 2 4 8 13 5" xfId="54080"/>
    <cellStyle name="Header2 2 4 8 14" xfId="10410"/>
    <cellStyle name="Header2 2 4 8 14 2" xfId="21607"/>
    <cellStyle name="Header2 2 4 8 14 3" xfId="32775"/>
    <cellStyle name="Header2 2 4 8 14 4" xfId="43940"/>
    <cellStyle name="Header2 2 4 8 14 5" xfId="55133"/>
    <cellStyle name="Header2 2 4 8 15" xfId="11022"/>
    <cellStyle name="Header2 2 4 8 15 2" xfId="22219"/>
    <cellStyle name="Header2 2 4 8 15 3" xfId="33387"/>
    <cellStyle name="Header2 2 4 8 15 4" xfId="44552"/>
    <cellStyle name="Header2 2 4 8 15 5" xfId="55745"/>
    <cellStyle name="Header2 2 4 8 16" xfId="11669"/>
    <cellStyle name="Header2 2 4 8 17" xfId="22839"/>
    <cellStyle name="Header2 2 4 8 18" xfId="34006"/>
    <cellStyle name="Header2 2 4 8 19" xfId="45192"/>
    <cellStyle name="Header2 2 4 8 2" xfId="1118"/>
    <cellStyle name="Header2 2 4 8 2 2" xfId="12315"/>
    <cellStyle name="Header2 2 4 8 2 3" xfId="23483"/>
    <cellStyle name="Header2 2 4 8 2 4" xfId="34648"/>
    <cellStyle name="Header2 2 4 8 2 5" xfId="45841"/>
    <cellStyle name="Header2 2 4 8 3" xfId="1679"/>
    <cellStyle name="Header2 2 4 8 3 2" xfId="12876"/>
    <cellStyle name="Header2 2 4 8 3 3" xfId="24044"/>
    <cellStyle name="Header2 2 4 8 3 4" xfId="35209"/>
    <cellStyle name="Header2 2 4 8 3 5" xfId="46402"/>
    <cellStyle name="Header2 2 4 8 4" xfId="2819"/>
    <cellStyle name="Header2 2 4 8 4 2" xfId="14016"/>
    <cellStyle name="Header2 2 4 8 4 3" xfId="25184"/>
    <cellStyle name="Header2 2 4 8 4 4" xfId="36349"/>
    <cellStyle name="Header2 2 4 8 4 5" xfId="47542"/>
    <cellStyle name="Header2 2 4 8 5" xfId="3453"/>
    <cellStyle name="Header2 2 4 8 5 2" xfId="14650"/>
    <cellStyle name="Header2 2 4 8 5 3" xfId="25818"/>
    <cellStyle name="Header2 2 4 8 5 4" xfId="36983"/>
    <cellStyle name="Header2 2 4 8 5 5" xfId="48176"/>
    <cellStyle name="Header2 2 4 8 6" xfId="4087"/>
    <cellStyle name="Header2 2 4 8 6 2" xfId="15284"/>
    <cellStyle name="Header2 2 4 8 6 3" xfId="26452"/>
    <cellStyle name="Header2 2 4 8 6 4" xfId="37617"/>
    <cellStyle name="Header2 2 4 8 6 5" xfId="48810"/>
    <cellStyle name="Header2 2 4 8 7" xfId="4720"/>
    <cellStyle name="Header2 2 4 8 7 2" xfId="15917"/>
    <cellStyle name="Header2 2 4 8 7 3" xfId="27085"/>
    <cellStyle name="Header2 2 4 8 7 4" xfId="38250"/>
    <cellStyle name="Header2 2 4 8 7 5" xfId="49443"/>
    <cellStyle name="Header2 2 4 8 8" xfId="5351"/>
    <cellStyle name="Header2 2 4 8 8 2" xfId="16548"/>
    <cellStyle name="Header2 2 4 8 8 3" xfId="27716"/>
    <cellStyle name="Header2 2 4 8 8 4" xfId="38881"/>
    <cellStyle name="Header2 2 4 8 8 5" xfId="50074"/>
    <cellStyle name="Header2 2 4 8 9" xfId="6405"/>
    <cellStyle name="Header2 2 4 8 9 2" xfId="17602"/>
    <cellStyle name="Header2 2 4 8 9 3" xfId="28770"/>
    <cellStyle name="Header2 2 4 8 9 4" xfId="39935"/>
    <cellStyle name="Header2 2 4 8 9 5" xfId="51128"/>
    <cellStyle name="Header2 2 4 9" xfId="527"/>
    <cellStyle name="Header2 2 4 9 10" xfId="7096"/>
    <cellStyle name="Header2 2 4 9 10 2" xfId="18293"/>
    <cellStyle name="Header2 2 4 9 10 3" xfId="29461"/>
    <cellStyle name="Header2 2 4 9 10 4" xfId="40626"/>
    <cellStyle name="Header2 2 4 9 10 5" xfId="51819"/>
    <cellStyle name="Header2 2 4 9 11" xfId="7730"/>
    <cellStyle name="Header2 2 4 9 11 2" xfId="18927"/>
    <cellStyle name="Header2 2 4 9 11 3" xfId="30095"/>
    <cellStyle name="Header2 2 4 9 11 4" xfId="41260"/>
    <cellStyle name="Header2 2 4 9 11 5" xfId="52453"/>
    <cellStyle name="Header2 2 4 9 12" xfId="8364"/>
    <cellStyle name="Header2 2 4 9 12 2" xfId="19561"/>
    <cellStyle name="Header2 2 4 9 12 3" xfId="30729"/>
    <cellStyle name="Header2 2 4 9 12 4" xfId="41894"/>
    <cellStyle name="Header2 2 4 9 12 5" xfId="53087"/>
    <cellStyle name="Header2 2 4 9 13" xfId="9415"/>
    <cellStyle name="Header2 2 4 9 13 2" xfId="20612"/>
    <cellStyle name="Header2 2 4 9 13 3" xfId="31780"/>
    <cellStyle name="Header2 2 4 9 13 4" xfId="42945"/>
    <cellStyle name="Header2 2 4 9 13 5" xfId="54138"/>
    <cellStyle name="Header2 2 4 9 14" xfId="10271"/>
    <cellStyle name="Header2 2 4 9 14 2" xfId="21468"/>
    <cellStyle name="Header2 2 4 9 14 3" xfId="32636"/>
    <cellStyle name="Header2 2 4 9 14 4" xfId="43801"/>
    <cellStyle name="Header2 2 4 9 14 5" xfId="54994"/>
    <cellStyle name="Header2 2 4 9 15" xfId="11080"/>
    <cellStyle name="Header2 2 4 9 15 2" xfId="22277"/>
    <cellStyle name="Header2 2 4 9 15 3" xfId="33445"/>
    <cellStyle name="Header2 2 4 9 15 4" xfId="44610"/>
    <cellStyle name="Header2 2 4 9 15 5" xfId="55803"/>
    <cellStyle name="Header2 2 4 9 16" xfId="11727"/>
    <cellStyle name="Header2 2 4 9 17" xfId="22897"/>
    <cellStyle name="Header2 2 4 9 18" xfId="34064"/>
    <cellStyle name="Header2 2 4 9 19" xfId="45250"/>
    <cellStyle name="Header2 2 4 9 2" xfId="1176"/>
    <cellStyle name="Header2 2 4 9 2 2" xfId="12373"/>
    <cellStyle name="Header2 2 4 9 2 3" xfId="23541"/>
    <cellStyle name="Header2 2 4 9 2 4" xfId="34706"/>
    <cellStyle name="Header2 2 4 9 2 5" xfId="45899"/>
    <cellStyle name="Header2 2 4 9 3" xfId="1524"/>
    <cellStyle name="Header2 2 4 9 3 2" xfId="12721"/>
    <cellStyle name="Header2 2 4 9 3 3" xfId="23889"/>
    <cellStyle name="Header2 2 4 9 3 4" xfId="35054"/>
    <cellStyle name="Header2 2 4 9 3 5" xfId="46247"/>
    <cellStyle name="Header2 2 4 9 4" xfId="2877"/>
    <cellStyle name="Header2 2 4 9 4 2" xfId="14074"/>
    <cellStyle name="Header2 2 4 9 4 3" xfId="25242"/>
    <cellStyle name="Header2 2 4 9 4 4" xfId="36407"/>
    <cellStyle name="Header2 2 4 9 4 5" xfId="47600"/>
    <cellStyle name="Header2 2 4 9 5" xfId="3511"/>
    <cellStyle name="Header2 2 4 9 5 2" xfId="14708"/>
    <cellStyle name="Header2 2 4 9 5 3" xfId="25876"/>
    <cellStyle name="Header2 2 4 9 5 4" xfId="37041"/>
    <cellStyle name="Header2 2 4 9 5 5" xfId="48234"/>
    <cellStyle name="Header2 2 4 9 6" xfId="4145"/>
    <cellStyle name="Header2 2 4 9 6 2" xfId="15342"/>
    <cellStyle name="Header2 2 4 9 6 3" xfId="26510"/>
    <cellStyle name="Header2 2 4 9 6 4" xfId="37675"/>
    <cellStyle name="Header2 2 4 9 6 5" xfId="48868"/>
    <cellStyle name="Header2 2 4 9 7" xfId="4778"/>
    <cellStyle name="Header2 2 4 9 7 2" xfId="15975"/>
    <cellStyle name="Header2 2 4 9 7 3" xfId="27143"/>
    <cellStyle name="Header2 2 4 9 7 4" xfId="38308"/>
    <cellStyle name="Header2 2 4 9 7 5" xfId="49501"/>
    <cellStyle name="Header2 2 4 9 8" xfId="5409"/>
    <cellStyle name="Header2 2 4 9 8 2" xfId="16606"/>
    <cellStyle name="Header2 2 4 9 8 3" xfId="27774"/>
    <cellStyle name="Header2 2 4 9 8 4" xfId="38939"/>
    <cellStyle name="Header2 2 4 9 8 5" xfId="50132"/>
    <cellStyle name="Header2 2 4 9 9" xfId="6463"/>
    <cellStyle name="Header2 2 4 9 9 2" xfId="17660"/>
    <cellStyle name="Header2 2 4 9 9 3" xfId="28828"/>
    <cellStyle name="Header2 2 4 9 9 4" xfId="39993"/>
    <cellStyle name="Header2 2 4 9 9 5" xfId="51186"/>
    <cellStyle name="Header2 2 40" xfId="7879"/>
    <cellStyle name="Header2 2 40 2" xfId="19076"/>
    <cellStyle name="Header2 2 40 3" xfId="30244"/>
    <cellStyle name="Header2 2 40 4" xfId="41409"/>
    <cellStyle name="Header2 2 40 5" xfId="52602"/>
    <cellStyle name="Header2 2 41" xfId="9101"/>
    <cellStyle name="Header2 2 41 2" xfId="20298"/>
    <cellStyle name="Header2 2 41 3" xfId="31466"/>
    <cellStyle name="Header2 2 41 4" xfId="42631"/>
    <cellStyle name="Header2 2 41 5" xfId="53824"/>
    <cellStyle name="Header2 2 42" xfId="10545"/>
    <cellStyle name="Header2 2 42 2" xfId="21742"/>
    <cellStyle name="Header2 2 42 3" xfId="32910"/>
    <cellStyle name="Header2 2 42 4" xfId="44075"/>
    <cellStyle name="Header2 2 42 5" xfId="55268"/>
    <cellStyle name="Header2 2 43" xfId="10605"/>
    <cellStyle name="Header2 2 43 2" xfId="21802"/>
    <cellStyle name="Header2 2 43 3" xfId="32970"/>
    <cellStyle name="Header2 2 43 4" xfId="44135"/>
    <cellStyle name="Header2 2 43 5" xfId="55328"/>
    <cellStyle name="Header2 2 44" xfId="11244"/>
    <cellStyle name="Header2 2 45" xfId="22"/>
    <cellStyle name="Header2 2 46" xfId="11249"/>
    <cellStyle name="Header2 2 47" xfId="44771"/>
    <cellStyle name="Header2 2 5" xfId="63"/>
    <cellStyle name="Header2 2 5 10" xfId="595"/>
    <cellStyle name="Header2 2 5 10 10" xfId="7164"/>
    <cellStyle name="Header2 2 5 10 10 2" xfId="18361"/>
    <cellStyle name="Header2 2 5 10 10 3" xfId="29529"/>
    <cellStyle name="Header2 2 5 10 10 4" xfId="40694"/>
    <cellStyle name="Header2 2 5 10 10 5" xfId="51887"/>
    <cellStyle name="Header2 2 5 10 11" xfId="7798"/>
    <cellStyle name="Header2 2 5 10 11 2" xfId="18995"/>
    <cellStyle name="Header2 2 5 10 11 3" xfId="30163"/>
    <cellStyle name="Header2 2 5 10 11 4" xfId="41328"/>
    <cellStyle name="Header2 2 5 10 11 5" xfId="52521"/>
    <cellStyle name="Header2 2 5 10 12" xfId="8432"/>
    <cellStyle name="Header2 2 5 10 12 2" xfId="19629"/>
    <cellStyle name="Header2 2 5 10 12 3" xfId="30797"/>
    <cellStyle name="Header2 2 5 10 12 4" xfId="41962"/>
    <cellStyle name="Header2 2 5 10 12 5" xfId="53155"/>
    <cellStyle name="Header2 2 5 10 13" xfId="9483"/>
    <cellStyle name="Header2 2 5 10 13 2" xfId="20680"/>
    <cellStyle name="Header2 2 5 10 13 3" xfId="31848"/>
    <cellStyle name="Header2 2 5 10 13 4" xfId="43013"/>
    <cellStyle name="Header2 2 5 10 13 5" xfId="54206"/>
    <cellStyle name="Header2 2 5 10 14" xfId="9668"/>
    <cellStyle name="Header2 2 5 10 14 2" xfId="20865"/>
    <cellStyle name="Header2 2 5 10 14 3" xfId="32033"/>
    <cellStyle name="Header2 2 5 10 14 4" xfId="43198"/>
    <cellStyle name="Header2 2 5 10 14 5" xfId="54391"/>
    <cellStyle name="Header2 2 5 10 15" xfId="11148"/>
    <cellStyle name="Header2 2 5 10 15 2" xfId="22345"/>
    <cellStyle name="Header2 2 5 10 15 3" xfId="33513"/>
    <cellStyle name="Header2 2 5 10 15 4" xfId="44678"/>
    <cellStyle name="Header2 2 5 10 15 5" xfId="55871"/>
    <cellStyle name="Header2 2 5 10 16" xfId="11795"/>
    <cellStyle name="Header2 2 5 10 17" xfId="22965"/>
    <cellStyle name="Header2 2 5 10 18" xfId="34132"/>
    <cellStyle name="Header2 2 5 10 19" xfId="45318"/>
    <cellStyle name="Header2 2 5 10 2" xfId="1244"/>
    <cellStyle name="Header2 2 5 10 2 2" xfId="12441"/>
    <cellStyle name="Header2 2 5 10 2 3" xfId="23609"/>
    <cellStyle name="Header2 2 5 10 2 4" xfId="34774"/>
    <cellStyle name="Header2 2 5 10 2 5" xfId="45967"/>
    <cellStyle name="Header2 2 5 10 3" xfId="1509"/>
    <cellStyle name="Header2 2 5 10 3 2" xfId="12706"/>
    <cellStyle name="Header2 2 5 10 3 3" xfId="23874"/>
    <cellStyle name="Header2 2 5 10 3 4" xfId="35039"/>
    <cellStyle name="Header2 2 5 10 3 5" xfId="46232"/>
    <cellStyle name="Header2 2 5 10 4" xfId="2945"/>
    <cellStyle name="Header2 2 5 10 4 2" xfId="14142"/>
    <cellStyle name="Header2 2 5 10 4 3" xfId="25310"/>
    <cellStyle name="Header2 2 5 10 4 4" xfId="36475"/>
    <cellStyle name="Header2 2 5 10 4 5" xfId="47668"/>
    <cellStyle name="Header2 2 5 10 5" xfId="3579"/>
    <cellStyle name="Header2 2 5 10 5 2" xfId="14776"/>
    <cellStyle name="Header2 2 5 10 5 3" xfId="25944"/>
    <cellStyle name="Header2 2 5 10 5 4" xfId="37109"/>
    <cellStyle name="Header2 2 5 10 5 5" xfId="48302"/>
    <cellStyle name="Header2 2 5 10 6" xfId="4213"/>
    <cellStyle name="Header2 2 5 10 6 2" xfId="15410"/>
    <cellStyle name="Header2 2 5 10 6 3" xfId="26578"/>
    <cellStyle name="Header2 2 5 10 6 4" xfId="37743"/>
    <cellStyle name="Header2 2 5 10 6 5" xfId="48936"/>
    <cellStyle name="Header2 2 5 10 7" xfId="4846"/>
    <cellStyle name="Header2 2 5 10 7 2" xfId="16043"/>
    <cellStyle name="Header2 2 5 10 7 3" xfId="27211"/>
    <cellStyle name="Header2 2 5 10 7 4" xfId="38376"/>
    <cellStyle name="Header2 2 5 10 7 5" xfId="49569"/>
    <cellStyle name="Header2 2 5 10 8" xfId="5477"/>
    <cellStyle name="Header2 2 5 10 8 2" xfId="16674"/>
    <cellStyle name="Header2 2 5 10 8 3" xfId="27842"/>
    <cellStyle name="Header2 2 5 10 8 4" xfId="39007"/>
    <cellStyle name="Header2 2 5 10 8 5" xfId="50200"/>
    <cellStyle name="Header2 2 5 10 9" xfId="6531"/>
    <cellStyle name="Header2 2 5 10 9 2" xfId="17728"/>
    <cellStyle name="Header2 2 5 10 9 3" xfId="28896"/>
    <cellStyle name="Header2 2 5 10 9 4" xfId="40061"/>
    <cellStyle name="Header2 2 5 10 9 5" xfId="51254"/>
    <cellStyle name="Header2 2 5 11" xfId="641"/>
    <cellStyle name="Header2 2 5 11 10" xfId="7210"/>
    <cellStyle name="Header2 2 5 11 10 2" xfId="18407"/>
    <cellStyle name="Header2 2 5 11 10 3" xfId="29575"/>
    <cellStyle name="Header2 2 5 11 10 4" xfId="40740"/>
    <cellStyle name="Header2 2 5 11 10 5" xfId="51933"/>
    <cellStyle name="Header2 2 5 11 11" xfId="7844"/>
    <cellStyle name="Header2 2 5 11 11 2" xfId="19041"/>
    <cellStyle name="Header2 2 5 11 11 3" xfId="30209"/>
    <cellStyle name="Header2 2 5 11 11 4" xfId="41374"/>
    <cellStyle name="Header2 2 5 11 11 5" xfId="52567"/>
    <cellStyle name="Header2 2 5 11 12" xfId="8478"/>
    <cellStyle name="Header2 2 5 11 12 2" xfId="19675"/>
    <cellStyle name="Header2 2 5 11 12 3" xfId="30843"/>
    <cellStyle name="Header2 2 5 11 12 4" xfId="42008"/>
    <cellStyle name="Header2 2 5 11 12 5" xfId="53201"/>
    <cellStyle name="Header2 2 5 11 13" xfId="9529"/>
    <cellStyle name="Header2 2 5 11 13 2" xfId="20726"/>
    <cellStyle name="Header2 2 5 11 13 3" xfId="31894"/>
    <cellStyle name="Header2 2 5 11 13 4" xfId="43059"/>
    <cellStyle name="Header2 2 5 11 13 5" xfId="54252"/>
    <cellStyle name="Header2 2 5 11 14" xfId="10182"/>
    <cellStyle name="Header2 2 5 11 14 2" xfId="21379"/>
    <cellStyle name="Header2 2 5 11 14 3" xfId="32547"/>
    <cellStyle name="Header2 2 5 11 14 4" xfId="43712"/>
    <cellStyle name="Header2 2 5 11 14 5" xfId="54905"/>
    <cellStyle name="Header2 2 5 11 15" xfId="11194"/>
    <cellStyle name="Header2 2 5 11 15 2" xfId="22391"/>
    <cellStyle name="Header2 2 5 11 15 3" xfId="33559"/>
    <cellStyle name="Header2 2 5 11 15 4" xfId="44724"/>
    <cellStyle name="Header2 2 5 11 15 5" xfId="55917"/>
    <cellStyle name="Header2 2 5 11 16" xfId="11841"/>
    <cellStyle name="Header2 2 5 11 17" xfId="23011"/>
    <cellStyle name="Header2 2 5 11 18" xfId="34178"/>
    <cellStyle name="Header2 2 5 11 19" xfId="45364"/>
    <cellStyle name="Header2 2 5 11 2" xfId="1290"/>
    <cellStyle name="Header2 2 5 11 2 2" xfId="12487"/>
    <cellStyle name="Header2 2 5 11 2 3" xfId="23655"/>
    <cellStyle name="Header2 2 5 11 2 4" xfId="34820"/>
    <cellStyle name="Header2 2 5 11 2 5" xfId="46013"/>
    <cellStyle name="Header2 2 5 11 3" xfId="1927"/>
    <cellStyle name="Header2 2 5 11 3 2" xfId="13124"/>
    <cellStyle name="Header2 2 5 11 3 3" xfId="24292"/>
    <cellStyle name="Header2 2 5 11 3 4" xfId="35457"/>
    <cellStyle name="Header2 2 5 11 3 5" xfId="46650"/>
    <cellStyle name="Header2 2 5 11 4" xfId="2991"/>
    <cellStyle name="Header2 2 5 11 4 2" xfId="14188"/>
    <cellStyle name="Header2 2 5 11 4 3" xfId="25356"/>
    <cellStyle name="Header2 2 5 11 4 4" xfId="36521"/>
    <cellStyle name="Header2 2 5 11 4 5" xfId="47714"/>
    <cellStyle name="Header2 2 5 11 5" xfId="3625"/>
    <cellStyle name="Header2 2 5 11 5 2" xfId="14822"/>
    <cellStyle name="Header2 2 5 11 5 3" xfId="25990"/>
    <cellStyle name="Header2 2 5 11 5 4" xfId="37155"/>
    <cellStyle name="Header2 2 5 11 5 5" xfId="48348"/>
    <cellStyle name="Header2 2 5 11 6" xfId="4259"/>
    <cellStyle name="Header2 2 5 11 6 2" xfId="15456"/>
    <cellStyle name="Header2 2 5 11 6 3" xfId="26624"/>
    <cellStyle name="Header2 2 5 11 6 4" xfId="37789"/>
    <cellStyle name="Header2 2 5 11 6 5" xfId="48982"/>
    <cellStyle name="Header2 2 5 11 7" xfId="4892"/>
    <cellStyle name="Header2 2 5 11 7 2" xfId="16089"/>
    <cellStyle name="Header2 2 5 11 7 3" xfId="27257"/>
    <cellStyle name="Header2 2 5 11 7 4" xfId="38422"/>
    <cellStyle name="Header2 2 5 11 7 5" xfId="49615"/>
    <cellStyle name="Header2 2 5 11 8" xfId="5523"/>
    <cellStyle name="Header2 2 5 11 8 2" xfId="16720"/>
    <cellStyle name="Header2 2 5 11 8 3" xfId="27888"/>
    <cellStyle name="Header2 2 5 11 8 4" xfId="39053"/>
    <cellStyle name="Header2 2 5 11 8 5" xfId="50246"/>
    <cellStyle name="Header2 2 5 11 9" xfId="6577"/>
    <cellStyle name="Header2 2 5 11 9 2" xfId="17774"/>
    <cellStyle name="Header2 2 5 11 9 3" xfId="28942"/>
    <cellStyle name="Header2 2 5 11 9 4" xfId="40107"/>
    <cellStyle name="Header2 2 5 11 9 5" xfId="51300"/>
    <cellStyle name="Header2 2 5 12" xfId="712"/>
    <cellStyle name="Header2 2 5 12 2" xfId="11910"/>
    <cellStyle name="Header2 2 5 12 3" xfId="23079"/>
    <cellStyle name="Header2 2 5 12 4" xfId="34244"/>
    <cellStyle name="Header2 2 5 12 5" xfId="45435"/>
    <cellStyle name="Header2 2 5 13" xfId="1784"/>
    <cellStyle name="Header2 2 5 13 2" xfId="12981"/>
    <cellStyle name="Header2 2 5 13 3" xfId="24149"/>
    <cellStyle name="Header2 2 5 13 4" xfId="35314"/>
    <cellStyle name="Header2 2 5 13 5" xfId="46507"/>
    <cellStyle name="Header2 2 5 14" xfId="2003"/>
    <cellStyle name="Header2 2 5 14 2" xfId="13200"/>
    <cellStyle name="Header2 2 5 14 3" xfId="24368"/>
    <cellStyle name="Header2 2 5 14 4" xfId="35533"/>
    <cellStyle name="Header2 2 5 14 5" xfId="46726"/>
    <cellStyle name="Header2 2 5 15" xfId="3047"/>
    <cellStyle name="Header2 2 5 15 2" xfId="14244"/>
    <cellStyle name="Header2 2 5 15 3" xfId="25412"/>
    <cellStyle name="Header2 2 5 15 4" xfId="36577"/>
    <cellStyle name="Header2 2 5 15 5" xfId="47770"/>
    <cellStyle name="Header2 2 5 16" xfId="3682"/>
    <cellStyle name="Header2 2 5 16 2" xfId="14879"/>
    <cellStyle name="Header2 2 5 16 3" xfId="26047"/>
    <cellStyle name="Header2 2 5 16 4" xfId="37212"/>
    <cellStyle name="Header2 2 5 16 5" xfId="48405"/>
    <cellStyle name="Header2 2 5 17" xfId="4314"/>
    <cellStyle name="Header2 2 5 17 2" xfId="15511"/>
    <cellStyle name="Header2 2 5 17 3" xfId="26679"/>
    <cellStyle name="Header2 2 5 17 4" xfId="37844"/>
    <cellStyle name="Header2 2 5 17 5" xfId="49037"/>
    <cellStyle name="Header2 2 5 18" xfId="4947"/>
    <cellStyle name="Header2 2 5 18 2" xfId="16144"/>
    <cellStyle name="Header2 2 5 18 3" xfId="27312"/>
    <cellStyle name="Header2 2 5 18 4" xfId="38477"/>
    <cellStyle name="Header2 2 5 18 5" xfId="49670"/>
    <cellStyle name="Header2 2 5 19" xfId="6132"/>
    <cellStyle name="Header2 2 5 19 2" xfId="17329"/>
    <cellStyle name="Header2 2 5 19 3" xfId="28497"/>
    <cellStyle name="Header2 2 5 19 4" xfId="39662"/>
    <cellStyle name="Header2 2 5 19 5" xfId="50855"/>
    <cellStyle name="Header2 2 5 2" xfId="128"/>
    <cellStyle name="Header2 2 5 2 10" xfId="6697"/>
    <cellStyle name="Header2 2 5 2 10 2" xfId="17894"/>
    <cellStyle name="Header2 2 5 2 10 3" xfId="29062"/>
    <cellStyle name="Header2 2 5 2 10 4" xfId="40227"/>
    <cellStyle name="Header2 2 5 2 10 5" xfId="51420"/>
    <cellStyle name="Header2 2 5 2 11" xfId="7331"/>
    <cellStyle name="Header2 2 5 2 11 2" xfId="18528"/>
    <cellStyle name="Header2 2 5 2 11 3" xfId="29696"/>
    <cellStyle name="Header2 2 5 2 11 4" xfId="40861"/>
    <cellStyle name="Header2 2 5 2 11 5" xfId="52054"/>
    <cellStyle name="Header2 2 5 2 12" xfId="7965"/>
    <cellStyle name="Header2 2 5 2 12 2" xfId="19162"/>
    <cellStyle name="Header2 2 5 2 12 3" xfId="30330"/>
    <cellStyle name="Header2 2 5 2 12 4" xfId="41495"/>
    <cellStyle name="Header2 2 5 2 12 5" xfId="52688"/>
    <cellStyle name="Header2 2 5 2 13" xfId="8645"/>
    <cellStyle name="Header2 2 5 2 13 2" xfId="19842"/>
    <cellStyle name="Header2 2 5 2 13 3" xfId="31010"/>
    <cellStyle name="Header2 2 5 2 13 4" xfId="42175"/>
    <cellStyle name="Header2 2 5 2 13 5" xfId="53368"/>
    <cellStyle name="Header2 2 5 2 14" xfId="10508"/>
    <cellStyle name="Header2 2 5 2 14 2" xfId="21705"/>
    <cellStyle name="Header2 2 5 2 14 3" xfId="32873"/>
    <cellStyle name="Header2 2 5 2 14 4" xfId="44038"/>
    <cellStyle name="Header2 2 5 2 14 5" xfId="55231"/>
    <cellStyle name="Header2 2 5 2 15" xfId="10681"/>
    <cellStyle name="Header2 2 5 2 15 2" xfId="21878"/>
    <cellStyle name="Header2 2 5 2 15 3" xfId="33046"/>
    <cellStyle name="Header2 2 5 2 15 4" xfId="44211"/>
    <cellStyle name="Header2 2 5 2 15 5" xfId="55404"/>
    <cellStyle name="Header2 2 5 2 16" xfId="11328"/>
    <cellStyle name="Header2 2 5 2 17" xfId="22498"/>
    <cellStyle name="Header2 2 5 2 18" xfId="33665"/>
    <cellStyle name="Header2 2 5 2 19" xfId="44851"/>
    <cellStyle name="Header2 2 5 2 2" xfId="777"/>
    <cellStyle name="Header2 2 5 2 2 2" xfId="11974"/>
    <cellStyle name="Header2 2 5 2 2 3" xfId="23142"/>
    <cellStyle name="Header2 2 5 2 2 4" xfId="34307"/>
    <cellStyle name="Header2 2 5 2 2 5" xfId="45500"/>
    <cellStyle name="Header2 2 5 2 3" xfId="1344"/>
    <cellStyle name="Header2 2 5 2 3 2" xfId="12541"/>
    <cellStyle name="Header2 2 5 2 3 3" xfId="23709"/>
    <cellStyle name="Header2 2 5 2 3 4" xfId="34874"/>
    <cellStyle name="Header2 2 5 2 3 5" xfId="46067"/>
    <cellStyle name="Header2 2 5 2 4" xfId="2517"/>
    <cellStyle name="Header2 2 5 2 4 2" xfId="13714"/>
    <cellStyle name="Header2 2 5 2 4 3" xfId="24882"/>
    <cellStyle name="Header2 2 5 2 4 4" xfId="36047"/>
    <cellStyle name="Header2 2 5 2 4 5" xfId="47240"/>
    <cellStyle name="Header2 2 5 2 5" xfId="3112"/>
    <cellStyle name="Header2 2 5 2 5 2" xfId="14309"/>
    <cellStyle name="Header2 2 5 2 5 3" xfId="25477"/>
    <cellStyle name="Header2 2 5 2 5 4" xfId="36642"/>
    <cellStyle name="Header2 2 5 2 5 5" xfId="47835"/>
    <cellStyle name="Header2 2 5 2 6" xfId="3746"/>
    <cellStyle name="Header2 2 5 2 6 2" xfId="14943"/>
    <cellStyle name="Header2 2 5 2 6 3" xfId="26111"/>
    <cellStyle name="Header2 2 5 2 6 4" xfId="37276"/>
    <cellStyle name="Header2 2 5 2 6 5" xfId="48469"/>
    <cellStyle name="Header2 2 5 2 7" xfId="4379"/>
    <cellStyle name="Header2 2 5 2 7 2" xfId="15576"/>
    <cellStyle name="Header2 2 5 2 7 3" xfId="26744"/>
    <cellStyle name="Header2 2 5 2 7 4" xfId="37909"/>
    <cellStyle name="Header2 2 5 2 7 5" xfId="49102"/>
    <cellStyle name="Header2 2 5 2 8" xfId="5010"/>
    <cellStyle name="Header2 2 5 2 8 2" xfId="16207"/>
    <cellStyle name="Header2 2 5 2 8 3" xfId="27375"/>
    <cellStyle name="Header2 2 5 2 8 4" xfId="38540"/>
    <cellStyle name="Header2 2 5 2 8 5" xfId="49733"/>
    <cellStyle name="Header2 2 5 2 9" xfId="5921"/>
    <cellStyle name="Header2 2 5 2 9 2" xfId="17118"/>
    <cellStyle name="Header2 2 5 2 9 3" xfId="28286"/>
    <cellStyle name="Header2 2 5 2 9 4" xfId="39451"/>
    <cellStyle name="Header2 2 5 2 9 5" xfId="50644"/>
    <cellStyle name="Header2 2 5 20" xfId="6634"/>
    <cellStyle name="Header2 2 5 20 2" xfId="17831"/>
    <cellStyle name="Header2 2 5 20 3" xfId="28999"/>
    <cellStyle name="Header2 2 5 20 4" xfId="40164"/>
    <cellStyle name="Header2 2 5 20 5" xfId="51357"/>
    <cellStyle name="Header2 2 5 21" xfId="7266"/>
    <cellStyle name="Header2 2 5 21 2" xfId="18463"/>
    <cellStyle name="Header2 2 5 21 3" xfId="29631"/>
    <cellStyle name="Header2 2 5 21 4" xfId="40796"/>
    <cellStyle name="Header2 2 5 21 5" xfId="51989"/>
    <cellStyle name="Header2 2 5 22" xfId="7900"/>
    <cellStyle name="Header2 2 5 22 2" xfId="19097"/>
    <cellStyle name="Header2 2 5 22 3" xfId="30265"/>
    <cellStyle name="Header2 2 5 22 4" xfId="41430"/>
    <cellStyle name="Header2 2 5 22 5" xfId="52623"/>
    <cellStyle name="Header2 2 5 23" xfId="8609"/>
    <cellStyle name="Header2 2 5 23 2" xfId="19806"/>
    <cellStyle name="Header2 2 5 23 3" xfId="30974"/>
    <cellStyle name="Header2 2 5 23 4" xfId="42139"/>
    <cellStyle name="Header2 2 5 23 5" xfId="53332"/>
    <cellStyle name="Header2 2 5 24" xfId="10561"/>
    <cellStyle name="Header2 2 5 24 2" xfId="21758"/>
    <cellStyle name="Header2 2 5 24 3" xfId="32926"/>
    <cellStyle name="Header2 2 5 24 4" xfId="44091"/>
    <cellStyle name="Header2 2 5 24 5" xfId="55284"/>
    <cellStyle name="Header2 2 5 25" xfId="10618"/>
    <cellStyle name="Header2 2 5 25 2" xfId="21815"/>
    <cellStyle name="Header2 2 5 25 3" xfId="32983"/>
    <cellStyle name="Header2 2 5 25 4" xfId="44148"/>
    <cellStyle name="Header2 2 5 25 5" xfId="55341"/>
    <cellStyle name="Header2 2 5 26" xfId="11264"/>
    <cellStyle name="Header2 2 5 27" xfId="22435"/>
    <cellStyle name="Header2 2 5 28" xfId="33602"/>
    <cellStyle name="Header2 2 5 29" xfId="44786"/>
    <cellStyle name="Header2 2 5 3" xfId="184"/>
    <cellStyle name="Header2 2 5 3 10" xfId="6753"/>
    <cellStyle name="Header2 2 5 3 10 2" xfId="17950"/>
    <cellStyle name="Header2 2 5 3 10 3" xfId="29118"/>
    <cellStyle name="Header2 2 5 3 10 4" xfId="40283"/>
    <cellStyle name="Header2 2 5 3 10 5" xfId="51476"/>
    <cellStyle name="Header2 2 5 3 11" xfId="7387"/>
    <cellStyle name="Header2 2 5 3 11 2" xfId="18584"/>
    <cellStyle name="Header2 2 5 3 11 3" xfId="29752"/>
    <cellStyle name="Header2 2 5 3 11 4" xfId="40917"/>
    <cellStyle name="Header2 2 5 3 11 5" xfId="52110"/>
    <cellStyle name="Header2 2 5 3 12" xfId="8021"/>
    <cellStyle name="Header2 2 5 3 12 2" xfId="19218"/>
    <cellStyle name="Header2 2 5 3 12 3" xfId="30386"/>
    <cellStyle name="Header2 2 5 3 12 4" xfId="41551"/>
    <cellStyle name="Header2 2 5 3 12 5" xfId="52744"/>
    <cellStyle name="Header2 2 5 3 13" xfId="8686"/>
    <cellStyle name="Header2 2 5 3 13 2" xfId="19883"/>
    <cellStyle name="Header2 2 5 3 13 3" xfId="31051"/>
    <cellStyle name="Header2 2 5 3 13 4" xfId="42216"/>
    <cellStyle name="Header2 2 5 3 13 5" xfId="53409"/>
    <cellStyle name="Header2 2 5 3 14" xfId="10533"/>
    <cellStyle name="Header2 2 5 3 14 2" xfId="21730"/>
    <cellStyle name="Header2 2 5 3 14 3" xfId="32898"/>
    <cellStyle name="Header2 2 5 3 14 4" xfId="44063"/>
    <cellStyle name="Header2 2 5 3 14 5" xfId="55256"/>
    <cellStyle name="Header2 2 5 3 15" xfId="10737"/>
    <cellStyle name="Header2 2 5 3 15 2" xfId="21934"/>
    <cellStyle name="Header2 2 5 3 15 3" xfId="33102"/>
    <cellStyle name="Header2 2 5 3 15 4" xfId="44267"/>
    <cellStyle name="Header2 2 5 3 15 5" xfId="55460"/>
    <cellStyle name="Header2 2 5 3 16" xfId="11384"/>
    <cellStyle name="Header2 2 5 3 17" xfId="22554"/>
    <cellStyle name="Header2 2 5 3 18" xfId="33721"/>
    <cellStyle name="Header2 2 5 3 19" xfId="44907"/>
    <cellStyle name="Header2 2 5 3 2" xfId="833"/>
    <cellStyle name="Header2 2 5 3 2 2" xfId="12030"/>
    <cellStyle name="Header2 2 5 3 2 3" xfId="23198"/>
    <cellStyle name="Header2 2 5 3 2 4" xfId="34363"/>
    <cellStyle name="Header2 2 5 3 2 5" xfId="45556"/>
    <cellStyle name="Header2 2 5 3 3" xfId="1382"/>
    <cellStyle name="Header2 2 5 3 3 2" xfId="12579"/>
    <cellStyle name="Header2 2 5 3 3 3" xfId="23747"/>
    <cellStyle name="Header2 2 5 3 3 4" xfId="34912"/>
    <cellStyle name="Header2 2 5 3 3 5" xfId="46105"/>
    <cellStyle name="Header2 2 5 3 4" xfId="2536"/>
    <cellStyle name="Header2 2 5 3 4 2" xfId="13733"/>
    <cellStyle name="Header2 2 5 3 4 3" xfId="24901"/>
    <cellStyle name="Header2 2 5 3 4 4" xfId="36066"/>
    <cellStyle name="Header2 2 5 3 4 5" xfId="47259"/>
    <cellStyle name="Header2 2 5 3 5" xfId="3168"/>
    <cellStyle name="Header2 2 5 3 5 2" xfId="14365"/>
    <cellStyle name="Header2 2 5 3 5 3" xfId="25533"/>
    <cellStyle name="Header2 2 5 3 5 4" xfId="36698"/>
    <cellStyle name="Header2 2 5 3 5 5" xfId="47891"/>
    <cellStyle name="Header2 2 5 3 6" xfId="3802"/>
    <cellStyle name="Header2 2 5 3 6 2" xfId="14999"/>
    <cellStyle name="Header2 2 5 3 6 3" xfId="26167"/>
    <cellStyle name="Header2 2 5 3 6 4" xfId="37332"/>
    <cellStyle name="Header2 2 5 3 6 5" xfId="48525"/>
    <cellStyle name="Header2 2 5 3 7" xfId="4435"/>
    <cellStyle name="Header2 2 5 3 7 2" xfId="15632"/>
    <cellStyle name="Header2 2 5 3 7 3" xfId="26800"/>
    <cellStyle name="Header2 2 5 3 7 4" xfId="37965"/>
    <cellStyle name="Header2 2 5 3 7 5" xfId="49158"/>
    <cellStyle name="Header2 2 5 3 8" xfId="5066"/>
    <cellStyle name="Header2 2 5 3 8 2" xfId="16263"/>
    <cellStyle name="Header2 2 5 3 8 3" xfId="27431"/>
    <cellStyle name="Header2 2 5 3 8 4" xfId="38596"/>
    <cellStyle name="Header2 2 5 3 8 5" xfId="49789"/>
    <cellStyle name="Header2 2 5 3 9" xfId="5670"/>
    <cellStyle name="Header2 2 5 3 9 2" xfId="16867"/>
    <cellStyle name="Header2 2 5 3 9 3" xfId="28035"/>
    <cellStyle name="Header2 2 5 3 9 4" xfId="39200"/>
    <cellStyle name="Header2 2 5 3 9 5" xfId="50393"/>
    <cellStyle name="Header2 2 5 4" xfId="236"/>
    <cellStyle name="Header2 2 5 4 10" xfId="6805"/>
    <cellStyle name="Header2 2 5 4 10 2" xfId="18002"/>
    <cellStyle name="Header2 2 5 4 10 3" xfId="29170"/>
    <cellStyle name="Header2 2 5 4 10 4" xfId="40335"/>
    <cellStyle name="Header2 2 5 4 10 5" xfId="51528"/>
    <cellStyle name="Header2 2 5 4 11" xfId="7439"/>
    <cellStyle name="Header2 2 5 4 11 2" xfId="18636"/>
    <cellStyle name="Header2 2 5 4 11 3" xfId="29804"/>
    <cellStyle name="Header2 2 5 4 11 4" xfId="40969"/>
    <cellStyle name="Header2 2 5 4 11 5" xfId="52162"/>
    <cellStyle name="Header2 2 5 4 12" xfId="8073"/>
    <cellStyle name="Header2 2 5 4 12 2" xfId="19270"/>
    <cellStyle name="Header2 2 5 4 12 3" xfId="30438"/>
    <cellStyle name="Header2 2 5 4 12 4" xfId="41603"/>
    <cellStyle name="Header2 2 5 4 12 5" xfId="52796"/>
    <cellStyle name="Header2 2 5 4 13" xfId="8770"/>
    <cellStyle name="Header2 2 5 4 13 2" xfId="19967"/>
    <cellStyle name="Header2 2 5 4 13 3" xfId="31135"/>
    <cellStyle name="Header2 2 5 4 13 4" xfId="42300"/>
    <cellStyle name="Header2 2 5 4 13 5" xfId="53493"/>
    <cellStyle name="Header2 2 5 4 14" xfId="8889"/>
    <cellStyle name="Header2 2 5 4 14 2" xfId="20086"/>
    <cellStyle name="Header2 2 5 4 14 3" xfId="31254"/>
    <cellStyle name="Header2 2 5 4 14 4" xfId="42419"/>
    <cellStyle name="Header2 2 5 4 14 5" xfId="53612"/>
    <cellStyle name="Header2 2 5 4 15" xfId="10789"/>
    <cellStyle name="Header2 2 5 4 15 2" xfId="21986"/>
    <cellStyle name="Header2 2 5 4 15 3" xfId="33154"/>
    <cellStyle name="Header2 2 5 4 15 4" xfId="44319"/>
    <cellStyle name="Header2 2 5 4 15 5" xfId="55512"/>
    <cellStyle name="Header2 2 5 4 16" xfId="11436"/>
    <cellStyle name="Header2 2 5 4 17" xfId="22606"/>
    <cellStyle name="Header2 2 5 4 18" xfId="33773"/>
    <cellStyle name="Header2 2 5 4 19" xfId="44959"/>
    <cellStyle name="Header2 2 5 4 2" xfId="885"/>
    <cellStyle name="Header2 2 5 4 2 2" xfId="12082"/>
    <cellStyle name="Header2 2 5 4 2 3" xfId="23250"/>
    <cellStyle name="Header2 2 5 4 2 4" xfId="34415"/>
    <cellStyle name="Header2 2 5 4 2 5" xfId="45608"/>
    <cellStyle name="Header2 2 5 4 3" xfId="1483"/>
    <cellStyle name="Header2 2 5 4 3 2" xfId="12680"/>
    <cellStyle name="Header2 2 5 4 3 3" xfId="23848"/>
    <cellStyle name="Header2 2 5 4 3 4" xfId="35013"/>
    <cellStyle name="Header2 2 5 4 3 5" xfId="46206"/>
    <cellStyle name="Header2 2 5 4 4" xfId="2126"/>
    <cellStyle name="Header2 2 5 4 4 2" xfId="13323"/>
    <cellStyle name="Header2 2 5 4 4 3" xfId="24491"/>
    <cellStyle name="Header2 2 5 4 4 4" xfId="35656"/>
    <cellStyle name="Header2 2 5 4 4 5" xfId="46849"/>
    <cellStyle name="Header2 2 5 4 5" xfId="3220"/>
    <cellStyle name="Header2 2 5 4 5 2" xfId="14417"/>
    <cellStyle name="Header2 2 5 4 5 3" xfId="25585"/>
    <cellStyle name="Header2 2 5 4 5 4" xfId="36750"/>
    <cellStyle name="Header2 2 5 4 5 5" xfId="47943"/>
    <cellStyle name="Header2 2 5 4 6" xfId="3854"/>
    <cellStyle name="Header2 2 5 4 6 2" xfId="15051"/>
    <cellStyle name="Header2 2 5 4 6 3" xfId="26219"/>
    <cellStyle name="Header2 2 5 4 6 4" xfId="37384"/>
    <cellStyle name="Header2 2 5 4 6 5" xfId="48577"/>
    <cellStyle name="Header2 2 5 4 7" xfId="4487"/>
    <cellStyle name="Header2 2 5 4 7 2" xfId="15684"/>
    <cellStyle name="Header2 2 5 4 7 3" xfId="26852"/>
    <cellStyle name="Header2 2 5 4 7 4" xfId="38017"/>
    <cellStyle name="Header2 2 5 4 7 5" xfId="49210"/>
    <cellStyle name="Header2 2 5 4 8" xfId="5118"/>
    <cellStyle name="Header2 2 5 4 8 2" xfId="16315"/>
    <cellStyle name="Header2 2 5 4 8 3" xfId="27483"/>
    <cellStyle name="Header2 2 5 4 8 4" xfId="38648"/>
    <cellStyle name="Header2 2 5 4 8 5" xfId="49841"/>
    <cellStyle name="Header2 2 5 4 9" xfId="5962"/>
    <cellStyle name="Header2 2 5 4 9 2" xfId="17159"/>
    <cellStyle name="Header2 2 5 4 9 3" xfId="28327"/>
    <cellStyle name="Header2 2 5 4 9 4" xfId="39492"/>
    <cellStyle name="Header2 2 5 4 9 5" xfId="50685"/>
    <cellStyle name="Header2 2 5 5" xfId="337"/>
    <cellStyle name="Header2 2 5 5 10" xfId="6906"/>
    <cellStyle name="Header2 2 5 5 10 2" xfId="18103"/>
    <cellStyle name="Header2 2 5 5 10 3" xfId="29271"/>
    <cellStyle name="Header2 2 5 5 10 4" xfId="40436"/>
    <cellStyle name="Header2 2 5 5 10 5" xfId="51629"/>
    <cellStyle name="Header2 2 5 5 11" xfId="7540"/>
    <cellStyle name="Header2 2 5 5 11 2" xfId="18737"/>
    <cellStyle name="Header2 2 5 5 11 3" xfId="29905"/>
    <cellStyle name="Header2 2 5 5 11 4" xfId="41070"/>
    <cellStyle name="Header2 2 5 5 11 5" xfId="52263"/>
    <cellStyle name="Header2 2 5 5 12" xfId="8174"/>
    <cellStyle name="Header2 2 5 5 12 2" xfId="19371"/>
    <cellStyle name="Header2 2 5 5 12 3" xfId="30539"/>
    <cellStyle name="Header2 2 5 5 12 4" xfId="41704"/>
    <cellStyle name="Header2 2 5 5 12 5" xfId="52897"/>
    <cellStyle name="Header2 2 5 5 13" xfId="9225"/>
    <cellStyle name="Header2 2 5 5 13 2" xfId="20422"/>
    <cellStyle name="Header2 2 5 5 13 3" xfId="31590"/>
    <cellStyle name="Header2 2 5 5 13 4" xfId="42755"/>
    <cellStyle name="Header2 2 5 5 13 5" xfId="53948"/>
    <cellStyle name="Header2 2 5 5 14" xfId="10012"/>
    <cellStyle name="Header2 2 5 5 14 2" xfId="21209"/>
    <cellStyle name="Header2 2 5 5 14 3" xfId="32377"/>
    <cellStyle name="Header2 2 5 5 14 4" xfId="43542"/>
    <cellStyle name="Header2 2 5 5 14 5" xfId="54735"/>
    <cellStyle name="Header2 2 5 5 15" xfId="10890"/>
    <cellStyle name="Header2 2 5 5 15 2" xfId="22087"/>
    <cellStyle name="Header2 2 5 5 15 3" xfId="33255"/>
    <cellStyle name="Header2 2 5 5 15 4" xfId="44420"/>
    <cellStyle name="Header2 2 5 5 15 5" xfId="55613"/>
    <cellStyle name="Header2 2 5 5 16" xfId="11537"/>
    <cellStyle name="Header2 2 5 5 17" xfId="22707"/>
    <cellStyle name="Header2 2 5 5 18" xfId="33874"/>
    <cellStyle name="Header2 2 5 5 19" xfId="45060"/>
    <cellStyle name="Header2 2 5 5 2" xfId="986"/>
    <cellStyle name="Header2 2 5 5 2 2" xfId="12183"/>
    <cellStyle name="Header2 2 5 5 2 3" xfId="23351"/>
    <cellStyle name="Header2 2 5 5 2 4" xfId="34516"/>
    <cellStyle name="Header2 2 5 5 2 5" xfId="45709"/>
    <cellStyle name="Header2 2 5 5 3" xfId="1402"/>
    <cellStyle name="Header2 2 5 5 3 2" xfId="12599"/>
    <cellStyle name="Header2 2 5 5 3 3" xfId="23767"/>
    <cellStyle name="Header2 2 5 5 3 4" xfId="34932"/>
    <cellStyle name="Header2 2 5 5 3 5" xfId="46125"/>
    <cellStyle name="Header2 2 5 5 4" xfId="2687"/>
    <cellStyle name="Header2 2 5 5 4 2" xfId="13884"/>
    <cellStyle name="Header2 2 5 5 4 3" xfId="25052"/>
    <cellStyle name="Header2 2 5 5 4 4" xfId="36217"/>
    <cellStyle name="Header2 2 5 5 4 5" xfId="47410"/>
    <cellStyle name="Header2 2 5 5 5" xfId="3321"/>
    <cellStyle name="Header2 2 5 5 5 2" xfId="14518"/>
    <cellStyle name="Header2 2 5 5 5 3" xfId="25686"/>
    <cellStyle name="Header2 2 5 5 5 4" xfId="36851"/>
    <cellStyle name="Header2 2 5 5 5 5" xfId="48044"/>
    <cellStyle name="Header2 2 5 5 6" xfId="3955"/>
    <cellStyle name="Header2 2 5 5 6 2" xfId="15152"/>
    <cellStyle name="Header2 2 5 5 6 3" xfId="26320"/>
    <cellStyle name="Header2 2 5 5 6 4" xfId="37485"/>
    <cellStyle name="Header2 2 5 5 6 5" xfId="48678"/>
    <cellStyle name="Header2 2 5 5 7" xfId="4588"/>
    <cellStyle name="Header2 2 5 5 7 2" xfId="15785"/>
    <cellStyle name="Header2 2 5 5 7 3" xfId="26953"/>
    <cellStyle name="Header2 2 5 5 7 4" xfId="38118"/>
    <cellStyle name="Header2 2 5 5 7 5" xfId="49311"/>
    <cellStyle name="Header2 2 5 5 8" xfId="5219"/>
    <cellStyle name="Header2 2 5 5 8 2" xfId="16416"/>
    <cellStyle name="Header2 2 5 5 8 3" xfId="27584"/>
    <cellStyle name="Header2 2 5 5 8 4" xfId="38749"/>
    <cellStyle name="Header2 2 5 5 8 5" xfId="49942"/>
    <cellStyle name="Header2 2 5 5 9" xfId="6273"/>
    <cellStyle name="Header2 2 5 5 9 2" xfId="17470"/>
    <cellStyle name="Header2 2 5 5 9 3" xfId="28638"/>
    <cellStyle name="Header2 2 5 5 9 4" xfId="39803"/>
    <cellStyle name="Header2 2 5 5 9 5" xfId="50996"/>
    <cellStyle name="Header2 2 5 6" xfId="359"/>
    <cellStyle name="Header2 2 5 6 10" xfId="6928"/>
    <cellStyle name="Header2 2 5 6 10 2" xfId="18125"/>
    <cellStyle name="Header2 2 5 6 10 3" xfId="29293"/>
    <cellStyle name="Header2 2 5 6 10 4" xfId="40458"/>
    <cellStyle name="Header2 2 5 6 10 5" xfId="51651"/>
    <cellStyle name="Header2 2 5 6 11" xfId="7562"/>
    <cellStyle name="Header2 2 5 6 11 2" xfId="18759"/>
    <cellStyle name="Header2 2 5 6 11 3" xfId="29927"/>
    <cellStyle name="Header2 2 5 6 11 4" xfId="41092"/>
    <cellStyle name="Header2 2 5 6 11 5" xfId="52285"/>
    <cellStyle name="Header2 2 5 6 12" xfId="8196"/>
    <cellStyle name="Header2 2 5 6 12 2" xfId="19393"/>
    <cellStyle name="Header2 2 5 6 12 3" xfId="30561"/>
    <cellStyle name="Header2 2 5 6 12 4" xfId="41726"/>
    <cellStyle name="Header2 2 5 6 12 5" xfId="52919"/>
    <cellStyle name="Header2 2 5 6 13" xfId="9247"/>
    <cellStyle name="Header2 2 5 6 13 2" xfId="20444"/>
    <cellStyle name="Header2 2 5 6 13 3" xfId="31612"/>
    <cellStyle name="Header2 2 5 6 13 4" xfId="42777"/>
    <cellStyle name="Header2 2 5 6 13 5" xfId="53970"/>
    <cellStyle name="Header2 2 5 6 14" xfId="10063"/>
    <cellStyle name="Header2 2 5 6 14 2" xfId="21260"/>
    <cellStyle name="Header2 2 5 6 14 3" xfId="32428"/>
    <cellStyle name="Header2 2 5 6 14 4" xfId="43593"/>
    <cellStyle name="Header2 2 5 6 14 5" xfId="54786"/>
    <cellStyle name="Header2 2 5 6 15" xfId="10912"/>
    <cellStyle name="Header2 2 5 6 15 2" xfId="22109"/>
    <cellStyle name="Header2 2 5 6 15 3" xfId="33277"/>
    <cellStyle name="Header2 2 5 6 15 4" xfId="44442"/>
    <cellStyle name="Header2 2 5 6 15 5" xfId="55635"/>
    <cellStyle name="Header2 2 5 6 16" xfId="11559"/>
    <cellStyle name="Header2 2 5 6 17" xfId="22729"/>
    <cellStyle name="Header2 2 5 6 18" xfId="33896"/>
    <cellStyle name="Header2 2 5 6 19" xfId="45082"/>
    <cellStyle name="Header2 2 5 6 2" xfId="1008"/>
    <cellStyle name="Header2 2 5 6 2 2" xfId="12205"/>
    <cellStyle name="Header2 2 5 6 2 3" xfId="23373"/>
    <cellStyle name="Header2 2 5 6 2 4" xfId="34538"/>
    <cellStyle name="Header2 2 5 6 2 5" xfId="45731"/>
    <cellStyle name="Header2 2 5 6 3" xfId="1454"/>
    <cellStyle name="Header2 2 5 6 3 2" xfId="12651"/>
    <cellStyle name="Header2 2 5 6 3 3" xfId="23819"/>
    <cellStyle name="Header2 2 5 6 3 4" xfId="34984"/>
    <cellStyle name="Header2 2 5 6 3 5" xfId="46177"/>
    <cellStyle name="Header2 2 5 6 4" xfId="2709"/>
    <cellStyle name="Header2 2 5 6 4 2" xfId="13906"/>
    <cellStyle name="Header2 2 5 6 4 3" xfId="25074"/>
    <cellStyle name="Header2 2 5 6 4 4" xfId="36239"/>
    <cellStyle name="Header2 2 5 6 4 5" xfId="47432"/>
    <cellStyle name="Header2 2 5 6 5" xfId="3343"/>
    <cellStyle name="Header2 2 5 6 5 2" xfId="14540"/>
    <cellStyle name="Header2 2 5 6 5 3" xfId="25708"/>
    <cellStyle name="Header2 2 5 6 5 4" xfId="36873"/>
    <cellStyle name="Header2 2 5 6 5 5" xfId="48066"/>
    <cellStyle name="Header2 2 5 6 6" xfId="3977"/>
    <cellStyle name="Header2 2 5 6 6 2" xfId="15174"/>
    <cellStyle name="Header2 2 5 6 6 3" xfId="26342"/>
    <cellStyle name="Header2 2 5 6 6 4" xfId="37507"/>
    <cellStyle name="Header2 2 5 6 6 5" xfId="48700"/>
    <cellStyle name="Header2 2 5 6 7" xfId="4610"/>
    <cellStyle name="Header2 2 5 6 7 2" xfId="15807"/>
    <cellStyle name="Header2 2 5 6 7 3" xfId="26975"/>
    <cellStyle name="Header2 2 5 6 7 4" xfId="38140"/>
    <cellStyle name="Header2 2 5 6 7 5" xfId="49333"/>
    <cellStyle name="Header2 2 5 6 8" xfId="5241"/>
    <cellStyle name="Header2 2 5 6 8 2" xfId="16438"/>
    <cellStyle name="Header2 2 5 6 8 3" xfId="27606"/>
    <cellStyle name="Header2 2 5 6 8 4" xfId="38771"/>
    <cellStyle name="Header2 2 5 6 8 5" xfId="49964"/>
    <cellStyle name="Header2 2 5 6 9" xfId="6295"/>
    <cellStyle name="Header2 2 5 6 9 2" xfId="17492"/>
    <cellStyle name="Header2 2 5 6 9 3" xfId="28660"/>
    <cellStyle name="Header2 2 5 6 9 4" xfId="39825"/>
    <cellStyle name="Header2 2 5 6 9 5" xfId="51018"/>
    <cellStyle name="Header2 2 5 7" xfId="289"/>
    <cellStyle name="Header2 2 5 7 10" xfId="6858"/>
    <cellStyle name="Header2 2 5 7 10 2" xfId="18055"/>
    <cellStyle name="Header2 2 5 7 10 3" xfId="29223"/>
    <cellStyle name="Header2 2 5 7 10 4" xfId="40388"/>
    <cellStyle name="Header2 2 5 7 10 5" xfId="51581"/>
    <cellStyle name="Header2 2 5 7 11" xfId="7492"/>
    <cellStyle name="Header2 2 5 7 11 2" xfId="18689"/>
    <cellStyle name="Header2 2 5 7 11 3" xfId="29857"/>
    <cellStyle name="Header2 2 5 7 11 4" xfId="41022"/>
    <cellStyle name="Header2 2 5 7 11 5" xfId="52215"/>
    <cellStyle name="Header2 2 5 7 12" xfId="8126"/>
    <cellStyle name="Header2 2 5 7 12 2" xfId="19323"/>
    <cellStyle name="Header2 2 5 7 12 3" xfId="30491"/>
    <cellStyle name="Header2 2 5 7 12 4" xfId="41656"/>
    <cellStyle name="Header2 2 5 7 12 5" xfId="52849"/>
    <cellStyle name="Header2 2 5 7 13" xfId="9177"/>
    <cellStyle name="Header2 2 5 7 13 2" xfId="20374"/>
    <cellStyle name="Header2 2 5 7 13 3" xfId="31542"/>
    <cellStyle name="Header2 2 5 7 13 4" xfId="42707"/>
    <cellStyle name="Header2 2 5 7 13 5" xfId="53900"/>
    <cellStyle name="Header2 2 5 7 14" xfId="9896"/>
    <cellStyle name="Header2 2 5 7 14 2" xfId="21093"/>
    <cellStyle name="Header2 2 5 7 14 3" xfId="32261"/>
    <cellStyle name="Header2 2 5 7 14 4" xfId="43426"/>
    <cellStyle name="Header2 2 5 7 14 5" xfId="54619"/>
    <cellStyle name="Header2 2 5 7 15" xfId="10842"/>
    <cellStyle name="Header2 2 5 7 15 2" xfId="22039"/>
    <cellStyle name="Header2 2 5 7 15 3" xfId="33207"/>
    <cellStyle name="Header2 2 5 7 15 4" xfId="44372"/>
    <cellStyle name="Header2 2 5 7 15 5" xfId="55565"/>
    <cellStyle name="Header2 2 5 7 16" xfId="11489"/>
    <cellStyle name="Header2 2 5 7 17" xfId="22659"/>
    <cellStyle name="Header2 2 5 7 18" xfId="33826"/>
    <cellStyle name="Header2 2 5 7 19" xfId="45012"/>
    <cellStyle name="Header2 2 5 7 2" xfId="938"/>
    <cellStyle name="Header2 2 5 7 2 2" xfId="12135"/>
    <cellStyle name="Header2 2 5 7 2 3" xfId="23303"/>
    <cellStyle name="Header2 2 5 7 2 4" xfId="34468"/>
    <cellStyle name="Header2 2 5 7 2 5" xfId="45661"/>
    <cellStyle name="Header2 2 5 7 3" xfId="1580"/>
    <cellStyle name="Header2 2 5 7 3 2" xfId="12777"/>
    <cellStyle name="Header2 2 5 7 3 3" xfId="23945"/>
    <cellStyle name="Header2 2 5 7 3 4" xfId="35110"/>
    <cellStyle name="Header2 2 5 7 3 5" xfId="46303"/>
    <cellStyle name="Header2 2 5 7 4" xfId="2639"/>
    <cellStyle name="Header2 2 5 7 4 2" xfId="13836"/>
    <cellStyle name="Header2 2 5 7 4 3" xfId="25004"/>
    <cellStyle name="Header2 2 5 7 4 4" xfId="36169"/>
    <cellStyle name="Header2 2 5 7 4 5" xfId="47362"/>
    <cellStyle name="Header2 2 5 7 5" xfId="3273"/>
    <cellStyle name="Header2 2 5 7 5 2" xfId="14470"/>
    <cellStyle name="Header2 2 5 7 5 3" xfId="25638"/>
    <cellStyle name="Header2 2 5 7 5 4" xfId="36803"/>
    <cellStyle name="Header2 2 5 7 5 5" xfId="47996"/>
    <cellStyle name="Header2 2 5 7 6" xfId="3907"/>
    <cellStyle name="Header2 2 5 7 6 2" xfId="15104"/>
    <cellStyle name="Header2 2 5 7 6 3" xfId="26272"/>
    <cellStyle name="Header2 2 5 7 6 4" xfId="37437"/>
    <cellStyle name="Header2 2 5 7 6 5" xfId="48630"/>
    <cellStyle name="Header2 2 5 7 7" xfId="4540"/>
    <cellStyle name="Header2 2 5 7 7 2" xfId="15737"/>
    <cellStyle name="Header2 2 5 7 7 3" xfId="26905"/>
    <cellStyle name="Header2 2 5 7 7 4" xfId="38070"/>
    <cellStyle name="Header2 2 5 7 7 5" xfId="49263"/>
    <cellStyle name="Header2 2 5 7 8" xfId="5171"/>
    <cellStyle name="Header2 2 5 7 8 2" xfId="16368"/>
    <cellStyle name="Header2 2 5 7 8 3" xfId="27536"/>
    <cellStyle name="Header2 2 5 7 8 4" xfId="38701"/>
    <cellStyle name="Header2 2 5 7 8 5" xfId="49894"/>
    <cellStyle name="Header2 2 5 7 9" xfId="6225"/>
    <cellStyle name="Header2 2 5 7 9 2" xfId="17422"/>
    <cellStyle name="Header2 2 5 7 9 3" xfId="28590"/>
    <cellStyle name="Header2 2 5 7 9 4" xfId="39755"/>
    <cellStyle name="Header2 2 5 7 9 5" xfId="50948"/>
    <cellStyle name="Header2 2 5 8" xfId="472"/>
    <cellStyle name="Header2 2 5 8 10" xfId="7041"/>
    <cellStyle name="Header2 2 5 8 10 2" xfId="18238"/>
    <cellStyle name="Header2 2 5 8 10 3" xfId="29406"/>
    <cellStyle name="Header2 2 5 8 10 4" xfId="40571"/>
    <cellStyle name="Header2 2 5 8 10 5" xfId="51764"/>
    <cellStyle name="Header2 2 5 8 11" xfId="7675"/>
    <cellStyle name="Header2 2 5 8 11 2" xfId="18872"/>
    <cellStyle name="Header2 2 5 8 11 3" xfId="30040"/>
    <cellStyle name="Header2 2 5 8 11 4" xfId="41205"/>
    <cellStyle name="Header2 2 5 8 11 5" xfId="52398"/>
    <cellStyle name="Header2 2 5 8 12" xfId="8309"/>
    <cellStyle name="Header2 2 5 8 12 2" xfId="19506"/>
    <cellStyle name="Header2 2 5 8 12 3" xfId="30674"/>
    <cellStyle name="Header2 2 5 8 12 4" xfId="41839"/>
    <cellStyle name="Header2 2 5 8 12 5" xfId="53032"/>
    <cellStyle name="Header2 2 5 8 13" xfId="9360"/>
    <cellStyle name="Header2 2 5 8 13 2" xfId="20557"/>
    <cellStyle name="Header2 2 5 8 13 3" xfId="31725"/>
    <cellStyle name="Header2 2 5 8 13 4" xfId="42890"/>
    <cellStyle name="Header2 2 5 8 13 5" xfId="54083"/>
    <cellStyle name="Header2 2 5 8 14" xfId="10188"/>
    <cellStyle name="Header2 2 5 8 14 2" xfId="21385"/>
    <cellStyle name="Header2 2 5 8 14 3" xfId="32553"/>
    <cellStyle name="Header2 2 5 8 14 4" xfId="43718"/>
    <cellStyle name="Header2 2 5 8 14 5" xfId="54911"/>
    <cellStyle name="Header2 2 5 8 15" xfId="11025"/>
    <cellStyle name="Header2 2 5 8 15 2" xfId="22222"/>
    <cellStyle name="Header2 2 5 8 15 3" xfId="33390"/>
    <cellStyle name="Header2 2 5 8 15 4" xfId="44555"/>
    <cellStyle name="Header2 2 5 8 15 5" xfId="55748"/>
    <cellStyle name="Header2 2 5 8 16" xfId="11672"/>
    <cellStyle name="Header2 2 5 8 17" xfId="22842"/>
    <cellStyle name="Header2 2 5 8 18" xfId="34009"/>
    <cellStyle name="Header2 2 5 8 19" xfId="45195"/>
    <cellStyle name="Header2 2 5 8 2" xfId="1121"/>
    <cellStyle name="Header2 2 5 8 2 2" xfId="12318"/>
    <cellStyle name="Header2 2 5 8 2 3" xfId="23486"/>
    <cellStyle name="Header2 2 5 8 2 4" xfId="34651"/>
    <cellStyle name="Header2 2 5 8 2 5" xfId="45844"/>
    <cellStyle name="Header2 2 5 8 3" xfId="1337"/>
    <cellStyle name="Header2 2 5 8 3 2" xfId="12534"/>
    <cellStyle name="Header2 2 5 8 3 3" xfId="23702"/>
    <cellStyle name="Header2 2 5 8 3 4" xfId="34867"/>
    <cellStyle name="Header2 2 5 8 3 5" xfId="46060"/>
    <cellStyle name="Header2 2 5 8 4" xfId="2822"/>
    <cellStyle name="Header2 2 5 8 4 2" xfId="14019"/>
    <cellStyle name="Header2 2 5 8 4 3" xfId="25187"/>
    <cellStyle name="Header2 2 5 8 4 4" xfId="36352"/>
    <cellStyle name="Header2 2 5 8 4 5" xfId="47545"/>
    <cellStyle name="Header2 2 5 8 5" xfId="3456"/>
    <cellStyle name="Header2 2 5 8 5 2" xfId="14653"/>
    <cellStyle name="Header2 2 5 8 5 3" xfId="25821"/>
    <cellStyle name="Header2 2 5 8 5 4" xfId="36986"/>
    <cellStyle name="Header2 2 5 8 5 5" xfId="48179"/>
    <cellStyle name="Header2 2 5 8 6" xfId="4090"/>
    <cellStyle name="Header2 2 5 8 6 2" xfId="15287"/>
    <cellStyle name="Header2 2 5 8 6 3" xfId="26455"/>
    <cellStyle name="Header2 2 5 8 6 4" xfId="37620"/>
    <cellStyle name="Header2 2 5 8 6 5" xfId="48813"/>
    <cellStyle name="Header2 2 5 8 7" xfId="4723"/>
    <cellStyle name="Header2 2 5 8 7 2" xfId="15920"/>
    <cellStyle name="Header2 2 5 8 7 3" xfId="27088"/>
    <cellStyle name="Header2 2 5 8 7 4" xfId="38253"/>
    <cellStyle name="Header2 2 5 8 7 5" xfId="49446"/>
    <cellStyle name="Header2 2 5 8 8" xfId="5354"/>
    <cellStyle name="Header2 2 5 8 8 2" xfId="16551"/>
    <cellStyle name="Header2 2 5 8 8 3" xfId="27719"/>
    <cellStyle name="Header2 2 5 8 8 4" xfId="38884"/>
    <cellStyle name="Header2 2 5 8 8 5" xfId="50077"/>
    <cellStyle name="Header2 2 5 8 9" xfId="6408"/>
    <cellStyle name="Header2 2 5 8 9 2" xfId="17605"/>
    <cellStyle name="Header2 2 5 8 9 3" xfId="28773"/>
    <cellStyle name="Header2 2 5 8 9 4" xfId="39938"/>
    <cellStyle name="Header2 2 5 8 9 5" xfId="51131"/>
    <cellStyle name="Header2 2 5 9" xfId="530"/>
    <cellStyle name="Header2 2 5 9 10" xfId="7099"/>
    <cellStyle name="Header2 2 5 9 10 2" xfId="18296"/>
    <cellStyle name="Header2 2 5 9 10 3" xfId="29464"/>
    <cellStyle name="Header2 2 5 9 10 4" xfId="40629"/>
    <cellStyle name="Header2 2 5 9 10 5" xfId="51822"/>
    <cellStyle name="Header2 2 5 9 11" xfId="7733"/>
    <cellStyle name="Header2 2 5 9 11 2" xfId="18930"/>
    <cellStyle name="Header2 2 5 9 11 3" xfId="30098"/>
    <cellStyle name="Header2 2 5 9 11 4" xfId="41263"/>
    <cellStyle name="Header2 2 5 9 11 5" xfId="52456"/>
    <cellStyle name="Header2 2 5 9 12" xfId="8367"/>
    <cellStyle name="Header2 2 5 9 12 2" xfId="19564"/>
    <cellStyle name="Header2 2 5 9 12 3" xfId="30732"/>
    <cellStyle name="Header2 2 5 9 12 4" xfId="41897"/>
    <cellStyle name="Header2 2 5 9 12 5" xfId="53090"/>
    <cellStyle name="Header2 2 5 9 13" xfId="9418"/>
    <cellStyle name="Header2 2 5 9 13 2" xfId="20615"/>
    <cellStyle name="Header2 2 5 9 13 3" xfId="31783"/>
    <cellStyle name="Header2 2 5 9 13 4" xfId="42948"/>
    <cellStyle name="Header2 2 5 9 13 5" xfId="54141"/>
    <cellStyle name="Header2 2 5 9 14" xfId="9697"/>
    <cellStyle name="Header2 2 5 9 14 2" xfId="20894"/>
    <cellStyle name="Header2 2 5 9 14 3" xfId="32062"/>
    <cellStyle name="Header2 2 5 9 14 4" xfId="43227"/>
    <cellStyle name="Header2 2 5 9 14 5" xfId="54420"/>
    <cellStyle name="Header2 2 5 9 15" xfId="11083"/>
    <cellStyle name="Header2 2 5 9 15 2" xfId="22280"/>
    <cellStyle name="Header2 2 5 9 15 3" xfId="33448"/>
    <cellStyle name="Header2 2 5 9 15 4" xfId="44613"/>
    <cellStyle name="Header2 2 5 9 15 5" xfId="55806"/>
    <cellStyle name="Header2 2 5 9 16" xfId="11730"/>
    <cellStyle name="Header2 2 5 9 17" xfId="22900"/>
    <cellStyle name="Header2 2 5 9 18" xfId="34067"/>
    <cellStyle name="Header2 2 5 9 19" xfId="45253"/>
    <cellStyle name="Header2 2 5 9 2" xfId="1179"/>
    <cellStyle name="Header2 2 5 9 2 2" xfId="12376"/>
    <cellStyle name="Header2 2 5 9 2 3" xfId="23544"/>
    <cellStyle name="Header2 2 5 9 2 4" xfId="34709"/>
    <cellStyle name="Header2 2 5 9 2 5" xfId="45902"/>
    <cellStyle name="Header2 2 5 9 3" xfId="1924"/>
    <cellStyle name="Header2 2 5 9 3 2" xfId="13121"/>
    <cellStyle name="Header2 2 5 9 3 3" xfId="24289"/>
    <cellStyle name="Header2 2 5 9 3 4" xfId="35454"/>
    <cellStyle name="Header2 2 5 9 3 5" xfId="46647"/>
    <cellStyle name="Header2 2 5 9 4" xfId="2880"/>
    <cellStyle name="Header2 2 5 9 4 2" xfId="14077"/>
    <cellStyle name="Header2 2 5 9 4 3" xfId="25245"/>
    <cellStyle name="Header2 2 5 9 4 4" xfId="36410"/>
    <cellStyle name="Header2 2 5 9 4 5" xfId="47603"/>
    <cellStyle name="Header2 2 5 9 5" xfId="3514"/>
    <cellStyle name="Header2 2 5 9 5 2" xfId="14711"/>
    <cellStyle name="Header2 2 5 9 5 3" xfId="25879"/>
    <cellStyle name="Header2 2 5 9 5 4" xfId="37044"/>
    <cellStyle name="Header2 2 5 9 5 5" xfId="48237"/>
    <cellStyle name="Header2 2 5 9 6" xfId="4148"/>
    <cellStyle name="Header2 2 5 9 6 2" xfId="15345"/>
    <cellStyle name="Header2 2 5 9 6 3" xfId="26513"/>
    <cellStyle name="Header2 2 5 9 6 4" xfId="37678"/>
    <cellStyle name="Header2 2 5 9 6 5" xfId="48871"/>
    <cellStyle name="Header2 2 5 9 7" xfId="4781"/>
    <cellStyle name="Header2 2 5 9 7 2" xfId="15978"/>
    <cellStyle name="Header2 2 5 9 7 3" xfId="27146"/>
    <cellStyle name="Header2 2 5 9 7 4" xfId="38311"/>
    <cellStyle name="Header2 2 5 9 7 5" xfId="49504"/>
    <cellStyle name="Header2 2 5 9 8" xfId="5412"/>
    <cellStyle name="Header2 2 5 9 8 2" xfId="16609"/>
    <cellStyle name="Header2 2 5 9 8 3" xfId="27777"/>
    <cellStyle name="Header2 2 5 9 8 4" xfId="38942"/>
    <cellStyle name="Header2 2 5 9 8 5" xfId="50135"/>
    <cellStyle name="Header2 2 5 9 9" xfId="6466"/>
    <cellStyle name="Header2 2 5 9 9 2" xfId="17663"/>
    <cellStyle name="Header2 2 5 9 9 3" xfId="28831"/>
    <cellStyle name="Header2 2 5 9 9 4" xfId="39996"/>
    <cellStyle name="Header2 2 5 9 9 5" xfId="51189"/>
    <cellStyle name="Header2 2 6" xfId="66"/>
    <cellStyle name="Header2 2 6 10" xfId="624"/>
    <cellStyle name="Header2 2 6 10 10" xfId="7193"/>
    <cellStyle name="Header2 2 6 10 10 2" xfId="18390"/>
    <cellStyle name="Header2 2 6 10 10 3" xfId="29558"/>
    <cellStyle name="Header2 2 6 10 10 4" xfId="40723"/>
    <cellStyle name="Header2 2 6 10 10 5" xfId="51916"/>
    <cellStyle name="Header2 2 6 10 11" xfId="7827"/>
    <cellStyle name="Header2 2 6 10 11 2" xfId="19024"/>
    <cellStyle name="Header2 2 6 10 11 3" xfId="30192"/>
    <cellStyle name="Header2 2 6 10 11 4" xfId="41357"/>
    <cellStyle name="Header2 2 6 10 11 5" xfId="52550"/>
    <cellStyle name="Header2 2 6 10 12" xfId="8461"/>
    <cellStyle name="Header2 2 6 10 12 2" xfId="19658"/>
    <cellStyle name="Header2 2 6 10 12 3" xfId="30826"/>
    <cellStyle name="Header2 2 6 10 12 4" xfId="41991"/>
    <cellStyle name="Header2 2 6 10 12 5" xfId="53184"/>
    <cellStyle name="Header2 2 6 10 13" xfId="9512"/>
    <cellStyle name="Header2 2 6 10 13 2" xfId="20709"/>
    <cellStyle name="Header2 2 6 10 13 3" xfId="31877"/>
    <cellStyle name="Header2 2 6 10 13 4" xfId="43042"/>
    <cellStyle name="Header2 2 6 10 13 5" xfId="54235"/>
    <cellStyle name="Header2 2 6 10 14" xfId="10432"/>
    <cellStyle name="Header2 2 6 10 14 2" xfId="21629"/>
    <cellStyle name="Header2 2 6 10 14 3" xfId="32797"/>
    <cellStyle name="Header2 2 6 10 14 4" xfId="43962"/>
    <cellStyle name="Header2 2 6 10 14 5" xfId="55155"/>
    <cellStyle name="Header2 2 6 10 15" xfId="11177"/>
    <cellStyle name="Header2 2 6 10 15 2" xfId="22374"/>
    <cellStyle name="Header2 2 6 10 15 3" xfId="33542"/>
    <cellStyle name="Header2 2 6 10 15 4" xfId="44707"/>
    <cellStyle name="Header2 2 6 10 15 5" xfId="55900"/>
    <cellStyle name="Header2 2 6 10 16" xfId="11824"/>
    <cellStyle name="Header2 2 6 10 17" xfId="22994"/>
    <cellStyle name="Header2 2 6 10 18" xfId="34161"/>
    <cellStyle name="Header2 2 6 10 19" xfId="45347"/>
    <cellStyle name="Header2 2 6 10 2" xfId="1273"/>
    <cellStyle name="Header2 2 6 10 2 2" xfId="12470"/>
    <cellStyle name="Header2 2 6 10 2 3" xfId="23638"/>
    <cellStyle name="Header2 2 6 10 2 4" xfId="34803"/>
    <cellStyle name="Header2 2 6 10 2 5" xfId="45996"/>
    <cellStyle name="Header2 2 6 10 3" xfId="1740"/>
    <cellStyle name="Header2 2 6 10 3 2" xfId="12937"/>
    <cellStyle name="Header2 2 6 10 3 3" xfId="24105"/>
    <cellStyle name="Header2 2 6 10 3 4" xfId="35270"/>
    <cellStyle name="Header2 2 6 10 3 5" xfId="46463"/>
    <cellStyle name="Header2 2 6 10 4" xfId="2974"/>
    <cellStyle name="Header2 2 6 10 4 2" xfId="14171"/>
    <cellStyle name="Header2 2 6 10 4 3" xfId="25339"/>
    <cellStyle name="Header2 2 6 10 4 4" xfId="36504"/>
    <cellStyle name="Header2 2 6 10 4 5" xfId="47697"/>
    <cellStyle name="Header2 2 6 10 5" xfId="3608"/>
    <cellStyle name="Header2 2 6 10 5 2" xfId="14805"/>
    <cellStyle name="Header2 2 6 10 5 3" xfId="25973"/>
    <cellStyle name="Header2 2 6 10 5 4" xfId="37138"/>
    <cellStyle name="Header2 2 6 10 5 5" xfId="48331"/>
    <cellStyle name="Header2 2 6 10 6" xfId="4242"/>
    <cellStyle name="Header2 2 6 10 6 2" xfId="15439"/>
    <cellStyle name="Header2 2 6 10 6 3" xfId="26607"/>
    <cellStyle name="Header2 2 6 10 6 4" xfId="37772"/>
    <cellStyle name="Header2 2 6 10 6 5" xfId="48965"/>
    <cellStyle name="Header2 2 6 10 7" xfId="4875"/>
    <cellStyle name="Header2 2 6 10 7 2" xfId="16072"/>
    <cellStyle name="Header2 2 6 10 7 3" xfId="27240"/>
    <cellStyle name="Header2 2 6 10 7 4" xfId="38405"/>
    <cellStyle name="Header2 2 6 10 7 5" xfId="49598"/>
    <cellStyle name="Header2 2 6 10 8" xfId="5506"/>
    <cellStyle name="Header2 2 6 10 8 2" xfId="16703"/>
    <cellStyle name="Header2 2 6 10 8 3" xfId="27871"/>
    <cellStyle name="Header2 2 6 10 8 4" xfId="39036"/>
    <cellStyle name="Header2 2 6 10 8 5" xfId="50229"/>
    <cellStyle name="Header2 2 6 10 9" xfId="6560"/>
    <cellStyle name="Header2 2 6 10 9 2" xfId="17757"/>
    <cellStyle name="Header2 2 6 10 9 3" xfId="28925"/>
    <cellStyle name="Header2 2 6 10 9 4" xfId="40090"/>
    <cellStyle name="Header2 2 6 10 9 5" xfId="51283"/>
    <cellStyle name="Header2 2 6 11" xfId="635"/>
    <cellStyle name="Header2 2 6 11 10" xfId="7204"/>
    <cellStyle name="Header2 2 6 11 10 2" xfId="18401"/>
    <cellStyle name="Header2 2 6 11 10 3" xfId="29569"/>
    <cellStyle name="Header2 2 6 11 10 4" xfId="40734"/>
    <cellStyle name="Header2 2 6 11 10 5" xfId="51927"/>
    <cellStyle name="Header2 2 6 11 11" xfId="7838"/>
    <cellStyle name="Header2 2 6 11 11 2" xfId="19035"/>
    <cellStyle name="Header2 2 6 11 11 3" xfId="30203"/>
    <cellStyle name="Header2 2 6 11 11 4" xfId="41368"/>
    <cellStyle name="Header2 2 6 11 11 5" xfId="52561"/>
    <cellStyle name="Header2 2 6 11 12" xfId="8472"/>
    <cellStyle name="Header2 2 6 11 12 2" xfId="19669"/>
    <cellStyle name="Header2 2 6 11 12 3" xfId="30837"/>
    <cellStyle name="Header2 2 6 11 12 4" xfId="42002"/>
    <cellStyle name="Header2 2 6 11 12 5" xfId="53195"/>
    <cellStyle name="Header2 2 6 11 13" xfId="9523"/>
    <cellStyle name="Header2 2 6 11 13 2" xfId="20720"/>
    <cellStyle name="Header2 2 6 11 13 3" xfId="31888"/>
    <cellStyle name="Header2 2 6 11 13 4" xfId="43053"/>
    <cellStyle name="Header2 2 6 11 13 5" xfId="54246"/>
    <cellStyle name="Header2 2 6 11 14" xfId="10426"/>
    <cellStyle name="Header2 2 6 11 14 2" xfId="21623"/>
    <cellStyle name="Header2 2 6 11 14 3" xfId="32791"/>
    <cellStyle name="Header2 2 6 11 14 4" xfId="43956"/>
    <cellStyle name="Header2 2 6 11 14 5" xfId="55149"/>
    <cellStyle name="Header2 2 6 11 15" xfId="11188"/>
    <cellStyle name="Header2 2 6 11 15 2" xfId="22385"/>
    <cellStyle name="Header2 2 6 11 15 3" xfId="33553"/>
    <cellStyle name="Header2 2 6 11 15 4" xfId="44718"/>
    <cellStyle name="Header2 2 6 11 15 5" xfId="55911"/>
    <cellStyle name="Header2 2 6 11 16" xfId="11835"/>
    <cellStyle name="Header2 2 6 11 17" xfId="23005"/>
    <cellStyle name="Header2 2 6 11 18" xfId="34172"/>
    <cellStyle name="Header2 2 6 11 19" xfId="45358"/>
    <cellStyle name="Header2 2 6 11 2" xfId="1284"/>
    <cellStyle name="Header2 2 6 11 2 2" xfId="12481"/>
    <cellStyle name="Header2 2 6 11 2 3" xfId="23649"/>
    <cellStyle name="Header2 2 6 11 2 4" xfId="34814"/>
    <cellStyle name="Header2 2 6 11 2 5" xfId="46007"/>
    <cellStyle name="Header2 2 6 11 3" xfId="1733"/>
    <cellStyle name="Header2 2 6 11 3 2" xfId="12930"/>
    <cellStyle name="Header2 2 6 11 3 3" xfId="24098"/>
    <cellStyle name="Header2 2 6 11 3 4" xfId="35263"/>
    <cellStyle name="Header2 2 6 11 3 5" xfId="46456"/>
    <cellStyle name="Header2 2 6 11 4" xfId="2985"/>
    <cellStyle name="Header2 2 6 11 4 2" xfId="14182"/>
    <cellStyle name="Header2 2 6 11 4 3" xfId="25350"/>
    <cellStyle name="Header2 2 6 11 4 4" xfId="36515"/>
    <cellStyle name="Header2 2 6 11 4 5" xfId="47708"/>
    <cellStyle name="Header2 2 6 11 5" xfId="3619"/>
    <cellStyle name="Header2 2 6 11 5 2" xfId="14816"/>
    <cellStyle name="Header2 2 6 11 5 3" xfId="25984"/>
    <cellStyle name="Header2 2 6 11 5 4" xfId="37149"/>
    <cellStyle name="Header2 2 6 11 5 5" xfId="48342"/>
    <cellStyle name="Header2 2 6 11 6" xfId="4253"/>
    <cellStyle name="Header2 2 6 11 6 2" xfId="15450"/>
    <cellStyle name="Header2 2 6 11 6 3" xfId="26618"/>
    <cellStyle name="Header2 2 6 11 6 4" xfId="37783"/>
    <cellStyle name="Header2 2 6 11 6 5" xfId="48976"/>
    <cellStyle name="Header2 2 6 11 7" xfId="4886"/>
    <cellStyle name="Header2 2 6 11 7 2" xfId="16083"/>
    <cellStyle name="Header2 2 6 11 7 3" xfId="27251"/>
    <cellStyle name="Header2 2 6 11 7 4" xfId="38416"/>
    <cellStyle name="Header2 2 6 11 7 5" xfId="49609"/>
    <cellStyle name="Header2 2 6 11 8" xfId="5517"/>
    <cellStyle name="Header2 2 6 11 8 2" xfId="16714"/>
    <cellStyle name="Header2 2 6 11 8 3" xfId="27882"/>
    <cellStyle name="Header2 2 6 11 8 4" xfId="39047"/>
    <cellStyle name="Header2 2 6 11 8 5" xfId="50240"/>
    <cellStyle name="Header2 2 6 11 9" xfId="6571"/>
    <cellStyle name="Header2 2 6 11 9 2" xfId="17768"/>
    <cellStyle name="Header2 2 6 11 9 3" xfId="28936"/>
    <cellStyle name="Header2 2 6 11 9 4" xfId="40101"/>
    <cellStyle name="Header2 2 6 11 9 5" xfId="51294"/>
    <cellStyle name="Header2 2 6 12" xfId="715"/>
    <cellStyle name="Header2 2 6 12 2" xfId="11913"/>
    <cellStyle name="Header2 2 6 12 3" xfId="23082"/>
    <cellStyle name="Header2 2 6 12 4" xfId="34247"/>
    <cellStyle name="Header2 2 6 12 5" xfId="45438"/>
    <cellStyle name="Header2 2 6 13" xfId="1758"/>
    <cellStyle name="Header2 2 6 13 2" xfId="12955"/>
    <cellStyle name="Header2 2 6 13 3" xfId="24123"/>
    <cellStyle name="Header2 2 6 13 4" xfId="35288"/>
    <cellStyle name="Header2 2 6 13 5" xfId="46481"/>
    <cellStyle name="Header2 2 6 14" xfId="2373"/>
    <cellStyle name="Header2 2 6 14 2" xfId="13570"/>
    <cellStyle name="Header2 2 6 14 3" xfId="24738"/>
    <cellStyle name="Header2 2 6 14 4" xfId="35903"/>
    <cellStyle name="Header2 2 6 14 5" xfId="47096"/>
    <cellStyle name="Header2 2 6 15" xfId="3050"/>
    <cellStyle name="Header2 2 6 15 2" xfId="14247"/>
    <cellStyle name="Header2 2 6 15 3" xfId="25415"/>
    <cellStyle name="Header2 2 6 15 4" xfId="36580"/>
    <cellStyle name="Header2 2 6 15 5" xfId="47773"/>
    <cellStyle name="Header2 2 6 16" xfId="3685"/>
    <cellStyle name="Header2 2 6 16 2" xfId="14882"/>
    <cellStyle name="Header2 2 6 16 3" xfId="26050"/>
    <cellStyle name="Header2 2 6 16 4" xfId="37215"/>
    <cellStyle name="Header2 2 6 16 5" xfId="48408"/>
    <cellStyle name="Header2 2 6 17" xfId="4317"/>
    <cellStyle name="Header2 2 6 17 2" xfId="15514"/>
    <cellStyle name="Header2 2 6 17 3" xfId="26682"/>
    <cellStyle name="Header2 2 6 17 4" xfId="37847"/>
    <cellStyle name="Header2 2 6 17 5" xfId="49040"/>
    <cellStyle name="Header2 2 6 18" xfId="4950"/>
    <cellStyle name="Header2 2 6 18 2" xfId="16147"/>
    <cellStyle name="Header2 2 6 18 3" xfId="27315"/>
    <cellStyle name="Header2 2 6 18 4" xfId="38480"/>
    <cellStyle name="Header2 2 6 18 5" xfId="49673"/>
    <cellStyle name="Header2 2 6 19" xfId="6017"/>
    <cellStyle name="Header2 2 6 19 2" xfId="17214"/>
    <cellStyle name="Header2 2 6 19 3" xfId="28382"/>
    <cellStyle name="Header2 2 6 19 4" xfId="39547"/>
    <cellStyle name="Header2 2 6 19 5" xfId="50740"/>
    <cellStyle name="Header2 2 6 2" xfId="131"/>
    <cellStyle name="Header2 2 6 2 10" xfId="6700"/>
    <cellStyle name="Header2 2 6 2 10 2" xfId="17897"/>
    <cellStyle name="Header2 2 6 2 10 3" xfId="29065"/>
    <cellStyle name="Header2 2 6 2 10 4" xfId="40230"/>
    <cellStyle name="Header2 2 6 2 10 5" xfId="51423"/>
    <cellStyle name="Header2 2 6 2 11" xfId="7334"/>
    <cellStyle name="Header2 2 6 2 11 2" xfId="18531"/>
    <cellStyle name="Header2 2 6 2 11 3" xfId="29699"/>
    <cellStyle name="Header2 2 6 2 11 4" xfId="40864"/>
    <cellStyle name="Header2 2 6 2 11 5" xfId="52057"/>
    <cellStyle name="Header2 2 6 2 12" xfId="7968"/>
    <cellStyle name="Header2 2 6 2 12 2" xfId="19165"/>
    <cellStyle name="Header2 2 6 2 12 3" xfId="30333"/>
    <cellStyle name="Header2 2 6 2 12 4" xfId="41498"/>
    <cellStyle name="Header2 2 6 2 12 5" xfId="52691"/>
    <cellStyle name="Header2 2 6 2 13" xfId="9057"/>
    <cellStyle name="Header2 2 6 2 13 2" xfId="20254"/>
    <cellStyle name="Header2 2 6 2 13 3" xfId="31422"/>
    <cellStyle name="Header2 2 6 2 13 4" xfId="42587"/>
    <cellStyle name="Header2 2 6 2 13 5" xfId="53780"/>
    <cellStyle name="Header2 2 6 2 14" xfId="10501"/>
    <cellStyle name="Header2 2 6 2 14 2" xfId="21698"/>
    <cellStyle name="Header2 2 6 2 14 3" xfId="32866"/>
    <cellStyle name="Header2 2 6 2 14 4" xfId="44031"/>
    <cellStyle name="Header2 2 6 2 14 5" xfId="55224"/>
    <cellStyle name="Header2 2 6 2 15" xfId="10684"/>
    <cellStyle name="Header2 2 6 2 15 2" xfId="21881"/>
    <cellStyle name="Header2 2 6 2 15 3" xfId="33049"/>
    <cellStyle name="Header2 2 6 2 15 4" xfId="44214"/>
    <cellStyle name="Header2 2 6 2 15 5" xfId="55407"/>
    <cellStyle name="Header2 2 6 2 16" xfId="11331"/>
    <cellStyle name="Header2 2 6 2 17" xfId="22501"/>
    <cellStyle name="Header2 2 6 2 18" xfId="33668"/>
    <cellStyle name="Header2 2 6 2 19" xfId="44854"/>
    <cellStyle name="Header2 2 6 2 2" xfId="780"/>
    <cellStyle name="Header2 2 6 2 2 2" xfId="11977"/>
    <cellStyle name="Header2 2 6 2 2 3" xfId="23145"/>
    <cellStyle name="Header2 2 6 2 2 4" xfId="34310"/>
    <cellStyle name="Header2 2 6 2 2 5" xfId="45503"/>
    <cellStyle name="Header2 2 6 2 3" xfId="1798"/>
    <cellStyle name="Header2 2 6 2 3 2" xfId="12995"/>
    <cellStyle name="Header2 2 6 2 3 3" xfId="24163"/>
    <cellStyle name="Header2 2 6 2 3 4" xfId="35328"/>
    <cellStyle name="Header2 2 6 2 3 5" xfId="46521"/>
    <cellStyle name="Header2 2 6 2 4" xfId="2355"/>
    <cellStyle name="Header2 2 6 2 4 2" xfId="13552"/>
    <cellStyle name="Header2 2 6 2 4 3" xfId="24720"/>
    <cellStyle name="Header2 2 6 2 4 4" xfId="35885"/>
    <cellStyle name="Header2 2 6 2 4 5" xfId="47078"/>
    <cellStyle name="Header2 2 6 2 5" xfId="3115"/>
    <cellStyle name="Header2 2 6 2 5 2" xfId="14312"/>
    <cellStyle name="Header2 2 6 2 5 3" xfId="25480"/>
    <cellStyle name="Header2 2 6 2 5 4" xfId="36645"/>
    <cellStyle name="Header2 2 6 2 5 5" xfId="47838"/>
    <cellStyle name="Header2 2 6 2 6" xfId="3749"/>
    <cellStyle name="Header2 2 6 2 6 2" xfId="14946"/>
    <cellStyle name="Header2 2 6 2 6 3" xfId="26114"/>
    <cellStyle name="Header2 2 6 2 6 4" xfId="37279"/>
    <cellStyle name="Header2 2 6 2 6 5" xfId="48472"/>
    <cellStyle name="Header2 2 6 2 7" xfId="4382"/>
    <cellStyle name="Header2 2 6 2 7 2" xfId="15579"/>
    <cellStyle name="Header2 2 6 2 7 3" xfId="26747"/>
    <cellStyle name="Header2 2 6 2 7 4" xfId="37912"/>
    <cellStyle name="Header2 2 6 2 7 5" xfId="49105"/>
    <cellStyle name="Header2 2 6 2 8" xfId="5013"/>
    <cellStyle name="Header2 2 6 2 8 2" xfId="16210"/>
    <cellStyle name="Header2 2 6 2 8 3" xfId="27378"/>
    <cellStyle name="Header2 2 6 2 8 4" xfId="38543"/>
    <cellStyle name="Header2 2 6 2 8 5" xfId="49736"/>
    <cellStyle name="Header2 2 6 2 9" xfId="6010"/>
    <cellStyle name="Header2 2 6 2 9 2" xfId="17207"/>
    <cellStyle name="Header2 2 6 2 9 3" xfId="28375"/>
    <cellStyle name="Header2 2 6 2 9 4" xfId="39540"/>
    <cellStyle name="Header2 2 6 2 9 5" xfId="50733"/>
    <cellStyle name="Header2 2 6 20" xfId="6637"/>
    <cellStyle name="Header2 2 6 20 2" xfId="17834"/>
    <cellStyle name="Header2 2 6 20 3" xfId="29002"/>
    <cellStyle name="Header2 2 6 20 4" xfId="40167"/>
    <cellStyle name="Header2 2 6 20 5" xfId="51360"/>
    <cellStyle name="Header2 2 6 21" xfId="7269"/>
    <cellStyle name="Header2 2 6 21 2" xfId="18466"/>
    <cellStyle name="Header2 2 6 21 3" xfId="29634"/>
    <cellStyle name="Header2 2 6 21 4" xfId="40799"/>
    <cellStyle name="Header2 2 6 21 5" xfId="51992"/>
    <cellStyle name="Header2 2 6 22" xfId="7903"/>
    <cellStyle name="Header2 2 6 22 2" xfId="19100"/>
    <cellStyle name="Header2 2 6 22 3" xfId="30268"/>
    <cellStyle name="Header2 2 6 22 4" xfId="41433"/>
    <cellStyle name="Header2 2 6 22 5" xfId="52626"/>
    <cellStyle name="Header2 2 6 23" xfId="8546"/>
    <cellStyle name="Header2 2 6 23 2" xfId="19743"/>
    <cellStyle name="Header2 2 6 23 3" xfId="30911"/>
    <cellStyle name="Header2 2 6 23 4" xfId="42076"/>
    <cellStyle name="Header2 2 6 23 5" xfId="53269"/>
    <cellStyle name="Header2 2 6 24" xfId="10462"/>
    <cellStyle name="Header2 2 6 24 2" xfId="21659"/>
    <cellStyle name="Header2 2 6 24 3" xfId="32827"/>
    <cellStyle name="Header2 2 6 24 4" xfId="43992"/>
    <cellStyle name="Header2 2 6 24 5" xfId="55185"/>
    <cellStyle name="Header2 2 6 25" xfId="10621"/>
    <cellStyle name="Header2 2 6 25 2" xfId="21818"/>
    <cellStyle name="Header2 2 6 25 3" xfId="32986"/>
    <cellStyle name="Header2 2 6 25 4" xfId="44151"/>
    <cellStyle name="Header2 2 6 25 5" xfId="55344"/>
    <cellStyle name="Header2 2 6 26" xfId="11267"/>
    <cellStyle name="Header2 2 6 27" xfId="22438"/>
    <cellStyle name="Header2 2 6 28" xfId="33605"/>
    <cellStyle name="Header2 2 6 29" xfId="44789"/>
    <cellStyle name="Header2 2 6 3" xfId="187"/>
    <cellStyle name="Header2 2 6 3 10" xfId="6756"/>
    <cellStyle name="Header2 2 6 3 10 2" xfId="17953"/>
    <cellStyle name="Header2 2 6 3 10 3" xfId="29121"/>
    <cellStyle name="Header2 2 6 3 10 4" xfId="40286"/>
    <cellStyle name="Header2 2 6 3 10 5" xfId="51479"/>
    <cellStyle name="Header2 2 6 3 11" xfId="7390"/>
    <cellStyle name="Header2 2 6 3 11 2" xfId="18587"/>
    <cellStyle name="Header2 2 6 3 11 3" xfId="29755"/>
    <cellStyle name="Header2 2 6 3 11 4" xfId="40920"/>
    <cellStyle name="Header2 2 6 3 11 5" xfId="52113"/>
    <cellStyle name="Header2 2 6 3 12" xfId="8024"/>
    <cellStyle name="Header2 2 6 3 12 2" xfId="19221"/>
    <cellStyle name="Header2 2 6 3 12 3" xfId="30389"/>
    <cellStyle name="Header2 2 6 3 12 4" xfId="41554"/>
    <cellStyle name="Header2 2 6 3 12 5" xfId="52747"/>
    <cellStyle name="Header2 2 6 3 13" xfId="9076"/>
    <cellStyle name="Header2 2 6 3 13 2" xfId="20273"/>
    <cellStyle name="Header2 2 6 3 13 3" xfId="31441"/>
    <cellStyle name="Header2 2 6 3 13 4" xfId="42606"/>
    <cellStyle name="Header2 2 6 3 13 5" xfId="53799"/>
    <cellStyle name="Header2 2 6 3 14" xfId="10428"/>
    <cellStyle name="Header2 2 6 3 14 2" xfId="21625"/>
    <cellStyle name="Header2 2 6 3 14 3" xfId="32793"/>
    <cellStyle name="Header2 2 6 3 14 4" xfId="43958"/>
    <cellStyle name="Header2 2 6 3 14 5" xfId="55151"/>
    <cellStyle name="Header2 2 6 3 15" xfId="10740"/>
    <cellStyle name="Header2 2 6 3 15 2" xfId="21937"/>
    <cellStyle name="Header2 2 6 3 15 3" xfId="33105"/>
    <cellStyle name="Header2 2 6 3 15 4" xfId="44270"/>
    <cellStyle name="Header2 2 6 3 15 5" xfId="55463"/>
    <cellStyle name="Header2 2 6 3 16" xfId="11387"/>
    <cellStyle name="Header2 2 6 3 17" xfId="22557"/>
    <cellStyle name="Header2 2 6 3 18" xfId="33724"/>
    <cellStyle name="Header2 2 6 3 19" xfId="44910"/>
    <cellStyle name="Header2 2 6 3 2" xfId="836"/>
    <cellStyle name="Header2 2 6 3 2 2" xfId="12033"/>
    <cellStyle name="Header2 2 6 3 2 3" xfId="23201"/>
    <cellStyle name="Header2 2 6 3 2 4" xfId="34366"/>
    <cellStyle name="Header2 2 6 3 2 5" xfId="45559"/>
    <cellStyle name="Header2 2 6 3 3" xfId="1699"/>
    <cellStyle name="Header2 2 6 3 3 2" xfId="12896"/>
    <cellStyle name="Header2 2 6 3 3 3" xfId="24064"/>
    <cellStyle name="Header2 2 6 3 3 4" xfId="35229"/>
    <cellStyle name="Header2 2 6 3 3 5" xfId="46422"/>
    <cellStyle name="Header2 2 6 3 4" xfId="2430"/>
    <cellStyle name="Header2 2 6 3 4 2" xfId="13627"/>
    <cellStyle name="Header2 2 6 3 4 3" xfId="24795"/>
    <cellStyle name="Header2 2 6 3 4 4" xfId="35960"/>
    <cellStyle name="Header2 2 6 3 4 5" xfId="47153"/>
    <cellStyle name="Header2 2 6 3 5" xfId="3171"/>
    <cellStyle name="Header2 2 6 3 5 2" xfId="14368"/>
    <cellStyle name="Header2 2 6 3 5 3" xfId="25536"/>
    <cellStyle name="Header2 2 6 3 5 4" xfId="36701"/>
    <cellStyle name="Header2 2 6 3 5 5" xfId="47894"/>
    <cellStyle name="Header2 2 6 3 6" xfId="3805"/>
    <cellStyle name="Header2 2 6 3 6 2" xfId="15002"/>
    <cellStyle name="Header2 2 6 3 6 3" xfId="26170"/>
    <cellStyle name="Header2 2 6 3 6 4" xfId="37335"/>
    <cellStyle name="Header2 2 6 3 6 5" xfId="48528"/>
    <cellStyle name="Header2 2 6 3 7" xfId="4438"/>
    <cellStyle name="Header2 2 6 3 7 2" xfId="15635"/>
    <cellStyle name="Header2 2 6 3 7 3" xfId="26803"/>
    <cellStyle name="Header2 2 6 3 7 4" xfId="37968"/>
    <cellStyle name="Header2 2 6 3 7 5" xfId="49161"/>
    <cellStyle name="Header2 2 6 3 8" xfId="5069"/>
    <cellStyle name="Header2 2 6 3 8 2" xfId="16266"/>
    <cellStyle name="Header2 2 6 3 8 3" xfId="27434"/>
    <cellStyle name="Header2 2 6 3 8 4" xfId="38599"/>
    <cellStyle name="Header2 2 6 3 8 5" xfId="49792"/>
    <cellStyle name="Header2 2 6 3 9" xfId="5869"/>
    <cellStyle name="Header2 2 6 3 9 2" xfId="17066"/>
    <cellStyle name="Header2 2 6 3 9 3" xfId="28234"/>
    <cellStyle name="Header2 2 6 3 9 4" xfId="39399"/>
    <cellStyle name="Header2 2 6 3 9 5" xfId="50592"/>
    <cellStyle name="Header2 2 6 4" xfId="270"/>
    <cellStyle name="Header2 2 6 4 10" xfId="6839"/>
    <cellStyle name="Header2 2 6 4 10 2" xfId="18036"/>
    <cellStyle name="Header2 2 6 4 10 3" xfId="29204"/>
    <cellStyle name="Header2 2 6 4 10 4" xfId="40369"/>
    <cellStyle name="Header2 2 6 4 10 5" xfId="51562"/>
    <cellStyle name="Header2 2 6 4 11" xfId="7473"/>
    <cellStyle name="Header2 2 6 4 11 2" xfId="18670"/>
    <cellStyle name="Header2 2 6 4 11 3" xfId="29838"/>
    <cellStyle name="Header2 2 6 4 11 4" xfId="41003"/>
    <cellStyle name="Header2 2 6 4 11 5" xfId="52196"/>
    <cellStyle name="Header2 2 6 4 12" xfId="8107"/>
    <cellStyle name="Header2 2 6 4 12 2" xfId="19304"/>
    <cellStyle name="Header2 2 6 4 12 3" xfId="30472"/>
    <cellStyle name="Header2 2 6 4 12 4" xfId="41637"/>
    <cellStyle name="Header2 2 6 4 12 5" xfId="52830"/>
    <cellStyle name="Header2 2 6 4 13" xfId="9158"/>
    <cellStyle name="Header2 2 6 4 13 2" xfId="20355"/>
    <cellStyle name="Header2 2 6 4 13 3" xfId="31523"/>
    <cellStyle name="Header2 2 6 4 13 4" xfId="42688"/>
    <cellStyle name="Header2 2 6 4 13 5" xfId="53881"/>
    <cellStyle name="Header2 2 6 4 14" xfId="9682"/>
    <cellStyle name="Header2 2 6 4 14 2" xfId="20879"/>
    <cellStyle name="Header2 2 6 4 14 3" xfId="32047"/>
    <cellStyle name="Header2 2 6 4 14 4" xfId="43212"/>
    <cellStyle name="Header2 2 6 4 14 5" xfId="54405"/>
    <cellStyle name="Header2 2 6 4 15" xfId="10823"/>
    <cellStyle name="Header2 2 6 4 15 2" xfId="22020"/>
    <cellStyle name="Header2 2 6 4 15 3" xfId="33188"/>
    <cellStyle name="Header2 2 6 4 15 4" xfId="44353"/>
    <cellStyle name="Header2 2 6 4 15 5" xfId="55546"/>
    <cellStyle name="Header2 2 6 4 16" xfId="11470"/>
    <cellStyle name="Header2 2 6 4 17" xfId="22640"/>
    <cellStyle name="Header2 2 6 4 18" xfId="33807"/>
    <cellStyle name="Header2 2 6 4 19" xfId="44993"/>
    <cellStyle name="Header2 2 6 4 2" xfId="919"/>
    <cellStyle name="Header2 2 6 4 2 2" xfId="12116"/>
    <cellStyle name="Header2 2 6 4 2 3" xfId="23284"/>
    <cellStyle name="Header2 2 6 4 2 4" xfId="34449"/>
    <cellStyle name="Header2 2 6 4 2 5" xfId="45642"/>
    <cellStyle name="Header2 2 6 4 3" xfId="1419"/>
    <cellStyle name="Header2 2 6 4 3 2" xfId="12616"/>
    <cellStyle name="Header2 2 6 4 3 3" xfId="23784"/>
    <cellStyle name="Header2 2 6 4 3 4" xfId="34949"/>
    <cellStyle name="Header2 2 6 4 3 5" xfId="46142"/>
    <cellStyle name="Header2 2 6 4 4" xfId="2620"/>
    <cellStyle name="Header2 2 6 4 4 2" xfId="13817"/>
    <cellStyle name="Header2 2 6 4 4 3" xfId="24985"/>
    <cellStyle name="Header2 2 6 4 4 4" xfId="36150"/>
    <cellStyle name="Header2 2 6 4 4 5" xfId="47343"/>
    <cellStyle name="Header2 2 6 4 5" xfId="3254"/>
    <cellStyle name="Header2 2 6 4 5 2" xfId="14451"/>
    <cellStyle name="Header2 2 6 4 5 3" xfId="25619"/>
    <cellStyle name="Header2 2 6 4 5 4" xfId="36784"/>
    <cellStyle name="Header2 2 6 4 5 5" xfId="47977"/>
    <cellStyle name="Header2 2 6 4 6" xfId="3888"/>
    <cellStyle name="Header2 2 6 4 6 2" xfId="15085"/>
    <cellStyle name="Header2 2 6 4 6 3" xfId="26253"/>
    <cellStyle name="Header2 2 6 4 6 4" xfId="37418"/>
    <cellStyle name="Header2 2 6 4 6 5" xfId="48611"/>
    <cellStyle name="Header2 2 6 4 7" xfId="4521"/>
    <cellStyle name="Header2 2 6 4 7 2" xfId="15718"/>
    <cellStyle name="Header2 2 6 4 7 3" xfId="26886"/>
    <cellStyle name="Header2 2 6 4 7 4" xfId="38051"/>
    <cellStyle name="Header2 2 6 4 7 5" xfId="49244"/>
    <cellStyle name="Header2 2 6 4 8" xfId="5152"/>
    <cellStyle name="Header2 2 6 4 8 2" xfId="16349"/>
    <cellStyle name="Header2 2 6 4 8 3" xfId="27517"/>
    <cellStyle name="Header2 2 6 4 8 4" xfId="38682"/>
    <cellStyle name="Header2 2 6 4 8 5" xfId="49875"/>
    <cellStyle name="Header2 2 6 4 9" xfId="6206"/>
    <cellStyle name="Header2 2 6 4 9 2" xfId="17403"/>
    <cellStyle name="Header2 2 6 4 9 3" xfId="28571"/>
    <cellStyle name="Header2 2 6 4 9 4" xfId="39736"/>
    <cellStyle name="Header2 2 6 4 9 5" xfId="50929"/>
    <cellStyle name="Header2 2 6 5" xfId="305"/>
    <cellStyle name="Header2 2 6 5 10" xfId="6874"/>
    <cellStyle name="Header2 2 6 5 10 2" xfId="18071"/>
    <cellStyle name="Header2 2 6 5 10 3" xfId="29239"/>
    <cellStyle name="Header2 2 6 5 10 4" xfId="40404"/>
    <cellStyle name="Header2 2 6 5 10 5" xfId="51597"/>
    <cellStyle name="Header2 2 6 5 11" xfId="7508"/>
    <cellStyle name="Header2 2 6 5 11 2" xfId="18705"/>
    <cellStyle name="Header2 2 6 5 11 3" xfId="29873"/>
    <cellStyle name="Header2 2 6 5 11 4" xfId="41038"/>
    <cellStyle name="Header2 2 6 5 11 5" xfId="52231"/>
    <cellStyle name="Header2 2 6 5 12" xfId="8142"/>
    <cellStyle name="Header2 2 6 5 12 2" xfId="19339"/>
    <cellStyle name="Header2 2 6 5 12 3" xfId="30507"/>
    <cellStyle name="Header2 2 6 5 12 4" xfId="41672"/>
    <cellStyle name="Header2 2 6 5 12 5" xfId="52865"/>
    <cellStyle name="Header2 2 6 5 13" xfId="9193"/>
    <cellStyle name="Header2 2 6 5 13 2" xfId="20390"/>
    <cellStyle name="Header2 2 6 5 13 3" xfId="31558"/>
    <cellStyle name="Header2 2 6 5 13 4" xfId="42723"/>
    <cellStyle name="Header2 2 6 5 13 5" xfId="53916"/>
    <cellStyle name="Header2 2 6 5 14" xfId="10206"/>
    <cellStyle name="Header2 2 6 5 14 2" xfId="21403"/>
    <cellStyle name="Header2 2 6 5 14 3" xfId="32571"/>
    <cellStyle name="Header2 2 6 5 14 4" xfId="43736"/>
    <cellStyle name="Header2 2 6 5 14 5" xfId="54929"/>
    <cellStyle name="Header2 2 6 5 15" xfId="10858"/>
    <cellStyle name="Header2 2 6 5 15 2" xfId="22055"/>
    <cellStyle name="Header2 2 6 5 15 3" xfId="33223"/>
    <cellStyle name="Header2 2 6 5 15 4" xfId="44388"/>
    <cellStyle name="Header2 2 6 5 15 5" xfId="55581"/>
    <cellStyle name="Header2 2 6 5 16" xfId="11505"/>
    <cellStyle name="Header2 2 6 5 17" xfId="22675"/>
    <cellStyle name="Header2 2 6 5 18" xfId="33842"/>
    <cellStyle name="Header2 2 6 5 19" xfId="45028"/>
    <cellStyle name="Header2 2 6 5 2" xfId="954"/>
    <cellStyle name="Header2 2 6 5 2 2" xfId="12151"/>
    <cellStyle name="Header2 2 6 5 2 3" xfId="23319"/>
    <cellStyle name="Header2 2 6 5 2 4" xfId="34484"/>
    <cellStyle name="Header2 2 6 5 2 5" xfId="45677"/>
    <cellStyle name="Header2 2 6 5 3" xfId="1462"/>
    <cellStyle name="Header2 2 6 5 3 2" xfId="12659"/>
    <cellStyle name="Header2 2 6 5 3 3" xfId="23827"/>
    <cellStyle name="Header2 2 6 5 3 4" xfId="34992"/>
    <cellStyle name="Header2 2 6 5 3 5" xfId="46185"/>
    <cellStyle name="Header2 2 6 5 4" xfId="2655"/>
    <cellStyle name="Header2 2 6 5 4 2" xfId="13852"/>
    <cellStyle name="Header2 2 6 5 4 3" xfId="25020"/>
    <cellStyle name="Header2 2 6 5 4 4" xfId="36185"/>
    <cellStyle name="Header2 2 6 5 4 5" xfId="47378"/>
    <cellStyle name="Header2 2 6 5 5" xfId="3289"/>
    <cellStyle name="Header2 2 6 5 5 2" xfId="14486"/>
    <cellStyle name="Header2 2 6 5 5 3" xfId="25654"/>
    <cellStyle name="Header2 2 6 5 5 4" xfId="36819"/>
    <cellStyle name="Header2 2 6 5 5 5" xfId="48012"/>
    <cellStyle name="Header2 2 6 5 6" xfId="3923"/>
    <cellStyle name="Header2 2 6 5 6 2" xfId="15120"/>
    <cellStyle name="Header2 2 6 5 6 3" xfId="26288"/>
    <cellStyle name="Header2 2 6 5 6 4" xfId="37453"/>
    <cellStyle name="Header2 2 6 5 6 5" xfId="48646"/>
    <cellStyle name="Header2 2 6 5 7" xfId="4556"/>
    <cellStyle name="Header2 2 6 5 7 2" xfId="15753"/>
    <cellStyle name="Header2 2 6 5 7 3" xfId="26921"/>
    <cellStyle name="Header2 2 6 5 7 4" xfId="38086"/>
    <cellStyle name="Header2 2 6 5 7 5" xfId="49279"/>
    <cellStyle name="Header2 2 6 5 8" xfId="5187"/>
    <cellStyle name="Header2 2 6 5 8 2" xfId="16384"/>
    <cellStyle name="Header2 2 6 5 8 3" xfId="27552"/>
    <cellStyle name="Header2 2 6 5 8 4" xfId="38717"/>
    <cellStyle name="Header2 2 6 5 8 5" xfId="49910"/>
    <cellStyle name="Header2 2 6 5 9" xfId="6241"/>
    <cellStyle name="Header2 2 6 5 9 2" xfId="17438"/>
    <cellStyle name="Header2 2 6 5 9 3" xfId="28606"/>
    <cellStyle name="Header2 2 6 5 9 4" xfId="39771"/>
    <cellStyle name="Header2 2 6 5 9 5" xfId="50964"/>
    <cellStyle name="Header2 2 6 6" xfId="401"/>
    <cellStyle name="Header2 2 6 6 10" xfId="6970"/>
    <cellStyle name="Header2 2 6 6 10 2" xfId="18167"/>
    <cellStyle name="Header2 2 6 6 10 3" xfId="29335"/>
    <cellStyle name="Header2 2 6 6 10 4" xfId="40500"/>
    <cellStyle name="Header2 2 6 6 10 5" xfId="51693"/>
    <cellStyle name="Header2 2 6 6 11" xfId="7604"/>
    <cellStyle name="Header2 2 6 6 11 2" xfId="18801"/>
    <cellStyle name="Header2 2 6 6 11 3" xfId="29969"/>
    <cellStyle name="Header2 2 6 6 11 4" xfId="41134"/>
    <cellStyle name="Header2 2 6 6 11 5" xfId="52327"/>
    <cellStyle name="Header2 2 6 6 12" xfId="8238"/>
    <cellStyle name="Header2 2 6 6 12 2" xfId="19435"/>
    <cellStyle name="Header2 2 6 6 12 3" xfId="30603"/>
    <cellStyle name="Header2 2 6 6 12 4" xfId="41768"/>
    <cellStyle name="Header2 2 6 6 12 5" xfId="52961"/>
    <cellStyle name="Header2 2 6 6 13" xfId="9289"/>
    <cellStyle name="Header2 2 6 6 13 2" xfId="20486"/>
    <cellStyle name="Header2 2 6 6 13 3" xfId="31654"/>
    <cellStyle name="Header2 2 6 6 13 4" xfId="42819"/>
    <cellStyle name="Header2 2 6 6 13 5" xfId="54012"/>
    <cellStyle name="Header2 2 6 6 14" xfId="10273"/>
    <cellStyle name="Header2 2 6 6 14 2" xfId="21470"/>
    <cellStyle name="Header2 2 6 6 14 3" xfId="32638"/>
    <cellStyle name="Header2 2 6 6 14 4" xfId="43803"/>
    <cellStyle name="Header2 2 6 6 14 5" xfId="54996"/>
    <cellStyle name="Header2 2 6 6 15" xfId="10954"/>
    <cellStyle name="Header2 2 6 6 15 2" xfId="22151"/>
    <cellStyle name="Header2 2 6 6 15 3" xfId="33319"/>
    <cellStyle name="Header2 2 6 6 15 4" xfId="44484"/>
    <cellStyle name="Header2 2 6 6 15 5" xfId="55677"/>
    <cellStyle name="Header2 2 6 6 16" xfId="11601"/>
    <cellStyle name="Header2 2 6 6 17" xfId="22771"/>
    <cellStyle name="Header2 2 6 6 18" xfId="33938"/>
    <cellStyle name="Header2 2 6 6 19" xfId="45124"/>
    <cellStyle name="Header2 2 6 6 2" xfId="1050"/>
    <cellStyle name="Header2 2 6 6 2 2" xfId="12247"/>
    <cellStyle name="Header2 2 6 6 2 3" xfId="23415"/>
    <cellStyle name="Header2 2 6 6 2 4" xfId="34580"/>
    <cellStyle name="Header2 2 6 6 2 5" xfId="45773"/>
    <cellStyle name="Header2 2 6 6 3" xfId="1528"/>
    <cellStyle name="Header2 2 6 6 3 2" xfId="12725"/>
    <cellStyle name="Header2 2 6 6 3 3" xfId="23893"/>
    <cellStyle name="Header2 2 6 6 3 4" xfId="35058"/>
    <cellStyle name="Header2 2 6 6 3 5" xfId="46251"/>
    <cellStyle name="Header2 2 6 6 4" xfId="2751"/>
    <cellStyle name="Header2 2 6 6 4 2" xfId="13948"/>
    <cellStyle name="Header2 2 6 6 4 3" xfId="25116"/>
    <cellStyle name="Header2 2 6 6 4 4" xfId="36281"/>
    <cellStyle name="Header2 2 6 6 4 5" xfId="47474"/>
    <cellStyle name="Header2 2 6 6 5" xfId="3385"/>
    <cellStyle name="Header2 2 6 6 5 2" xfId="14582"/>
    <cellStyle name="Header2 2 6 6 5 3" xfId="25750"/>
    <cellStyle name="Header2 2 6 6 5 4" xfId="36915"/>
    <cellStyle name="Header2 2 6 6 5 5" xfId="48108"/>
    <cellStyle name="Header2 2 6 6 6" xfId="4019"/>
    <cellStyle name="Header2 2 6 6 6 2" xfId="15216"/>
    <cellStyle name="Header2 2 6 6 6 3" xfId="26384"/>
    <cellStyle name="Header2 2 6 6 6 4" xfId="37549"/>
    <cellStyle name="Header2 2 6 6 6 5" xfId="48742"/>
    <cellStyle name="Header2 2 6 6 7" xfId="4652"/>
    <cellStyle name="Header2 2 6 6 7 2" xfId="15849"/>
    <cellStyle name="Header2 2 6 6 7 3" xfId="27017"/>
    <cellStyle name="Header2 2 6 6 7 4" xfId="38182"/>
    <cellStyle name="Header2 2 6 6 7 5" xfId="49375"/>
    <cellStyle name="Header2 2 6 6 8" xfId="5283"/>
    <cellStyle name="Header2 2 6 6 8 2" xfId="16480"/>
    <cellStyle name="Header2 2 6 6 8 3" xfId="27648"/>
    <cellStyle name="Header2 2 6 6 8 4" xfId="38813"/>
    <cellStyle name="Header2 2 6 6 8 5" xfId="50006"/>
    <cellStyle name="Header2 2 6 6 9" xfId="6337"/>
    <cellStyle name="Header2 2 6 6 9 2" xfId="17534"/>
    <cellStyle name="Header2 2 6 6 9 3" xfId="28702"/>
    <cellStyle name="Header2 2 6 6 9 4" xfId="39867"/>
    <cellStyle name="Header2 2 6 6 9 5" xfId="51060"/>
    <cellStyle name="Header2 2 6 7" xfId="365"/>
    <cellStyle name="Header2 2 6 7 10" xfId="6934"/>
    <cellStyle name="Header2 2 6 7 10 2" xfId="18131"/>
    <cellStyle name="Header2 2 6 7 10 3" xfId="29299"/>
    <cellStyle name="Header2 2 6 7 10 4" xfId="40464"/>
    <cellStyle name="Header2 2 6 7 10 5" xfId="51657"/>
    <cellStyle name="Header2 2 6 7 11" xfId="7568"/>
    <cellStyle name="Header2 2 6 7 11 2" xfId="18765"/>
    <cellStyle name="Header2 2 6 7 11 3" xfId="29933"/>
    <cellStyle name="Header2 2 6 7 11 4" xfId="41098"/>
    <cellStyle name="Header2 2 6 7 11 5" xfId="52291"/>
    <cellStyle name="Header2 2 6 7 12" xfId="8202"/>
    <cellStyle name="Header2 2 6 7 12 2" xfId="19399"/>
    <cellStyle name="Header2 2 6 7 12 3" xfId="30567"/>
    <cellStyle name="Header2 2 6 7 12 4" xfId="41732"/>
    <cellStyle name="Header2 2 6 7 12 5" xfId="52925"/>
    <cellStyle name="Header2 2 6 7 13" xfId="9253"/>
    <cellStyle name="Header2 2 6 7 13 2" xfId="20450"/>
    <cellStyle name="Header2 2 6 7 13 3" xfId="31618"/>
    <cellStyle name="Header2 2 6 7 13 4" xfId="42783"/>
    <cellStyle name="Header2 2 6 7 13 5" xfId="53976"/>
    <cellStyle name="Header2 2 6 7 14" xfId="10439"/>
    <cellStyle name="Header2 2 6 7 14 2" xfId="21636"/>
    <cellStyle name="Header2 2 6 7 14 3" xfId="32804"/>
    <cellStyle name="Header2 2 6 7 14 4" xfId="43969"/>
    <cellStyle name="Header2 2 6 7 14 5" xfId="55162"/>
    <cellStyle name="Header2 2 6 7 15" xfId="10918"/>
    <cellStyle name="Header2 2 6 7 15 2" xfId="22115"/>
    <cellStyle name="Header2 2 6 7 15 3" xfId="33283"/>
    <cellStyle name="Header2 2 6 7 15 4" xfId="44448"/>
    <cellStyle name="Header2 2 6 7 15 5" xfId="55641"/>
    <cellStyle name="Header2 2 6 7 16" xfId="11565"/>
    <cellStyle name="Header2 2 6 7 17" xfId="22735"/>
    <cellStyle name="Header2 2 6 7 18" xfId="33902"/>
    <cellStyle name="Header2 2 6 7 19" xfId="45088"/>
    <cellStyle name="Header2 2 6 7 2" xfId="1014"/>
    <cellStyle name="Header2 2 6 7 2 2" xfId="12211"/>
    <cellStyle name="Header2 2 6 7 2 3" xfId="23379"/>
    <cellStyle name="Header2 2 6 7 2 4" xfId="34544"/>
    <cellStyle name="Header2 2 6 7 2 5" xfId="45737"/>
    <cellStyle name="Header2 2 6 7 3" xfId="1654"/>
    <cellStyle name="Header2 2 6 7 3 2" xfId="12851"/>
    <cellStyle name="Header2 2 6 7 3 3" xfId="24019"/>
    <cellStyle name="Header2 2 6 7 3 4" xfId="35184"/>
    <cellStyle name="Header2 2 6 7 3 5" xfId="46377"/>
    <cellStyle name="Header2 2 6 7 4" xfId="2715"/>
    <cellStyle name="Header2 2 6 7 4 2" xfId="13912"/>
    <cellStyle name="Header2 2 6 7 4 3" xfId="25080"/>
    <cellStyle name="Header2 2 6 7 4 4" xfId="36245"/>
    <cellStyle name="Header2 2 6 7 4 5" xfId="47438"/>
    <cellStyle name="Header2 2 6 7 5" xfId="3349"/>
    <cellStyle name="Header2 2 6 7 5 2" xfId="14546"/>
    <cellStyle name="Header2 2 6 7 5 3" xfId="25714"/>
    <cellStyle name="Header2 2 6 7 5 4" xfId="36879"/>
    <cellStyle name="Header2 2 6 7 5 5" xfId="48072"/>
    <cellStyle name="Header2 2 6 7 6" xfId="3983"/>
    <cellStyle name="Header2 2 6 7 6 2" xfId="15180"/>
    <cellStyle name="Header2 2 6 7 6 3" xfId="26348"/>
    <cellStyle name="Header2 2 6 7 6 4" xfId="37513"/>
    <cellStyle name="Header2 2 6 7 6 5" xfId="48706"/>
    <cellStyle name="Header2 2 6 7 7" xfId="4616"/>
    <cellStyle name="Header2 2 6 7 7 2" xfId="15813"/>
    <cellStyle name="Header2 2 6 7 7 3" xfId="26981"/>
    <cellStyle name="Header2 2 6 7 7 4" xfId="38146"/>
    <cellStyle name="Header2 2 6 7 7 5" xfId="49339"/>
    <cellStyle name="Header2 2 6 7 8" xfId="5247"/>
    <cellStyle name="Header2 2 6 7 8 2" xfId="16444"/>
    <cellStyle name="Header2 2 6 7 8 3" xfId="27612"/>
    <cellStyle name="Header2 2 6 7 8 4" xfId="38777"/>
    <cellStyle name="Header2 2 6 7 8 5" xfId="49970"/>
    <cellStyle name="Header2 2 6 7 9" xfId="6301"/>
    <cellStyle name="Header2 2 6 7 9 2" xfId="17498"/>
    <cellStyle name="Header2 2 6 7 9 3" xfId="28666"/>
    <cellStyle name="Header2 2 6 7 9 4" xfId="39831"/>
    <cellStyle name="Header2 2 6 7 9 5" xfId="51024"/>
    <cellStyle name="Header2 2 6 8" xfId="475"/>
    <cellStyle name="Header2 2 6 8 10" xfId="7044"/>
    <cellStyle name="Header2 2 6 8 10 2" xfId="18241"/>
    <cellStyle name="Header2 2 6 8 10 3" xfId="29409"/>
    <cellStyle name="Header2 2 6 8 10 4" xfId="40574"/>
    <cellStyle name="Header2 2 6 8 10 5" xfId="51767"/>
    <cellStyle name="Header2 2 6 8 11" xfId="7678"/>
    <cellStyle name="Header2 2 6 8 11 2" xfId="18875"/>
    <cellStyle name="Header2 2 6 8 11 3" xfId="30043"/>
    <cellStyle name="Header2 2 6 8 11 4" xfId="41208"/>
    <cellStyle name="Header2 2 6 8 11 5" xfId="52401"/>
    <cellStyle name="Header2 2 6 8 12" xfId="8312"/>
    <cellStyle name="Header2 2 6 8 12 2" xfId="19509"/>
    <cellStyle name="Header2 2 6 8 12 3" xfId="30677"/>
    <cellStyle name="Header2 2 6 8 12 4" xfId="41842"/>
    <cellStyle name="Header2 2 6 8 12 5" xfId="53035"/>
    <cellStyle name="Header2 2 6 8 13" xfId="9363"/>
    <cellStyle name="Header2 2 6 8 13 2" xfId="20560"/>
    <cellStyle name="Header2 2 6 8 13 3" xfId="31728"/>
    <cellStyle name="Header2 2 6 8 13 4" xfId="42893"/>
    <cellStyle name="Header2 2 6 8 13 5" xfId="54086"/>
    <cellStyle name="Header2 2 6 8 14" xfId="9946"/>
    <cellStyle name="Header2 2 6 8 14 2" xfId="21143"/>
    <cellStyle name="Header2 2 6 8 14 3" xfId="32311"/>
    <cellStyle name="Header2 2 6 8 14 4" xfId="43476"/>
    <cellStyle name="Header2 2 6 8 14 5" xfId="54669"/>
    <cellStyle name="Header2 2 6 8 15" xfId="11028"/>
    <cellStyle name="Header2 2 6 8 15 2" xfId="22225"/>
    <cellStyle name="Header2 2 6 8 15 3" xfId="33393"/>
    <cellStyle name="Header2 2 6 8 15 4" xfId="44558"/>
    <cellStyle name="Header2 2 6 8 15 5" xfId="55751"/>
    <cellStyle name="Header2 2 6 8 16" xfId="11675"/>
    <cellStyle name="Header2 2 6 8 17" xfId="22845"/>
    <cellStyle name="Header2 2 6 8 18" xfId="34012"/>
    <cellStyle name="Header2 2 6 8 19" xfId="45198"/>
    <cellStyle name="Header2 2 6 8 2" xfId="1124"/>
    <cellStyle name="Header2 2 6 8 2 2" xfId="12321"/>
    <cellStyle name="Header2 2 6 8 2 3" xfId="23489"/>
    <cellStyle name="Header2 2 6 8 2 4" xfId="34654"/>
    <cellStyle name="Header2 2 6 8 2 5" xfId="45847"/>
    <cellStyle name="Header2 2 6 8 3" xfId="1952"/>
    <cellStyle name="Header2 2 6 8 3 2" xfId="13149"/>
    <cellStyle name="Header2 2 6 8 3 3" xfId="24317"/>
    <cellStyle name="Header2 2 6 8 3 4" xfId="35482"/>
    <cellStyle name="Header2 2 6 8 3 5" xfId="46675"/>
    <cellStyle name="Header2 2 6 8 4" xfId="2825"/>
    <cellStyle name="Header2 2 6 8 4 2" xfId="14022"/>
    <cellStyle name="Header2 2 6 8 4 3" xfId="25190"/>
    <cellStyle name="Header2 2 6 8 4 4" xfId="36355"/>
    <cellStyle name="Header2 2 6 8 4 5" xfId="47548"/>
    <cellStyle name="Header2 2 6 8 5" xfId="3459"/>
    <cellStyle name="Header2 2 6 8 5 2" xfId="14656"/>
    <cellStyle name="Header2 2 6 8 5 3" xfId="25824"/>
    <cellStyle name="Header2 2 6 8 5 4" xfId="36989"/>
    <cellStyle name="Header2 2 6 8 5 5" xfId="48182"/>
    <cellStyle name="Header2 2 6 8 6" xfId="4093"/>
    <cellStyle name="Header2 2 6 8 6 2" xfId="15290"/>
    <cellStyle name="Header2 2 6 8 6 3" xfId="26458"/>
    <cellStyle name="Header2 2 6 8 6 4" xfId="37623"/>
    <cellStyle name="Header2 2 6 8 6 5" xfId="48816"/>
    <cellStyle name="Header2 2 6 8 7" xfId="4726"/>
    <cellStyle name="Header2 2 6 8 7 2" xfId="15923"/>
    <cellStyle name="Header2 2 6 8 7 3" xfId="27091"/>
    <cellStyle name="Header2 2 6 8 7 4" xfId="38256"/>
    <cellStyle name="Header2 2 6 8 7 5" xfId="49449"/>
    <cellStyle name="Header2 2 6 8 8" xfId="5357"/>
    <cellStyle name="Header2 2 6 8 8 2" xfId="16554"/>
    <cellStyle name="Header2 2 6 8 8 3" xfId="27722"/>
    <cellStyle name="Header2 2 6 8 8 4" xfId="38887"/>
    <cellStyle name="Header2 2 6 8 8 5" xfId="50080"/>
    <cellStyle name="Header2 2 6 8 9" xfId="6411"/>
    <cellStyle name="Header2 2 6 8 9 2" xfId="17608"/>
    <cellStyle name="Header2 2 6 8 9 3" xfId="28776"/>
    <cellStyle name="Header2 2 6 8 9 4" xfId="39941"/>
    <cellStyle name="Header2 2 6 8 9 5" xfId="51134"/>
    <cellStyle name="Header2 2 6 9" xfId="533"/>
    <cellStyle name="Header2 2 6 9 10" xfId="7102"/>
    <cellStyle name="Header2 2 6 9 10 2" xfId="18299"/>
    <cellStyle name="Header2 2 6 9 10 3" xfId="29467"/>
    <cellStyle name="Header2 2 6 9 10 4" xfId="40632"/>
    <cellStyle name="Header2 2 6 9 10 5" xfId="51825"/>
    <cellStyle name="Header2 2 6 9 11" xfId="7736"/>
    <cellStyle name="Header2 2 6 9 11 2" xfId="18933"/>
    <cellStyle name="Header2 2 6 9 11 3" xfId="30101"/>
    <cellStyle name="Header2 2 6 9 11 4" xfId="41266"/>
    <cellStyle name="Header2 2 6 9 11 5" xfId="52459"/>
    <cellStyle name="Header2 2 6 9 12" xfId="8370"/>
    <cellStyle name="Header2 2 6 9 12 2" xfId="19567"/>
    <cellStyle name="Header2 2 6 9 12 3" xfId="30735"/>
    <cellStyle name="Header2 2 6 9 12 4" xfId="41900"/>
    <cellStyle name="Header2 2 6 9 12 5" xfId="53093"/>
    <cellStyle name="Header2 2 6 9 13" xfId="9421"/>
    <cellStyle name="Header2 2 6 9 13 2" xfId="20618"/>
    <cellStyle name="Header2 2 6 9 13 3" xfId="31786"/>
    <cellStyle name="Header2 2 6 9 13 4" xfId="42951"/>
    <cellStyle name="Header2 2 6 9 13 5" xfId="54144"/>
    <cellStyle name="Header2 2 6 9 14" xfId="9662"/>
    <cellStyle name="Header2 2 6 9 14 2" xfId="20859"/>
    <cellStyle name="Header2 2 6 9 14 3" xfId="32027"/>
    <cellStyle name="Header2 2 6 9 14 4" xfId="43192"/>
    <cellStyle name="Header2 2 6 9 14 5" xfId="54385"/>
    <cellStyle name="Header2 2 6 9 15" xfId="11086"/>
    <cellStyle name="Header2 2 6 9 15 2" xfId="22283"/>
    <cellStyle name="Header2 2 6 9 15 3" xfId="33451"/>
    <cellStyle name="Header2 2 6 9 15 4" xfId="44616"/>
    <cellStyle name="Header2 2 6 9 15 5" xfId="55809"/>
    <cellStyle name="Header2 2 6 9 16" xfId="11733"/>
    <cellStyle name="Header2 2 6 9 17" xfId="22903"/>
    <cellStyle name="Header2 2 6 9 18" xfId="34070"/>
    <cellStyle name="Header2 2 6 9 19" xfId="45256"/>
    <cellStyle name="Header2 2 6 9 2" xfId="1182"/>
    <cellStyle name="Header2 2 6 9 2 2" xfId="12379"/>
    <cellStyle name="Header2 2 6 9 2 3" xfId="23547"/>
    <cellStyle name="Header2 2 6 9 2 4" xfId="34712"/>
    <cellStyle name="Header2 2 6 9 2 5" xfId="45905"/>
    <cellStyle name="Header2 2 6 9 3" xfId="1811"/>
    <cellStyle name="Header2 2 6 9 3 2" xfId="13008"/>
    <cellStyle name="Header2 2 6 9 3 3" xfId="24176"/>
    <cellStyle name="Header2 2 6 9 3 4" xfId="35341"/>
    <cellStyle name="Header2 2 6 9 3 5" xfId="46534"/>
    <cellStyle name="Header2 2 6 9 4" xfId="2883"/>
    <cellStyle name="Header2 2 6 9 4 2" xfId="14080"/>
    <cellStyle name="Header2 2 6 9 4 3" xfId="25248"/>
    <cellStyle name="Header2 2 6 9 4 4" xfId="36413"/>
    <cellStyle name="Header2 2 6 9 4 5" xfId="47606"/>
    <cellStyle name="Header2 2 6 9 5" xfId="3517"/>
    <cellStyle name="Header2 2 6 9 5 2" xfId="14714"/>
    <cellStyle name="Header2 2 6 9 5 3" xfId="25882"/>
    <cellStyle name="Header2 2 6 9 5 4" xfId="37047"/>
    <cellStyle name="Header2 2 6 9 5 5" xfId="48240"/>
    <cellStyle name="Header2 2 6 9 6" xfId="4151"/>
    <cellStyle name="Header2 2 6 9 6 2" xfId="15348"/>
    <cellStyle name="Header2 2 6 9 6 3" xfId="26516"/>
    <cellStyle name="Header2 2 6 9 6 4" xfId="37681"/>
    <cellStyle name="Header2 2 6 9 6 5" xfId="48874"/>
    <cellStyle name="Header2 2 6 9 7" xfId="4784"/>
    <cellStyle name="Header2 2 6 9 7 2" xfId="15981"/>
    <cellStyle name="Header2 2 6 9 7 3" xfId="27149"/>
    <cellStyle name="Header2 2 6 9 7 4" xfId="38314"/>
    <cellStyle name="Header2 2 6 9 7 5" xfId="49507"/>
    <cellStyle name="Header2 2 6 9 8" xfId="5415"/>
    <cellStyle name="Header2 2 6 9 8 2" xfId="16612"/>
    <cellStyle name="Header2 2 6 9 8 3" xfId="27780"/>
    <cellStyle name="Header2 2 6 9 8 4" xfId="38945"/>
    <cellStyle name="Header2 2 6 9 8 5" xfId="50138"/>
    <cellStyle name="Header2 2 6 9 9" xfId="6469"/>
    <cellStyle name="Header2 2 6 9 9 2" xfId="17666"/>
    <cellStyle name="Header2 2 6 9 9 3" xfId="28834"/>
    <cellStyle name="Header2 2 6 9 9 4" xfId="39999"/>
    <cellStyle name="Header2 2 6 9 9 5" xfId="51192"/>
    <cellStyle name="Header2 2 7" xfId="69"/>
    <cellStyle name="Header2 2 7 10" xfId="585"/>
    <cellStyle name="Header2 2 7 10 10" xfId="7154"/>
    <cellStyle name="Header2 2 7 10 10 2" xfId="18351"/>
    <cellStyle name="Header2 2 7 10 10 3" xfId="29519"/>
    <cellStyle name="Header2 2 7 10 10 4" xfId="40684"/>
    <cellStyle name="Header2 2 7 10 10 5" xfId="51877"/>
    <cellStyle name="Header2 2 7 10 11" xfId="7788"/>
    <cellStyle name="Header2 2 7 10 11 2" xfId="18985"/>
    <cellStyle name="Header2 2 7 10 11 3" xfId="30153"/>
    <cellStyle name="Header2 2 7 10 11 4" xfId="41318"/>
    <cellStyle name="Header2 2 7 10 11 5" xfId="52511"/>
    <cellStyle name="Header2 2 7 10 12" xfId="8422"/>
    <cellStyle name="Header2 2 7 10 12 2" xfId="19619"/>
    <cellStyle name="Header2 2 7 10 12 3" xfId="30787"/>
    <cellStyle name="Header2 2 7 10 12 4" xfId="41952"/>
    <cellStyle name="Header2 2 7 10 12 5" xfId="53145"/>
    <cellStyle name="Header2 2 7 10 13" xfId="9473"/>
    <cellStyle name="Header2 2 7 10 13 2" xfId="20670"/>
    <cellStyle name="Header2 2 7 10 13 3" xfId="31838"/>
    <cellStyle name="Header2 2 7 10 13 4" xfId="43003"/>
    <cellStyle name="Header2 2 7 10 13 5" xfId="54196"/>
    <cellStyle name="Header2 2 7 10 14" xfId="9832"/>
    <cellStyle name="Header2 2 7 10 14 2" xfId="21029"/>
    <cellStyle name="Header2 2 7 10 14 3" xfId="32197"/>
    <cellStyle name="Header2 2 7 10 14 4" xfId="43362"/>
    <cellStyle name="Header2 2 7 10 14 5" xfId="54555"/>
    <cellStyle name="Header2 2 7 10 15" xfId="11138"/>
    <cellStyle name="Header2 2 7 10 15 2" xfId="22335"/>
    <cellStyle name="Header2 2 7 10 15 3" xfId="33503"/>
    <cellStyle name="Header2 2 7 10 15 4" xfId="44668"/>
    <cellStyle name="Header2 2 7 10 15 5" xfId="55861"/>
    <cellStyle name="Header2 2 7 10 16" xfId="11785"/>
    <cellStyle name="Header2 2 7 10 17" xfId="22955"/>
    <cellStyle name="Header2 2 7 10 18" xfId="34122"/>
    <cellStyle name="Header2 2 7 10 19" xfId="45308"/>
    <cellStyle name="Header2 2 7 10 2" xfId="1234"/>
    <cellStyle name="Header2 2 7 10 2 2" xfId="12431"/>
    <cellStyle name="Header2 2 7 10 2 3" xfId="23599"/>
    <cellStyle name="Header2 2 7 10 2 4" xfId="34764"/>
    <cellStyle name="Header2 2 7 10 2 5" xfId="45957"/>
    <cellStyle name="Header2 2 7 10 3" xfId="1457"/>
    <cellStyle name="Header2 2 7 10 3 2" xfId="12654"/>
    <cellStyle name="Header2 2 7 10 3 3" xfId="23822"/>
    <cellStyle name="Header2 2 7 10 3 4" xfId="34987"/>
    <cellStyle name="Header2 2 7 10 3 5" xfId="46180"/>
    <cellStyle name="Header2 2 7 10 4" xfId="2935"/>
    <cellStyle name="Header2 2 7 10 4 2" xfId="14132"/>
    <cellStyle name="Header2 2 7 10 4 3" xfId="25300"/>
    <cellStyle name="Header2 2 7 10 4 4" xfId="36465"/>
    <cellStyle name="Header2 2 7 10 4 5" xfId="47658"/>
    <cellStyle name="Header2 2 7 10 5" xfId="3569"/>
    <cellStyle name="Header2 2 7 10 5 2" xfId="14766"/>
    <cellStyle name="Header2 2 7 10 5 3" xfId="25934"/>
    <cellStyle name="Header2 2 7 10 5 4" xfId="37099"/>
    <cellStyle name="Header2 2 7 10 5 5" xfId="48292"/>
    <cellStyle name="Header2 2 7 10 6" xfId="4203"/>
    <cellStyle name="Header2 2 7 10 6 2" xfId="15400"/>
    <cellStyle name="Header2 2 7 10 6 3" xfId="26568"/>
    <cellStyle name="Header2 2 7 10 6 4" xfId="37733"/>
    <cellStyle name="Header2 2 7 10 6 5" xfId="48926"/>
    <cellStyle name="Header2 2 7 10 7" xfId="4836"/>
    <cellStyle name="Header2 2 7 10 7 2" xfId="16033"/>
    <cellStyle name="Header2 2 7 10 7 3" xfId="27201"/>
    <cellStyle name="Header2 2 7 10 7 4" xfId="38366"/>
    <cellStyle name="Header2 2 7 10 7 5" xfId="49559"/>
    <cellStyle name="Header2 2 7 10 8" xfId="5467"/>
    <cellStyle name="Header2 2 7 10 8 2" xfId="16664"/>
    <cellStyle name="Header2 2 7 10 8 3" xfId="27832"/>
    <cellStyle name="Header2 2 7 10 8 4" xfId="38997"/>
    <cellStyle name="Header2 2 7 10 8 5" xfId="50190"/>
    <cellStyle name="Header2 2 7 10 9" xfId="6521"/>
    <cellStyle name="Header2 2 7 10 9 2" xfId="17718"/>
    <cellStyle name="Header2 2 7 10 9 3" xfId="28886"/>
    <cellStyle name="Header2 2 7 10 9 4" xfId="40051"/>
    <cellStyle name="Header2 2 7 10 9 5" xfId="51244"/>
    <cellStyle name="Header2 2 7 11" xfId="672"/>
    <cellStyle name="Header2 2 7 11 10" xfId="7241"/>
    <cellStyle name="Header2 2 7 11 10 2" xfId="18438"/>
    <cellStyle name="Header2 2 7 11 10 3" xfId="29606"/>
    <cellStyle name="Header2 2 7 11 10 4" xfId="40771"/>
    <cellStyle name="Header2 2 7 11 10 5" xfId="51964"/>
    <cellStyle name="Header2 2 7 11 11" xfId="7875"/>
    <cellStyle name="Header2 2 7 11 11 2" xfId="19072"/>
    <cellStyle name="Header2 2 7 11 11 3" xfId="30240"/>
    <cellStyle name="Header2 2 7 11 11 4" xfId="41405"/>
    <cellStyle name="Header2 2 7 11 11 5" xfId="52598"/>
    <cellStyle name="Header2 2 7 11 12" xfId="8509"/>
    <cellStyle name="Header2 2 7 11 12 2" xfId="19706"/>
    <cellStyle name="Header2 2 7 11 12 3" xfId="30874"/>
    <cellStyle name="Header2 2 7 11 12 4" xfId="42039"/>
    <cellStyle name="Header2 2 7 11 12 5" xfId="53232"/>
    <cellStyle name="Header2 2 7 11 13" xfId="9560"/>
    <cellStyle name="Header2 2 7 11 13 2" xfId="20757"/>
    <cellStyle name="Header2 2 7 11 13 3" xfId="31925"/>
    <cellStyle name="Header2 2 7 11 13 4" xfId="43090"/>
    <cellStyle name="Header2 2 7 11 13 5" xfId="54283"/>
    <cellStyle name="Header2 2 7 11 14" xfId="9570"/>
    <cellStyle name="Header2 2 7 11 14 2" xfId="20767"/>
    <cellStyle name="Header2 2 7 11 14 3" xfId="31935"/>
    <cellStyle name="Header2 2 7 11 14 4" xfId="43100"/>
    <cellStyle name="Header2 2 7 11 14 5" xfId="54293"/>
    <cellStyle name="Header2 2 7 11 15" xfId="11225"/>
    <cellStyle name="Header2 2 7 11 15 2" xfId="22422"/>
    <cellStyle name="Header2 2 7 11 15 3" xfId="33590"/>
    <cellStyle name="Header2 2 7 11 15 4" xfId="44755"/>
    <cellStyle name="Header2 2 7 11 15 5" xfId="55948"/>
    <cellStyle name="Header2 2 7 11 16" xfId="11872"/>
    <cellStyle name="Header2 2 7 11 17" xfId="23042"/>
    <cellStyle name="Header2 2 7 11 18" xfId="34209"/>
    <cellStyle name="Header2 2 7 11 19" xfId="45395"/>
    <cellStyle name="Header2 2 7 11 2" xfId="1321"/>
    <cellStyle name="Header2 2 7 11 2 2" xfId="12518"/>
    <cellStyle name="Header2 2 7 11 2 3" xfId="23686"/>
    <cellStyle name="Header2 2 7 11 2 4" xfId="34851"/>
    <cellStyle name="Header2 2 7 11 2 5" xfId="46044"/>
    <cellStyle name="Header2 2 7 11 3" xfId="1956"/>
    <cellStyle name="Header2 2 7 11 3 2" xfId="13153"/>
    <cellStyle name="Header2 2 7 11 3 3" xfId="24321"/>
    <cellStyle name="Header2 2 7 11 3 4" xfId="35486"/>
    <cellStyle name="Header2 2 7 11 3 5" xfId="46679"/>
    <cellStyle name="Header2 2 7 11 4" xfId="3022"/>
    <cellStyle name="Header2 2 7 11 4 2" xfId="14219"/>
    <cellStyle name="Header2 2 7 11 4 3" xfId="25387"/>
    <cellStyle name="Header2 2 7 11 4 4" xfId="36552"/>
    <cellStyle name="Header2 2 7 11 4 5" xfId="47745"/>
    <cellStyle name="Header2 2 7 11 5" xfId="3656"/>
    <cellStyle name="Header2 2 7 11 5 2" xfId="14853"/>
    <cellStyle name="Header2 2 7 11 5 3" xfId="26021"/>
    <cellStyle name="Header2 2 7 11 5 4" xfId="37186"/>
    <cellStyle name="Header2 2 7 11 5 5" xfId="48379"/>
    <cellStyle name="Header2 2 7 11 6" xfId="4290"/>
    <cellStyle name="Header2 2 7 11 6 2" xfId="15487"/>
    <cellStyle name="Header2 2 7 11 6 3" xfId="26655"/>
    <cellStyle name="Header2 2 7 11 6 4" xfId="37820"/>
    <cellStyle name="Header2 2 7 11 6 5" xfId="49013"/>
    <cellStyle name="Header2 2 7 11 7" xfId="4923"/>
    <cellStyle name="Header2 2 7 11 7 2" xfId="16120"/>
    <cellStyle name="Header2 2 7 11 7 3" xfId="27288"/>
    <cellStyle name="Header2 2 7 11 7 4" xfId="38453"/>
    <cellStyle name="Header2 2 7 11 7 5" xfId="49646"/>
    <cellStyle name="Header2 2 7 11 8" xfId="5554"/>
    <cellStyle name="Header2 2 7 11 8 2" xfId="16751"/>
    <cellStyle name="Header2 2 7 11 8 3" xfId="27919"/>
    <cellStyle name="Header2 2 7 11 8 4" xfId="39084"/>
    <cellStyle name="Header2 2 7 11 8 5" xfId="50277"/>
    <cellStyle name="Header2 2 7 11 9" xfId="6608"/>
    <cellStyle name="Header2 2 7 11 9 2" xfId="17805"/>
    <cellStyle name="Header2 2 7 11 9 3" xfId="28973"/>
    <cellStyle name="Header2 2 7 11 9 4" xfId="40138"/>
    <cellStyle name="Header2 2 7 11 9 5" xfId="51331"/>
    <cellStyle name="Header2 2 7 12" xfId="718"/>
    <cellStyle name="Header2 2 7 12 2" xfId="11916"/>
    <cellStyle name="Header2 2 7 12 3" xfId="23085"/>
    <cellStyle name="Header2 2 7 12 4" xfId="34250"/>
    <cellStyle name="Header2 2 7 12 5" xfId="45441"/>
    <cellStyle name="Header2 2 7 13" xfId="1581"/>
    <cellStyle name="Header2 2 7 13 2" xfId="12778"/>
    <cellStyle name="Header2 2 7 13 3" xfId="23946"/>
    <cellStyle name="Header2 2 7 13 4" xfId="35111"/>
    <cellStyle name="Header2 2 7 13 5" xfId="46304"/>
    <cellStyle name="Header2 2 7 14" xfId="2165"/>
    <cellStyle name="Header2 2 7 14 2" xfId="13362"/>
    <cellStyle name="Header2 2 7 14 3" xfId="24530"/>
    <cellStyle name="Header2 2 7 14 4" xfId="35695"/>
    <cellStyle name="Header2 2 7 14 5" xfId="46888"/>
    <cellStyle name="Header2 2 7 15" xfId="3053"/>
    <cellStyle name="Header2 2 7 15 2" xfId="14250"/>
    <cellStyle name="Header2 2 7 15 3" xfId="25418"/>
    <cellStyle name="Header2 2 7 15 4" xfId="36583"/>
    <cellStyle name="Header2 2 7 15 5" xfId="47776"/>
    <cellStyle name="Header2 2 7 16" xfId="3688"/>
    <cellStyle name="Header2 2 7 16 2" xfId="14885"/>
    <cellStyle name="Header2 2 7 16 3" xfId="26053"/>
    <cellStyle name="Header2 2 7 16 4" xfId="37218"/>
    <cellStyle name="Header2 2 7 16 5" xfId="48411"/>
    <cellStyle name="Header2 2 7 17" xfId="4320"/>
    <cellStyle name="Header2 2 7 17 2" xfId="15517"/>
    <cellStyle name="Header2 2 7 17 3" xfId="26685"/>
    <cellStyle name="Header2 2 7 17 4" xfId="37850"/>
    <cellStyle name="Header2 2 7 17 5" xfId="49043"/>
    <cellStyle name="Header2 2 7 18" xfId="4953"/>
    <cellStyle name="Header2 2 7 18 2" xfId="16150"/>
    <cellStyle name="Header2 2 7 18 3" xfId="27318"/>
    <cellStyle name="Header2 2 7 18 4" xfId="38483"/>
    <cellStyle name="Header2 2 7 18 5" xfId="49676"/>
    <cellStyle name="Header2 2 7 19" xfId="6144"/>
    <cellStyle name="Header2 2 7 19 2" xfId="17341"/>
    <cellStyle name="Header2 2 7 19 3" xfId="28509"/>
    <cellStyle name="Header2 2 7 19 4" xfId="39674"/>
    <cellStyle name="Header2 2 7 19 5" xfId="50867"/>
    <cellStyle name="Header2 2 7 2" xfId="134"/>
    <cellStyle name="Header2 2 7 2 10" xfId="6703"/>
    <cellStyle name="Header2 2 7 2 10 2" xfId="17900"/>
    <cellStyle name="Header2 2 7 2 10 3" xfId="29068"/>
    <cellStyle name="Header2 2 7 2 10 4" xfId="40233"/>
    <cellStyle name="Header2 2 7 2 10 5" xfId="51426"/>
    <cellStyle name="Header2 2 7 2 11" xfId="7337"/>
    <cellStyle name="Header2 2 7 2 11 2" xfId="18534"/>
    <cellStyle name="Header2 2 7 2 11 3" xfId="29702"/>
    <cellStyle name="Header2 2 7 2 11 4" xfId="40867"/>
    <cellStyle name="Header2 2 7 2 11 5" xfId="52060"/>
    <cellStyle name="Header2 2 7 2 12" xfId="7971"/>
    <cellStyle name="Header2 2 7 2 12 2" xfId="19168"/>
    <cellStyle name="Header2 2 7 2 12 3" xfId="30336"/>
    <cellStyle name="Header2 2 7 2 12 4" xfId="41501"/>
    <cellStyle name="Header2 2 7 2 12 5" xfId="52694"/>
    <cellStyle name="Header2 2 7 2 13" xfId="8895"/>
    <cellStyle name="Header2 2 7 2 13 2" xfId="20092"/>
    <cellStyle name="Header2 2 7 2 13 3" xfId="31260"/>
    <cellStyle name="Header2 2 7 2 13 4" xfId="42425"/>
    <cellStyle name="Header2 2 7 2 13 5" xfId="53618"/>
    <cellStyle name="Header2 2 7 2 14" xfId="10333"/>
    <cellStyle name="Header2 2 7 2 14 2" xfId="21530"/>
    <cellStyle name="Header2 2 7 2 14 3" xfId="32698"/>
    <cellStyle name="Header2 2 7 2 14 4" xfId="43863"/>
    <cellStyle name="Header2 2 7 2 14 5" xfId="55056"/>
    <cellStyle name="Header2 2 7 2 15" xfId="10687"/>
    <cellStyle name="Header2 2 7 2 15 2" xfId="21884"/>
    <cellStyle name="Header2 2 7 2 15 3" xfId="33052"/>
    <cellStyle name="Header2 2 7 2 15 4" xfId="44217"/>
    <cellStyle name="Header2 2 7 2 15 5" xfId="55410"/>
    <cellStyle name="Header2 2 7 2 16" xfId="11334"/>
    <cellStyle name="Header2 2 7 2 17" xfId="22504"/>
    <cellStyle name="Header2 2 7 2 18" xfId="33671"/>
    <cellStyle name="Header2 2 7 2 19" xfId="44857"/>
    <cellStyle name="Header2 2 7 2 2" xfId="783"/>
    <cellStyle name="Header2 2 7 2 2 2" xfId="11980"/>
    <cellStyle name="Header2 2 7 2 2 3" xfId="23148"/>
    <cellStyle name="Header2 2 7 2 2 4" xfId="34313"/>
    <cellStyle name="Header2 2 7 2 2 5" xfId="45506"/>
    <cellStyle name="Header2 2 7 2 3" xfId="1578"/>
    <cellStyle name="Header2 2 7 2 3 2" xfId="12775"/>
    <cellStyle name="Header2 2 7 2 3 3" xfId="23943"/>
    <cellStyle name="Header2 2 7 2 3 4" xfId="35108"/>
    <cellStyle name="Header2 2 7 2 3 5" xfId="46301"/>
    <cellStyle name="Header2 2 7 2 4" xfId="2375"/>
    <cellStyle name="Header2 2 7 2 4 2" xfId="13572"/>
    <cellStyle name="Header2 2 7 2 4 3" xfId="24740"/>
    <cellStyle name="Header2 2 7 2 4 4" xfId="35905"/>
    <cellStyle name="Header2 2 7 2 4 5" xfId="47098"/>
    <cellStyle name="Header2 2 7 2 5" xfId="3118"/>
    <cellStyle name="Header2 2 7 2 5 2" xfId="14315"/>
    <cellStyle name="Header2 2 7 2 5 3" xfId="25483"/>
    <cellStyle name="Header2 2 7 2 5 4" xfId="36648"/>
    <cellStyle name="Header2 2 7 2 5 5" xfId="47841"/>
    <cellStyle name="Header2 2 7 2 6" xfId="3752"/>
    <cellStyle name="Header2 2 7 2 6 2" xfId="14949"/>
    <cellStyle name="Header2 2 7 2 6 3" xfId="26117"/>
    <cellStyle name="Header2 2 7 2 6 4" xfId="37282"/>
    <cellStyle name="Header2 2 7 2 6 5" xfId="48475"/>
    <cellStyle name="Header2 2 7 2 7" xfId="4385"/>
    <cellStyle name="Header2 2 7 2 7 2" xfId="15582"/>
    <cellStyle name="Header2 2 7 2 7 3" xfId="26750"/>
    <cellStyle name="Header2 2 7 2 7 4" xfId="37915"/>
    <cellStyle name="Header2 2 7 2 7 5" xfId="49108"/>
    <cellStyle name="Header2 2 7 2 8" xfId="5016"/>
    <cellStyle name="Header2 2 7 2 8 2" xfId="16213"/>
    <cellStyle name="Header2 2 7 2 8 3" xfId="27381"/>
    <cellStyle name="Header2 2 7 2 8 4" xfId="38546"/>
    <cellStyle name="Header2 2 7 2 8 5" xfId="49739"/>
    <cellStyle name="Header2 2 7 2 9" xfId="6059"/>
    <cellStyle name="Header2 2 7 2 9 2" xfId="17256"/>
    <cellStyle name="Header2 2 7 2 9 3" xfId="28424"/>
    <cellStyle name="Header2 2 7 2 9 4" xfId="39589"/>
    <cellStyle name="Header2 2 7 2 9 5" xfId="50782"/>
    <cellStyle name="Header2 2 7 20" xfId="6640"/>
    <cellStyle name="Header2 2 7 20 2" xfId="17837"/>
    <cellStyle name="Header2 2 7 20 3" xfId="29005"/>
    <cellStyle name="Header2 2 7 20 4" xfId="40170"/>
    <cellStyle name="Header2 2 7 20 5" xfId="51363"/>
    <cellStyle name="Header2 2 7 21" xfId="7272"/>
    <cellStyle name="Header2 2 7 21 2" xfId="18469"/>
    <cellStyle name="Header2 2 7 21 3" xfId="29637"/>
    <cellStyle name="Header2 2 7 21 4" xfId="40802"/>
    <cellStyle name="Header2 2 7 21 5" xfId="51995"/>
    <cellStyle name="Header2 2 7 22" xfId="7906"/>
    <cellStyle name="Header2 2 7 22 2" xfId="19103"/>
    <cellStyle name="Header2 2 7 22 3" xfId="30271"/>
    <cellStyle name="Header2 2 7 22 4" xfId="41436"/>
    <cellStyle name="Header2 2 7 22 5" xfId="52629"/>
    <cellStyle name="Header2 2 7 23" xfId="8913"/>
    <cellStyle name="Header2 2 7 23 2" xfId="20110"/>
    <cellStyle name="Header2 2 7 23 3" xfId="31278"/>
    <cellStyle name="Header2 2 7 23 4" xfId="42443"/>
    <cellStyle name="Header2 2 7 23 5" xfId="53636"/>
    <cellStyle name="Header2 2 7 24" xfId="10320"/>
    <cellStyle name="Header2 2 7 24 2" xfId="21517"/>
    <cellStyle name="Header2 2 7 24 3" xfId="32685"/>
    <cellStyle name="Header2 2 7 24 4" xfId="43850"/>
    <cellStyle name="Header2 2 7 24 5" xfId="55043"/>
    <cellStyle name="Header2 2 7 25" xfId="10624"/>
    <cellStyle name="Header2 2 7 25 2" xfId="21821"/>
    <cellStyle name="Header2 2 7 25 3" xfId="32989"/>
    <cellStyle name="Header2 2 7 25 4" xfId="44154"/>
    <cellStyle name="Header2 2 7 25 5" xfId="55347"/>
    <cellStyle name="Header2 2 7 26" xfId="11270"/>
    <cellStyle name="Header2 2 7 27" xfId="22441"/>
    <cellStyle name="Header2 2 7 28" xfId="33608"/>
    <cellStyle name="Header2 2 7 29" xfId="44792"/>
    <cellStyle name="Header2 2 7 3" xfId="190"/>
    <cellStyle name="Header2 2 7 3 10" xfId="6759"/>
    <cellStyle name="Header2 2 7 3 10 2" xfId="17956"/>
    <cellStyle name="Header2 2 7 3 10 3" xfId="29124"/>
    <cellStyle name="Header2 2 7 3 10 4" xfId="40289"/>
    <cellStyle name="Header2 2 7 3 10 5" xfId="51482"/>
    <cellStyle name="Header2 2 7 3 11" xfId="7393"/>
    <cellStyle name="Header2 2 7 3 11 2" xfId="18590"/>
    <cellStyle name="Header2 2 7 3 11 3" xfId="29758"/>
    <cellStyle name="Header2 2 7 3 11 4" xfId="40923"/>
    <cellStyle name="Header2 2 7 3 11 5" xfId="52116"/>
    <cellStyle name="Header2 2 7 3 12" xfId="8027"/>
    <cellStyle name="Header2 2 7 3 12 2" xfId="19224"/>
    <cellStyle name="Header2 2 7 3 12 3" xfId="30392"/>
    <cellStyle name="Header2 2 7 3 12 4" xfId="41557"/>
    <cellStyle name="Header2 2 7 3 12 5" xfId="52750"/>
    <cellStyle name="Header2 2 7 3 13" xfId="8970"/>
    <cellStyle name="Header2 2 7 3 13 2" xfId="20167"/>
    <cellStyle name="Header2 2 7 3 13 3" xfId="31335"/>
    <cellStyle name="Header2 2 7 3 13 4" xfId="42500"/>
    <cellStyle name="Header2 2 7 3 13 5" xfId="53693"/>
    <cellStyle name="Header2 2 7 3 14" xfId="10276"/>
    <cellStyle name="Header2 2 7 3 14 2" xfId="21473"/>
    <cellStyle name="Header2 2 7 3 14 3" xfId="32641"/>
    <cellStyle name="Header2 2 7 3 14 4" xfId="43806"/>
    <cellStyle name="Header2 2 7 3 14 5" xfId="54999"/>
    <cellStyle name="Header2 2 7 3 15" xfId="10743"/>
    <cellStyle name="Header2 2 7 3 15 2" xfId="21940"/>
    <cellStyle name="Header2 2 7 3 15 3" xfId="33108"/>
    <cellStyle name="Header2 2 7 3 15 4" xfId="44273"/>
    <cellStyle name="Header2 2 7 3 15 5" xfId="55466"/>
    <cellStyle name="Header2 2 7 3 16" xfId="11390"/>
    <cellStyle name="Header2 2 7 3 17" xfId="22560"/>
    <cellStyle name="Header2 2 7 3 18" xfId="33727"/>
    <cellStyle name="Header2 2 7 3 19" xfId="44913"/>
    <cellStyle name="Header2 2 7 3 2" xfId="839"/>
    <cellStyle name="Header2 2 7 3 2 2" xfId="12036"/>
    <cellStyle name="Header2 2 7 3 2 3" xfId="23204"/>
    <cellStyle name="Header2 2 7 3 2 4" xfId="34369"/>
    <cellStyle name="Header2 2 7 3 2 5" xfId="45562"/>
    <cellStyle name="Header2 2 7 3 3" xfId="1535"/>
    <cellStyle name="Header2 2 7 3 3 2" xfId="12732"/>
    <cellStyle name="Header2 2 7 3 3 3" xfId="23900"/>
    <cellStyle name="Header2 2 7 3 3 4" xfId="35065"/>
    <cellStyle name="Header2 2 7 3 3 5" xfId="46258"/>
    <cellStyle name="Header2 2 7 3 4" xfId="2164"/>
    <cellStyle name="Header2 2 7 3 4 2" xfId="13361"/>
    <cellStyle name="Header2 2 7 3 4 3" xfId="24529"/>
    <cellStyle name="Header2 2 7 3 4 4" xfId="35694"/>
    <cellStyle name="Header2 2 7 3 4 5" xfId="46887"/>
    <cellStyle name="Header2 2 7 3 5" xfId="3174"/>
    <cellStyle name="Header2 2 7 3 5 2" xfId="14371"/>
    <cellStyle name="Header2 2 7 3 5 3" xfId="25539"/>
    <cellStyle name="Header2 2 7 3 5 4" xfId="36704"/>
    <cellStyle name="Header2 2 7 3 5 5" xfId="47897"/>
    <cellStyle name="Header2 2 7 3 6" xfId="3808"/>
    <cellStyle name="Header2 2 7 3 6 2" xfId="15005"/>
    <cellStyle name="Header2 2 7 3 6 3" xfId="26173"/>
    <cellStyle name="Header2 2 7 3 6 4" xfId="37338"/>
    <cellStyle name="Header2 2 7 3 6 5" xfId="48531"/>
    <cellStyle name="Header2 2 7 3 7" xfId="4441"/>
    <cellStyle name="Header2 2 7 3 7 2" xfId="15638"/>
    <cellStyle name="Header2 2 7 3 7 3" xfId="26806"/>
    <cellStyle name="Header2 2 7 3 7 4" xfId="37971"/>
    <cellStyle name="Header2 2 7 3 7 5" xfId="49164"/>
    <cellStyle name="Header2 2 7 3 8" xfId="5072"/>
    <cellStyle name="Header2 2 7 3 8 2" xfId="16269"/>
    <cellStyle name="Header2 2 7 3 8 3" xfId="27437"/>
    <cellStyle name="Header2 2 7 3 8 4" xfId="38602"/>
    <cellStyle name="Header2 2 7 3 8 5" xfId="49795"/>
    <cellStyle name="Header2 2 7 3 9" xfId="5988"/>
    <cellStyle name="Header2 2 7 3 9 2" xfId="17185"/>
    <cellStyle name="Header2 2 7 3 9 3" xfId="28353"/>
    <cellStyle name="Header2 2 7 3 9 4" xfId="39518"/>
    <cellStyle name="Header2 2 7 3 9 5" xfId="50711"/>
    <cellStyle name="Header2 2 7 4" xfId="36"/>
    <cellStyle name="Header2 2 7 4 10" xfId="4933"/>
    <cellStyle name="Header2 2 7 4 10 2" xfId="16130"/>
    <cellStyle name="Header2 2 7 4 10 3" xfId="27298"/>
    <cellStyle name="Header2 2 7 4 10 4" xfId="38463"/>
    <cellStyle name="Header2 2 7 4 10 5" xfId="49656"/>
    <cellStyle name="Header2 2 7 4 11" xfId="5581"/>
    <cellStyle name="Header2 2 7 4 11 2" xfId="16778"/>
    <cellStyle name="Header2 2 7 4 11 3" xfId="27946"/>
    <cellStyle name="Header2 2 7 4 11 4" xfId="39111"/>
    <cellStyle name="Header2 2 7 4 11 5" xfId="50304"/>
    <cellStyle name="Header2 2 7 4 12" xfId="6618"/>
    <cellStyle name="Header2 2 7 4 12 2" xfId="17815"/>
    <cellStyle name="Header2 2 7 4 12 3" xfId="28983"/>
    <cellStyle name="Header2 2 7 4 12 4" xfId="40148"/>
    <cellStyle name="Header2 2 7 4 12 5" xfId="51341"/>
    <cellStyle name="Header2 2 7 4 13" xfId="8888"/>
    <cellStyle name="Header2 2 7 4 13 2" xfId="20085"/>
    <cellStyle name="Header2 2 7 4 13 3" xfId="31253"/>
    <cellStyle name="Header2 2 7 4 13 4" xfId="42418"/>
    <cellStyle name="Header2 2 7 4 13 5" xfId="53611"/>
    <cellStyle name="Header2 2 7 4 14" xfId="10293"/>
    <cellStyle name="Header2 2 7 4 14 2" xfId="21490"/>
    <cellStyle name="Header2 2 7 4 14 3" xfId="32658"/>
    <cellStyle name="Header2 2 7 4 14 4" xfId="43823"/>
    <cellStyle name="Header2 2 7 4 14 5" xfId="55016"/>
    <cellStyle name="Header2 2 7 4 15" xfId="9562"/>
    <cellStyle name="Header2 2 7 4 15 2" xfId="20759"/>
    <cellStyle name="Header2 2 7 4 15 3" xfId="31927"/>
    <cellStyle name="Header2 2 7 4 15 4" xfId="43092"/>
    <cellStyle name="Header2 2 7 4 15 5" xfId="54285"/>
    <cellStyle name="Header2 2 7 4 16" xfId="11238"/>
    <cellStyle name="Header2 2 7 4 17" xfId="26"/>
    <cellStyle name="Header2 2 7 4 18" xfId="11248"/>
    <cellStyle name="Header2 2 7 4 19" xfId="44765"/>
    <cellStyle name="Header2 2 7 4 2" xfId="691"/>
    <cellStyle name="Header2 2 7 4 2 2" xfId="11890"/>
    <cellStyle name="Header2 2 7 4 2 3" xfId="23059"/>
    <cellStyle name="Header2 2 7 4 2 4" xfId="34226"/>
    <cellStyle name="Header2 2 7 4 2 5" xfId="45414"/>
    <cellStyle name="Header2 2 7 4 3" xfId="1584"/>
    <cellStyle name="Header2 2 7 4 3 2" xfId="12781"/>
    <cellStyle name="Header2 2 7 4 3 3" xfId="23949"/>
    <cellStyle name="Header2 2 7 4 3 4" xfId="35114"/>
    <cellStyle name="Header2 2 7 4 3 5" xfId="46307"/>
    <cellStyle name="Header2 2 7 4 4" xfId="2186"/>
    <cellStyle name="Header2 2 7 4 4 2" xfId="13383"/>
    <cellStyle name="Header2 2 7 4 4 3" xfId="24551"/>
    <cellStyle name="Header2 2 7 4 4 4" xfId="35716"/>
    <cellStyle name="Header2 2 7 4 4 5" xfId="46909"/>
    <cellStyle name="Header2 2 7 4 5" xfId="1976"/>
    <cellStyle name="Header2 2 7 4 5 2" xfId="13173"/>
    <cellStyle name="Header2 2 7 4 5 3" xfId="24341"/>
    <cellStyle name="Header2 2 7 4 5 4" xfId="35506"/>
    <cellStyle name="Header2 2 7 4 5 5" xfId="46699"/>
    <cellStyle name="Header2 2 7 4 6" xfId="1969"/>
    <cellStyle name="Header2 2 7 4 6 2" xfId="13166"/>
    <cellStyle name="Header2 2 7 4 6 3" xfId="24334"/>
    <cellStyle name="Header2 2 7 4 6 4" xfId="35499"/>
    <cellStyle name="Header2 2 7 4 6 5" xfId="46692"/>
    <cellStyle name="Header2 2 7 4 7" xfId="3038"/>
    <cellStyle name="Header2 2 7 4 7 2" xfId="14235"/>
    <cellStyle name="Header2 2 7 4 7 3" xfId="25403"/>
    <cellStyle name="Header2 2 7 4 7 4" xfId="36568"/>
    <cellStyle name="Header2 2 7 4 7 5" xfId="47761"/>
    <cellStyle name="Header2 2 7 4 8" xfId="3666"/>
    <cellStyle name="Header2 2 7 4 8 2" xfId="14863"/>
    <cellStyle name="Header2 2 7 4 8 3" xfId="26031"/>
    <cellStyle name="Header2 2 7 4 8 4" xfId="37196"/>
    <cellStyle name="Header2 2 7 4 8 5" xfId="48389"/>
    <cellStyle name="Header2 2 7 4 9" xfId="5910"/>
    <cellStyle name="Header2 2 7 4 9 2" xfId="17107"/>
    <cellStyle name="Header2 2 7 4 9 3" xfId="28275"/>
    <cellStyle name="Header2 2 7 4 9 4" xfId="39440"/>
    <cellStyle name="Header2 2 7 4 9 5" xfId="50633"/>
    <cellStyle name="Header2 2 7 5" xfId="346"/>
    <cellStyle name="Header2 2 7 5 10" xfId="6915"/>
    <cellStyle name="Header2 2 7 5 10 2" xfId="18112"/>
    <cellStyle name="Header2 2 7 5 10 3" xfId="29280"/>
    <cellStyle name="Header2 2 7 5 10 4" xfId="40445"/>
    <cellStyle name="Header2 2 7 5 10 5" xfId="51638"/>
    <cellStyle name="Header2 2 7 5 11" xfId="7549"/>
    <cellStyle name="Header2 2 7 5 11 2" xfId="18746"/>
    <cellStyle name="Header2 2 7 5 11 3" xfId="29914"/>
    <cellStyle name="Header2 2 7 5 11 4" xfId="41079"/>
    <cellStyle name="Header2 2 7 5 11 5" xfId="52272"/>
    <cellStyle name="Header2 2 7 5 12" xfId="8183"/>
    <cellStyle name="Header2 2 7 5 12 2" xfId="19380"/>
    <cellStyle name="Header2 2 7 5 12 3" xfId="30548"/>
    <cellStyle name="Header2 2 7 5 12 4" xfId="41713"/>
    <cellStyle name="Header2 2 7 5 12 5" xfId="52906"/>
    <cellStyle name="Header2 2 7 5 13" xfId="9234"/>
    <cellStyle name="Header2 2 7 5 13 2" xfId="20431"/>
    <cellStyle name="Header2 2 7 5 13 3" xfId="31599"/>
    <cellStyle name="Header2 2 7 5 13 4" xfId="42764"/>
    <cellStyle name="Header2 2 7 5 13 5" xfId="53957"/>
    <cellStyle name="Header2 2 7 5 14" xfId="10222"/>
    <cellStyle name="Header2 2 7 5 14 2" xfId="21419"/>
    <cellStyle name="Header2 2 7 5 14 3" xfId="32587"/>
    <cellStyle name="Header2 2 7 5 14 4" xfId="43752"/>
    <cellStyle name="Header2 2 7 5 14 5" xfId="54945"/>
    <cellStyle name="Header2 2 7 5 15" xfId="10899"/>
    <cellStyle name="Header2 2 7 5 15 2" xfId="22096"/>
    <cellStyle name="Header2 2 7 5 15 3" xfId="33264"/>
    <cellStyle name="Header2 2 7 5 15 4" xfId="44429"/>
    <cellStyle name="Header2 2 7 5 15 5" xfId="55622"/>
    <cellStyle name="Header2 2 7 5 16" xfId="11546"/>
    <cellStyle name="Header2 2 7 5 17" xfId="22716"/>
    <cellStyle name="Header2 2 7 5 18" xfId="33883"/>
    <cellStyle name="Header2 2 7 5 19" xfId="45069"/>
    <cellStyle name="Header2 2 7 5 2" xfId="995"/>
    <cellStyle name="Header2 2 7 5 2 2" xfId="12192"/>
    <cellStyle name="Header2 2 7 5 2 3" xfId="23360"/>
    <cellStyle name="Header2 2 7 5 2 4" xfId="34525"/>
    <cellStyle name="Header2 2 7 5 2 5" xfId="45718"/>
    <cellStyle name="Header2 2 7 5 3" xfId="1525"/>
    <cellStyle name="Header2 2 7 5 3 2" xfId="12722"/>
    <cellStyle name="Header2 2 7 5 3 3" xfId="23890"/>
    <cellStyle name="Header2 2 7 5 3 4" xfId="35055"/>
    <cellStyle name="Header2 2 7 5 3 5" xfId="46248"/>
    <cellStyle name="Header2 2 7 5 4" xfId="2696"/>
    <cellStyle name="Header2 2 7 5 4 2" xfId="13893"/>
    <cellStyle name="Header2 2 7 5 4 3" xfId="25061"/>
    <cellStyle name="Header2 2 7 5 4 4" xfId="36226"/>
    <cellStyle name="Header2 2 7 5 4 5" xfId="47419"/>
    <cellStyle name="Header2 2 7 5 5" xfId="3330"/>
    <cellStyle name="Header2 2 7 5 5 2" xfId="14527"/>
    <cellStyle name="Header2 2 7 5 5 3" xfId="25695"/>
    <cellStyle name="Header2 2 7 5 5 4" xfId="36860"/>
    <cellStyle name="Header2 2 7 5 5 5" xfId="48053"/>
    <cellStyle name="Header2 2 7 5 6" xfId="3964"/>
    <cellStyle name="Header2 2 7 5 6 2" xfId="15161"/>
    <cellStyle name="Header2 2 7 5 6 3" xfId="26329"/>
    <cellStyle name="Header2 2 7 5 6 4" xfId="37494"/>
    <cellStyle name="Header2 2 7 5 6 5" xfId="48687"/>
    <cellStyle name="Header2 2 7 5 7" xfId="4597"/>
    <cellStyle name="Header2 2 7 5 7 2" xfId="15794"/>
    <cellStyle name="Header2 2 7 5 7 3" xfId="26962"/>
    <cellStyle name="Header2 2 7 5 7 4" xfId="38127"/>
    <cellStyle name="Header2 2 7 5 7 5" xfId="49320"/>
    <cellStyle name="Header2 2 7 5 8" xfId="5228"/>
    <cellStyle name="Header2 2 7 5 8 2" xfId="16425"/>
    <cellStyle name="Header2 2 7 5 8 3" xfId="27593"/>
    <cellStyle name="Header2 2 7 5 8 4" xfId="38758"/>
    <cellStyle name="Header2 2 7 5 8 5" xfId="49951"/>
    <cellStyle name="Header2 2 7 5 9" xfId="6282"/>
    <cellStyle name="Header2 2 7 5 9 2" xfId="17479"/>
    <cellStyle name="Header2 2 7 5 9 3" xfId="28647"/>
    <cellStyle name="Header2 2 7 5 9 4" xfId="39812"/>
    <cellStyle name="Header2 2 7 5 9 5" xfId="51005"/>
    <cellStyle name="Header2 2 7 6" xfId="280"/>
    <cellStyle name="Header2 2 7 6 10" xfId="6849"/>
    <cellStyle name="Header2 2 7 6 10 2" xfId="18046"/>
    <cellStyle name="Header2 2 7 6 10 3" xfId="29214"/>
    <cellStyle name="Header2 2 7 6 10 4" xfId="40379"/>
    <cellStyle name="Header2 2 7 6 10 5" xfId="51572"/>
    <cellStyle name="Header2 2 7 6 11" xfId="7483"/>
    <cellStyle name="Header2 2 7 6 11 2" xfId="18680"/>
    <cellStyle name="Header2 2 7 6 11 3" xfId="29848"/>
    <cellStyle name="Header2 2 7 6 11 4" xfId="41013"/>
    <cellStyle name="Header2 2 7 6 11 5" xfId="52206"/>
    <cellStyle name="Header2 2 7 6 12" xfId="8117"/>
    <cellStyle name="Header2 2 7 6 12 2" xfId="19314"/>
    <cellStyle name="Header2 2 7 6 12 3" xfId="30482"/>
    <cellStyle name="Header2 2 7 6 12 4" xfId="41647"/>
    <cellStyle name="Header2 2 7 6 12 5" xfId="52840"/>
    <cellStyle name="Header2 2 7 6 13" xfId="9168"/>
    <cellStyle name="Header2 2 7 6 13 2" xfId="20365"/>
    <cellStyle name="Header2 2 7 6 13 3" xfId="31533"/>
    <cellStyle name="Header2 2 7 6 13 4" xfId="42698"/>
    <cellStyle name="Header2 2 7 6 13 5" xfId="53891"/>
    <cellStyle name="Header2 2 7 6 14" xfId="10210"/>
    <cellStyle name="Header2 2 7 6 14 2" xfId="21407"/>
    <cellStyle name="Header2 2 7 6 14 3" xfId="32575"/>
    <cellStyle name="Header2 2 7 6 14 4" xfId="43740"/>
    <cellStyle name="Header2 2 7 6 14 5" xfId="54933"/>
    <cellStyle name="Header2 2 7 6 15" xfId="10833"/>
    <cellStyle name="Header2 2 7 6 15 2" xfId="22030"/>
    <cellStyle name="Header2 2 7 6 15 3" xfId="33198"/>
    <cellStyle name="Header2 2 7 6 15 4" xfId="44363"/>
    <cellStyle name="Header2 2 7 6 15 5" xfId="55556"/>
    <cellStyle name="Header2 2 7 6 16" xfId="11480"/>
    <cellStyle name="Header2 2 7 6 17" xfId="22650"/>
    <cellStyle name="Header2 2 7 6 18" xfId="33817"/>
    <cellStyle name="Header2 2 7 6 19" xfId="45003"/>
    <cellStyle name="Header2 2 7 6 2" xfId="929"/>
    <cellStyle name="Header2 2 7 6 2 2" xfId="12126"/>
    <cellStyle name="Header2 2 7 6 2 3" xfId="23294"/>
    <cellStyle name="Header2 2 7 6 2 4" xfId="34459"/>
    <cellStyle name="Header2 2 7 6 2 5" xfId="45652"/>
    <cellStyle name="Header2 2 7 6 3" xfId="1470"/>
    <cellStyle name="Header2 2 7 6 3 2" xfId="12667"/>
    <cellStyle name="Header2 2 7 6 3 3" xfId="23835"/>
    <cellStyle name="Header2 2 7 6 3 4" xfId="35000"/>
    <cellStyle name="Header2 2 7 6 3 5" xfId="46193"/>
    <cellStyle name="Header2 2 7 6 4" xfId="2630"/>
    <cellStyle name="Header2 2 7 6 4 2" xfId="13827"/>
    <cellStyle name="Header2 2 7 6 4 3" xfId="24995"/>
    <cellStyle name="Header2 2 7 6 4 4" xfId="36160"/>
    <cellStyle name="Header2 2 7 6 4 5" xfId="47353"/>
    <cellStyle name="Header2 2 7 6 5" xfId="3264"/>
    <cellStyle name="Header2 2 7 6 5 2" xfId="14461"/>
    <cellStyle name="Header2 2 7 6 5 3" xfId="25629"/>
    <cellStyle name="Header2 2 7 6 5 4" xfId="36794"/>
    <cellStyle name="Header2 2 7 6 5 5" xfId="47987"/>
    <cellStyle name="Header2 2 7 6 6" xfId="3898"/>
    <cellStyle name="Header2 2 7 6 6 2" xfId="15095"/>
    <cellStyle name="Header2 2 7 6 6 3" xfId="26263"/>
    <cellStyle name="Header2 2 7 6 6 4" xfId="37428"/>
    <cellStyle name="Header2 2 7 6 6 5" xfId="48621"/>
    <cellStyle name="Header2 2 7 6 7" xfId="4531"/>
    <cellStyle name="Header2 2 7 6 7 2" xfId="15728"/>
    <cellStyle name="Header2 2 7 6 7 3" xfId="26896"/>
    <cellStyle name="Header2 2 7 6 7 4" xfId="38061"/>
    <cellStyle name="Header2 2 7 6 7 5" xfId="49254"/>
    <cellStyle name="Header2 2 7 6 8" xfId="5162"/>
    <cellStyle name="Header2 2 7 6 8 2" xfId="16359"/>
    <cellStyle name="Header2 2 7 6 8 3" xfId="27527"/>
    <cellStyle name="Header2 2 7 6 8 4" xfId="38692"/>
    <cellStyle name="Header2 2 7 6 8 5" xfId="49885"/>
    <cellStyle name="Header2 2 7 6 9" xfId="6216"/>
    <cellStyle name="Header2 2 7 6 9 2" xfId="17413"/>
    <cellStyle name="Header2 2 7 6 9 3" xfId="28581"/>
    <cellStyle name="Header2 2 7 6 9 4" xfId="39746"/>
    <cellStyle name="Header2 2 7 6 9 5" xfId="50939"/>
    <cellStyle name="Header2 2 7 7" xfId="398"/>
    <cellStyle name="Header2 2 7 7 10" xfId="6967"/>
    <cellStyle name="Header2 2 7 7 10 2" xfId="18164"/>
    <cellStyle name="Header2 2 7 7 10 3" xfId="29332"/>
    <cellStyle name="Header2 2 7 7 10 4" xfId="40497"/>
    <cellStyle name="Header2 2 7 7 10 5" xfId="51690"/>
    <cellStyle name="Header2 2 7 7 11" xfId="7601"/>
    <cellStyle name="Header2 2 7 7 11 2" xfId="18798"/>
    <cellStyle name="Header2 2 7 7 11 3" xfId="29966"/>
    <cellStyle name="Header2 2 7 7 11 4" xfId="41131"/>
    <cellStyle name="Header2 2 7 7 11 5" xfId="52324"/>
    <cellStyle name="Header2 2 7 7 12" xfId="8235"/>
    <cellStyle name="Header2 2 7 7 12 2" xfId="19432"/>
    <cellStyle name="Header2 2 7 7 12 3" xfId="30600"/>
    <cellStyle name="Header2 2 7 7 12 4" xfId="41765"/>
    <cellStyle name="Header2 2 7 7 12 5" xfId="52958"/>
    <cellStyle name="Header2 2 7 7 13" xfId="9286"/>
    <cellStyle name="Header2 2 7 7 13 2" xfId="20483"/>
    <cellStyle name="Header2 2 7 7 13 3" xfId="31651"/>
    <cellStyle name="Header2 2 7 7 13 4" xfId="42816"/>
    <cellStyle name="Header2 2 7 7 13 5" xfId="54009"/>
    <cellStyle name="Header2 2 7 7 14" xfId="10427"/>
    <cellStyle name="Header2 2 7 7 14 2" xfId="21624"/>
    <cellStyle name="Header2 2 7 7 14 3" xfId="32792"/>
    <cellStyle name="Header2 2 7 7 14 4" xfId="43957"/>
    <cellStyle name="Header2 2 7 7 14 5" xfId="55150"/>
    <cellStyle name="Header2 2 7 7 15" xfId="10951"/>
    <cellStyle name="Header2 2 7 7 15 2" xfId="22148"/>
    <cellStyle name="Header2 2 7 7 15 3" xfId="33316"/>
    <cellStyle name="Header2 2 7 7 15 4" xfId="44481"/>
    <cellStyle name="Header2 2 7 7 15 5" xfId="55674"/>
    <cellStyle name="Header2 2 7 7 16" xfId="11598"/>
    <cellStyle name="Header2 2 7 7 17" xfId="22768"/>
    <cellStyle name="Header2 2 7 7 18" xfId="33935"/>
    <cellStyle name="Header2 2 7 7 19" xfId="45121"/>
    <cellStyle name="Header2 2 7 7 2" xfId="1047"/>
    <cellStyle name="Header2 2 7 7 2 2" xfId="12244"/>
    <cellStyle name="Header2 2 7 7 2 3" xfId="23412"/>
    <cellStyle name="Header2 2 7 7 2 4" xfId="34577"/>
    <cellStyle name="Header2 2 7 7 2 5" xfId="45770"/>
    <cellStyle name="Header2 2 7 7 3" xfId="1742"/>
    <cellStyle name="Header2 2 7 7 3 2" xfId="12939"/>
    <cellStyle name="Header2 2 7 7 3 3" xfId="24107"/>
    <cellStyle name="Header2 2 7 7 3 4" xfId="35272"/>
    <cellStyle name="Header2 2 7 7 3 5" xfId="46465"/>
    <cellStyle name="Header2 2 7 7 4" xfId="2748"/>
    <cellStyle name="Header2 2 7 7 4 2" xfId="13945"/>
    <cellStyle name="Header2 2 7 7 4 3" xfId="25113"/>
    <cellStyle name="Header2 2 7 7 4 4" xfId="36278"/>
    <cellStyle name="Header2 2 7 7 4 5" xfId="47471"/>
    <cellStyle name="Header2 2 7 7 5" xfId="3382"/>
    <cellStyle name="Header2 2 7 7 5 2" xfId="14579"/>
    <cellStyle name="Header2 2 7 7 5 3" xfId="25747"/>
    <cellStyle name="Header2 2 7 7 5 4" xfId="36912"/>
    <cellStyle name="Header2 2 7 7 5 5" xfId="48105"/>
    <cellStyle name="Header2 2 7 7 6" xfId="4016"/>
    <cellStyle name="Header2 2 7 7 6 2" xfId="15213"/>
    <cellStyle name="Header2 2 7 7 6 3" xfId="26381"/>
    <cellStyle name="Header2 2 7 7 6 4" xfId="37546"/>
    <cellStyle name="Header2 2 7 7 6 5" xfId="48739"/>
    <cellStyle name="Header2 2 7 7 7" xfId="4649"/>
    <cellStyle name="Header2 2 7 7 7 2" xfId="15846"/>
    <cellStyle name="Header2 2 7 7 7 3" xfId="27014"/>
    <cellStyle name="Header2 2 7 7 7 4" xfId="38179"/>
    <cellStyle name="Header2 2 7 7 7 5" xfId="49372"/>
    <cellStyle name="Header2 2 7 7 8" xfId="5280"/>
    <cellStyle name="Header2 2 7 7 8 2" xfId="16477"/>
    <cellStyle name="Header2 2 7 7 8 3" xfId="27645"/>
    <cellStyle name="Header2 2 7 7 8 4" xfId="38810"/>
    <cellStyle name="Header2 2 7 7 8 5" xfId="50003"/>
    <cellStyle name="Header2 2 7 7 9" xfId="6334"/>
    <cellStyle name="Header2 2 7 7 9 2" xfId="17531"/>
    <cellStyle name="Header2 2 7 7 9 3" xfId="28699"/>
    <cellStyle name="Header2 2 7 7 9 4" xfId="39864"/>
    <cellStyle name="Header2 2 7 7 9 5" xfId="51057"/>
    <cellStyle name="Header2 2 7 8" xfId="478"/>
    <cellStyle name="Header2 2 7 8 10" xfId="7047"/>
    <cellStyle name="Header2 2 7 8 10 2" xfId="18244"/>
    <cellStyle name="Header2 2 7 8 10 3" xfId="29412"/>
    <cellStyle name="Header2 2 7 8 10 4" xfId="40577"/>
    <cellStyle name="Header2 2 7 8 10 5" xfId="51770"/>
    <cellStyle name="Header2 2 7 8 11" xfId="7681"/>
    <cellStyle name="Header2 2 7 8 11 2" xfId="18878"/>
    <cellStyle name="Header2 2 7 8 11 3" xfId="30046"/>
    <cellStyle name="Header2 2 7 8 11 4" xfId="41211"/>
    <cellStyle name="Header2 2 7 8 11 5" xfId="52404"/>
    <cellStyle name="Header2 2 7 8 12" xfId="8315"/>
    <cellStyle name="Header2 2 7 8 12 2" xfId="19512"/>
    <cellStyle name="Header2 2 7 8 12 3" xfId="30680"/>
    <cellStyle name="Header2 2 7 8 12 4" xfId="41845"/>
    <cellStyle name="Header2 2 7 8 12 5" xfId="53038"/>
    <cellStyle name="Header2 2 7 8 13" xfId="9366"/>
    <cellStyle name="Header2 2 7 8 13 2" xfId="20563"/>
    <cellStyle name="Header2 2 7 8 13 3" xfId="31731"/>
    <cellStyle name="Header2 2 7 8 13 4" xfId="42896"/>
    <cellStyle name="Header2 2 7 8 13 5" xfId="54089"/>
    <cellStyle name="Header2 2 7 8 14" xfId="9835"/>
    <cellStyle name="Header2 2 7 8 14 2" xfId="21032"/>
    <cellStyle name="Header2 2 7 8 14 3" xfId="32200"/>
    <cellStyle name="Header2 2 7 8 14 4" xfId="43365"/>
    <cellStyle name="Header2 2 7 8 14 5" xfId="54558"/>
    <cellStyle name="Header2 2 7 8 15" xfId="11031"/>
    <cellStyle name="Header2 2 7 8 15 2" xfId="22228"/>
    <cellStyle name="Header2 2 7 8 15 3" xfId="33396"/>
    <cellStyle name="Header2 2 7 8 15 4" xfId="44561"/>
    <cellStyle name="Header2 2 7 8 15 5" xfId="55754"/>
    <cellStyle name="Header2 2 7 8 16" xfId="11678"/>
    <cellStyle name="Header2 2 7 8 17" xfId="22848"/>
    <cellStyle name="Header2 2 7 8 18" xfId="34015"/>
    <cellStyle name="Header2 2 7 8 19" xfId="45201"/>
    <cellStyle name="Header2 2 7 8 2" xfId="1127"/>
    <cellStyle name="Header2 2 7 8 2 2" xfId="12324"/>
    <cellStyle name="Header2 2 7 8 2 3" xfId="23492"/>
    <cellStyle name="Header2 2 7 8 2 4" xfId="34657"/>
    <cellStyle name="Header2 2 7 8 2 5" xfId="45850"/>
    <cellStyle name="Header2 2 7 8 3" xfId="1827"/>
    <cellStyle name="Header2 2 7 8 3 2" xfId="13024"/>
    <cellStyle name="Header2 2 7 8 3 3" xfId="24192"/>
    <cellStyle name="Header2 2 7 8 3 4" xfId="35357"/>
    <cellStyle name="Header2 2 7 8 3 5" xfId="46550"/>
    <cellStyle name="Header2 2 7 8 4" xfId="2828"/>
    <cellStyle name="Header2 2 7 8 4 2" xfId="14025"/>
    <cellStyle name="Header2 2 7 8 4 3" xfId="25193"/>
    <cellStyle name="Header2 2 7 8 4 4" xfId="36358"/>
    <cellStyle name="Header2 2 7 8 4 5" xfId="47551"/>
    <cellStyle name="Header2 2 7 8 5" xfId="3462"/>
    <cellStyle name="Header2 2 7 8 5 2" xfId="14659"/>
    <cellStyle name="Header2 2 7 8 5 3" xfId="25827"/>
    <cellStyle name="Header2 2 7 8 5 4" xfId="36992"/>
    <cellStyle name="Header2 2 7 8 5 5" xfId="48185"/>
    <cellStyle name="Header2 2 7 8 6" xfId="4096"/>
    <cellStyle name="Header2 2 7 8 6 2" xfId="15293"/>
    <cellStyle name="Header2 2 7 8 6 3" xfId="26461"/>
    <cellStyle name="Header2 2 7 8 6 4" xfId="37626"/>
    <cellStyle name="Header2 2 7 8 6 5" xfId="48819"/>
    <cellStyle name="Header2 2 7 8 7" xfId="4729"/>
    <cellStyle name="Header2 2 7 8 7 2" xfId="15926"/>
    <cellStyle name="Header2 2 7 8 7 3" xfId="27094"/>
    <cellStyle name="Header2 2 7 8 7 4" xfId="38259"/>
    <cellStyle name="Header2 2 7 8 7 5" xfId="49452"/>
    <cellStyle name="Header2 2 7 8 8" xfId="5360"/>
    <cellStyle name="Header2 2 7 8 8 2" xfId="16557"/>
    <cellStyle name="Header2 2 7 8 8 3" xfId="27725"/>
    <cellStyle name="Header2 2 7 8 8 4" xfId="38890"/>
    <cellStyle name="Header2 2 7 8 8 5" xfId="50083"/>
    <cellStyle name="Header2 2 7 8 9" xfId="6414"/>
    <cellStyle name="Header2 2 7 8 9 2" xfId="17611"/>
    <cellStyle name="Header2 2 7 8 9 3" xfId="28779"/>
    <cellStyle name="Header2 2 7 8 9 4" xfId="39944"/>
    <cellStyle name="Header2 2 7 8 9 5" xfId="51137"/>
    <cellStyle name="Header2 2 7 9" xfId="536"/>
    <cellStyle name="Header2 2 7 9 10" xfId="7105"/>
    <cellStyle name="Header2 2 7 9 10 2" xfId="18302"/>
    <cellStyle name="Header2 2 7 9 10 3" xfId="29470"/>
    <cellStyle name="Header2 2 7 9 10 4" xfId="40635"/>
    <cellStyle name="Header2 2 7 9 10 5" xfId="51828"/>
    <cellStyle name="Header2 2 7 9 11" xfId="7739"/>
    <cellStyle name="Header2 2 7 9 11 2" xfId="18936"/>
    <cellStyle name="Header2 2 7 9 11 3" xfId="30104"/>
    <cellStyle name="Header2 2 7 9 11 4" xfId="41269"/>
    <cellStyle name="Header2 2 7 9 11 5" xfId="52462"/>
    <cellStyle name="Header2 2 7 9 12" xfId="8373"/>
    <cellStyle name="Header2 2 7 9 12 2" xfId="19570"/>
    <cellStyle name="Header2 2 7 9 12 3" xfId="30738"/>
    <cellStyle name="Header2 2 7 9 12 4" xfId="41903"/>
    <cellStyle name="Header2 2 7 9 12 5" xfId="53096"/>
    <cellStyle name="Header2 2 7 9 13" xfId="9424"/>
    <cellStyle name="Header2 2 7 9 13 2" xfId="20621"/>
    <cellStyle name="Header2 2 7 9 13 3" xfId="31789"/>
    <cellStyle name="Header2 2 7 9 13 4" xfId="42954"/>
    <cellStyle name="Header2 2 7 9 13 5" xfId="54147"/>
    <cellStyle name="Header2 2 7 9 14" xfId="10365"/>
    <cellStyle name="Header2 2 7 9 14 2" xfId="21562"/>
    <cellStyle name="Header2 2 7 9 14 3" xfId="32730"/>
    <cellStyle name="Header2 2 7 9 14 4" xfId="43895"/>
    <cellStyle name="Header2 2 7 9 14 5" xfId="55088"/>
    <cellStyle name="Header2 2 7 9 15" xfId="11089"/>
    <cellStyle name="Header2 2 7 9 15 2" xfId="22286"/>
    <cellStyle name="Header2 2 7 9 15 3" xfId="33454"/>
    <cellStyle name="Header2 2 7 9 15 4" xfId="44619"/>
    <cellStyle name="Header2 2 7 9 15 5" xfId="55812"/>
    <cellStyle name="Header2 2 7 9 16" xfId="11736"/>
    <cellStyle name="Header2 2 7 9 17" xfId="22906"/>
    <cellStyle name="Header2 2 7 9 18" xfId="34073"/>
    <cellStyle name="Header2 2 7 9 19" xfId="45259"/>
    <cellStyle name="Header2 2 7 9 2" xfId="1185"/>
    <cellStyle name="Header2 2 7 9 2 2" xfId="12382"/>
    <cellStyle name="Header2 2 7 9 2 3" xfId="23550"/>
    <cellStyle name="Header2 2 7 9 2 4" xfId="34715"/>
    <cellStyle name="Header2 2 7 9 2 5" xfId="45908"/>
    <cellStyle name="Header2 2 7 9 3" xfId="1636"/>
    <cellStyle name="Header2 2 7 9 3 2" xfId="12833"/>
    <cellStyle name="Header2 2 7 9 3 3" xfId="24001"/>
    <cellStyle name="Header2 2 7 9 3 4" xfId="35166"/>
    <cellStyle name="Header2 2 7 9 3 5" xfId="46359"/>
    <cellStyle name="Header2 2 7 9 4" xfId="2886"/>
    <cellStyle name="Header2 2 7 9 4 2" xfId="14083"/>
    <cellStyle name="Header2 2 7 9 4 3" xfId="25251"/>
    <cellStyle name="Header2 2 7 9 4 4" xfId="36416"/>
    <cellStyle name="Header2 2 7 9 4 5" xfId="47609"/>
    <cellStyle name="Header2 2 7 9 5" xfId="3520"/>
    <cellStyle name="Header2 2 7 9 5 2" xfId="14717"/>
    <cellStyle name="Header2 2 7 9 5 3" xfId="25885"/>
    <cellStyle name="Header2 2 7 9 5 4" xfId="37050"/>
    <cellStyle name="Header2 2 7 9 5 5" xfId="48243"/>
    <cellStyle name="Header2 2 7 9 6" xfId="4154"/>
    <cellStyle name="Header2 2 7 9 6 2" xfId="15351"/>
    <cellStyle name="Header2 2 7 9 6 3" xfId="26519"/>
    <cellStyle name="Header2 2 7 9 6 4" xfId="37684"/>
    <cellStyle name="Header2 2 7 9 6 5" xfId="48877"/>
    <cellStyle name="Header2 2 7 9 7" xfId="4787"/>
    <cellStyle name="Header2 2 7 9 7 2" xfId="15984"/>
    <cellStyle name="Header2 2 7 9 7 3" xfId="27152"/>
    <cellStyle name="Header2 2 7 9 7 4" xfId="38317"/>
    <cellStyle name="Header2 2 7 9 7 5" xfId="49510"/>
    <cellStyle name="Header2 2 7 9 8" xfId="5418"/>
    <cellStyle name="Header2 2 7 9 8 2" xfId="16615"/>
    <cellStyle name="Header2 2 7 9 8 3" xfId="27783"/>
    <cellStyle name="Header2 2 7 9 8 4" xfId="38948"/>
    <cellStyle name="Header2 2 7 9 8 5" xfId="50141"/>
    <cellStyle name="Header2 2 7 9 9" xfId="6472"/>
    <cellStyle name="Header2 2 7 9 9 2" xfId="17669"/>
    <cellStyle name="Header2 2 7 9 9 3" xfId="28837"/>
    <cellStyle name="Header2 2 7 9 9 4" xfId="40002"/>
    <cellStyle name="Header2 2 7 9 9 5" xfId="51195"/>
    <cellStyle name="Header2 2 8" xfId="74"/>
    <cellStyle name="Header2 2 8 10" xfId="614"/>
    <cellStyle name="Header2 2 8 10 10" xfId="7183"/>
    <cellStyle name="Header2 2 8 10 10 2" xfId="18380"/>
    <cellStyle name="Header2 2 8 10 10 3" xfId="29548"/>
    <cellStyle name="Header2 2 8 10 10 4" xfId="40713"/>
    <cellStyle name="Header2 2 8 10 10 5" xfId="51906"/>
    <cellStyle name="Header2 2 8 10 11" xfId="7817"/>
    <cellStyle name="Header2 2 8 10 11 2" xfId="19014"/>
    <cellStyle name="Header2 2 8 10 11 3" xfId="30182"/>
    <cellStyle name="Header2 2 8 10 11 4" xfId="41347"/>
    <cellStyle name="Header2 2 8 10 11 5" xfId="52540"/>
    <cellStyle name="Header2 2 8 10 12" xfId="8451"/>
    <cellStyle name="Header2 2 8 10 12 2" xfId="19648"/>
    <cellStyle name="Header2 2 8 10 12 3" xfId="30816"/>
    <cellStyle name="Header2 2 8 10 12 4" xfId="41981"/>
    <cellStyle name="Header2 2 8 10 12 5" xfId="53174"/>
    <cellStyle name="Header2 2 8 10 13" xfId="9502"/>
    <cellStyle name="Header2 2 8 10 13 2" xfId="20699"/>
    <cellStyle name="Header2 2 8 10 13 3" xfId="31867"/>
    <cellStyle name="Header2 2 8 10 13 4" xfId="43032"/>
    <cellStyle name="Header2 2 8 10 13 5" xfId="54225"/>
    <cellStyle name="Header2 2 8 10 14" xfId="10370"/>
    <cellStyle name="Header2 2 8 10 14 2" xfId="21567"/>
    <cellStyle name="Header2 2 8 10 14 3" xfId="32735"/>
    <cellStyle name="Header2 2 8 10 14 4" xfId="43900"/>
    <cellStyle name="Header2 2 8 10 14 5" xfId="55093"/>
    <cellStyle name="Header2 2 8 10 15" xfId="11167"/>
    <cellStyle name="Header2 2 8 10 15 2" xfId="22364"/>
    <cellStyle name="Header2 2 8 10 15 3" xfId="33532"/>
    <cellStyle name="Header2 2 8 10 15 4" xfId="44697"/>
    <cellStyle name="Header2 2 8 10 15 5" xfId="55890"/>
    <cellStyle name="Header2 2 8 10 16" xfId="11814"/>
    <cellStyle name="Header2 2 8 10 17" xfId="22984"/>
    <cellStyle name="Header2 2 8 10 18" xfId="34151"/>
    <cellStyle name="Header2 2 8 10 19" xfId="45337"/>
    <cellStyle name="Header2 2 8 10 2" xfId="1263"/>
    <cellStyle name="Header2 2 8 10 2 2" xfId="12460"/>
    <cellStyle name="Header2 2 8 10 2 3" xfId="23628"/>
    <cellStyle name="Header2 2 8 10 2 4" xfId="34793"/>
    <cellStyle name="Header2 2 8 10 2 5" xfId="45986"/>
    <cellStyle name="Header2 2 8 10 3" xfId="1638"/>
    <cellStyle name="Header2 2 8 10 3 2" xfId="12835"/>
    <cellStyle name="Header2 2 8 10 3 3" xfId="24003"/>
    <cellStyle name="Header2 2 8 10 3 4" xfId="35168"/>
    <cellStyle name="Header2 2 8 10 3 5" xfId="46361"/>
    <cellStyle name="Header2 2 8 10 4" xfId="2964"/>
    <cellStyle name="Header2 2 8 10 4 2" xfId="14161"/>
    <cellStyle name="Header2 2 8 10 4 3" xfId="25329"/>
    <cellStyle name="Header2 2 8 10 4 4" xfId="36494"/>
    <cellStyle name="Header2 2 8 10 4 5" xfId="47687"/>
    <cellStyle name="Header2 2 8 10 5" xfId="3598"/>
    <cellStyle name="Header2 2 8 10 5 2" xfId="14795"/>
    <cellStyle name="Header2 2 8 10 5 3" xfId="25963"/>
    <cellStyle name="Header2 2 8 10 5 4" xfId="37128"/>
    <cellStyle name="Header2 2 8 10 5 5" xfId="48321"/>
    <cellStyle name="Header2 2 8 10 6" xfId="4232"/>
    <cellStyle name="Header2 2 8 10 6 2" xfId="15429"/>
    <cellStyle name="Header2 2 8 10 6 3" xfId="26597"/>
    <cellStyle name="Header2 2 8 10 6 4" xfId="37762"/>
    <cellStyle name="Header2 2 8 10 6 5" xfId="48955"/>
    <cellStyle name="Header2 2 8 10 7" xfId="4865"/>
    <cellStyle name="Header2 2 8 10 7 2" xfId="16062"/>
    <cellStyle name="Header2 2 8 10 7 3" xfId="27230"/>
    <cellStyle name="Header2 2 8 10 7 4" xfId="38395"/>
    <cellStyle name="Header2 2 8 10 7 5" xfId="49588"/>
    <cellStyle name="Header2 2 8 10 8" xfId="5496"/>
    <cellStyle name="Header2 2 8 10 8 2" xfId="16693"/>
    <cellStyle name="Header2 2 8 10 8 3" xfId="27861"/>
    <cellStyle name="Header2 2 8 10 8 4" xfId="39026"/>
    <cellStyle name="Header2 2 8 10 8 5" xfId="50219"/>
    <cellStyle name="Header2 2 8 10 9" xfId="6550"/>
    <cellStyle name="Header2 2 8 10 9 2" xfId="17747"/>
    <cellStyle name="Header2 2 8 10 9 3" xfId="28915"/>
    <cellStyle name="Header2 2 8 10 9 4" xfId="40080"/>
    <cellStyle name="Header2 2 8 10 9 5" xfId="51273"/>
    <cellStyle name="Header2 2 8 11" xfId="664"/>
    <cellStyle name="Header2 2 8 11 10" xfId="7233"/>
    <cellStyle name="Header2 2 8 11 10 2" xfId="18430"/>
    <cellStyle name="Header2 2 8 11 10 3" xfId="29598"/>
    <cellStyle name="Header2 2 8 11 10 4" xfId="40763"/>
    <cellStyle name="Header2 2 8 11 10 5" xfId="51956"/>
    <cellStyle name="Header2 2 8 11 11" xfId="7867"/>
    <cellStyle name="Header2 2 8 11 11 2" xfId="19064"/>
    <cellStyle name="Header2 2 8 11 11 3" xfId="30232"/>
    <cellStyle name="Header2 2 8 11 11 4" xfId="41397"/>
    <cellStyle name="Header2 2 8 11 11 5" xfId="52590"/>
    <cellStyle name="Header2 2 8 11 12" xfId="8501"/>
    <cellStyle name="Header2 2 8 11 12 2" xfId="19698"/>
    <cellStyle name="Header2 2 8 11 12 3" xfId="30866"/>
    <cellStyle name="Header2 2 8 11 12 4" xfId="42031"/>
    <cellStyle name="Header2 2 8 11 12 5" xfId="53224"/>
    <cellStyle name="Header2 2 8 11 13" xfId="9552"/>
    <cellStyle name="Header2 2 8 11 13 2" xfId="20749"/>
    <cellStyle name="Header2 2 8 11 13 3" xfId="31917"/>
    <cellStyle name="Header2 2 8 11 13 4" xfId="43082"/>
    <cellStyle name="Header2 2 8 11 13 5" xfId="54275"/>
    <cellStyle name="Header2 2 8 11 14" xfId="10576"/>
    <cellStyle name="Header2 2 8 11 14 2" xfId="21773"/>
    <cellStyle name="Header2 2 8 11 14 3" xfId="32941"/>
    <cellStyle name="Header2 2 8 11 14 4" xfId="44106"/>
    <cellStyle name="Header2 2 8 11 14 5" xfId="55299"/>
    <cellStyle name="Header2 2 8 11 15" xfId="11217"/>
    <cellStyle name="Header2 2 8 11 15 2" xfId="22414"/>
    <cellStyle name="Header2 2 8 11 15 3" xfId="33582"/>
    <cellStyle name="Header2 2 8 11 15 4" xfId="44747"/>
    <cellStyle name="Header2 2 8 11 15 5" xfId="55940"/>
    <cellStyle name="Header2 2 8 11 16" xfId="11864"/>
    <cellStyle name="Header2 2 8 11 17" xfId="23034"/>
    <cellStyle name="Header2 2 8 11 18" xfId="34201"/>
    <cellStyle name="Header2 2 8 11 19" xfId="45387"/>
    <cellStyle name="Header2 2 8 11 2" xfId="1313"/>
    <cellStyle name="Header2 2 8 11 2 2" xfId="12510"/>
    <cellStyle name="Header2 2 8 11 2 3" xfId="23678"/>
    <cellStyle name="Header2 2 8 11 2 4" xfId="34843"/>
    <cellStyle name="Header2 2 8 11 2 5" xfId="46036"/>
    <cellStyle name="Header2 2 8 11 3" xfId="1864"/>
    <cellStyle name="Header2 2 8 11 3 2" xfId="13061"/>
    <cellStyle name="Header2 2 8 11 3 3" xfId="24229"/>
    <cellStyle name="Header2 2 8 11 3 4" xfId="35394"/>
    <cellStyle name="Header2 2 8 11 3 5" xfId="46587"/>
    <cellStyle name="Header2 2 8 11 4" xfId="3014"/>
    <cellStyle name="Header2 2 8 11 4 2" xfId="14211"/>
    <cellStyle name="Header2 2 8 11 4 3" xfId="25379"/>
    <cellStyle name="Header2 2 8 11 4 4" xfId="36544"/>
    <cellStyle name="Header2 2 8 11 4 5" xfId="47737"/>
    <cellStyle name="Header2 2 8 11 5" xfId="3648"/>
    <cellStyle name="Header2 2 8 11 5 2" xfId="14845"/>
    <cellStyle name="Header2 2 8 11 5 3" xfId="26013"/>
    <cellStyle name="Header2 2 8 11 5 4" xfId="37178"/>
    <cellStyle name="Header2 2 8 11 5 5" xfId="48371"/>
    <cellStyle name="Header2 2 8 11 6" xfId="4282"/>
    <cellStyle name="Header2 2 8 11 6 2" xfId="15479"/>
    <cellStyle name="Header2 2 8 11 6 3" xfId="26647"/>
    <cellStyle name="Header2 2 8 11 6 4" xfId="37812"/>
    <cellStyle name="Header2 2 8 11 6 5" xfId="49005"/>
    <cellStyle name="Header2 2 8 11 7" xfId="4915"/>
    <cellStyle name="Header2 2 8 11 7 2" xfId="16112"/>
    <cellStyle name="Header2 2 8 11 7 3" xfId="27280"/>
    <cellStyle name="Header2 2 8 11 7 4" xfId="38445"/>
    <cellStyle name="Header2 2 8 11 7 5" xfId="49638"/>
    <cellStyle name="Header2 2 8 11 8" xfId="5546"/>
    <cellStyle name="Header2 2 8 11 8 2" xfId="16743"/>
    <cellStyle name="Header2 2 8 11 8 3" xfId="27911"/>
    <cellStyle name="Header2 2 8 11 8 4" xfId="39076"/>
    <cellStyle name="Header2 2 8 11 8 5" xfId="50269"/>
    <cellStyle name="Header2 2 8 11 9" xfId="6600"/>
    <cellStyle name="Header2 2 8 11 9 2" xfId="17797"/>
    <cellStyle name="Header2 2 8 11 9 3" xfId="28965"/>
    <cellStyle name="Header2 2 8 11 9 4" xfId="40130"/>
    <cellStyle name="Header2 2 8 11 9 5" xfId="51323"/>
    <cellStyle name="Header2 2 8 12" xfId="723"/>
    <cellStyle name="Header2 2 8 12 2" xfId="11921"/>
    <cellStyle name="Header2 2 8 12 3" xfId="23089"/>
    <cellStyle name="Header2 2 8 12 4" xfId="34254"/>
    <cellStyle name="Header2 2 8 12 5" xfId="45446"/>
    <cellStyle name="Header2 2 8 13" xfId="1709"/>
    <cellStyle name="Header2 2 8 13 2" xfId="12906"/>
    <cellStyle name="Header2 2 8 13 3" xfId="24074"/>
    <cellStyle name="Header2 2 8 13 4" xfId="35239"/>
    <cellStyle name="Header2 2 8 13 5" xfId="46432"/>
    <cellStyle name="Header2 2 8 14" xfId="2000"/>
    <cellStyle name="Header2 2 8 14 2" xfId="13197"/>
    <cellStyle name="Header2 2 8 14 3" xfId="24365"/>
    <cellStyle name="Header2 2 8 14 4" xfId="35530"/>
    <cellStyle name="Header2 2 8 14 5" xfId="46723"/>
    <cellStyle name="Header2 2 8 15" xfId="3058"/>
    <cellStyle name="Header2 2 8 15 2" xfId="14255"/>
    <cellStyle name="Header2 2 8 15 3" xfId="25423"/>
    <cellStyle name="Header2 2 8 15 4" xfId="36588"/>
    <cellStyle name="Header2 2 8 15 5" xfId="47781"/>
    <cellStyle name="Header2 2 8 16" xfId="3692"/>
    <cellStyle name="Header2 2 8 16 2" xfId="14889"/>
    <cellStyle name="Header2 2 8 16 3" xfId="26057"/>
    <cellStyle name="Header2 2 8 16 4" xfId="37222"/>
    <cellStyle name="Header2 2 8 16 5" xfId="48415"/>
    <cellStyle name="Header2 2 8 17" xfId="4325"/>
    <cellStyle name="Header2 2 8 17 2" xfId="15522"/>
    <cellStyle name="Header2 2 8 17 3" xfId="26690"/>
    <cellStyle name="Header2 2 8 17 4" xfId="37855"/>
    <cellStyle name="Header2 2 8 17 5" xfId="49048"/>
    <cellStyle name="Header2 2 8 18" xfId="4957"/>
    <cellStyle name="Header2 2 8 18 2" xfId="16154"/>
    <cellStyle name="Header2 2 8 18 3" xfId="27322"/>
    <cellStyle name="Header2 2 8 18 4" xfId="38487"/>
    <cellStyle name="Header2 2 8 18 5" xfId="49680"/>
    <cellStyle name="Header2 2 8 19" xfId="5660"/>
    <cellStyle name="Header2 2 8 19 2" xfId="16857"/>
    <cellStyle name="Header2 2 8 19 3" xfId="28025"/>
    <cellStyle name="Header2 2 8 19 4" xfId="39190"/>
    <cellStyle name="Header2 2 8 19 5" xfId="50383"/>
    <cellStyle name="Header2 2 8 2" xfId="138"/>
    <cellStyle name="Header2 2 8 2 10" xfId="6707"/>
    <cellStyle name="Header2 2 8 2 10 2" xfId="17904"/>
    <cellStyle name="Header2 2 8 2 10 3" xfId="29072"/>
    <cellStyle name="Header2 2 8 2 10 4" xfId="40237"/>
    <cellStyle name="Header2 2 8 2 10 5" xfId="51430"/>
    <cellStyle name="Header2 2 8 2 11" xfId="7341"/>
    <cellStyle name="Header2 2 8 2 11 2" xfId="18538"/>
    <cellStyle name="Header2 2 8 2 11 3" xfId="29706"/>
    <cellStyle name="Header2 2 8 2 11 4" xfId="40871"/>
    <cellStyle name="Header2 2 8 2 11 5" xfId="52064"/>
    <cellStyle name="Header2 2 8 2 12" xfId="7975"/>
    <cellStyle name="Header2 2 8 2 12 2" xfId="19172"/>
    <cellStyle name="Header2 2 8 2 12 3" xfId="30340"/>
    <cellStyle name="Header2 2 8 2 12 4" xfId="41505"/>
    <cellStyle name="Header2 2 8 2 12 5" xfId="52698"/>
    <cellStyle name="Header2 2 8 2 13" xfId="8855"/>
    <cellStyle name="Header2 2 8 2 13 2" xfId="20052"/>
    <cellStyle name="Header2 2 8 2 13 3" xfId="31220"/>
    <cellStyle name="Header2 2 8 2 13 4" xfId="42385"/>
    <cellStyle name="Header2 2 8 2 13 5" xfId="53578"/>
    <cellStyle name="Header2 2 8 2 14" xfId="10024"/>
    <cellStyle name="Header2 2 8 2 14 2" xfId="21221"/>
    <cellStyle name="Header2 2 8 2 14 3" xfId="32389"/>
    <cellStyle name="Header2 2 8 2 14 4" xfId="43554"/>
    <cellStyle name="Header2 2 8 2 14 5" xfId="54747"/>
    <cellStyle name="Header2 2 8 2 15" xfId="10691"/>
    <cellStyle name="Header2 2 8 2 15 2" xfId="21888"/>
    <cellStyle name="Header2 2 8 2 15 3" xfId="33056"/>
    <cellStyle name="Header2 2 8 2 15 4" xfId="44221"/>
    <cellStyle name="Header2 2 8 2 15 5" xfId="55414"/>
    <cellStyle name="Header2 2 8 2 16" xfId="11338"/>
    <cellStyle name="Header2 2 8 2 17" xfId="22508"/>
    <cellStyle name="Header2 2 8 2 18" xfId="33675"/>
    <cellStyle name="Header2 2 8 2 19" xfId="44861"/>
    <cellStyle name="Header2 2 8 2 2" xfId="787"/>
    <cellStyle name="Header2 2 8 2 2 2" xfId="11984"/>
    <cellStyle name="Header2 2 8 2 2 3" xfId="23152"/>
    <cellStyle name="Header2 2 8 2 2 4" xfId="34317"/>
    <cellStyle name="Header2 2 8 2 2 5" xfId="45510"/>
    <cellStyle name="Header2 2 8 2 3" xfId="1885"/>
    <cellStyle name="Header2 2 8 2 3 2" xfId="13082"/>
    <cellStyle name="Header2 2 8 2 3 3" xfId="24250"/>
    <cellStyle name="Header2 2 8 2 3 4" xfId="35415"/>
    <cellStyle name="Header2 2 8 2 3 5" xfId="46608"/>
    <cellStyle name="Header2 2 8 2 4" xfId="2234"/>
    <cellStyle name="Header2 2 8 2 4 2" xfId="13431"/>
    <cellStyle name="Header2 2 8 2 4 3" xfId="24599"/>
    <cellStyle name="Header2 2 8 2 4 4" xfId="35764"/>
    <cellStyle name="Header2 2 8 2 4 5" xfId="46957"/>
    <cellStyle name="Header2 2 8 2 5" xfId="3122"/>
    <cellStyle name="Header2 2 8 2 5 2" xfId="14319"/>
    <cellStyle name="Header2 2 8 2 5 3" xfId="25487"/>
    <cellStyle name="Header2 2 8 2 5 4" xfId="36652"/>
    <cellStyle name="Header2 2 8 2 5 5" xfId="47845"/>
    <cellStyle name="Header2 2 8 2 6" xfId="3756"/>
    <cellStyle name="Header2 2 8 2 6 2" xfId="14953"/>
    <cellStyle name="Header2 2 8 2 6 3" xfId="26121"/>
    <cellStyle name="Header2 2 8 2 6 4" xfId="37286"/>
    <cellStyle name="Header2 2 8 2 6 5" xfId="48479"/>
    <cellStyle name="Header2 2 8 2 7" xfId="4389"/>
    <cellStyle name="Header2 2 8 2 7 2" xfId="15586"/>
    <cellStyle name="Header2 2 8 2 7 3" xfId="26754"/>
    <cellStyle name="Header2 2 8 2 7 4" xfId="37919"/>
    <cellStyle name="Header2 2 8 2 7 5" xfId="49112"/>
    <cellStyle name="Header2 2 8 2 8" xfId="5020"/>
    <cellStyle name="Header2 2 8 2 8 2" xfId="16217"/>
    <cellStyle name="Header2 2 8 2 8 3" xfId="27385"/>
    <cellStyle name="Header2 2 8 2 8 4" xfId="38550"/>
    <cellStyle name="Header2 2 8 2 8 5" xfId="49743"/>
    <cellStyle name="Header2 2 8 2 9" xfId="5610"/>
    <cellStyle name="Header2 2 8 2 9 2" xfId="16807"/>
    <cellStyle name="Header2 2 8 2 9 3" xfId="27975"/>
    <cellStyle name="Header2 2 8 2 9 4" xfId="39140"/>
    <cellStyle name="Header2 2 8 2 9 5" xfId="50333"/>
    <cellStyle name="Header2 2 8 20" xfId="6644"/>
    <cellStyle name="Header2 2 8 20 2" xfId="17841"/>
    <cellStyle name="Header2 2 8 20 3" xfId="29009"/>
    <cellStyle name="Header2 2 8 20 4" xfId="40174"/>
    <cellStyle name="Header2 2 8 20 5" xfId="51367"/>
    <cellStyle name="Header2 2 8 21" xfId="7277"/>
    <cellStyle name="Header2 2 8 21 2" xfId="18474"/>
    <cellStyle name="Header2 2 8 21 3" xfId="29642"/>
    <cellStyle name="Header2 2 8 21 4" xfId="40807"/>
    <cellStyle name="Header2 2 8 21 5" xfId="52000"/>
    <cellStyle name="Header2 2 8 22" xfId="7911"/>
    <cellStyle name="Header2 2 8 22 2" xfId="19108"/>
    <cellStyle name="Header2 2 8 22 3" xfId="30276"/>
    <cellStyle name="Header2 2 8 22 4" xfId="41441"/>
    <cellStyle name="Header2 2 8 22 5" xfId="52634"/>
    <cellStyle name="Header2 2 8 23" xfId="8606"/>
    <cellStyle name="Header2 2 8 23 2" xfId="19803"/>
    <cellStyle name="Header2 2 8 23 3" xfId="30971"/>
    <cellStyle name="Header2 2 8 23 4" xfId="42136"/>
    <cellStyle name="Header2 2 8 23 5" xfId="53329"/>
    <cellStyle name="Header2 2 8 24" xfId="10566"/>
    <cellStyle name="Header2 2 8 24 2" xfId="21763"/>
    <cellStyle name="Header2 2 8 24 3" xfId="32931"/>
    <cellStyle name="Header2 2 8 24 4" xfId="44096"/>
    <cellStyle name="Header2 2 8 24 5" xfId="55289"/>
    <cellStyle name="Header2 2 8 25" xfId="10628"/>
    <cellStyle name="Header2 2 8 25 2" xfId="21825"/>
    <cellStyle name="Header2 2 8 25 3" xfId="32993"/>
    <cellStyle name="Header2 2 8 25 4" xfId="44158"/>
    <cellStyle name="Header2 2 8 25 5" xfId="55351"/>
    <cellStyle name="Header2 2 8 26" xfId="11275"/>
    <cellStyle name="Header2 2 8 27" xfId="22445"/>
    <cellStyle name="Header2 2 8 28" xfId="33612"/>
    <cellStyle name="Header2 2 8 29" xfId="44797"/>
    <cellStyle name="Header2 2 8 3" xfId="194"/>
    <cellStyle name="Header2 2 8 3 10" xfId="6763"/>
    <cellStyle name="Header2 2 8 3 10 2" xfId="17960"/>
    <cellStyle name="Header2 2 8 3 10 3" xfId="29128"/>
    <cellStyle name="Header2 2 8 3 10 4" xfId="40293"/>
    <cellStyle name="Header2 2 8 3 10 5" xfId="51486"/>
    <cellStyle name="Header2 2 8 3 11" xfId="7397"/>
    <cellStyle name="Header2 2 8 3 11 2" xfId="18594"/>
    <cellStyle name="Header2 2 8 3 11 3" xfId="29762"/>
    <cellStyle name="Header2 2 8 3 11 4" xfId="40927"/>
    <cellStyle name="Header2 2 8 3 11 5" xfId="52120"/>
    <cellStyle name="Header2 2 8 3 12" xfId="8031"/>
    <cellStyle name="Header2 2 8 3 12 2" xfId="19228"/>
    <cellStyle name="Header2 2 8 3 12 3" xfId="30396"/>
    <cellStyle name="Header2 2 8 3 12 4" xfId="41561"/>
    <cellStyle name="Header2 2 8 3 12 5" xfId="52754"/>
    <cellStyle name="Header2 2 8 3 13" xfId="8741"/>
    <cellStyle name="Header2 2 8 3 13 2" xfId="19938"/>
    <cellStyle name="Header2 2 8 3 13 3" xfId="31106"/>
    <cellStyle name="Header2 2 8 3 13 4" xfId="42271"/>
    <cellStyle name="Header2 2 8 3 13 5" xfId="53464"/>
    <cellStyle name="Header2 2 8 3 14" xfId="10567"/>
    <cellStyle name="Header2 2 8 3 14 2" xfId="21764"/>
    <cellStyle name="Header2 2 8 3 14 3" xfId="32932"/>
    <cellStyle name="Header2 2 8 3 14 4" xfId="44097"/>
    <cellStyle name="Header2 2 8 3 14 5" xfId="55290"/>
    <cellStyle name="Header2 2 8 3 15" xfId="10747"/>
    <cellStyle name="Header2 2 8 3 15 2" xfId="21944"/>
    <cellStyle name="Header2 2 8 3 15 3" xfId="33112"/>
    <cellStyle name="Header2 2 8 3 15 4" xfId="44277"/>
    <cellStyle name="Header2 2 8 3 15 5" xfId="55470"/>
    <cellStyle name="Header2 2 8 3 16" xfId="11394"/>
    <cellStyle name="Header2 2 8 3 17" xfId="22564"/>
    <cellStyle name="Header2 2 8 3 18" xfId="33731"/>
    <cellStyle name="Header2 2 8 3 19" xfId="44917"/>
    <cellStyle name="Header2 2 8 3 2" xfId="843"/>
    <cellStyle name="Header2 2 8 3 2 2" xfId="12040"/>
    <cellStyle name="Header2 2 8 3 2 3" xfId="23208"/>
    <cellStyle name="Header2 2 8 3 2 4" xfId="34373"/>
    <cellStyle name="Header2 2 8 3 2 5" xfId="45566"/>
    <cellStyle name="Header2 2 8 3 3" xfId="1860"/>
    <cellStyle name="Header2 2 8 3 3 2" xfId="13057"/>
    <cellStyle name="Header2 2 8 3 3 3" xfId="24225"/>
    <cellStyle name="Header2 2 8 3 3 4" xfId="35390"/>
    <cellStyle name="Header2 2 8 3 3 5" xfId="46583"/>
    <cellStyle name="Header2 2 8 3 4" xfId="2589"/>
    <cellStyle name="Header2 2 8 3 4 2" xfId="13786"/>
    <cellStyle name="Header2 2 8 3 4 3" xfId="24954"/>
    <cellStyle name="Header2 2 8 3 4 4" xfId="36119"/>
    <cellStyle name="Header2 2 8 3 4 5" xfId="47312"/>
    <cellStyle name="Header2 2 8 3 5" xfId="3178"/>
    <cellStyle name="Header2 2 8 3 5 2" xfId="14375"/>
    <cellStyle name="Header2 2 8 3 5 3" xfId="25543"/>
    <cellStyle name="Header2 2 8 3 5 4" xfId="36708"/>
    <cellStyle name="Header2 2 8 3 5 5" xfId="47901"/>
    <cellStyle name="Header2 2 8 3 6" xfId="3812"/>
    <cellStyle name="Header2 2 8 3 6 2" xfId="15009"/>
    <cellStyle name="Header2 2 8 3 6 3" xfId="26177"/>
    <cellStyle name="Header2 2 8 3 6 4" xfId="37342"/>
    <cellStyle name="Header2 2 8 3 6 5" xfId="48535"/>
    <cellStyle name="Header2 2 8 3 7" xfId="4445"/>
    <cellStyle name="Header2 2 8 3 7 2" xfId="15642"/>
    <cellStyle name="Header2 2 8 3 7 3" xfId="26810"/>
    <cellStyle name="Header2 2 8 3 7 4" xfId="37975"/>
    <cellStyle name="Header2 2 8 3 7 5" xfId="49168"/>
    <cellStyle name="Header2 2 8 3 8" xfId="5076"/>
    <cellStyle name="Header2 2 8 3 8 2" xfId="16273"/>
    <cellStyle name="Header2 2 8 3 8 3" xfId="27441"/>
    <cellStyle name="Header2 2 8 3 8 4" xfId="38606"/>
    <cellStyle name="Header2 2 8 3 8 5" xfId="49799"/>
    <cellStyle name="Header2 2 8 3 9" xfId="5689"/>
    <cellStyle name="Header2 2 8 3 9 2" xfId="16886"/>
    <cellStyle name="Header2 2 8 3 9 3" xfId="28054"/>
    <cellStyle name="Header2 2 8 3 9 4" xfId="39219"/>
    <cellStyle name="Header2 2 8 3 9 5" xfId="50412"/>
    <cellStyle name="Header2 2 8 4" xfId="239"/>
    <cellStyle name="Header2 2 8 4 10" xfId="6808"/>
    <cellStyle name="Header2 2 8 4 10 2" xfId="18005"/>
    <cellStyle name="Header2 2 8 4 10 3" xfId="29173"/>
    <cellStyle name="Header2 2 8 4 10 4" xfId="40338"/>
    <cellStyle name="Header2 2 8 4 10 5" xfId="51531"/>
    <cellStyle name="Header2 2 8 4 11" xfId="7442"/>
    <cellStyle name="Header2 2 8 4 11 2" xfId="18639"/>
    <cellStyle name="Header2 2 8 4 11 3" xfId="29807"/>
    <cellStyle name="Header2 2 8 4 11 4" xfId="40972"/>
    <cellStyle name="Header2 2 8 4 11 5" xfId="52165"/>
    <cellStyle name="Header2 2 8 4 12" xfId="8076"/>
    <cellStyle name="Header2 2 8 4 12 2" xfId="19273"/>
    <cellStyle name="Header2 2 8 4 12 3" xfId="30441"/>
    <cellStyle name="Header2 2 8 4 12 4" xfId="41606"/>
    <cellStyle name="Header2 2 8 4 12 5" xfId="52799"/>
    <cellStyle name="Header2 2 8 4 13" xfId="8668"/>
    <cellStyle name="Header2 2 8 4 13 2" xfId="19865"/>
    <cellStyle name="Header2 2 8 4 13 3" xfId="31033"/>
    <cellStyle name="Header2 2 8 4 13 4" xfId="42198"/>
    <cellStyle name="Header2 2 8 4 13 5" xfId="53391"/>
    <cellStyle name="Header2 2 8 4 14" xfId="10590"/>
    <cellStyle name="Header2 2 8 4 14 2" xfId="21787"/>
    <cellStyle name="Header2 2 8 4 14 3" xfId="32955"/>
    <cellStyle name="Header2 2 8 4 14 4" xfId="44120"/>
    <cellStyle name="Header2 2 8 4 14 5" xfId="55313"/>
    <cellStyle name="Header2 2 8 4 15" xfId="10792"/>
    <cellStyle name="Header2 2 8 4 15 2" xfId="21989"/>
    <cellStyle name="Header2 2 8 4 15 3" xfId="33157"/>
    <cellStyle name="Header2 2 8 4 15 4" xfId="44322"/>
    <cellStyle name="Header2 2 8 4 15 5" xfId="55515"/>
    <cellStyle name="Header2 2 8 4 16" xfId="11439"/>
    <cellStyle name="Header2 2 8 4 17" xfId="22609"/>
    <cellStyle name="Header2 2 8 4 18" xfId="33776"/>
    <cellStyle name="Header2 2 8 4 19" xfId="44962"/>
    <cellStyle name="Header2 2 8 4 2" xfId="888"/>
    <cellStyle name="Header2 2 8 4 2 2" xfId="12085"/>
    <cellStyle name="Header2 2 8 4 2 3" xfId="23253"/>
    <cellStyle name="Header2 2 8 4 2 4" xfId="34418"/>
    <cellStyle name="Header2 2 8 4 2 5" xfId="45611"/>
    <cellStyle name="Header2 2 8 4 3" xfId="1876"/>
    <cellStyle name="Header2 2 8 4 3 2" xfId="13073"/>
    <cellStyle name="Header2 2 8 4 3 3" xfId="24241"/>
    <cellStyle name="Header2 2 8 4 3 4" xfId="35406"/>
    <cellStyle name="Header2 2 8 4 3 5" xfId="46599"/>
    <cellStyle name="Header2 2 8 4 4" xfId="2506"/>
    <cellStyle name="Header2 2 8 4 4 2" xfId="13703"/>
    <cellStyle name="Header2 2 8 4 4 3" xfId="24871"/>
    <cellStyle name="Header2 2 8 4 4 4" xfId="36036"/>
    <cellStyle name="Header2 2 8 4 4 5" xfId="47229"/>
    <cellStyle name="Header2 2 8 4 5" xfId="3223"/>
    <cellStyle name="Header2 2 8 4 5 2" xfId="14420"/>
    <cellStyle name="Header2 2 8 4 5 3" xfId="25588"/>
    <cellStyle name="Header2 2 8 4 5 4" xfId="36753"/>
    <cellStyle name="Header2 2 8 4 5 5" xfId="47946"/>
    <cellStyle name="Header2 2 8 4 6" xfId="3857"/>
    <cellStyle name="Header2 2 8 4 6 2" xfId="15054"/>
    <cellStyle name="Header2 2 8 4 6 3" xfId="26222"/>
    <cellStyle name="Header2 2 8 4 6 4" xfId="37387"/>
    <cellStyle name="Header2 2 8 4 6 5" xfId="48580"/>
    <cellStyle name="Header2 2 8 4 7" xfId="4490"/>
    <cellStyle name="Header2 2 8 4 7 2" xfId="15687"/>
    <cellStyle name="Header2 2 8 4 7 3" xfId="26855"/>
    <cellStyle name="Header2 2 8 4 7 4" xfId="38020"/>
    <cellStyle name="Header2 2 8 4 7 5" xfId="49213"/>
    <cellStyle name="Header2 2 8 4 8" xfId="5121"/>
    <cellStyle name="Header2 2 8 4 8 2" xfId="16318"/>
    <cellStyle name="Header2 2 8 4 8 3" xfId="27486"/>
    <cellStyle name="Header2 2 8 4 8 4" xfId="38651"/>
    <cellStyle name="Header2 2 8 4 8 5" xfId="49844"/>
    <cellStyle name="Header2 2 8 4 9" xfId="5916"/>
    <cellStyle name="Header2 2 8 4 9 2" xfId="17113"/>
    <cellStyle name="Header2 2 8 4 9 3" xfId="28281"/>
    <cellStyle name="Header2 2 8 4 9 4" xfId="39446"/>
    <cellStyle name="Header2 2 8 4 9 5" xfId="50639"/>
    <cellStyle name="Header2 2 8 5" xfId="320"/>
    <cellStyle name="Header2 2 8 5 10" xfId="6889"/>
    <cellStyle name="Header2 2 8 5 10 2" xfId="18086"/>
    <cellStyle name="Header2 2 8 5 10 3" xfId="29254"/>
    <cellStyle name="Header2 2 8 5 10 4" xfId="40419"/>
    <cellStyle name="Header2 2 8 5 10 5" xfId="51612"/>
    <cellStyle name="Header2 2 8 5 11" xfId="7523"/>
    <cellStyle name="Header2 2 8 5 11 2" xfId="18720"/>
    <cellStyle name="Header2 2 8 5 11 3" xfId="29888"/>
    <cellStyle name="Header2 2 8 5 11 4" xfId="41053"/>
    <cellStyle name="Header2 2 8 5 11 5" xfId="52246"/>
    <cellStyle name="Header2 2 8 5 12" xfId="8157"/>
    <cellStyle name="Header2 2 8 5 12 2" xfId="19354"/>
    <cellStyle name="Header2 2 8 5 12 3" xfId="30522"/>
    <cellStyle name="Header2 2 8 5 12 4" xfId="41687"/>
    <cellStyle name="Header2 2 8 5 12 5" xfId="52880"/>
    <cellStyle name="Header2 2 8 5 13" xfId="9208"/>
    <cellStyle name="Header2 2 8 5 13 2" xfId="20405"/>
    <cellStyle name="Header2 2 8 5 13 3" xfId="31573"/>
    <cellStyle name="Header2 2 8 5 13 4" xfId="42738"/>
    <cellStyle name="Header2 2 8 5 13 5" xfId="53931"/>
    <cellStyle name="Header2 2 8 5 14" xfId="10503"/>
    <cellStyle name="Header2 2 8 5 14 2" xfId="21700"/>
    <cellStyle name="Header2 2 8 5 14 3" xfId="32868"/>
    <cellStyle name="Header2 2 8 5 14 4" xfId="44033"/>
    <cellStyle name="Header2 2 8 5 14 5" xfId="55226"/>
    <cellStyle name="Header2 2 8 5 15" xfId="10873"/>
    <cellStyle name="Header2 2 8 5 15 2" xfId="22070"/>
    <cellStyle name="Header2 2 8 5 15 3" xfId="33238"/>
    <cellStyle name="Header2 2 8 5 15 4" xfId="44403"/>
    <cellStyle name="Header2 2 8 5 15 5" xfId="55596"/>
    <cellStyle name="Header2 2 8 5 16" xfId="11520"/>
    <cellStyle name="Header2 2 8 5 17" xfId="22690"/>
    <cellStyle name="Header2 2 8 5 18" xfId="33857"/>
    <cellStyle name="Header2 2 8 5 19" xfId="45043"/>
    <cellStyle name="Header2 2 8 5 2" xfId="969"/>
    <cellStyle name="Header2 2 8 5 2 2" xfId="12166"/>
    <cellStyle name="Header2 2 8 5 2 3" xfId="23334"/>
    <cellStyle name="Header2 2 8 5 2 4" xfId="34499"/>
    <cellStyle name="Header2 2 8 5 2 5" xfId="45692"/>
    <cellStyle name="Header2 2 8 5 3" xfId="1800"/>
    <cellStyle name="Header2 2 8 5 3 2" xfId="12997"/>
    <cellStyle name="Header2 2 8 5 3 3" xfId="24165"/>
    <cellStyle name="Header2 2 8 5 3 4" xfId="35330"/>
    <cellStyle name="Header2 2 8 5 3 5" xfId="46523"/>
    <cellStyle name="Header2 2 8 5 4" xfId="2670"/>
    <cellStyle name="Header2 2 8 5 4 2" xfId="13867"/>
    <cellStyle name="Header2 2 8 5 4 3" xfId="25035"/>
    <cellStyle name="Header2 2 8 5 4 4" xfId="36200"/>
    <cellStyle name="Header2 2 8 5 4 5" xfId="47393"/>
    <cellStyle name="Header2 2 8 5 5" xfId="3304"/>
    <cellStyle name="Header2 2 8 5 5 2" xfId="14501"/>
    <cellStyle name="Header2 2 8 5 5 3" xfId="25669"/>
    <cellStyle name="Header2 2 8 5 5 4" xfId="36834"/>
    <cellStyle name="Header2 2 8 5 5 5" xfId="48027"/>
    <cellStyle name="Header2 2 8 5 6" xfId="3938"/>
    <cellStyle name="Header2 2 8 5 6 2" xfId="15135"/>
    <cellStyle name="Header2 2 8 5 6 3" xfId="26303"/>
    <cellStyle name="Header2 2 8 5 6 4" xfId="37468"/>
    <cellStyle name="Header2 2 8 5 6 5" xfId="48661"/>
    <cellStyle name="Header2 2 8 5 7" xfId="4571"/>
    <cellStyle name="Header2 2 8 5 7 2" xfId="15768"/>
    <cellStyle name="Header2 2 8 5 7 3" xfId="26936"/>
    <cellStyle name="Header2 2 8 5 7 4" xfId="38101"/>
    <cellStyle name="Header2 2 8 5 7 5" xfId="49294"/>
    <cellStyle name="Header2 2 8 5 8" xfId="5202"/>
    <cellStyle name="Header2 2 8 5 8 2" xfId="16399"/>
    <cellStyle name="Header2 2 8 5 8 3" xfId="27567"/>
    <cellStyle name="Header2 2 8 5 8 4" xfId="38732"/>
    <cellStyle name="Header2 2 8 5 8 5" xfId="49925"/>
    <cellStyle name="Header2 2 8 5 9" xfId="6256"/>
    <cellStyle name="Header2 2 8 5 9 2" xfId="17453"/>
    <cellStyle name="Header2 2 8 5 9 3" xfId="28621"/>
    <cellStyle name="Header2 2 8 5 9 4" xfId="39786"/>
    <cellStyle name="Header2 2 8 5 9 5" xfId="50979"/>
    <cellStyle name="Header2 2 8 6" xfId="372"/>
    <cellStyle name="Header2 2 8 6 10" xfId="6941"/>
    <cellStyle name="Header2 2 8 6 10 2" xfId="18138"/>
    <cellStyle name="Header2 2 8 6 10 3" xfId="29306"/>
    <cellStyle name="Header2 2 8 6 10 4" xfId="40471"/>
    <cellStyle name="Header2 2 8 6 10 5" xfId="51664"/>
    <cellStyle name="Header2 2 8 6 11" xfId="7575"/>
    <cellStyle name="Header2 2 8 6 11 2" xfId="18772"/>
    <cellStyle name="Header2 2 8 6 11 3" xfId="29940"/>
    <cellStyle name="Header2 2 8 6 11 4" xfId="41105"/>
    <cellStyle name="Header2 2 8 6 11 5" xfId="52298"/>
    <cellStyle name="Header2 2 8 6 12" xfId="8209"/>
    <cellStyle name="Header2 2 8 6 12 2" xfId="19406"/>
    <cellStyle name="Header2 2 8 6 12 3" xfId="30574"/>
    <cellStyle name="Header2 2 8 6 12 4" xfId="41739"/>
    <cellStyle name="Header2 2 8 6 12 5" xfId="52932"/>
    <cellStyle name="Header2 2 8 6 13" xfId="9260"/>
    <cellStyle name="Header2 2 8 6 13 2" xfId="20457"/>
    <cellStyle name="Header2 2 8 6 13 3" xfId="31625"/>
    <cellStyle name="Header2 2 8 6 13 4" xfId="42790"/>
    <cellStyle name="Header2 2 8 6 13 5" xfId="53983"/>
    <cellStyle name="Header2 2 8 6 14" xfId="10581"/>
    <cellStyle name="Header2 2 8 6 14 2" xfId="21778"/>
    <cellStyle name="Header2 2 8 6 14 3" xfId="32946"/>
    <cellStyle name="Header2 2 8 6 14 4" xfId="44111"/>
    <cellStyle name="Header2 2 8 6 14 5" xfId="55304"/>
    <cellStyle name="Header2 2 8 6 15" xfId="10925"/>
    <cellStyle name="Header2 2 8 6 15 2" xfId="22122"/>
    <cellStyle name="Header2 2 8 6 15 3" xfId="33290"/>
    <cellStyle name="Header2 2 8 6 15 4" xfId="44455"/>
    <cellStyle name="Header2 2 8 6 15 5" xfId="55648"/>
    <cellStyle name="Header2 2 8 6 16" xfId="11572"/>
    <cellStyle name="Header2 2 8 6 17" xfId="22742"/>
    <cellStyle name="Header2 2 8 6 18" xfId="33909"/>
    <cellStyle name="Header2 2 8 6 19" xfId="45095"/>
    <cellStyle name="Header2 2 8 6 2" xfId="1021"/>
    <cellStyle name="Header2 2 8 6 2 2" xfId="12218"/>
    <cellStyle name="Header2 2 8 6 2 3" xfId="23386"/>
    <cellStyle name="Header2 2 8 6 2 4" xfId="34551"/>
    <cellStyle name="Header2 2 8 6 2 5" xfId="45744"/>
    <cellStyle name="Header2 2 8 6 3" xfId="1882"/>
    <cellStyle name="Header2 2 8 6 3 2" xfId="13079"/>
    <cellStyle name="Header2 2 8 6 3 3" xfId="24247"/>
    <cellStyle name="Header2 2 8 6 3 4" xfId="35412"/>
    <cellStyle name="Header2 2 8 6 3 5" xfId="46605"/>
    <cellStyle name="Header2 2 8 6 4" xfId="2722"/>
    <cellStyle name="Header2 2 8 6 4 2" xfId="13919"/>
    <cellStyle name="Header2 2 8 6 4 3" xfId="25087"/>
    <cellStyle name="Header2 2 8 6 4 4" xfId="36252"/>
    <cellStyle name="Header2 2 8 6 4 5" xfId="47445"/>
    <cellStyle name="Header2 2 8 6 5" xfId="3356"/>
    <cellStyle name="Header2 2 8 6 5 2" xfId="14553"/>
    <cellStyle name="Header2 2 8 6 5 3" xfId="25721"/>
    <cellStyle name="Header2 2 8 6 5 4" xfId="36886"/>
    <cellStyle name="Header2 2 8 6 5 5" xfId="48079"/>
    <cellStyle name="Header2 2 8 6 6" xfId="3990"/>
    <cellStyle name="Header2 2 8 6 6 2" xfId="15187"/>
    <cellStyle name="Header2 2 8 6 6 3" xfId="26355"/>
    <cellStyle name="Header2 2 8 6 6 4" xfId="37520"/>
    <cellStyle name="Header2 2 8 6 6 5" xfId="48713"/>
    <cellStyle name="Header2 2 8 6 7" xfId="4623"/>
    <cellStyle name="Header2 2 8 6 7 2" xfId="15820"/>
    <cellStyle name="Header2 2 8 6 7 3" xfId="26988"/>
    <cellStyle name="Header2 2 8 6 7 4" xfId="38153"/>
    <cellStyle name="Header2 2 8 6 7 5" xfId="49346"/>
    <cellStyle name="Header2 2 8 6 8" xfId="5254"/>
    <cellStyle name="Header2 2 8 6 8 2" xfId="16451"/>
    <cellStyle name="Header2 2 8 6 8 3" xfId="27619"/>
    <cellStyle name="Header2 2 8 6 8 4" xfId="38784"/>
    <cellStyle name="Header2 2 8 6 8 5" xfId="49977"/>
    <cellStyle name="Header2 2 8 6 9" xfId="6308"/>
    <cellStyle name="Header2 2 8 6 9 2" xfId="17505"/>
    <cellStyle name="Header2 2 8 6 9 3" xfId="28673"/>
    <cellStyle name="Header2 2 8 6 9 4" xfId="39838"/>
    <cellStyle name="Header2 2 8 6 9 5" xfId="51031"/>
    <cellStyle name="Header2 2 8 7" xfId="448"/>
    <cellStyle name="Header2 2 8 7 10" xfId="7017"/>
    <cellStyle name="Header2 2 8 7 10 2" xfId="18214"/>
    <cellStyle name="Header2 2 8 7 10 3" xfId="29382"/>
    <cellStyle name="Header2 2 8 7 10 4" xfId="40547"/>
    <cellStyle name="Header2 2 8 7 10 5" xfId="51740"/>
    <cellStyle name="Header2 2 8 7 11" xfId="7651"/>
    <cellStyle name="Header2 2 8 7 11 2" xfId="18848"/>
    <cellStyle name="Header2 2 8 7 11 3" xfId="30016"/>
    <cellStyle name="Header2 2 8 7 11 4" xfId="41181"/>
    <cellStyle name="Header2 2 8 7 11 5" xfId="52374"/>
    <cellStyle name="Header2 2 8 7 12" xfId="8285"/>
    <cellStyle name="Header2 2 8 7 12 2" xfId="19482"/>
    <cellStyle name="Header2 2 8 7 12 3" xfId="30650"/>
    <cellStyle name="Header2 2 8 7 12 4" xfId="41815"/>
    <cellStyle name="Header2 2 8 7 12 5" xfId="53008"/>
    <cellStyle name="Header2 2 8 7 13" xfId="9336"/>
    <cellStyle name="Header2 2 8 7 13 2" xfId="20533"/>
    <cellStyle name="Header2 2 8 7 13 3" xfId="31701"/>
    <cellStyle name="Header2 2 8 7 13 4" xfId="42866"/>
    <cellStyle name="Header2 2 8 7 13 5" xfId="54059"/>
    <cellStyle name="Header2 2 8 7 14" xfId="9775"/>
    <cellStyle name="Header2 2 8 7 14 2" xfId="20972"/>
    <cellStyle name="Header2 2 8 7 14 3" xfId="32140"/>
    <cellStyle name="Header2 2 8 7 14 4" xfId="43305"/>
    <cellStyle name="Header2 2 8 7 14 5" xfId="54498"/>
    <cellStyle name="Header2 2 8 7 15" xfId="11001"/>
    <cellStyle name="Header2 2 8 7 15 2" xfId="22198"/>
    <cellStyle name="Header2 2 8 7 15 3" xfId="33366"/>
    <cellStyle name="Header2 2 8 7 15 4" xfId="44531"/>
    <cellStyle name="Header2 2 8 7 15 5" xfId="55724"/>
    <cellStyle name="Header2 2 8 7 16" xfId="11648"/>
    <cellStyle name="Header2 2 8 7 17" xfId="22818"/>
    <cellStyle name="Header2 2 8 7 18" xfId="33985"/>
    <cellStyle name="Header2 2 8 7 19" xfId="45171"/>
    <cellStyle name="Header2 2 8 7 2" xfId="1097"/>
    <cellStyle name="Header2 2 8 7 2 2" xfId="12294"/>
    <cellStyle name="Header2 2 8 7 2 3" xfId="23462"/>
    <cellStyle name="Header2 2 8 7 2 4" xfId="34627"/>
    <cellStyle name="Header2 2 8 7 2 5" xfId="45820"/>
    <cellStyle name="Header2 2 8 7 3" xfId="1936"/>
    <cellStyle name="Header2 2 8 7 3 2" xfId="13133"/>
    <cellStyle name="Header2 2 8 7 3 3" xfId="24301"/>
    <cellStyle name="Header2 2 8 7 3 4" xfId="35466"/>
    <cellStyle name="Header2 2 8 7 3 5" xfId="46659"/>
    <cellStyle name="Header2 2 8 7 4" xfId="2798"/>
    <cellStyle name="Header2 2 8 7 4 2" xfId="13995"/>
    <cellStyle name="Header2 2 8 7 4 3" xfId="25163"/>
    <cellStyle name="Header2 2 8 7 4 4" xfId="36328"/>
    <cellStyle name="Header2 2 8 7 4 5" xfId="47521"/>
    <cellStyle name="Header2 2 8 7 5" xfId="3432"/>
    <cellStyle name="Header2 2 8 7 5 2" xfId="14629"/>
    <cellStyle name="Header2 2 8 7 5 3" xfId="25797"/>
    <cellStyle name="Header2 2 8 7 5 4" xfId="36962"/>
    <cellStyle name="Header2 2 8 7 5 5" xfId="48155"/>
    <cellStyle name="Header2 2 8 7 6" xfId="4066"/>
    <cellStyle name="Header2 2 8 7 6 2" xfId="15263"/>
    <cellStyle name="Header2 2 8 7 6 3" xfId="26431"/>
    <cellStyle name="Header2 2 8 7 6 4" xfId="37596"/>
    <cellStyle name="Header2 2 8 7 6 5" xfId="48789"/>
    <cellStyle name="Header2 2 8 7 7" xfId="4699"/>
    <cellStyle name="Header2 2 8 7 7 2" xfId="15896"/>
    <cellStyle name="Header2 2 8 7 7 3" xfId="27064"/>
    <cellStyle name="Header2 2 8 7 7 4" xfId="38229"/>
    <cellStyle name="Header2 2 8 7 7 5" xfId="49422"/>
    <cellStyle name="Header2 2 8 7 8" xfId="5330"/>
    <cellStyle name="Header2 2 8 7 8 2" xfId="16527"/>
    <cellStyle name="Header2 2 8 7 8 3" xfId="27695"/>
    <cellStyle name="Header2 2 8 7 8 4" xfId="38860"/>
    <cellStyle name="Header2 2 8 7 8 5" xfId="50053"/>
    <cellStyle name="Header2 2 8 7 9" xfId="6384"/>
    <cellStyle name="Header2 2 8 7 9 2" xfId="17581"/>
    <cellStyle name="Header2 2 8 7 9 3" xfId="28749"/>
    <cellStyle name="Header2 2 8 7 9 4" xfId="39914"/>
    <cellStyle name="Header2 2 8 7 9 5" xfId="51107"/>
    <cellStyle name="Header2 2 8 8" xfId="483"/>
    <cellStyle name="Header2 2 8 8 10" xfId="7052"/>
    <cellStyle name="Header2 2 8 8 10 2" xfId="18249"/>
    <cellStyle name="Header2 2 8 8 10 3" xfId="29417"/>
    <cellStyle name="Header2 2 8 8 10 4" xfId="40582"/>
    <cellStyle name="Header2 2 8 8 10 5" xfId="51775"/>
    <cellStyle name="Header2 2 8 8 11" xfId="7686"/>
    <cellStyle name="Header2 2 8 8 11 2" xfId="18883"/>
    <cellStyle name="Header2 2 8 8 11 3" xfId="30051"/>
    <cellStyle name="Header2 2 8 8 11 4" xfId="41216"/>
    <cellStyle name="Header2 2 8 8 11 5" xfId="52409"/>
    <cellStyle name="Header2 2 8 8 12" xfId="8320"/>
    <cellStyle name="Header2 2 8 8 12 2" xfId="19517"/>
    <cellStyle name="Header2 2 8 8 12 3" xfId="30685"/>
    <cellStyle name="Header2 2 8 8 12 4" xfId="41850"/>
    <cellStyle name="Header2 2 8 8 12 5" xfId="53043"/>
    <cellStyle name="Header2 2 8 8 13" xfId="9371"/>
    <cellStyle name="Header2 2 8 8 13 2" xfId="20568"/>
    <cellStyle name="Header2 2 8 8 13 3" xfId="31736"/>
    <cellStyle name="Header2 2 8 8 13 4" xfId="42901"/>
    <cellStyle name="Header2 2 8 8 13 5" xfId="54094"/>
    <cellStyle name="Header2 2 8 8 14" xfId="10241"/>
    <cellStyle name="Header2 2 8 8 14 2" xfId="21438"/>
    <cellStyle name="Header2 2 8 8 14 3" xfId="32606"/>
    <cellStyle name="Header2 2 8 8 14 4" xfId="43771"/>
    <cellStyle name="Header2 2 8 8 14 5" xfId="54964"/>
    <cellStyle name="Header2 2 8 8 15" xfId="11036"/>
    <cellStyle name="Header2 2 8 8 15 2" xfId="22233"/>
    <cellStyle name="Header2 2 8 8 15 3" xfId="33401"/>
    <cellStyle name="Header2 2 8 8 15 4" xfId="44566"/>
    <cellStyle name="Header2 2 8 8 15 5" xfId="55759"/>
    <cellStyle name="Header2 2 8 8 16" xfId="11683"/>
    <cellStyle name="Header2 2 8 8 17" xfId="22853"/>
    <cellStyle name="Header2 2 8 8 18" xfId="34020"/>
    <cellStyle name="Header2 2 8 8 19" xfId="45206"/>
    <cellStyle name="Header2 2 8 8 2" xfId="1132"/>
    <cellStyle name="Header2 2 8 8 2 2" xfId="12329"/>
    <cellStyle name="Header2 2 8 8 2 3" xfId="23497"/>
    <cellStyle name="Header2 2 8 8 2 4" xfId="34662"/>
    <cellStyle name="Header2 2 8 8 2 5" xfId="45855"/>
    <cellStyle name="Header2 2 8 8 3" xfId="1555"/>
    <cellStyle name="Header2 2 8 8 3 2" xfId="12752"/>
    <cellStyle name="Header2 2 8 8 3 3" xfId="23920"/>
    <cellStyle name="Header2 2 8 8 3 4" xfId="35085"/>
    <cellStyle name="Header2 2 8 8 3 5" xfId="46278"/>
    <cellStyle name="Header2 2 8 8 4" xfId="2833"/>
    <cellStyle name="Header2 2 8 8 4 2" xfId="14030"/>
    <cellStyle name="Header2 2 8 8 4 3" xfId="25198"/>
    <cellStyle name="Header2 2 8 8 4 4" xfId="36363"/>
    <cellStyle name="Header2 2 8 8 4 5" xfId="47556"/>
    <cellStyle name="Header2 2 8 8 5" xfId="3467"/>
    <cellStyle name="Header2 2 8 8 5 2" xfId="14664"/>
    <cellStyle name="Header2 2 8 8 5 3" xfId="25832"/>
    <cellStyle name="Header2 2 8 8 5 4" xfId="36997"/>
    <cellStyle name="Header2 2 8 8 5 5" xfId="48190"/>
    <cellStyle name="Header2 2 8 8 6" xfId="4101"/>
    <cellStyle name="Header2 2 8 8 6 2" xfId="15298"/>
    <cellStyle name="Header2 2 8 8 6 3" xfId="26466"/>
    <cellStyle name="Header2 2 8 8 6 4" xfId="37631"/>
    <cellStyle name="Header2 2 8 8 6 5" xfId="48824"/>
    <cellStyle name="Header2 2 8 8 7" xfId="4734"/>
    <cellStyle name="Header2 2 8 8 7 2" xfId="15931"/>
    <cellStyle name="Header2 2 8 8 7 3" xfId="27099"/>
    <cellStyle name="Header2 2 8 8 7 4" xfId="38264"/>
    <cellStyle name="Header2 2 8 8 7 5" xfId="49457"/>
    <cellStyle name="Header2 2 8 8 8" xfId="5365"/>
    <cellStyle name="Header2 2 8 8 8 2" xfId="16562"/>
    <cellStyle name="Header2 2 8 8 8 3" xfId="27730"/>
    <cellStyle name="Header2 2 8 8 8 4" xfId="38895"/>
    <cellStyle name="Header2 2 8 8 8 5" xfId="50088"/>
    <cellStyle name="Header2 2 8 8 9" xfId="6419"/>
    <cellStyle name="Header2 2 8 8 9 2" xfId="17616"/>
    <cellStyle name="Header2 2 8 8 9 3" xfId="28784"/>
    <cellStyle name="Header2 2 8 8 9 4" xfId="39949"/>
    <cellStyle name="Header2 2 8 8 9 5" xfId="51142"/>
    <cellStyle name="Header2 2 8 9" xfId="541"/>
    <cellStyle name="Header2 2 8 9 10" xfId="7110"/>
    <cellStyle name="Header2 2 8 9 10 2" xfId="18307"/>
    <cellStyle name="Header2 2 8 9 10 3" xfId="29475"/>
    <cellStyle name="Header2 2 8 9 10 4" xfId="40640"/>
    <cellStyle name="Header2 2 8 9 10 5" xfId="51833"/>
    <cellStyle name="Header2 2 8 9 11" xfId="7744"/>
    <cellStyle name="Header2 2 8 9 11 2" xfId="18941"/>
    <cellStyle name="Header2 2 8 9 11 3" xfId="30109"/>
    <cellStyle name="Header2 2 8 9 11 4" xfId="41274"/>
    <cellStyle name="Header2 2 8 9 11 5" xfId="52467"/>
    <cellStyle name="Header2 2 8 9 12" xfId="8378"/>
    <cellStyle name="Header2 2 8 9 12 2" xfId="19575"/>
    <cellStyle name="Header2 2 8 9 12 3" xfId="30743"/>
    <cellStyle name="Header2 2 8 9 12 4" xfId="41908"/>
    <cellStyle name="Header2 2 8 9 12 5" xfId="53101"/>
    <cellStyle name="Header2 2 8 9 13" xfId="9429"/>
    <cellStyle name="Header2 2 8 9 13 2" xfId="20626"/>
    <cellStyle name="Header2 2 8 9 13 3" xfId="31794"/>
    <cellStyle name="Header2 2 8 9 13 4" xfId="42959"/>
    <cellStyle name="Header2 2 8 9 13 5" xfId="54152"/>
    <cellStyle name="Header2 2 8 9 14" xfId="9857"/>
    <cellStyle name="Header2 2 8 9 14 2" xfId="21054"/>
    <cellStyle name="Header2 2 8 9 14 3" xfId="32222"/>
    <cellStyle name="Header2 2 8 9 14 4" xfId="43387"/>
    <cellStyle name="Header2 2 8 9 14 5" xfId="54580"/>
    <cellStyle name="Header2 2 8 9 15" xfId="11094"/>
    <cellStyle name="Header2 2 8 9 15 2" xfId="22291"/>
    <cellStyle name="Header2 2 8 9 15 3" xfId="33459"/>
    <cellStyle name="Header2 2 8 9 15 4" xfId="44624"/>
    <cellStyle name="Header2 2 8 9 15 5" xfId="55817"/>
    <cellStyle name="Header2 2 8 9 16" xfId="11741"/>
    <cellStyle name="Header2 2 8 9 17" xfId="22911"/>
    <cellStyle name="Header2 2 8 9 18" xfId="34078"/>
    <cellStyle name="Header2 2 8 9 19" xfId="45264"/>
    <cellStyle name="Header2 2 8 9 2" xfId="1190"/>
    <cellStyle name="Header2 2 8 9 2 2" xfId="12387"/>
    <cellStyle name="Header2 2 8 9 2 3" xfId="23555"/>
    <cellStyle name="Header2 2 8 9 2 4" xfId="34720"/>
    <cellStyle name="Header2 2 8 9 2 5" xfId="45913"/>
    <cellStyle name="Header2 2 8 9 3" xfId="1931"/>
    <cellStyle name="Header2 2 8 9 3 2" xfId="13128"/>
    <cellStyle name="Header2 2 8 9 3 3" xfId="24296"/>
    <cellStyle name="Header2 2 8 9 3 4" xfId="35461"/>
    <cellStyle name="Header2 2 8 9 3 5" xfId="46654"/>
    <cellStyle name="Header2 2 8 9 4" xfId="2891"/>
    <cellStyle name="Header2 2 8 9 4 2" xfId="14088"/>
    <cellStyle name="Header2 2 8 9 4 3" xfId="25256"/>
    <cellStyle name="Header2 2 8 9 4 4" xfId="36421"/>
    <cellStyle name="Header2 2 8 9 4 5" xfId="47614"/>
    <cellStyle name="Header2 2 8 9 5" xfId="3525"/>
    <cellStyle name="Header2 2 8 9 5 2" xfId="14722"/>
    <cellStyle name="Header2 2 8 9 5 3" xfId="25890"/>
    <cellStyle name="Header2 2 8 9 5 4" xfId="37055"/>
    <cellStyle name="Header2 2 8 9 5 5" xfId="48248"/>
    <cellStyle name="Header2 2 8 9 6" xfId="4159"/>
    <cellStyle name="Header2 2 8 9 6 2" xfId="15356"/>
    <cellStyle name="Header2 2 8 9 6 3" xfId="26524"/>
    <cellStyle name="Header2 2 8 9 6 4" xfId="37689"/>
    <cellStyle name="Header2 2 8 9 6 5" xfId="48882"/>
    <cellStyle name="Header2 2 8 9 7" xfId="4792"/>
    <cellStyle name="Header2 2 8 9 7 2" xfId="15989"/>
    <cellStyle name="Header2 2 8 9 7 3" xfId="27157"/>
    <cellStyle name="Header2 2 8 9 7 4" xfId="38322"/>
    <cellStyle name="Header2 2 8 9 7 5" xfId="49515"/>
    <cellStyle name="Header2 2 8 9 8" xfId="5423"/>
    <cellStyle name="Header2 2 8 9 8 2" xfId="16620"/>
    <cellStyle name="Header2 2 8 9 8 3" xfId="27788"/>
    <cellStyle name="Header2 2 8 9 8 4" xfId="38953"/>
    <cellStyle name="Header2 2 8 9 8 5" xfId="50146"/>
    <cellStyle name="Header2 2 8 9 9" xfId="6477"/>
    <cellStyle name="Header2 2 8 9 9 2" xfId="17674"/>
    <cellStyle name="Header2 2 8 9 9 3" xfId="28842"/>
    <cellStyle name="Header2 2 8 9 9 4" xfId="40007"/>
    <cellStyle name="Header2 2 8 9 9 5" xfId="51200"/>
    <cellStyle name="Header2 2 9" xfId="77"/>
    <cellStyle name="Header2 2 9 10" xfId="609"/>
    <cellStyle name="Header2 2 9 10 10" xfId="7178"/>
    <cellStyle name="Header2 2 9 10 10 2" xfId="18375"/>
    <cellStyle name="Header2 2 9 10 10 3" xfId="29543"/>
    <cellStyle name="Header2 2 9 10 10 4" xfId="40708"/>
    <cellStyle name="Header2 2 9 10 10 5" xfId="51901"/>
    <cellStyle name="Header2 2 9 10 11" xfId="7812"/>
    <cellStyle name="Header2 2 9 10 11 2" xfId="19009"/>
    <cellStyle name="Header2 2 9 10 11 3" xfId="30177"/>
    <cellStyle name="Header2 2 9 10 11 4" xfId="41342"/>
    <cellStyle name="Header2 2 9 10 11 5" xfId="52535"/>
    <cellStyle name="Header2 2 9 10 12" xfId="8446"/>
    <cellStyle name="Header2 2 9 10 12 2" xfId="19643"/>
    <cellStyle name="Header2 2 9 10 12 3" xfId="30811"/>
    <cellStyle name="Header2 2 9 10 12 4" xfId="41976"/>
    <cellStyle name="Header2 2 9 10 12 5" xfId="53169"/>
    <cellStyle name="Header2 2 9 10 13" xfId="9497"/>
    <cellStyle name="Header2 2 9 10 13 2" xfId="20694"/>
    <cellStyle name="Header2 2 9 10 13 3" xfId="31862"/>
    <cellStyle name="Header2 2 9 10 13 4" xfId="43027"/>
    <cellStyle name="Header2 2 9 10 13 5" xfId="54220"/>
    <cellStyle name="Header2 2 9 10 14" xfId="10584"/>
    <cellStyle name="Header2 2 9 10 14 2" xfId="21781"/>
    <cellStyle name="Header2 2 9 10 14 3" xfId="32949"/>
    <cellStyle name="Header2 2 9 10 14 4" xfId="44114"/>
    <cellStyle name="Header2 2 9 10 14 5" xfId="55307"/>
    <cellStyle name="Header2 2 9 10 15" xfId="11162"/>
    <cellStyle name="Header2 2 9 10 15 2" xfId="22359"/>
    <cellStyle name="Header2 2 9 10 15 3" xfId="33527"/>
    <cellStyle name="Header2 2 9 10 15 4" xfId="44692"/>
    <cellStyle name="Header2 2 9 10 15 5" xfId="55885"/>
    <cellStyle name="Header2 2 9 10 16" xfId="11809"/>
    <cellStyle name="Header2 2 9 10 17" xfId="22979"/>
    <cellStyle name="Header2 2 9 10 18" xfId="34146"/>
    <cellStyle name="Header2 2 9 10 19" xfId="45332"/>
    <cellStyle name="Header2 2 9 10 2" xfId="1258"/>
    <cellStyle name="Header2 2 9 10 2 2" xfId="12455"/>
    <cellStyle name="Header2 2 9 10 2 3" xfId="23623"/>
    <cellStyle name="Header2 2 9 10 2 4" xfId="34788"/>
    <cellStyle name="Header2 2 9 10 2 5" xfId="45981"/>
    <cellStyle name="Header2 2 9 10 3" xfId="1894"/>
    <cellStyle name="Header2 2 9 10 3 2" xfId="13091"/>
    <cellStyle name="Header2 2 9 10 3 3" xfId="24259"/>
    <cellStyle name="Header2 2 9 10 3 4" xfId="35424"/>
    <cellStyle name="Header2 2 9 10 3 5" xfId="46617"/>
    <cellStyle name="Header2 2 9 10 4" xfId="2959"/>
    <cellStyle name="Header2 2 9 10 4 2" xfId="14156"/>
    <cellStyle name="Header2 2 9 10 4 3" xfId="25324"/>
    <cellStyle name="Header2 2 9 10 4 4" xfId="36489"/>
    <cellStyle name="Header2 2 9 10 4 5" xfId="47682"/>
    <cellStyle name="Header2 2 9 10 5" xfId="3593"/>
    <cellStyle name="Header2 2 9 10 5 2" xfId="14790"/>
    <cellStyle name="Header2 2 9 10 5 3" xfId="25958"/>
    <cellStyle name="Header2 2 9 10 5 4" xfId="37123"/>
    <cellStyle name="Header2 2 9 10 5 5" xfId="48316"/>
    <cellStyle name="Header2 2 9 10 6" xfId="4227"/>
    <cellStyle name="Header2 2 9 10 6 2" xfId="15424"/>
    <cellStyle name="Header2 2 9 10 6 3" xfId="26592"/>
    <cellStyle name="Header2 2 9 10 6 4" xfId="37757"/>
    <cellStyle name="Header2 2 9 10 6 5" xfId="48950"/>
    <cellStyle name="Header2 2 9 10 7" xfId="4860"/>
    <cellStyle name="Header2 2 9 10 7 2" xfId="16057"/>
    <cellStyle name="Header2 2 9 10 7 3" xfId="27225"/>
    <cellStyle name="Header2 2 9 10 7 4" xfId="38390"/>
    <cellStyle name="Header2 2 9 10 7 5" xfId="49583"/>
    <cellStyle name="Header2 2 9 10 8" xfId="5491"/>
    <cellStyle name="Header2 2 9 10 8 2" xfId="16688"/>
    <cellStyle name="Header2 2 9 10 8 3" xfId="27856"/>
    <cellStyle name="Header2 2 9 10 8 4" xfId="39021"/>
    <cellStyle name="Header2 2 9 10 8 5" xfId="50214"/>
    <cellStyle name="Header2 2 9 10 9" xfId="6545"/>
    <cellStyle name="Header2 2 9 10 9 2" xfId="17742"/>
    <cellStyle name="Header2 2 9 10 9 3" xfId="28910"/>
    <cellStyle name="Header2 2 9 10 9 4" xfId="40075"/>
    <cellStyle name="Header2 2 9 10 9 5" xfId="51268"/>
    <cellStyle name="Header2 2 9 11" xfId="654"/>
    <cellStyle name="Header2 2 9 11 10" xfId="7223"/>
    <cellStyle name="Header2 2 9 11 10 2" xfId="18420"/>
    <cellStyle name="Header2 2 9 11 10 3" xfId="29588"/>
    <cellStyle name="Header2 2 9 11 10 4" xfId="40753"/>
    <cellStyle name="Header2 2 9 11 10 5" xfId="51946"/>
    <cellStyle name="Header2 2 9 11 11" xfId="7857"/>
    <cellStyle name="Header2 2 9 11 11 2" xfId="19054"/>
    <cellStyle name="Header2 2 9 11 11 3" xfId="30222"/>
    <cellStyle name="Header2 2 9 11 11 4" xfId="41387"/>
    <cellStyle name="Header2 2 9 11 11 5" xfId="52580"/>
    <cellStyle name="Header2 2 9 11 12" xfId="8491"/>
    <cellStyle name="Header2 2 9 11 12 2" xfId="19688"/>
    <cellStyle name="Header2 2 9 11 12 3" xfId="30856"/>
    <cellStyle name="Header2 2 9 11 12 4" xfId="42021"/>
    <cellStyle name="Header2 2 9 11 12 5" xfId="53214"/>
    <cellStyle name="Header2 2 9 11 13" xfId="9542"/>
    <cellStyle name="Header2 2 9 11 13 2" xfId="20739"/>
    <cellStyle name="Header2 2 9 11 13 3" xfId="31907"/>
    <cellStyle name="Header2 2 9 11 13 4" xfId="43072"/>
    <cellStyle name="Header2 2 9 11 13 5" xfId="54265"/>
    <cellStyle name="Header2 2 9 11 14" xfId="10551"/>
    <cellStyle name="Header2 2 9 11 14 2" xfId="21748"/>
    <cellStyle name="Header2 2 9 11 14 3" xfId="32916"/>
    <cellStyle name="Header2 2 9 11 14 4" xfId="44081"/>
    <cellStyle name="Header2 2 9 11 14 5" xfId="55274"/>
    <cellStyle name="Header2 2 9 11 15" xfId="11207"/>
    <cellStyle name="Header2 2 9 11 15 2" xfId="22404"/>
    <cellStyle name="Header2 2 9 11 15 3" xfId="33572"/>
    <cellStyle name="Header2 2 9 11 15 4" xfId="44737"/>
    <cellStyle name="Header2 2 9 11 15 5" xfId="55930"/>
    <cellStyle name="Header2 2 9 11 16" xfId="11854"/>
    <cellStyle name="Header2 2 9 11 17" xfId="23024"/>
    <cellStyle name="Header2 2 9 11 18" xfId="34191"/>
    <cellStyle name="Header2 2 9 11 19" xfId="45377"/>
    <cellStyle name="Header2 2 9 11 2" xfId="1303"/>
    <cellStyle name="Header2 2 9 11 2 2" xfId="12500"/>
    <cellStyle name="Header2 2 9 11 2 3" xfId="23668"/>
    <cellStyle name="Header2 2 9 11 2 4" xfId="34833"/>
    <cellStyle name="Header2 2 9 11 2 5" xfId="46026"/>
    <cellStyle name="Header2 2 9 11 3" xfId="1374"/>
    <cellStyle name="Header2 2 9 11 3 2" xfId="12571"/>
    <cellStyle name="Header2 2 9 11 3 3" xfId="23739"/>
    <cellStyle name="Header2 2 9 11 3 4" xfId="34904"/>
    <cellStyle name="Header2 2 9 11 3 5" xfId="46097"/>
    <cellStyle name="Header2 2 9 11 4" xfId="3004"/>
    <cellStyle name="Header2 2 9 11 4 2" xfId="14201"/>
    <cellStyle name="Header2 2 9 11 4 3" xfId="25369"/>
    <cellStyle name="Header2 2 9 11 4 4" xfId="36534"/>
    <cellStyle name="Header2 2 9 11 4 5" xfId="47727"/>
    <cellStyle name="Header2 2 9 11 5" xfId="3638"/>
    <cellStyle name="Header2 2 9 11 5 2" xfId="14835"/>
    <cellStyle name="Header2 2 9 11 5 3" xfId="26003"/>
    <cellStyle name="Header2 2 9 11 5 4" xfId="37168"/>
    <cellStyle name="Header2 2 9 11 5 5" xfId="48361"/>
    <cellStyle name="Header2 2 9 11 6" xfId="4272"/>
    <cellStyle name="Header2 2 9 11 6 2" xfId="15469"/>
    <cellStyle name="Header2 2 9 11 6 3" xfId="26637"/>
    <cellStyle name="Header2 2 9 11 6 4" xfId="37802"/>
    <cellStyle name="Header2 2 9 11 6 5" xfId="48995"/>
    <cellStyle name="Header2 2 9 11 7" xfId="4905"/>
    <cellStyle name="Header2 2 9 11 7 2" xfId="16102"/>
    <cellStyle name="Header2 2 9 11 7 3" xfId="27270"/>
    <cellStyle name="Header2 2 9 11 7 4" xfId="38435"/>
    <cellStyle name="Header2 2 9 11 7 5" xfId="49628"/>
    <cellStyle name="Header2 2 9 11 8" xfId="5536"/>
    <cellStyle name="Header2 2 9 11 8 2" xfId="16733"/>
    <cellStyle name="Header2 2 9 11 8 3" xfId="27901"/>
    <cellStyle name="Header2 2 9 11 8 4" xfId="39066"/>
    <cellStyle name="Header2 2 9 11 8 5" xfId="50259"/>
    <cellStyle name="Header2 2 9 11 9" xfId="6590"/>
    <cellStyle name="Header2 2 9 11 9 2" xfId="17787"/>
    <cellStyle name="Header2 2 9 11 9 3" xfId="28955"/>
    <cellStyle name="Header2 2 9 11 9 4" xfId="40120"/>
    <cellStyle name="Header2 2 9 11 9 5" xfId="51313"/>
    <cellStyle name="Header2 2 9 12" xfId="726"/>
    <cellStyle name="Header2 2 9 12 2" xfId="11924"/>
    <cellStyle name="Header2 2 9 12 3" xfId="23092"/>
    <cellStyle name="Header2 2 9 12 4" xfId="34257"/>
    <cellStyle name="Header2 2 9 12 5" xfId="45449"/>
    <cellStyle name="Header2 2 9 13" xfId="1755"/>
    <cellStyle name="Header2 2 9 13 2" xfId="12952"/>
    <cellStyle name="Header2 2 9 13 3" xfId="24120"/>
    <cellStyle name="Header2 2 9 13 4" xfId="35285"/>
    <cellStyle name="Header2 2 9 13 5" xfId="46478"/>
    <cellStyle name="Header2 2 9 14" xfId="2323"/>
    <cellStyle name="Header2 2 9 14 2" xfId="13520"/>
    <cellStyle name="Header2 2 9 14 3" xfId="24688"/>
    <cellStyle name="Header2 2 9 14 4" xfId="35853"/>
    <cellStyle name="Header2 2 9 14 5" xfId="47046"/>
    <cellStyle name="Header2 2 9 15" xfId="3061"/>
    <cellStyle name="Header2 2 9 15 2" xfId="14258"/>
    <cellStyle name="Header2 2 9 15 3" xfId="25426"/>
    <cellStyle name="Header2 2 9 15 4" xfId="36591"/>
    <cellStyle name="Header2 2 9 15 5" xfId="47784"/>
    <cellStyle name="Header2 2 9 16" xfId="3695"/>
    <cellStyle name="Header2 2 9 16 2" xfId="14892"/>
    <cellStyle name="Header2 2 9 16 3" xfId="26060"/>
    <cellStyle name="Header2 2 9 16 4" xfId="37225"/>
    <cellStyle name="Header2 2 9 16 5" xfId="48418"/>
    <cellStyle name="Header2 2 9 17" xfId="4328"/>
    <cellStyle name="Header2 2 9 17 2" xfId="15525"/>
    <cellStyle name="Header2 2 9 17 3" xfId="26693"/>
    <cellStyle name="Header2 2 9 17 4" xfId="37858"/>
    <cellStyle name="Header2 2 9 17 5" xfId="49051"/>
    <cellStyle name="Header2 2 9 18" xfId="4960"/>
    <cellStyle name="Header2 2 9 18 2" xfId="16157"/>
    <cellStyle name="Header2 2 9 18 3" xfId="27325"/>
    <cellStyle name="Header2 2 9 18 4" xfId="38490"/>
    <cellStyle name="Header2 2 9 18 5" xfId="49683"/>
    <cellStyle name="Header2 2 9 19" xfId="5744"/>
    <cellStyle name="Header2 2 9 19 2" xfId="16941"/>
    <cellStyle name="Header2 2 9 19 3" xfId="28109"/>
    <cellStyle name="Header2 2 9 19 4" xfId="39274"/>
    <cellStyle name="Header2 2 9 19 5" xfId="50467"/>
    <cellStyle name="Header2 2 9 2" xfId="141"/>
    <cellStyle name="Header2 2 9 2 10" xfId="6710"/>
    <cellStyle name="Header2 2 9 2 10 2" xfId="17907"/>
    <cellStyle name="Header2 2 9 2 10 3" xfId="29075"/>
    <cellStyle name="Header2 2 9 2 10 4" xfId="40240"/>
    <cellStyle name="Header2 2 9 2 10 5" xfId="51433"/>
    <cellStyle name="Header2 2 9 2 11" xfId="7344"/>
    <cellStyle name="Header2 2 9 2 11 2" xfId="18541"/>
    <cellStyle name="Header2 2 9 2 11 3" xfId="29709"/>
    <cellStyle name="Header2 2 9 2 11 4" xfId="40874"/>
    <cellStyle name="Header2 2 9 2 11 5" xfId="52067"/>
    <cellStyle name="Header2 2 9 2 12" xfId="7978"/>
    <cellStyle name="Header2 2 9 2 12 2" xfId="19175"/>
    <cellStyle name="Header2 2 9 2 12 3" xfId="30343"/>
    <cellStyle name="Header2 2 9 2 12 4" xfId="41508"/>
    <cellStyle name="Header2 2 9 2 12 5" xfId="52701"/>
    <cellStyle name="Header2 2 9 2 13" xfId="8775"/>
    <cellStyle name="Header2 2 9 2 13 2" xfId="19972"/>
    <cellStyle name="Header2 2 9 2 13 3" xfId="31140"/>
    <cellStyle name="Header2 2 9 2 13 4" xfId="42305"/>
    <cellStyle name="Header2 2 9 2 13 5" xfId="53498"/>
    <cellStyle name="Header2 2 9 2 14" xfId="9755"/>
    <cellStyle name="Header2 2 9 2 14 2" xfId="20952"/>
    <cellStyle name="Header2 2 9 2 14 3" xfId="32120"/>
    <cellStyle name="Header2 2 9 2 14 4" xfId="43285"/>
    <cellStyle name="Header2 2 9 2 14 5" xfId="54478"/>
    <cellStyle name="Header2 2 9 2 15" xfId="10694"/>
    <cellStyle name="Header2 2 9 2 15 2" xfId="21891"/>
    <cellStyle name="Header2 2 9 2 15 3" xfId="33059"/>
    <cellStyle name="Header2 2 9 2 15 4" xfId="44224"/>
    <cellStyle name="Header2 2 9 2 15 5" xfId="55417"/>
    <cellStyle name="Header2 2 9 2 16" xfId="11341"/>
    <cellStyle name="Header2 2 9 2 17" xfId="22511"/>
    <cellStyle name="Header2 2 9 2 18" xfId="33678"/>
    <cellStyle name="Header2 2 9 2 19" xfId="44864"/>
    <cellStyle name="Header2 2 9 2 2" xfId="790"/>
    <cellStyle name="Header2 2 9 2 2 2" xfId="11987"/>
    <cellStyle name="Header2 2 9 2 2 3" xfId="23155"/>
    <cellStyle name="Header2 2 9 2 2 4" xfId="34320"/>
    <cellStyle name="Header2 2 9 2 2 5" xfId="45513"/>
    <cellStyle name="Header2 2 9 2 3" xfId="1851"/>
    <cellStyle name="Header2 2 9 2 3 2" xfId="13048"/>
    <cellStyle name="Header2 2 9 2 3 3" xfId="24216"/>
    <cellStyle name="Header2 2 9 2 3 4" xfId="35381"/>
    <cellStyle name="Header2 2 9 2 3 5" xfId="46574"/>
    <cellStyle name="Header2 2 9 2 4" xfId="2386"/>
    <cellStyle name="Header2 2 9 2 4 2" xfId="13583"/>
    <cellStyle name="Header2 2 9 2 4 3" xfId="24751"/>
    <cellStyle name="Header2 2 9 2 4 4" xfId="35916"/>
    <cellStyle name="Header2 2 9 2 4 5" xfId="47109"/>
    <cellStyle name="Header2 2 9 2 5" xfId="3125"/>
    <cellStyle name="Header2 2 9 2 5 2" xfId="14322"/>
    <cellStyle name="Header2 2 9 2 5 3" xfId="25490"/>
    <cellStyle name="Header2 2 9 2 5 4" xfId="36655"/>
    <cellStyle name="Header2 2 9 2 5 5" xfId="47848"/>
    <cellStyle name="Header2 2 9 2 6" xfId="3759"/>
    <cellStyle name="Header2 2 9 2 6 2" xfId="14956"/>
    <cellStyle name="Header2 2 9 2 6 3" xfId="26124"/>
    <cellStyle name="Header2 2 9 2 6 4" xfId="37289"/>
    <cellStyle name="Header2 2 9 2 6 5" xfId="48482"/>
    <cellStyle name="Header2 2 9 2 7" xfId="4392"/>
    <cellStyle name="Header2 2 9 2 7 2" xfId="15589"/>
    <cellStyle name="Header2 2 9 2 7 3" xfId="26757"/>
    <cellStyle name="Header2 2 9 2 7 4" xfId="37922"/>
    <cellStyle name="Header2 2 9 2 7 5" xfId="49115"/>
    <cellStyle name="Header2 2 9 2 8" xfId="5023"/>
    <cellStyle name="Header2 2 9 2 8 2" xfId="16220"/>
    <cellStyle name="Header2 2 9 2 8 3" xfId="27388"/>
    <cellStyle name="Header2 2 9 2 8 4" xfId="38553"/>
    <cellStyle name="Header2 2 9 2 8 5" xfId="49746"/>
    <cellStyle name="Header2 2 9 2 9" xfId="5781"/>
    <cellStyle name="Header2 2 9 2 9 2" xfId="16978"/>
    <cellStyle name="Header2 2 9 2 9 3" xfId="28146"/>
    <cellStyle name="Header2 2 9 2 9 4" xfId="39311"/>
    <cellStyle name="Header2 2 9 2 9 5" xfId="50504"/>
    <cellStyle name="Header2 2 9 20" xfId="6647"/>
    <cellStyle name="Header2 2 9 20 2" xfId="17844"/>
    <cellStyle name="Header2 2 9 20 3" xfId="29012"/>
    <cellStyle name="Header2 2 9 20 4" xfId="40177"/>
    <cellStyle name="Header2 2 9 20 5" xfId="51370"/>
    <cellStyle name="Header2 2 9 21" xfId="7280"/>
    <cellStyle name="Header2 2 9 21 2" xfId="18477"/>
    <cellStyle name="Header2 2 9 21 3" xfId="29645"/>
    <cellStyle name="Header2 2 9 21 4" xfId="40810"/>
    <cellStyle name="Header2 2 9 21 5" xfId="52003"/>
    <cellStyle name="Header2 2 9 22" xfId="7914"/>
    <cellStyle name="Header2 2 9 22 2" xfId="19111"/>
    <cellStyle name="Header2 2 9 22 3" xfId="30279"/>
    <cellStyle name="Header2 2 9 22 4" xfId="41444"/>
    <cellStyle name="Header2 2 9 22 5" xfId="52637"/>
    <cellStyle name="Header2 2 9 23" xfId="8543"/>
    <cellStyle name="Header2 2 9 23 2" xfId="19740"/>
    <cellStyle name="Header2 2 9 23 3" xfId="30908"/>
    <cellStyle name="Header2 2 9 23 4" xfId="42073"/>
    <cellStyle name="Header2 2 9 23 5" xfId="53266"/>
    <cellStyle name="Header2 2 9 24" xfId="10459"/>
    <cellStyle name="Header2 2 9 24 2" xfId="21656"/>
    <cellStyle name="Header2 2 9 24 3" xfId="32824"/>
    <cellStyle name="Header2 2 9 24 4" xfId="43989"/>
    <cellStyle name="Header2 2 9 24 5" xfId="55182"/>
    <cellStyle name="Header2 2 9 25" xfId="10631"/>
    <cellStyle name="Header2 2 9 25 2" xfId="21828"/>
    <cellStyle name="Header2 2 9 25 3" xfId="32996"/>
    <cellStyle name="Header2 2 9 25 4" xfId="44161"/>
    <cellStyle name="Header2 2 9 25 5" xfId="55354"/>
    <cellStyle name="Header2 2 9 26" xfId="11278"/>
    <cellStyle name="Header2 2 9 27" xfId="22448"/>
    <cellStyle name="Header2 2 9 28" xfId="33615"/>
    <cellStyle name="Header2 2 9 29" xfId="44800"/>
    <cellStyle name="Header2 2 9 3" xfId="197"/>
    <cellStyle name="Header2 2 9 3 10" xfId="6766"/>
    <cellStyle name="Header2 2 9 3 10 2" xfId="17963"/>
    <cellStyle name="Header2 2 9 3 10 3" xfId="29131"/>
    <cellStyle name="Header2 2 9 3 10 4" xfId="40296"/>
    <cellStyle name="Header2 2 9 3 10 5" xfId="51489"/>
    <cellStyle name="Header2 2 9 3 11" xfId="7400"/>
    <cellStyle name="Header2 2 9 3 11 2" xfId="18597"/>
    <cellStyle name="Header2 2 9 3 11 3" xfId="29765"/>
    <cellStyle name="Header2 2 9 3 11 4" xfId="40930"/>
    <cellStyle name="Header2 2 9 3 11 5" xfId="52123"/>
    <cellStyle name="Header2 2 9 3 12" xfId="8034"/>
    <cellStyle name="Header2 2 9 3 12 2" xfId="19231"/>
    <cellStyle name="Header2 2 9 3 12 3" xfId="30399"/>
    <cellStyle name="Header2 2 9 3 12 4" xfId="41564"/>
    <cellStyle name="Header2 2 9 3 12 5" xfId="52757"/>
    <cellStyle name="Header2 2 9 3 13" xfId="9130"/>
    <cellStyle name="Header2 2 9 3 13 2" xfId="20327"/>
    <cellStyle name="Header2 2 9 3 13 3" xfId="31495"/>
    <cellStyle name="Header2 2 9 3 13 4" xfId="42660"/>
    <cellStyle name="Header2 2 9 3 13 5" xfId="53853"/>
    <cellStyle name="Header2 2 9 3 14" xfId="10482"/>
    <cellStyle name="Header2 2 9 3 14 2" xfId="21679"/>
    <cellStyle name="Header2 2 9 3 14 3" xfId="32847"/>
    <cellStyle name="Header2 2 9 3 14 4" xfId="44012"/>
    <cellStyle name="Header2 2 9 3 14 5" xfId="55205"/>
    <cellStyle name="Header2 2 9 3 15" xfId="10750"/>
    <cellStyle name="Header2 2 9 3 15 2" xfId="21947"/>
    <cellStyle name="Header2 2 9 3 15 3" xfId="33115"/>
    <cellStyle name="Header2 2 9 3 15 4" xfId="44280"/>
    <cellStyle name="Header2 2 9 3 15 5" xfId="55473"/>
    <cellStyle name="Header2 2 9 3 16" xfId="11397"/>
    <cellStyle name="Header2 2 9 3 17" xfId="22567"/>
    <cellStyle name="Header2 2 9 3 18" xfId="33734"/>
    <cellStyle name="Header2 2 9 3 19" xfId="44920"/>
    <cellStyle name="Header2 2 9 3 2" xfId="846"/>
    <cellStyle name="Header2 2 9 3 2 2" xfId="12043"/>
    <cellStyle name="Header2 2 9 3 2 3" xfId="23211"/>
    <cellStyle name="Header2 2 9 3 2 4" xfId="34376"/>
    <cellStyle name="Header2 2 9 3 2 5" xfId="45569"/>
    <cellStyle name="Header2 2 9 3 3" xfId="1779"/>
    <cellStyle name="Header2 2 9 3 3 2" xfId="12976"/>
    <cellStyle name="Header2 2 9 3 3 3" xfId="24144"/>
    <cellStyle name="Header2 2 9 3 3 4" xfId="35309"/>
    <cellStyle name="Header2 2 9 3 3 5" xfId="46502"/>
    <cellStyle name="Header2 2 9 3 4" xfId="2485"/>
    <cellStyle name="Header2 2 9 3 4 2" xfId="13682"/>
    <cellStyle name="Header2 2 9 3 4 3" xfId="24850"/>
    <cellStyle name="Header2 2 9 3 4 4" xfId="36015"/>
    <cellStyle name="Header2 2 9 3 4 5" xfId="47208"/>
    <cellStyle name="Header2 2 9 3 5" xfId="3181"/>
    <cellStyle name="Header2 2 9 3 5 2" xfId="14378"/>
    <cellStyle name="Header2 2 9 3 5 3" xfId="25546"/>
    <cellStyle name="Header2 2 9 3 5 4" xfId="36711"/>
    <cellStyle name="Header2 2 9 3 5 5" xfId="47904"/>
    <cellStyle name="Header2 2 9 3 6" xfId="3815"/>
    <cellStyle name="Header2 2 9 3 6 2" xfId="15012"/>
    <cellStyle name="Header2 2 9 3 6 3" xfId="26180"/>
    <cellStyle name="Header2 2 9 3 6 4" xfId="37345"/>
    <cellStyle name="Header2 2 9 3 6 5" xfId="48538"/>
    <cellStyle name="Header2 2 9 3 7" xfId="4448"/>
    <cellStyle name="Header2 2 9 3 7 2" xfId="15645"/>
    <cellStyle name="Header2 2 9 3 7 3" xfId="26813"/>
    <cellStyle name="Header2 2 9 3 7 4" xfId="37978"/>
    <cellStyle name="Header2 2 9 3 7 5" xfId="49171"/>
    <cellStyle name="Header2 2 9 3 8" xfId="5079"/>
    <cellStyle name="Header2 2 9 3 8 2" xfId="16276"/>
    <cellStyle name="Header2 2 9 3 8 3" xfId="27444"/>
    <cellStyle name="Header2 2 9 3 8 4" xfId="38609"/>
    <cellStyle name="Header2 2 9 3 8 5" xfId="49802"/>
    <cellStyle name="Header2 2 9 3 9" xfId="5736"/>
    <cellStyle name="Header2 2 9 3 9 2" xfId="16933"/>
    <cellStyle name="Header2 2 9 3 9 3" xfId="28101"/>
    <cellStyle name="Header2 2 9 3 9 4" xfId="39266"/>
    <cellStyle name="Header2 2 9 3 9 5" xfId="50459"/>
    <cellStyle name="Header2 2 9 4" xfId="268"/>
    <cellStyle name="Header2 2 9 4 10" xfId="6837"/>
    <cellStyle name="Header2 2 9 4 10 2" xfId="18034"/>
    <cellStyle name="Header2 2 9 4 10 3" xfId="29202"/>
    <cellStyle name="Header2 2 9 4 10 4" xfId="40367"/>
    <cellStyle name="Header2 2 9 4 10 5" xfId="51560"/>
    <cellStyle name="Header2 2 9 4 11" xfId="7471"/>
    <cellStyle name="Header2 2 9 4 11 2" xfId="18668"/>
    <cellStyle name="Header2 2 9 4 11 3" xfId="29836"/>
    <cellStyle name="Header2 2 9 4 11 4" xfId="41001"/>
    <cellStyle name="Header2 2 9 4 11 5" xfId="52194"/>
    <cellStyle name="Header2 2 9 4 12" xfId="8105"/>
    <cellStyle name="Header2 2 9 4 12 2" xfId="19302"/>
    <cellStyle name="Header2 2 9 4 12 3" xfId="30470"/>
    <cellStyle name="Header2 2 9 4 12 4" xfId="41635"/>
    <cellStyle name="Header2 2 9 4 12 5" xfId="52828"/>
    <cellStyle name="Header2 2 9 4 13" xfId="9156"/>
    <cellStyle name="Header2 2 9 4 13 2" xfId="20353"/>
    <cellStyle name="Header2 2 9 4 13 3" xfId="31521"/>
    <cellStyle name="Header2 2 9 4 13 4" xfId="42686"/>
    <cellStyle name="Header2 2 9 4 13 5" xfId="53879"/>
    <cellStyle name="Header2 2 9 4 14" xfId="10154"/>
    <cellStyle name="Header2 2 9 4 14 2" xfId="21351"/>
    <cellStyle name="Header2 2 9 4 14 3" xfId="32519"/>
    <cellStyle name="Header2 2 9 4 14 4" xfId="43684"/>
    <cellStyle name="Header2 2 9 4 14 5" xfId="54877"/>
    <cellStyle name="Header2 2 9 4 15" xfId="10821"/>
    <cellStyle name="Header2 2 9 4 15 2" xfId="22018"/>
    <cellStyle name="Header2 2 9 4 15 3" xfId="33186"/>
    <cellStyle name="Header2 2 9 4 15 4" xfId="44351"/>
    <cellStyle name="Header2 2 9 4 15 5" xfId="55544"/>
    <cellStyle name="Header2 2 9 4 16" xfId="11468"/>
    <cellStyle name="Header2 2 9 4 17" xfId="22638"/>
    <cellStyle name="Header2 2 9 4 18" xfId="33805"/>
    <cellStyle name="Header2 2 9 4 19" xfId="44991"/>
    <cellStyle name="Header2 2 9 4 2" xfId="917"/>
    <cellStyle name="Header2 2 9 4 2 2" xfId="12114"/>
    <cellStyle name="Header2 2 9 4 2 3" xfId="23282"/>
    <cellStyle name="Header2 2 9 4 2 4" xfId="34447"/>
    <cellStyle name="Header2 2 9 4 2 5" xfId="45640"/>
    <cellStyle name="Header2 2 9 4 3" xfId="1532"/>
    <cellStyle name="Header2 2 9 4 3 2" xfId="12729"/>
    <cellStyle name="Header2 2 9 4 3 3" xfId="23897"/>
    <cellStyle name="Header2 2 9 4 3 4" xfId="35062"/>
    <cellStyle name="Header2 2 9 4 3 5" xfId="46255"/>
    <cellStyle name="Header2 2 9 4 4" xfId="2618"/>
    <cellStyle name="Header2 2 9 4 4 2" xfId="13815"/>
    <cellStyle name="Header2 2 9 4 4 3" xfId="24983"/>
    <cellStyle name="Header2 2 9 4 4 4" xfId="36148"/>
    <cellStyle name="Header2 2 9 4 4 5" xfId="47341"/>
    <cellStyle name="Header2 2 9 4 5" xfId="3252"/>
    <cellStyle name="Header2 2 9 4 5 2" xfId="14449"/>
    <cellStyle name="Header2 2 9 4 5 3" xfId="25617"/>
    <cellStyle name="Header2 2 9 4 5 4" xfId="36782"/>
    <cellStyle name="Header2 2 9 4 5 5" xfId="47975"/>
    <cellStyle name="Header2 2 9 4 6" xfId="3886"/>
    <cellStyle name="Header2 2 9 4 6 2" xfId="15083"/>
    <cellStyle name="Header2 2 9 4 6 3" xfId="26251"/>
    <cellStyle name="Header2 2 9 4 6 4" xfId="37416"/>
    <cellStyle name="Header2 2 9 4 6 5" xfId="48609"/>
    <cellStyle name="Header2 2 9 4 7" xfId="4519"/>
    <cellStyle name="Header2 2 9 4 7 2" xfId="15716"/>
    <cellStyle name="Header2 2 9 4 7 3" xfId="26884"/>
    <cellStyle name="Header2 2 9 4 7 4" xfId="38049"/>
    <cellStyle name="Header2 2 9 4 7 5" xfId="49242"/>
    <cellStyle name="Header2 2 9 4 8" xfId="5150"/>
    <cellStyle name="Header2 2 9 4 8 2" xfId="16347"/>
    <cellStyle name="Header2 2 9 4 8 3" xfId="27515"/>
    <cellStyle name="Header2 2 9 4 8 4" xfId="38680"/>
    <cellStyle name="Header2 2 9 4 8 5" xfId="49873"/>
    <cellStyle name="Header2 2 9 4 9" xfId="6204"/>
    <cellStyle name="Header2 2 9 4 9 2" xfId="17401"/>
    <cellStyle name="Header2 2 9 4 9 3" xfId="28569"/>
    <cellStyle name="Header2 2 9 4 9 4" xfId="39734"/>
    <cellStyle name="Header2 2 9 4 9 5" xfId="50927"/>
    <cellStyle name="Header2 2 9 5" xfId="307"/>
    <cellStyle name="Header2 2 9 5 10" xfId="6876"/>
    <cellStyle name="Header2 2 9 5 10 2" xfId="18073"/>
    <cellStyle name="Header2 2 9 5 10 3" xfId="29241"/>
    <cellStyle name="Header2 2 9 5 10 4" xfId="40406"/>
    <cellStyle name="Header2 2 9 5 10 5" xfId="51599"/>
    <cellStyle name="Header2 2 9 5 11" xfId="7510"/>
    <cellStyle name="Header2 2 9 5 11 2" xfId="18707"/>
    <cellStyle name="Header2 2 9 5 11 3" xfId="29875"/>
    <cellStyle name="Header2 2 9 5 11 4" xfId="41040"/>
    <cellStyle name="Header2 2 9 5 11 5" xfId="52233"/>
    <cellStyle name="Header2 2 9 5 12" xfId="8144"/>
    <cellStyle name="Header2 2 9 5 12 2" xfId="19341"/>
    <cellStyle name="Header2 2 9 5 12 3" xfId="30509"/>
    <cellStyle name="Header2 2 9 5 12 4" xfId="41674"/>
    <cellStyle name="Header2 2 9 5 12 5" xfId="52867"/>
    <cellStyle name="Header2 2 9 5 13" xfId="9195"/>
    <cellStyle name="Header2 2 9 5 13 2" xfId="20392"/>
    <cellStyle name="Header2 2 9 5 13 3" xfId="31560"/>
    <cellStyle name="Header2 2 9 5 13 4" xfId="42725"/>
    <cellStyle name="Header2 2 9 5 13 5" xfId="53918"/>
    <cellStyle name="Header2 2 9 5 14" xfId="10161"/>
    <cellStyle name="Header2 2 9 5 14 2" xfId="21358"/>
    <cellStyle name="Header2 2 9 5 14 3" xfId="32526"/>
    <cellStyle name="Header2 2 9 5 14 4" xfId="43691"/>
    <cellStyle name="Header2 2 9 5 14 5" xfId="54884"/>
    <cellStyle name="Header2 2 9 5 15" xfId="10860"/>
    <cellStyle name="Header2 2 9 5 15 2" xfId="22057"/>
    <cellStyle name="Header2 2 9 5 15 3" xfId="33225"/>
    <cellStyle name="Header2 2 9 5 15 4" xfId="44390"/>
    <cellStyle name="Header2 2 9 5 15 5" xfId="55583"/>
    <cellStyle name="Header2 2 9 5 16" xfId="11507"/>
    <cellStyle name="Header2 2 9 5 17" xfId="22677"/>
    <cellStyle name="Header2 2 9 5 18" xfId="33844"/>
    <cellStyle name="Header2 2 9 5 19" xfId="45030"/>
    <cellStyle name="Header2 2 9 5 2" xfId="956"/>
    <cellStyle name="Header2 2 9 5 2 2" xfId="12153"/>
    <cellStyle name="Header2 2 9 5 2 3" xfId="23321"/>
    <cellStyle name="Header2 2 9 5 2 4" xfId="34486"/>
    <cellStyle name="Header2 2 9 5 2 5" xfId="45679"/>
    <cellStyle name="Header2 2 9 5 3" xfId="1950"/>
    <cellStyle name="Header2 2 9 5 3 2" xfId="13147"/>
    <cellStyle name="Header2 2 9 5 3 3" xfId="24315"/>
    <cellStyle name="Header2 2 9 5 3 4" xfId="35480"/>
    <cellStyle name="Header2 2 9 5 3 5" xfId="46673"/>
    <cellStyle name="Header2 2 9 5 4" xfId="2657"/>
    <cellStyle name="Header2 2 9 5 4 2" xfId="13854"/>
    <cellStyle name="Header2 2 9 5 4 3" xfId="25022"/>
    <cellStyle name="Header2 2 9 5 4 4" xfId="36187"/>
    <cellStyle name="Header2 2 9 5 4 5" xfId="47380"/>
    <cellStyle name="Header2 2 9 5 5" xfId="3291"/>
    <cellStyle name="Header2 2 9 5 5 2" xfId="14488"/>
    <cellStyle name="Header2 2 9 5 5 3" xfId="25656"/>
    <cellStyle name="Header2 2 9 5 5 4" xfId="36821"/>
    <cellStyle name="Header2 2 9 5 5 5" xfId="48014"/>
    <cellStyle name="Header2 2 9 5 6" xfId="3925"/>
    <cellStyle name="Header2 2 9 5 6 2" xfId="15122"/>
    <cellStyle name="Header2 2 9 5 6 3" xfId="26290"/>
    <cellStyle name="Header2 2 9 5 6 4" xfId="37455"/>
    <cellStyle name="Header2 2 9 5 6 5" xfId="48648"/>
    <cellStyle name="Header2 2 9 5 7" xfId="4558"/>
    <cellStyle name="Header2 2 9 5 7 2" xfId="15755"/>
    <cellStyle name="Header2 2 9 5 7 3" xfId="26923"/>
    <cellStyle name="Header2 2 9 5 7 4" xfId="38088"/>
    <cellStyle name="Header2 2 9 5 7 5" xfId="49281"/>
    <cellStyle name="Header2 2 9 5 8" xfId="5189"/>
    <cellStyle name="Header2 2 9 5 8 2" xfId="16386"/>
    <cellStyle name="Header2 2 9 5 8 3" xfId="27554"/>
    <cellStyle name="Header2 2 9 5 8 4" xfId="38719"/>
    <cellStyle name="Header2 2 9 5 8 5" xfId="49912"/>
    <cellStyle name="Header2 2 9 5 9" xfId="6243"/>
    <cellStyle name="Header2 2 9 5 9 2" xfId="17440"/>
    <cellStyle name="Header2 2 9 5 9 3" xfId="28608"/>
    <cellStyle name="Header2 2 9 5 9 4" xfId="39773"/>
    <cellStyle name="Header2 2 9 5 9 5" xfId="50966"/>
    <cellStyle name="Header2 2 9 6" xfId="357"/>
    <cellStyle name="Header2 2 9 6 10" xfId="6926"/>
    <cellStyle name="Header2 2 9 6 10 2" xfId="18123"/>
    <cellStyle name="Header2 2 9 6 10 3" xfId="29291"/>
    <cellStyle name="Header2 2 9 6 10 4" xfId="40456"/>
    <cellStyle name="Header2 2 9 6 10 5" xfId="51649"/>
    <cellStyle name="Header2 2 9 6 11" xfId="7560"/>
    <cellStyle name="Header2 2 9 6 11 2" xfId="18757"/>
    <cellStyle name="Header2 2 9 6 11 3" xfId="29925"/>
    <cellStyle name="Header2 2 9 6 11 4" xfId="41090"/>
    <cellStyle name="Header2 2 9 6 11 5" xfId="52283"/>
    <cellStyle name="Header2 2 9 6 12" xfId="8194"/>
    <cellStyle name="Header2 2 9 6 12 2" xfId="19391"/>
    <cellStyle name="Header2 2 9 6 12 3" xfId="30559"/>
    <cellStyle name="Header2 2 9 6 12 4" xfId="41724"/>
    <cellStyle name="Header2 2 9 6 12 5" xfId="52917"/>
    <cellStyle name="Header2 2 9 6 13" xfId="9245"/>
    <cellStyle name="Header2 2 9 6 13 2" xfId="20442"/>
    <cellStyle name="Header2 2 9 6 13 3" xfId="31610"/>
    <cellStyle name="Header2 2 9 6 13 4" xfId="42775"/>
    <cellStyle name="Header2 2 9 6 13 5" xfId="53968"/>
    <cellStyle name="Header2 2 9 6 14" xfId="10002"/>
    <cellStyle name="Header2 2 9 6 14 2" xfId="21199"/>
    <cellStyle name="Header2 2 9 6 14 3" xfId="32367"/>
    <cellStyle name="Header2 2 9 6 14 4" xfId="43532"/>
    <cellStyle name="Header2 2 9 6 14 5" xfId="54725"/>
    <cellStyle name="Header2 2 9 6 15" xfId="10910"/>
    <cellStyle name="Header2 2 9 6 15 2" xfId="22107"/>
    <cellStyle name="Header2 2 9 6 15 3" xfId="33275"/>
    <cellStyle name="Header2 2 9 6 15 4" xfId="44440"/>
    <cellStyle name="Header2 2 9 6 15 5" xfId="55633"/>
    <cellStyle name="Header2 2 9 6 16" xfId="11557"/>
    <cellStyle name="Header2 2 9 6 17" xfId="22727"/>
    <cellStyle name="Header2 2 9 6 18" xfId="33894"/>
    <cellStyle name="Header2 2 9 6 19" xfId="45080"/>
    <cellStyle name="Header2 2 9 6 2" xfId="1006"/>
    <cellStyle name="Header2 2 9 6 2 2" xfId="12203"/>
    <cellStyle name="Header2 2 9 6 2 3" xfId="23371"/>
    <cellStyle name="Header2 2 9 6 2 4" xfId="34536"/>
    <cellStyle name="Header2 2 9 6 2 5" xfId="45729"/>
    <cellStyle name="Header2 2 9 6 3" xfId="1521"/>
    <cellStyle name="Header2 2 9 6 3 2" xfId="12718"/>
    <cellStyle name="Header2 2 9 6 3 3" xfId="23886"/>
    <cellStyle name="Header2 2 9 6 3 4" xfId="35051"/>
    <cellStyle name="Header2 2 9 6 3 5" xfId="46244"/>
    <cellStyle name="Header2 2 9 6 4" xfId="2707"/>
    <cellStyle name="Header2 2 9 6 4 2" xfId="13904"/>
    <cellStyle name="Header2 2 9 6 4 3" xfId="25072"/>
    <cellStyle name="Header2 2 9 6 4 4" xfId="36237"/>
    <cellStyle name="Header2 2 9 6 4 5" xfId="47430"/>
    <cellStyle name="Header2 2 9 6 5" xfId="3341"/>
    <cellStyle name="Header2 2 9 6 5 2" xfId="14538"/>
    <cellStyle name="Header2 2 9 6 5 3" xfId="25706"/>
    <cellStyle name="Header2 2 9 6 5 4" xfId="36871"/>
    <cellStyle name="Header2 2 9 6 5 5" xfId="48064"/>
    <cellStyle name="Header2 2 9 6 6" xfId="3975"/>
    <cellStyle name="Header2 2 9 6 6 2" xfId="15172"/>
    <cellStyle name="Header2 2 9 6 6 3" xfId="26340"/>
    <cellStyle name="Header2 2 9 6 6 4" xfId="37505"/>
    <cellStyle name="Header2 2 9 6 6 5" xfId="48698"/>
    <cellStyle name="Header2 2 9 6 7" xfId="4608"/>
    <cellStyle name="Header2 2 9 6 7 2" xfId="15805"/>
    <cellStyle name="Header2 2 9 6 7 3" xfId="26973"/>
    <cellStyle name="Header2 2 9 6 7 4" xfId="38138"/>
    <cellStyle name="Header2 2 9 6 7 5" xfId="49331"/>
    <cellStyle name="Header2 2 9 6 8" xfId="5239"/>
    <cellStyle name="Header2 2 9 6 8 2" xfId="16436"/>
    <cellStyle name="Header2 2 9 6 8 3" xfId="27604"/>
    <cellStyle name="Header2 2 9 6 8 4" xfId="38769"/>
    <cellStyle name="Header2 2 9 6 8 5" xfId="49962"/>
    <cellStyle name="Header2 2 9 6 9" xfId="6293"/>
    <cellStyle name="Header2 2 9 6 9 2" xfId="17490"/>
    <cellStyle name="Header2 2 9 6 9 3" xfId="28658"/>
    <cellStyle name="Header2 2 9 6 9 4" xfId="39823"/>
    <cellStyle name="Header2 2 9 6 9 5" xfId="51016"/>
    <cellStyle name="Header2 2 9 7" xfId="424"/>
    <cellStyle name="Header2 2 9 7 10" xfId="6993"/>
    <cellStyle name="Header2 2 9 7 10 2" xfId="18190"/>
    <cellStyle name="Header2 2 9 7 10 3" xfId="29358"/>
    <cellStyle name="Header2 2 9 7 10 4" xfId="40523"/>
    <cellStyle name="Header2 2 9 7 10 5" xfId="51716"/>
    <cellStyle name="Header2 2 9 7 11" xfId="7627"/>
    <cellStyle name="Header2 2 9 7 11 2" xfId="18824"/>
    <cellStyle name="Header2 2 9 7 11 3" xfId="29992"/>
    <cellStyle name="Header2 2 9 7 11 4" xfId="41157"/>
    <cellStyle name="Header2 2 9 7 11 5" xfId="52350"/>
    <cellStyle name="Header2 2 9 7 12" xfId="8261"/>
    <cellStyle name="Header2 2 9 7 12 2" xfId="19458"/>
    <cellStyle name="Header2 2 9 7 12 3" xfId="30626"/>
    <cellStyle name="Header2 2 9 7 12 4" xfId="41791"/>
    <cellStyle name="Header2 2 9 7 12 5" xfId="52984"/>
    <cellStyle name="Header2 2 9 7 13" xfId="9312"/>
    <cellStyle name="Header2 2 9 7 13 2" xfId="20509"/>
    <cellStyle name="Header2 2 9 7 13 3" xfId="31677"/>
    <cellStyle name="Header2 2 9 7 13 4" xfId="42842"/>
    <cellStyle name="Header2 2 9 7 13 5" xfId="54035"/>
    <cellStyle name="Header2 2 9 7 14" xfId="10191"/>
    <cellStyle name="Header2 2 9 7 14 2" xfId="21388"/>
    <cellStyle name="Header2 2 9 7 14 3" xfId="32556"/>
    <cellStyle name="Header2 2 9 7 14 4" xfId="43721"/>
    <cellStyle name="Header2 2 9 7 14 5" xfId="54914"/>
    <cellStyle name="Header2 2 9 7 15" xfId="10977"/>
    <cellStyle name="Header2 2 9 7 15 2" xfId="22174"/>
    <cellStyle name="Header2 2 9 7 15 3" xfId="33342"/>
    <cellStyle name="Header2 2 9 7 15 4" xfId="44507"/>
    <cellStyle name="Header2 2 9 7 15 5" xfId="55700"/>
    <cellStyle name="Header2 2 9 7 16" xfId="11624"/>
    <cellStyle name="Header2 2 9 7 17" xfId="22794"/>
    <cellStyle name="Header2 2 9 7 18" xfId="33961"/>
    <cellStyle name="Header2 2 9 7 19" xfId="45147"/>
    <cellStyle name="Header2 2 9 7 2" xfId="1073"/>
    <cellStyle name="Header2 2 9 7 2 2" xfId="12270"/>
    <cellStyle name="Header2 2 9 7 2 3" xfId="23438"/>
    <cellStyle name="Header2 2 9 7 2 4" xfId="34603"/>
    <cellStyle name="Header2 2 9 7 2 5" xfId="45796"/>
    <cellStyle name="Header2 2 9 7 3" xfId="1492"/>
    <cellStyle name="Header2 2 9 7 3 2" xfId="12689"/>
    <cellStyle name="Header2 2 9 7 3 3" xfId="23857"/>
    <cellStyle name="Header2 2 9 7 3 4" xfId="35022"/>
    <cellStyle name="Header2 2 9 7 3 5" xfId="46215"/>
    <cellStyle name="Header2 2 9 7 4" xfId="2774"/>
    <cellStyle name="Header2 2 9 7 4 2" xfId="13971"/>
    <cellStyle name="Header2 2 9 7 4 3" xfId="25139"/>
    <cellStyle name="Header2 2 9 7 4 4" xfId="36304"/>
    <cellStyle name="Header2 2 9 7 4 5" xfId="47497"/>
    <cellStyle name="Header2 2 9 7 5" xfId="3408"/>
    <cellStyle name="Header2 2 9 7 5 2" xfId="14605"/>
    <cellStyle name="Header2 2 9 7 5 3" xfId="25773"/>
    <cellStyle name="Header2 2 9 7 5 4" xfId="36938"/>
    <cellStyle name="Header2 2 9 7 5 5" xfId="48131"/>
    <cellStyle name="Header2 2 9 7 6" xfId="4042"/>
    <cellStyle name="Header2 2 9 7 6 2" xfId="15239"/>
    <cellStyle name="Header2 2 9 7 6 3" xfId="26407"/>
    <cellStyle name="Header2 2 9 7 6 4" xfId="37572"/>
    <cellStyle name="Header2 2 9 7 6 5" xfId="48765"/>
    <cellStyle name="Header2 2 9 7 7" xfId="4675"/>
    <cellStyle name="Header2 2 9 7 7 2" xfId="15872"/>
    <cellStyle name="Header2 2 9 7 7 3" xfId="27040"/>
    <cellStyle name="Header2 2 9 7 7 4" xfId="38205"/>
    <cellStyle name="Header2 2 9 7 7 5" xfId="49398"/>
    <cellStyle name="Header2 2 9 7 8" xfId="5306"/>
    <cellStyle name="Header2 2 9 7 8 2" xfId="16503"/>
    <cellStyle name="Header2 2 9 7 8 3" xfId="27671"/>
    <cellStyle name="Header2 2 9 7 8 4" xfId="38836"/>
    <cellStyle name="Header2 2 9 7 8 5" xfId="50029"/>
    <cellStyle name="Header2 2 9 7 9" xfId="6360"/>
    <cellStyle name="Header2 2 9 7 9 2" xfId="17557"/>
    <cellStyle name="Header2 2 9 7 9 3" xfId="28725"/>
    <cellStyle name="Header2 2 9 7 9 4" xfId="39890"/>
    <cellStyle name="Header2 2 9 7 9 5" xfId="51083"/>
    <cellStyle name="Header2 2 9 8" xfId="486"/>
    <cellStyle name="Header2 2 9 8 10" xfId="7055"/>
    <cellStyle name="Header2 2 9 8 10 2" xfId="18252"/>
    <cellStyle name="Header2 2 9 8 10 3" xfId="29420"/>
    <cellStyle name="Header2 2 9 8 10 4" xfId="40585"/>
    <cellStyle name="Header2 2 9 8 10 5" xfId="51778"/>
    <cellStyle name="Header2 2 9 8 11" xfId="7689"/>
    <cellStyle name="Header2 2 9 8 11 2" xfId="18886"/>
    <cellStyle name="Header2 2 9 8 11 3" xfId="30054"/>
    <cellStyle name="Header2 2 9 8 11 4" xfId="41219"/>
    <cellStyle name="Header2 2 9 8 11 5" xfId="52412"/>
    <cellStyle name="Header2 2 9 8 12" xfId="8323"/>
    <cellStyle name="Header2 2 9 8 12 2" xfId="19520"/>
    <cellStyle name="Header2 2 9 8 12 3" xfId="30688"/>
    <cellStyle name="Header2 2 9 8 12 4" xfId="41853"/>
    <cellStyle name="Header2 2 9 8 12 5" xfId="53046"/>
    <cellStyle name="Header2 2 9 8 13" xfId="9374"/>
    <cellStyle name="Header2 2 9 8 13 2" xfId="20571"/>
    <cellStyle name="Header2 2 9 8 13 3" xfId="31739"/>
    <cellStyle name="Header2 2 9 8 13 4" xfId="42904"/>
    <cellStyle name="Header2 2 9 8 13 5" xfId="54097"/>
    <cellStyle name="Header2 2 9 8 14" xfId="9824"/>
    <cellStyle name="Header2 2 9 8 14 2" xfId="21021"/>
    <cellStyle name="Header2 2 9 8 14 3" xfId="32189"/>
    <cellStyle name="Header2 2 9 8 14 4" xfId="43354"/>
    <cellStyle name="Header2 2 9 8 14 5" xfId="54547"/>
    <cellStyle name="Header2 2 9 8 15" xfId="11039"/>
    <cellStyle name="Header2 2 9 8 15 2" xfId="22236"/>
    <cellStyle name="Header2 2 9 8 15 3" xfId="33404"/>
    <cellStyle name="Header2 2 9 8 15 4" xfId="44569"/>
    <cellStyle name="Header2 2 9 8 15 5" xfId="55762"/>
    <cellStyle name="Header2 2 9 8 16" xfId="11686"/>
    <cellStyle name="Header2 2 9 8 17" xfId="22856"/>
    <cellStyle name="Header2 2 9 8 18" xfId="34023"/>
    <cellStyle name="Header2 2 9 8 19" xfId="45209"/>
    <cellStyle name="Header2 2 9 8 2" xfId="1135"/>
    <cellStyle name="Header2 2 9 8 2 2" xfId="12332"/>
    <cellStyle name="Header2 2 9 8 2 3" xfId="23500"/>
    <cellStyle name="Header2 2 9 8 2 4" xfId="34665"/>
    <cellStyle name="Header2 2 9 8 2 5" xfId="45858"/>
    <cellStyle name="Header2 2 9 8 3" xfId="1937"/>
    <cellStyle name="Header2 2 9 8 3 2" xfId="13134"/>
    <cellStyle name="Header2 2 9 8 3 3" xfId="24302"/>
    <cellStyle name="Header2 2 9 8 3 4" xfId="35467"/>
    <cellStyle name="Header2 2 9 8 3 5" xfId="46660"/>
    <cellStyle name="Header2 2 9 8 4" xfId="2836"/>
    <cellStyle name="Header2 2 9 8 4 2" xfId="14033"/>
    <cellStyle name="Header2 2 9 8 4 3" xfId="25201"/>
    <cellStyle name="Header2 2 9 8 4 4" xfId="36366"/>
    <cellStyle name="Header2 2 9 8 4 5" xfId="47559"/>
    <cellStyle name="Header2 2 9 8 5" xfId="3470"/>
    <cellStyle name="Header2 2 9 8 5 2" xfId="14667"/>
    <cellStyle name="Header2 2 9 8 5 3" xfId="25835"/>
    <cellStyle name="Header2 2 9 8 5 4" xfId="37000"/>
    <cellStyle name="Header2 2 9 8 5 5" xfId="48193"/>
    <cellStyle name="Header2 2 9 8 6" xfId="4104"/>
    <cellStyle name="Header2 2 9 8 6 2" xfId="15301"/>
    <cellStyle name="Header2 2 9 8 6 3" xfId="26469"/>
    <cellStyle name="Header2 2 9 8 6 4" xfId="37634"/>
    <cellStyle name="Header2 2 9 8 6 5" xfId="48827"/>
    <cellStyle name="Header2 2 9 8 7" xfId="4737"/>
    <cellStyle name="Header2 2 9 8 7 2" xfId="15934"/>
    <cellStyle name="Header2 2 9 8 7 3" xfId="27102"/>
    <cellStyle name="Header2 2 9 8 7 4" xfId="38267"/>
    <cellStyle name="Header2 2 9 8 7 5" xfId="49460"/>
    <cellStyle name="Header2 2 9 8 8" xfId="5368"/>
    <cellStyle name="Header2 2 9 8 8 2" xfId="16565"/>
    <cellStyle name="Header2 2 9 8 8 3" xfId="27733"/>
    <cellStyle name="Header2 2 9 8 8 4" xfId="38898"/>
    <cellStyle name="Header2 2 9 8 8 5" xfId="50091"/>
    <cellStyle name="Header2 2 9 8 9" xfId="6422"/>
    <cellStyle name="Header2 2 9 8 9 2" xfId="17619"/>
    <cellStyle name="Header2 2 9 8 9 3" xfId="28787"/>
    <cellStyle name="Header2 2 9 8 9 4" xfId="39952"/>
    <cellStyle name="Header2 2 9 8 9 5" xfId="51145"/>
    <cellStyle name="Header2 2 9 9" xfId="544"/>
    <cellStyle name="Header2 2 9 9 10" xfId="7113"/>
    <cellStyle name="Header2 2 9 9 10 2" xfId="18310"/>
    <cellStyle name="Header2 2 9 9 10 3" xfId="29478"/>
    <cellStyle name="Header2 2 9 9 10 4" xfId="40643"/>
    <cellStyle name="Header2 2 9 9 10 5" xfId="51836"/>
    <cellStyle name="Header2 2 9 9 11" xfId="7747"/>
    <cellStyle name="Header2 2 9 9 11 2" xfId="18944"/>
    <cellStyle name="Header2 2 9 9 11 3" xfId="30112"/>
    <cellStyle name="Header2 2 9 9 11 4" xfId="41277"/>
    <cellStyle name="Header2 2 9 9 11 5" xfId="52470"/>
    <cellStyle name="Header2 2 9 9 12" xfId="8381"/>
    <cellStyle name="Header2 2 9 9 12 2" xfId="19578"/>
    <cellStyle name="Header2 2 9 9 12 3" xfId="30746"/>
    <cellStyle name="Header2 2 9 9 12 4" xfId="41911"/>
    <cellStyle name="Header2 2 9 9 12 5" xfId="53104"/>
    <cellStyle name="Header2 2 9 9 13" xfId="9432"/>
    <cellStyle name="Header2 2 9 9 13 2" xfId="20629"/>
    <cellStyle name="Header2 2 9 9 13 3" xfId="31797"/>
    <cellStyle name="Header2 2 9 9 13 4" xfId="42962"/>
    <cellStyle name="Header2 2 9 9 13 5" xfId="54155"/>
    <cellStyle name="Header2 2 9 9 14" xfId="9822"/>
    <cellStyle name="Header2 2 9 9 14 2" xfId="21019"/>
    <cellStyle name="Header2 2 9 9 14 3" xfId="32187"/>
    <cellStyle name="Header2 2 9 9 14 4" xfId="43352"/>
    <cellStyle name="Header2 2 9 9 14 5" xfId="54545"/>
    <cellStyle name="Header2 2 9 9 15" xfId="11097"/>
    <cellStyle name="Header2 2 9 9 15 2" xfId="22294"/>
    <cellStyle name="Header2 2 9 9 15 3" xfId="33462"/>
    <cellStyle name="Header2 2 9 9 15 4" xfId="44627"/>
    <cellStyle name="Header2 2 9 9 15 5" xfId="55820"/>
    <cellStyle name="Header2 2 9 9 16" xfId="11744"/>
    <cellStyle name="Header2 2 9 9 17" xfId="22914"/>
    <cellStyle name="Header2 2 9 9 18" xfId="34081"/>
    <cellStyle name="Header2 2 9 9 19" xfId="45267"/>
    <cellStyle name="Header2 2 9 9 2" xfId="1193"/>
    <cellStyle name="Header2 2 9 9 2 2" xfId="12390"/>
    <cellStyle name="Header2 2 9 9 2 3" xfId="23558"/>
    <cellStyle name="Header2 2 9 9 2 4" xfId="34723"/>
    <cellStyle name="Header2 2 9 9 2 5" xfId="45916"/>
    <cellStyle name="Header2 2 9 9 3" xfId="1807"/>
    <cellStyle name="Header2 2 9 9 3 2" xfId="13004"/>
    <cellStyle name="Header2 2 9 9 3 3" xfId="24172"/>
    <cellStyle name="Header2 2 9 9 3 4" xfId="35337"/>
    <cellStyle name="Header2 2 9 9 3 5" xfId="46530"/>
    <cellStyle name="Header2 2 9 9 4" xfId="2894"/>
    <cellStyle name="Header2 2 9 9 4 2" xfId="14091"/>
    <cellStyle name="Header2 2 9 9 4 3" xfId="25259"/>
    <cellStyle name="Header2 2 9 9 4 4" xfId="36424"/>
    <cellStyle name="Header2 2 9 9 4 5" xfId="47617"/>
    <cellStyle name="Header2 2 9 9 5" xfId="3528"/>
    <cellStyle name="Header2 2 9 9 5 2" xfId="14725"/>
    <cellStyle name="Header2 2 9 9 5 3" xfId="25893"/>
    <cellStyle name="Header2 2 9 9 5 4" xfId="37058"/>
    <cellStyle name="Header2 2 9 9 5 5" xfId="48251"/>
    <cellStyle name="Header2 2 9 9 6" xfId="4162"/>
    <cellStyle name="Header2 2 9 9 6 2" xfId="15359"/>
    <cellStyle name="Header2 2 9 9 6 3" xfId="26527"/>
    <cellStyle name="Header2 2 9 9 6 4" xfId="37692"/>
    <cellStyle name="Header2 2 9 9 6 5" xfId="48885"/>
    <cellStyle name="Header2 2 9 9 7" xfId="4795"/>
    <cellStyle name="Header2 2 9 9 7 2" xfId="15992"/>
    <cellStyle name="Header2 2 9 9 7 3" xfId="27160"/>
    <cellStyle name="Header2 2 9 9 7 4" xfId="38325"/>
    <cellStyle name="Header2 2 9 9 7 5" xfId="49518"/>
    <cellStyle name="Header2 2 9 9 8" xfId="5426"/>
    <cellStyle name="Header2 2 9 9 8 2" xfId="16623"/>
    <cellStyle name="Header2 2 9 9 8 3" xfId="27791"/>
    <cellStyle name="Header2 2 9 9 8 4" xfId="38956"/>
    <cellStyle name="Header2 2 9 9 8 5" xfId="50149"/>
    <cellStyle name="Header2 2 9 9 9" xfId="6480"/>
    <cellStyle name="Header2 2 9 9 9 2" xfId="17677"/>
    <cellStyle name="Header2 2 9 9 9 3" xfId="28845"/>
    <cellStyle name="Header2 2 9 9 9 4" xfId="40010"/>
    <cellStyle name="Header2 2 9 9 9 5" xfId="51203"/>
    <cellStyle name="Header2 3" xfId="71"/>
    <cellStyle name="Header2 3 10" xfId="615"/>
    <cellStyle name="Header2 3 10 10" xfId="7184"/>
    <cellStyle name="Header2 3 10 10 2" xfId="18381"/>
    <cellStyle name="Header2 3 10 10 3" xfId="29549"/>
    <cellStyle name="Header2 3 10 10 4" xfId="40714"/>
    <cellStyle name="Header2 3 10 10 5" xfId="51907"/>
    <cellStyle name="Header2 3 10 11" xfId="7818"/>
    <cellStyle name="Header2 3 10 11 2" xfId="19015"/>
    <cellStyle name="Header2 3 10 11 3" xfId="30183"/>
    <cellStyle name="Header2 3 10 11 4" xfId="41348"/>
    <cellStyle name="Header2 3 10 11 5" xfId="52541"/>
    <cellStyle name="Header2 3 10 12" xfId="8452"/>
    <cellStyle name="Header2 3 10 12 2" xfId="19649"/>
    <cellStyle name="Header2 3 10 12 3" xfId="30817"/>
    <cellStyle name="Header2 3 10 12 4" xfId="41982"/>
    <cellStyle name="Header2 3 10 12 5" xfId="53175"/>
    <cellStyle name="Header2 3 10 13" xfId="9503"/>
    <cellStyle name="Header2 3 10 13 2" xfId="20700"/>
    <cellStyle name="Header2 3 10 13 3" xfId="31868"/>
    <cellStyle name="Header2 3 10 13 4" xfId="43033"/>
    <cellStyle name="Header2 3 10 13 5" xfId="54226"/>
    <cellStyle name="Header2 3 10 14" xfId="10286"/>
    <cellStyle name="Header2 3 10 14 2" xfId="21483"/>
    <cellStyle name="Header2 3 10 14 3" xfId="32651"/>
    <cellStyle name="Header2 3 10 14 4" xfId="43816"/>
    <cellStyle name="Header2 3 10 14 5" xfId="55009"/>
    <cellStyle name="Header2 3 10 15" xfId="11168"/>
    <cellStyle name="Header2 3 10 15 2" xfId="22365"/>
    <cellStyle name="Header2 3 10 15 3" xfId="33533"/>
    <cellStyle name="Header2 3 10 15 4" xfId="44698"/>
    <cellStyle name="Header2 3 10 15 5" xfId="55891"/>
    <cellStyle name="Header2 3 10 16" xfId="11815"/>
    <cellStyle name="Header2 3 10 17" xfId="22985"/>
    <cellStyle name="Header2 3 10 18" xfId="34152"/>
    <cellStyle name="Header2 3 10 19" xfId="45338"/>
    <cellStyle name="Header2 3 10 2" xfId="1264"/>
    <cellStyle name="Header2 3 10 2 2" xfId="12461"/>
    <cellStyle name="Header2 3 10 2 3" xfId="23629"/>
    <cellStyle name="Header2 3 10 2 4" xfId="34794"/>
    <cellStyle name="Header2 3 10 2 5" xfId="45987"/>
    <cellStyle name="Header2 3 10 3" xfId="1526"/>
    <cellStyle name="Header2 3 10 3 2" xfId="12723"/>
    <cellStyle name="Header2 3 10 3 3" xfId="23891"/>
    <cellStyle name="Header2 3 10 3 4" xfId="35056"/>
    <cellStyle name="Header2 3 10 3 5" xfId="46249"/>
    <cellStyle name="Header2 3 10 4" xfId="2965"/>
    <cellStyle name="Header2 3 10 4 2" xfId="14162"/>
    <cellStyle name="Header2 3 10 4 3" xfId="25330"/>
    <cellStyle name="Header2 3 10 4 4" xfId="36495"/>
    <cellStyle name="Header2 3 10 4 5" xfId="47688"/>
    <cellStyle name="Header2 3 10 5" xfId="3599"/>
    <cellStyle name="Header2 3 10 5 2" xfId="14796"/>
    <cellStyle name="Header2 3 10 5 3" xfId="25964"/>
    <cellStyle name="Header2 3 10 5 4" xfId="37129"/>
    <cellStyle name="Header2 3 10 5 5" xfId="48322"/>
    <cellStyle name="Header2 3 10 6" xfId="4233"/>
    <cellStyle name="Header2 3 10 6 2" xfId="15430"/>
    <cellStyle name="Header2 3 10 6 3" xfId="26598"/>
    <cellStyle name="Header2 3 10 6 4" xfId="37763"/>
    <cellStyle name="Header2 3 10 6 5" xfId="48956"/>
    <cellStyle name="Header2 3 10 7" xfId="4866"/>
    <cellStyle name="Header2 3 10 7 2" xfId="16063"/>
    <cellStyle name="Header2 3 10 7 3" xfId="27231"/>
    <cellStyle name="Header2 3 10 7 4" xfId="38396"/>
    <cellStyle name="Header2 3 10 7 5" xfId="49589"/>
    <cellStyle name="Header2 3 10 8" xfId="5497"/>
    <cellStyle name="Header2 3 10 8 2" xfId="16694"/>
    <cellStyle name="Header2 3 10 8 3" xfId="27862"/>
    <cellStyle name="Header2 3 10 8 4" xfId="39027"/>
    <cellStyle name="Header2 3 10 8 5" xfId="50220"/>
    <cellStyle name="Header2 3 10 9" xfId="6551"/>
    <cellStyle name="Header2 3 10 9 2" xfId="17748"/>
    <cellStyle name="Header2 3 10 9 3" xfId="28916"/>
    <cellStyle name="Header2 3 10 9 4" xfId="40081"/>
    <cellStyle name="Header2 3 10 9 5" xfId="51274"/>
    <cellStyle name="Header2 3 11" xfId="669"/>
    <cellStyle name="Header2 3 11 10" xfId="7238"/>
    <cellStyle name="Header2 3 11 10 2" xfId="18435"/>
    <cellStyle name="Header2 3 11 10 3" xfId="29603"/>
    <cellStyle name="Header2 3 11 10 4" xfId="40768"/>
    <cellStyle name="Header2 3 11 10 5" xfId="51961"/>
    <cellStyle name="Header2 3 11 11" xfId="7872"/>
    <cellStyle name="Header2 3 11 11 2" xfId="19069"/>
    <cellStyle name="Header2 3 11 11 3" xfId="30237"/>
    <cellStyle name="Header2 3 11 11 4" xfId="41402"/>
    <cellStyle name="Header2 3 11 11 5" xfId="52595"/>
    <cellStyle name="Header2 3 11 12" xfId="8506"/>
    <cellStyle name="Header2 3 11 12 2" xfId="19703"/>
    <cellStyle name="Header2 3 11 12 3" xfId="30871"/>
    <cellStyle name="Header2 3 11 12 4" xfId="42036"/>
    <cellStyle name="Header2 3 11 12 5" xfId="53229"/>
    <cellStyle name="Header2 3 11 13" xfId="9557"/>
    <cellStyle name="Header2 3 11 13 2" xfId="20754"/>
    <cellStyle name="Header2 3 11 13 3" xfId="31922"/>
    <cellStyle name="Header2 3 11 13 4" xfId="43087"/>
    <cellStyle name="Header2 3 11 13 5" xfId="54280"/>
    <cellStyle name="Header2 3 11 14" xfId="9576"/>
    <cellStyle name="Header2 3 11 14 2" xfId="20773"/>
    <cellStyle name="Header2 3 11 14 3" xfId="31941"/>
    <cellStyle name="Header2 3 11 14 4" xfId="43106"/>
    <cellStyle name="Header2 3 11 14 5" xfId="54299"/>
    <cellStyle name="Header2 3 11 15" xfId="11222"/>
    <cellStyle name="Header2 3 11 15 2" xfId="22419"/>
    <cellStyle name="Header2 3 11 15 3" xfId="33587"/>
    <cellStyle name="Header2 3 11 15 4" xfId="44752"/>
    <cellStyle name="Header2 3 11 15 5" xfId="55945"/>
    <cellStyle name="Header2 3 11 16" xfId="11869"/>
    <cellStyle name="Header2 3 11 17" xfId="23039"/>
    <cellStyle name="Header2 3 11 18" xfId="34206"/>
    <cellStyle name="Header2 3 11 19" xfId="45392"/>
    <cellStyle name="Header2 3 11 2" xfId="1318"/>
    <cellStyle name="Header2 3 11 2 2" xfId="12515"/>
    <cellStyle name="Header2 3 11 2 3" xfId="23683"/>
    <cellStyle name="Header2 3 11 2 4" xfId="34848"/>
    <cellStyle name="Header2 3 11 2 5" xfId="46041"/>
    <cellStyle name="Header2 3 11 3" xfId="679"/>
    <cellStyle name="Header2 3 11 3 2" xfId="11879"/>
    <cellStyle name="Header2 3 11 3 3" xfId="23049"/>
    <cellStyle name="Header2 3 11 3 4" xfId="34216"/>
    <cellStyle name="Header2 3 11 3 5" xfId="45402"/>
    <cellStyle name="Header2 3 11 4" xfId="3019"/>
    <cellStyle name="Header2 3 11 4 2" xfId="14216"/>
    <cellStyle name="Header2 3 11 4 3" xfId="25384"/>
    <cellStyle name="Header2 3 11 4 4" xfId="36549"/>
    <cellStyle name="Header2 3 11 4 5" xfId="47742"/>
    <cellStyle name="Header2 3 11 5" xfId="3653"/>
    <cellStyle name="Header2 3 11 5 2" xfId="14850"/>
    <cellStyle name="Header2 3 11 5 3" xfId="26018"/>
    <cellStyle name="Header2 3 11 5 4" xfId="37183"/>
    <cellStyle name="Header2 3 11 5 5" xfId="48376"/>
    <cellStyle name="Header2 3 11 6" xfId="4287"/>
    <cellStyle name="Header2 3 11 6 2" xfId="15484"/>
    <cellStyle name="Header2 3 11 6 3" xfId="26652"/>
    <cellStyle name="Header2 3 11 6 4" xfId="37817"/>
    <cellStyle name="Header2 3 11 6 5" xfId="49010"/>
    <cellStyle name="Header2 3 11 7" xfId="4920"/>
    <cellStyle name="Header2 3 11 7 2" xfId="16117"/>
    <cellStyle name="Header2 3 11 7 3" xfId="27285"/>
    <cellStyle name="Header2 3 11 7 4" xfId="38450"/>
    <cellStyle name="Header2 3 11 7 5" xfId="49643"/>
    <cellStyle name="Header2 3 11 8" xfId="5551"/>
    <cellStyle name="Header2 3 11 8 2" xfId="16748"/>
    <cellStyle name="Header2 3 11 8 3" xfId="27916"/>
    <cellStyle name="Header2 3 11 8 4" xfId="39081"/>
    <cellStyle name="Header2 3 11 8 5" xfId="50274"/>
    <cellStyle name="Header2 3 11 9" xfId="6605"/>
    <cellStyle name="Header2 3 11 9 2" xfId="17802"/>
    <cellStyle name="Header2 3 11 9 3" xfId="28970"/>
    <cellStyle name="Header2 3 11 9 4" xfId="40135"/>
    <cellStyle name="Header2 3 11 9 5" xfId="51328"/>
    <cellStyle name="Header2 3 12" xfId="720"/>
    <cellStyle name="Header2 3 12 2" xfId="11918"/>
    <cellStyle name="Header2 3 12 3" xfId="23087"/>
    <cellStyle name="Header2 3 12 4" xfId="34252"/>
    <cellStyle name="Header2 3 12 5" xfId="45443"/>
    <cellStyle name="Header2 3 13" xfId="1474"/>
    <cellStyle name="Header2 3 13 2" xfId="12671"/>
    <cellStyle name="Header2 3 13 3" xfId="23839"/>
    <cellStyle name="Header2 3 13 4" xfId="35004"/>
    <cellStyle name="Header2 3 13 5" xfId="46197"/>
    <cellStyle name="Header2 3 14" xfId="2064"/>
    <cellStyle name="Header2 3 14 2" xfId="13261"/>
    <cellStyle name="Header2 3 14 3" xfId="24429"/>
    <cellStyle name="Header2 3 14 4" xfId="35594"/>
    <cellStyle name="Header2 3 14 5" xfId="46787"/>
    <cellStyle name="Header2 3 15" xfId="3055"/>
    <cellStyle name="Header2 3 15 2" xfId="14252"/>
    <cellStyle name="Header2 3 15 3" xfId="25420"/>
    <cellStyle name="Header2 3 15 4" xfId="36585"/>
    <cellStyle name="Header2 3 15 5" xfId="47778"/>
    <cellStyle name="Header2 3 16" xfId="3690"/>
    <cellStyle name="Header2 3 16 2" xfId="14887"/>
    <cellStyle name="Header2 3 16 3" xfId="26055"/>
    <cellStyle name="Header2 3 16 4" xfId="37220"/>
    <cellStyle name="Header2 3 16 5" xfId="48413"/>
    <cellStyle name="Header2 3 17" xfId="4322"/>
    <cellStyle name="Header2 3 17 2" xfId="15519"/>
    <cellStyle name="Header2 3 17 3" xfId="26687"/>
    <cellStyle name="Header2 3 17 4" xfId="37852"/>
    <cellStyle name="Header2 3 17 5" xfId="49045"/>
    <cellStyle name="Header2 3 18" xfId="4955"/>
    <cellStyle name="Header2 3 18 2" xfId="16152"/>
    <cellStyle name="Header2 3 18 3" xfId="27320"/>
    <cellStyle name="Header2 3 18 4" xfId="38485"/>
    <cellStyle name="Header2 3 18 5" xfId="49678"/>
    <cellStyle name="Header2 3 19" xfId="5947"/>
    <cellStyle name="Header2 3 19 2" xfId="17144"/>
    <cellStyle name="Header2 3 19 3" xfId="28312"/>
    <cellStyle name="Header2 3 19 4" xfId="39477"/>
    <cellStyle name="Header2 3 19 5" xfId="50670"/>
    <cellStyle name="Header2 3 2" xfId="136"/>
    <cellStyle name="Header2 3 2 10" xfId="6705"/>
    <cellStyle name="Header2 3 2 10 2" xfId="17902"/>
    <cellStyle name="Header2 3 2 10 3" xfId="29070"/>
    <cellStyle name="Header2 3 2 10 4" xfId="40235"/>
    <cellStyle name="Header2 3 2 10 5" xfId="51428"/>
    <cellStyle name="Header2 3 2 11" xfId="7339"/>
    <cellStyle name="Header2 3 2 11 2" xfId="18536"/>
    <cellStyle name="Header2 3 2 11 3" xfId="29704"/>
    <cellStyle name="Header2 3 2 11 4" xfId="40869"/>
    <cellStyle name="Header2 3 2 11 5" xfId="52062"/>
    <cellStyle name="Header2 3 2 12" xfId="7973"/>
    <cellStyle name="Header2 3 2 12 2" xfId="19170"/>
    <cellStyle name="Header2 3 2 12 3" xfId="30338"/>
    <cellStyle name="Header2 3 2 12 4" xfId="41503"/>
    <cellStyle name="Header2 3 2 12 5" xfId="52696"/>
    <cellStyle name="Header2 3 2 13" xfId="8897"/>
    <cellStyle name="Header2 3 2 13 2" xfId="20094"/>
    <cellStyle name="Header2 3 2 13 3" xfId="31262"/>
    <cellStyle name="Header2 3 2 13 4" xfId="42427"/>
    <cellStyle name="Header2 3 2 13 5" xfId="53620"/>
    <cellStyle name="Header2 3 2 14" xfId="9787"/>
    <cellStyle name="Header2 3 2 14 2" xfId="20984"/>
    <cellStyle name="Header2 3 2 14 3" xfId="32152"/>
    <cellStyle name="Header2 3 2 14 4" xfId="43317"/>
    <cellStyle name="Header2 3 2 14 5" xfId="54510"/>
    <cellStyle name="Header2 3 2 15" xfId="10689"/>
    <cellStyle name="Header2 3 2 15 2" xfId="21886"/>
    <cellStyle name="Header2 3 2 15 3" xfId="33054"/>
    <cellStyle name="Header2 3 2 15 4" xfId="44219"/>
    <cellStyle name="Header2 3 2 15 5" xfId="55412"/>
    <cellStyle name="Header2 3 2 16" xfId="11336"/>
    <cellStyle name="Header2 3 2 17" xfId="22506"/>
    <cellStyle name="Header2 3 2 18" xfId="33673"/>
    <cellStyle name="Header2 3 2 19" xfId="44859"/>
    <cellStyle name="Header2 3 2 2" xfId="785"/>
    <cellStyle name="Header2 3 2 2 2" xfId="11982"/>
    <cellStyle name="Header2 3 2 2 3" xfId="23150"/>
    <cellStyle name="Header2 3 2 2 4" xfId="34315"/>
    <cellStyle name="Header2 3 2 2 5" xfId="45508"/>
    <cellStyle name="Header2 3 2 3" xfId="1512"/>
    <cellStyle name="Header2 3 2 3 2" xfId="12709"/>
    <cellStyle name="Header2 3 2 3 3" xfId="23877"/>
    <cellStyle name="Header2 3 2 3 4" xfId="35042"/>
    <cellStyle name="Header2 3 2 3 5" xfId="46235"/>
    <cellStyle name="Header2 3 2 4" xfId="2274"/>
    <cellStyle name="Header2 3 2 4 2" xfId="13471"/>
    <cellStyle name="Header2 3 2 4 3" xfId="24639"/>
    <cellStyle name="Header2 3 2 4 4" xfId="35804"/>
    <cellStyle name="Header2 3 2 4 5" xfId="46997"/>
    <cellStyle name="Header2 3 2 5" xfId="3120"/>
    <cellStyle name="Header2 3 2 5 2" xfId="14317"/>
    <cellStyle name="Header2 3 2 5 3" xfId="25485"/>
    <cellStyle name="Header2 3 2 5 4" xfId="36650"/>
    <cellStyle name="Header2 3 2 5 5" xfId="47843"/>
    <cellStyle name="Header2 3 2 6" xfId="3754"/>
    <cellStyle name="Header2 3 2 6 2" xfId="14951"/>
    <cellStyle name="Header2 3 2 6 3" xfId="26119"/>
    <cellStyle name="Header2 3 2 6 4" xfId="37284"/>
    <cellStyle name="Header2 3 2 6 5" xfId="48477"/>
    <cellStyle name="Header2 3 2 7" xfId="4387"/>
    <cellStyle name="Header2 3 2 7 2" xfId="15584"/>
    <cellStyle name="Header2 3 2 7 3" xfId="26752"/>
    <cellStyle name="Header2 3 2 7 4" xfId="37917"/>
    <cellStyle name="Header2 3 2 7 5" xfId="49110"/>
    <cellStyle name="Header2 3 2 8" xfId="5018"/>
    <cellStyle name="Header2 3 2 8 2" xfId="16215"/>
    <cellStyle name="Header2 3 2 8 3" xfId="27383"/>
    <cellStyle name="Header2 3 2 8 4" xfId="38548"/>
    <cellStyle name="Header2 3 2 8 5" xfId="49741"/>
    <cellStyle name="Header2 3 2 9" xfId="5760"/>
    <cellStyle name="Header2 3 2 9 2" xfId="16957"/>
    <cellStyle name="Header2 3 2 9 3" xfId="28125"/>
    <cellStyle name="Header2 3 2 9 4" xfId="39290"/>
    <cellStyle name="Header2 3 2 9 5" xfId="50483"/>
    <cellStyle name="Header2 3 20" xfId="6642"/>
    <cellStyle name="Header2 3 20 2" xfId="17839"/>
    <cellStyle name="Header2 3 20 3" xfId="29007"/>
    <cellStyle name="Header2 3 20 4" xfId="40172"/>
    <cellStyle name="Header2 3 20 5" xfId="51365"/>
    <cellStyle name="Header2 3 21" xfId="7274"/>
    <cellStyle name="Header2 3 21 2" xfId="18471"/>
    <cellStyle name="Header2 3 21 3" xfId="29639"/>
    <cellStyle name="Header2 3 21 4" xfId="40804"/>
    <cellStyle name="Header2 3 21 5" xfId="51997"/>
    <cellStyle name="Header2 3 22" xfId="7908"/>
    <cellStyle name="Header2 3 22 2" xfId="19105"/>
    <cellStyle name="Header2 3 22 3" xfId="30273"/>
    <cellStyle name="Header2 3 22 4" xfId="41438"/>
    <cellStyle name="Header2 3 22 5" xfId="52631"/>
    <cellStyle name="Header2 3 23" xfId="8786"/>
    <cellStyle name="Header2 3 23 2" xfId="19983"/>
    <cellStyle name="Header2 3 23 3" xfId="31151"/>
    <cellStyle name="Header2 3 23 4" xfId="42316"/>
    <cellStyle name="Header2 3 23 5" xfId="53509"/>
    <cellStyle name="Header2 3 24" xfId="10192"/>
    <cellStyle name="Header2 3 24 2" xfId="21389"/>
    <cellStyle name="Header2 3 24 3" xfId="32557"/>
    <cellStyle name="Header2 3 24 4" xfId="43722"/>
    <cellStyle name="Header2 3 24 5" xfId="54915"/>
    <cellStyle name="Header2 3 25" xfId="10626"/>
    <cellStyle name="Header2 3 25 2" xfId="21823"/>
    <cellStyle name="Header2 3 25 3" xfId="32991"/>
    <cellStyle name="Header2 3 25 4" xfId="44156"/>
    <cellStyle name="Header2 3 25 5" xfId="55349"/>
    <cellStyle name="Header2 3 26" xfId="11272"/>
    <cellStyle name="Header2 3 27" xfId="22443"/>
    <cellStyle name="Header2 3 28" xfId="33610"/>
    <cellStyle name="Header2 3 29" xfId="44794"/>
    <cellStyle name="Header2 3 3" xfId="192"/>
    <cellStyle name="Header2 3 3 10" xfId="6761"/>
    <cellStyle name="Header2 3 3 10 2" xfId="17958"/>
    <cellStyle name="Header2 3 3 10 3" xfId="29126"/>
    <cellStyle name="Header2 3 3 10 4" xfId="40291"/>
    <cellStyle name="Header2 3 3 10 5" xfId="51484"/>
    <cellStyle name="Header2 3 3 11" xfId="7395"/>
    <cellStyle name="Header2 3 3 11 2" xfId="18592"/>
    <cellStyle name="Header2 3 3 11 3" xfId="29760"/>
    <cellStyle name="Header2 3 3 11 4" xfId="40925"/>
    <cellStyle name="Header2 3 3 11 5" xfId="52118"/>
    <cellStyle name="Header2 3 3 12" xfId="8029"/>
    <cellStyle name="Header2 3 3 12 2" xfId="19226"/>
    <cellStyle name="Header2 3 3 12 3" xfId="30394"/>
    <cellStyle name="Header2 3 3 12 4" xfId="41559"/>
    <cellStyle name="Header2 3 3 12 5" xfId="52752"/>
    <cellStyle name="Header2 3 3 13" xfId="8819"/>
    <cellStyle name="Header2 3 3 13 2" xfId="20016"/>
    <cellStyle name="Header2 3 3 13 3" xfId="31184"/>
    <cellStyle name="Header2 3 3 13 4" xfId="42349"/>
    <cellStyle name="Header2 3 3 13 5" xfId="53542"/>
    <cellStyle name="Header2 3 3 14" xfId="10133"/>
    <cellStyle name="Header2 3 3 14 2" xfId="21330"/>
    <cellStyle name="Header2 3 3 14 3" xfId="32498"/>
    <cellStyle name="Header2 3 3 14 4" xfId="43663"/>
    <cellStyle name="Header2 3 3 14 5" xfId="54856"/>
    <cellStyle name="Header2 3 3 15" xfId="10745"/>
    <cellStyle name="Header2 3 3 15 2" xfId="21942"/>
    <cellStyle name="Header2 3 3 15 3" xfId="33110"/>
    <cellStyle name="Header2 3 3 15 4" xfId="44275"/>
    <cellStyle name="Header2 3 3 15 5" xfId="55468"/>
    <cellStyle name="Header2 3 3 16" xfId="11392"/>
    <cellStyle name="Header2 3 3 17" xfId="22562"/>
    <cellStyle name="Header2 3 3 18" xfId="33729"/>
    <cellStyle name="Header2 3 3 19" xfId="44915"/>
    <cellStyle name="Header2 3 3 2" xfId="841"/>
    <cellStyle name="Header2 3 3 2 2" xfId="12038"/>
    <cellStyle name="Header2 3 3 2 3" xfId="23206"/>
    <cellStyle name="Header2 3 3 2 4" xfId="34371"/>
    <cellStyle name="Header2 3 3 2 5" xfId="45564"/>
    <cellStyle name="Header2 3 3 3" xfId="1441"/>
    <cellStyle name="Header2 3 3 3 2" xfId="12638"/>
    <cellStyle name="Header2 3 3 3 3" xfId="23806"/>
    <cellStyle name="Header2 3 3 3 4" xfId="34971"/>
    <cellStyle name="Header2 3 3 3 5" xfId="46164"/>
    <cellStyle name="Header2 3 3 4" xfId="2141"/>
    <cellStyle name="Header2 3 3 4 2" xfId="13338"/>
    <cellStyle name="Header2 3 3 4 3" xfId="24506"/>
    <cellStyle name="Header2 3 3 4 4" xfId="35671"/>
    <cellStyle name="Header2 3 3 4 5" xfId="46864"/>
    <cellStyle name="Header2 3 3 5" xfId="3176"/>
    <cellStyle name="Header2 3 3 5 2" xfId="14373"/>
    <cellStyle name="Header2 3 3 5 3" xfId="25541"/>
    <cellStyle name="Header2 3 3 5 4" xfId="36706"/>
    <cellStyle name="Header2 3 3 5 5" xfId="47899"/>
    <cellStyle name="Header2 3 3 6" xfId="3810"/>
    <cellStyle name="Header2 3 3 6 2" xfId="15007"/>
    <cellStyle name="Header2 3 3 6 3" xfId="26175"/>
    <cellStyle name="Header2 3 3 6 4" xfId="37340"/>
    <cellStyle name="Header2 3 3 6 5" xfId="48533"/>
    <cellStyle name="Header2 3 3 7" xfId="4443"/>
    <cellStyle name="Header2 3 3 7 2" xfId="15640"/>
    <cellStyle name="Header2 3 3 7 3" xfId="26808"/>
    <cellStyle name="Header2 3 3 7 4" xfId="37973"/>
    <cellStyle name="Header2 3 3 7 5" xfId="49166"/>
    <cellStyle name="Header2 3 3 8" xfId="5074"/>
    <cellStyle name="Header2 3 3 8 2" xfId="16271"/>
    <cellStyle name="Header2 3 3 8 3" xfId="27439"/>
    <cellStyle name="Header2 3 3 8 4" xfId="38604"/>
    <cellStyle name="Header2 3 3 8 5" xfId="49797"/>
    <cellStyle name="Header2 3 3 9" xfId="5739"/>
    <cellStyle name="Header2 3 3 9 2" xfId="16936"/>
    <cellStyle name="Header2 3 3 9 3" xfId="28104"/>
    <cellStyle name="Header2 3 3 9 4" xfId="39269"/>
    <cellStyle name="Header2 3 3 9 5" xfId="50462"/>
    <cellStyle name="Header2 3 4" xfId="40"/>
    <cellStyle name="Header2 3 4 10" xfId="6611"/>
    <cellStyle name="Header2 3 4 10 2" xfId="17808"/>
    <cellStyle name="Header2 3 4 10 3" xfId="28976"/>
    <cellStyle name="Header2 3 4 10 4" xfId="40141"/>
    <cellStyle name="Header2 3 4 10 5" xfId="51334"/>
    <cellStyle name="Header2 3 4 11" xfId="7244"/>
    <cellStyle name="Header2 3 4 11 2" xfId="18441"/>
    <cellStyle name="Header2 3 4 11 3" xfId="29609"/>
    <cellStyle name="Header2 3 4 11 4" xfId="40774"/>
    <cellStyle name="Header2 3 4 11 5" xfId="51967"/>
    <cellStyle name="Header2 3 4 12" xfId="7877"/>
    <cellStyle name="Header2 3 4 12 2" xfId="19074"/>
    <cellStyle name="Header2 3 4 12 3" xfId="30242"/>
    <cellStyle name="Header2 3 4 12 4" xfId="41407"/>
    <cellStyle name="Header2 3 4 12 5" xfId="52600"/>
    <cellStyle name="Header2 3 4 13" xfId="8678"/>
    <cellStyle name="Header2 3 4 13 2" xfId="19875"/>
    <cellStyle name="Header2 3 4 13 3" xfId="31043"/>
    <cellStyle name="Header2 3 4 13 4" xfId="42208"/>
    <cellStyle name="Header2 3 4 13 5" xfId="53401"/>
    <cellStyle name="Header2 3 4 14" xfId="9888"/>
    <cellStyle name="Header2 3 4 14 2" xfId="21085"/>
    <cellStyle name="Header2 3 4 14 3" xfId="32253"/>
    <cellStyle name="Header2 3 4 14 4" xfId="43418"/>
    <cellStyle name="Header2 3 4 14 5" xfId="54611"/>
    <cellStyle name="Header2 3 4 15" xfId="10603"/>
    <cellStyle name="Header2 3 4 15 2" xfId="21800"/>
    <cellStyle name="Header2 3 4 15 3" xfId="32968"/>
    <cellStyle name="Header2 3 4 15 4" xfId="44133"/>
    <cellStyle name="Header2 3 4 15 5" xfId="55326"/>
    <cellStyle name="Header2 3 4 16" xfId="11242"/>
    <cellStyle name="Header2 3 4 17" xfId="19"/>
    <cellStyle name="Header2 3 4 18" xfId="11255"/>
    <cellStyle name="Header2 3 4 19" xfId="44769"/>
    <cellStyle name="Header2 3 4 2" xfId="695"/>
    <cellStyle name="Header2 3 4 2 2" xfId="11893"/>
    <cellStyle name="Header2 3 4 2 3" xfId="23062"/>
    <cellStyle name="Header2 3 4 2 4" xfId="34229"/>
    <cellStyle name="Header2 3 4 2 5" xfId="45418"/>
    <cellStyle name="Header2 3 4 3" xfId="1939"/>
    <cellStyle name="Header2 3 4 3 2" xfId="13136"/>
    <cellStyle name="Header2 3 4 3 3" xfId="24304"/>
    <cellStyle name="Header2 3 4 3 4" xfId="35469"/>
    <cellStyle name="Header2 3 4 3 5" xfId="46662"/>
    <cellStyle name="Header2 3 4 4" xfId="2548"/>
    <cellStyle name="Header2 3 4 4 2" xfId="13745"/>
    <cellStyle name="Header2 3 4 4 3" xfId="24913"/>
    <cellStyle name="Header2 3 4 4 4" xfId="36078"/>
    <cellStyle name="Header2 3 4 4 5" xfId="47271"/>
    <cellStyle name="Header2 3 4 5" xfId="3025"/>
    <cellStyle name="Header2 3 4 5 2" xfId="14222"/>
    <cellStyle name="Header2 3 4 5 3" xfId="25390"/>
    <cellStyle name="Header2 3 4 5 4" xfId="36555"/>
    <cellStyle name="Header2 3 4 5 5" xfId="47748"/>
    <cellStyle name="Header2 3 4 6" xfId="3659"/>
    <cellStyle name="Header2 3 4 6 2" xfId="14856"/>
    <cellStyle name="Header2 3 4 6 3" xfId="26024"/>
    <cellStyle name="Header2 3 4 6 4" xfId="37189"/>
    <cellStyle name="Header2 3 4 6 5" xfId="48382"/>
    <cellStyle name="Header2 3 4 7" xfId="4291"/>
    <cellStyle name="Header2 3 4 7 2" xfId="15488"/>
    <cellStyle name="Header2 3 4 7 3" xfId="26656"/>
    <cellStyle name="Header2 3 4 7 4" xfId="37821"/>
    <cellStyle name="Header2 3 4 7 5" xfId="49014"/>
    <cellStyle name="Header2 3 4 8" xfId="4924"/>
    <cellStyle name="Header2 3 4 8 2" xfId="16121"/>
    <cellStyle name="Header2 3 4 8 3" xfId="27289"/>
    <cellStyle name="Header2 3 4 8 4" xfId="38454"/>
    <cellStyle name="Header2 3 4 8 5" xfId="49647"/>
    <cellStyle name="Header2 3 4 9" xfId="5817"/>
    <cellStyle name="Header2 3 4 9 2" xfId="17014"/>
    <cellStyle name="Header2 3 4 9 3" xfId="28182"/>
    <cellStyle name="Header2 3 4 9 4" xfId="39347"/>
    <cellStyle name="Header2 3 4 9 5" xfId="50540"/>
    <cellStyle name="Header2 3 5" xfId="253"/>
    <cellStyle name="Header2 3 5 10" xfId="6822"/>
    <cellStyle name="Header2 3 5 10 2" xfId="18019"/>
    <cellStyle name="Header2 3 5 10 3" xfId="29187"/>
    <cellStyle name="Header2 3 5 10 4" xfId="40352"/>
    <cellStyle name="Header2 3 5 10 5" xfId="51545"/>
    <cellStyle name="Header2 3 5 11" xfId="7456"/>
    <cellStyle name="Header2 3 5 11 2" xfId="18653"/>
    <cellStyle name="Header2 3 5 11 3" xfId="29821"/>
    <cellStyle name="Header2 3 5 11 4" xfId="40986"/>
    <cellStyle name="Header2 3 5 11 5" xfId="52179"/>
    <cellStyle name="Header2 3 5 12" xfId="8090"/>
    <cellStyle name="Header2 3 5 12 2" xfId="19287"/>
    <cellStyle name="Header2 3 5 12 3" xfId="30455"/>
    <cellStyle name="Header2 3 5 12 4" xfId="41620"/>
    <cellStyle name="Header2 3 5 12 5" xfId="52813"/>
    <cellStyle name="Header2 3 5 13" xfId="9141"/>
    <cellStyle name="Header2 3 5 13 2" xfId="20338"/>
    <cellStyle name="Header2 3 5 13 3" xfId="31506"/>
    <cellStyle name="Header2 3 5 13 4" xfId="42671"/>
    <cellStyle name="Header2 3 5 13 5" xfId="53864"/>
    <cellStyle name="Header2 3 5 14" xfId="10464"/>
    <cellStyle name="Header2 3 5 14 2" xfId="21661"/>
    <cellStyle name="Header2 3 5 14 3" xfId="32829"/>
    <cellStyle name="Header2 3 5 14 4" xfId="43994"/>
    <cellStyle name="Header2 3 5 14 5" xfId="55187"/>
    <cellStyle name="Header2 3 5 15" xfId="10806"/>
    <cellStyle name="Header2 3 5 15 2" xfId="22003"/>
    <cellStyle name="Header2 3 5 15 3" xfId="33171"/>
    <cellStyle name="Header2 3 5 15 4" xfId="44336"/>
    <cellStyle name="Header2 3 5 15 5" xfId="55529"/>
    <cellStyle name="Header2 3 5 16" xfId="11453"/>
    <cellStyle name="Header2 3 5 17" xfId="22623"/>
    <cellStyle name="Header2 3 5 18" xfId="33790"/>
    <cellStyle name="Header2 3 5 19" xfId="44976"/>
    <cellStyle name="Header2 3 5 2" xfId="902"/>
    <cellStyle name="Header2 3 5 2 2" xfId="12099"/>
    <cellStyle name="Header2 3 5 2 3" xfId="23267"/>
    <cellStyle name="Header2 3 5 2 4" xfId="34432"/>
    <cellStyle name="Header2 3 5 2 5" xfId="45625"/>
    <cellStyle name="Header2 3 5 3" xfId="1760"/>
    <cellStyle name="Header2 3 5 3 2" xfId="12957"/>
    <cellStyle name="Header2 3 5 3 3" xfId="24125"/>
    <cellStyle name="Header2 3 5 3 4" xfId="35290"/>
    <cellStyle name="Header2 3 5 3 5" xfId="46483"/>
    <cellStyle name="Header2 3 5 4" xfId="2603"/>
    <cellStyle name="Header2 3 5 4 2" xfId="13800"/>
    <cellStyle name="Header2 3 5 4 3" xfId="24968"/>
    <cellStyle name="Header2 3 5 4 4" xfId="36133"/>
    <cellStyle name="Header2 3 5 4 5" xfId="47326"/>
    <cellStyle name="Header2 3 5 5" xfId="3237"/>
    <cellStyle name="Header2 3 5 5 2" xfId="14434"/>
    <cellStyle name="Header2 3 5 5 3" xfId="25602"/>
    <cellStyle name="Header2 3 5 5 4" xfId="36767"/>
    <cellStyle name="Header2 3 5 5 5" xfId="47960"/>
    <cellStyle name="Header2 3 5 6" xfId="3871"/>
    <cellStyle name="Header2 3 5 6 2" xfId="15068"/>
    <cellStyle name="Header2 3 5 6 3" xfId="26236"/>
    <cellStyle name="Header2 3 5 6 4" xfId="37401"/>
    <cellStyle name="Header2 3 5 6 5" xfId="48594"/>
    <cellStyle name="Header2 3 5 7" xfId="4504"/>
    <cellStyle name="Header2 3 5 7 2" xfId="15701"/>
    <cellStyle name="Header2 3 5 7 3" xfId="26869"/>
    <cellStyle name="Header2 3 5 7 4" xfId="38034"/>
    <cellStyle name="Header2 3 5 7 5" xfId="49227"/>
    <cellStyle name="Header2 3 5 8" xfId="5135"/>
    <cellStyle name="Header2 3 5 8 2" xfId="16332"/>
    <cellStyle name="Header2 3 5 8 3" xfId="27500"/>
    <cellStyle name="Header2 3 5 8 4" xfId="38665"/>
    <cellStyle name="Header2 3 5 8 5" xfId="49858"/>
    <cellStyle name="Header2 3 5 9" xfId="6189"/>
    <cellStyle name="Header2 3 5 9 2" xfId="17386"/>
    <cellStyle name="Header2 3 5 9 3" xfId="28554"/>
    <cellStyle name="Header2 3 5 9 4" xfId="39719"/>
    <cellStyle name="Header2 3 5 9 5" xfId="50912"/>
    <cellStyle name="Header2 3 6" xfId="350"/>
    <cellStyle name="Header2 3 6 10" xfId="6919"/>
    <cellStyle name="Header2 3 6 10 2" xfId="18116"/>
    <cellStyle name="Header2 3 6 10 3" xfId="29284"/>
    <cellStyle name="Header2 3 6 10 4" xfId="40449"/>
    <cellStyle name="Header2 3 6 10 5" xfId="51642"/>
    <cellStyle name="Header2 3 6 11" xfId="7553"/>
    <cellStyle name="Header2 3 6 11 2" xfId="18750"/>
    <cellStyle name="Header2 3 6 11 3" xfId="29918"/>
    <cellStyle name="Header2 3 6 11 4" xfId="41083"/>
    <cellStyle name="Header2 3 6 11 5" xfId="52276"/>
    <cellStyle name="Header2 3 6 12" xfId="8187"/>
    <cellStyle name="Header2 3 6 12 2" xfId="19384"/>
    <cellStyle name="Header2 3 6 12 3" xfId="30552"/>
    <cellStyle name="Header2 3 6 12 4" xfId="41717"/>
    <cellStyle name="Header2 3 6 12 5" xfId="52910"/>
    <cellStyle name="Header2 3 6 13" xfId="9238"/>
    <cellStyle name="Header2 3 6 13 2" xfId="20435"/>
    <cellStyle name="Header2 3 6 13 3" xfId="31603"/>
    <cellStyle name="Header2 3 6 13 4" xfId="42768"/>
    <cellStyle name="Header2 3 6 13 5" xfId="53961"/>
    <cellStyle name="Header2 3 6 14" xfId="10535"/>
    <cellStyle name="Header2 3 6 14 2" xfId="21732"/>
    <cellStyle name="Header2 3 6 14 3" xfId="32900"/>
    <cellStyle name="Header2 3 6 14 4" xfId="44065"/>
    <cellStyle name="Header2 3 6 14 5" xfId="55258"/>
    <cellStyle name="Header2 3 6 15" xfId="10903"/>
    <cellStyle name="Header2 3 6 15 2" xfId="22100"/>
    <cellStyle name="Header2 3 6 15 3" xfId="33268"/>
    <cellStyle name="Header2 3 6 15 4" xfId="44433"/>
    <cellStyle name="Header2 3 6 15 5" xfId="55626"/>
    <cellStyle name="Header2 3 6 16" xfId="11550"/>
    <cellStyle name="Header2 3 6 17" xfId="22720"/>
    <cellStyle name="Header2 3 6 18" xfId="33887"/>
    <cellStyle name="Header2 3 6 19" xfId="45073"/>
    <cellStyle name="Header2 3 6 2" xfId="999"/>
    <cellStyle name="Header2 3 6 2 2" xfId="12196"/>
    <cellStyle name="Header2 3 6 2 3" xfId="23364"/>
    <cellStyle name="Header2 3 6 2 4" xfId="34529"/>
    <cellStyle name="Header2 3 6 2 5" xfId="45722"/>
    <cellStyle name="Header2 3 6 3" xfId="1909"/>
    <cellStyle name="Header2 3 6 3 2" xfId="13106"/>
    <cellStyle name="Header2 3 6 3 3" xfId="24274"/>
    <cellStyle name="Header2 3 6 3 4" xfId="35439"/>
    <cellStyle name="Header2 3 6 3 5" xfId="46632"/>
    <cellStyle name="Header2 3 6 4" xfId="2700"/>
    <cellStyle name="Header2 3 6 4 2" xfId="13897"/>
    <cellStyle name="Header2 3 6 4 3" xfId="25065"/>
    <cellStyle name="Header2 3 6 4 4" xfId="36230"/>
    <cellStyle name="Header2 3 6 4 5" xfId="47423"/>
    <cellStyle name="Header2 3 6 5" xfId="3334"/>
    <cellStyle name="Header2 3 6 5 2" xfId="14531"/>
    <cellStyle name="Header2 3 6 5 3" xfId="25699"/>
    <cellStyle name="Header2 3 6 5 4" xfId="36864"/>
    <cellStyle name="Header2 3 6 5 5" xfId="48057"/>
    <cellStyle name="Header2 3 6 6" xfId="3968"/>
    <cellStyle name="Header2 3 6 6 2" xfId="15165"/>
    <cellStyle name="Header2 3 6 6 3" xfId="26333"/>
    <cellStyle name="Header2 3 6 6 4" xfId="37498"/>
    <cellStyle name="Header2 3 6 6 5" xfId="48691"/>
    <cellStyle name="Header2 3 6 7" xfId="4601"/>
    <cellStyle name="Header2 3 6 7 2" xfId="15798"/>
    <cellStyle name="Header2 3 6 7 3" xfId="26966"/>
    <cellStyle name="Header2 3 6 7 4" xfId="38131"/>
    <cellStyle name="Header2 3 6 7 5" xfId="49324"/>
    <cellStyle name="Header2 3 6 8" xfId="5232"/>
    <cellStyle name="Header2 3 6 8 2" xfId="16429"/>
    <cellStyle name="Header2 3 6 8 3" xfId="27597"/>
    <cellStyle name="Header2 3 6 8 4" xfId="38762"/>
    <cellStyle name="Header2 3 6 8 5" xfId="49955"/>
    <cellStyle name="Header2 3 6 9" xfId="6286"/>
    <cellStyle name="Header2 3 6 9 2" xfId="17483"/>
    <cellStyle name="Header2 3 6 9 3" xfId="28651"/>
    <cellStyle name="Header2 3 6 9 4" xfId="39816"/>
    <cellStyle name="Header2 3 6 9 5" xfId="51009"/>
    <cellStyle name="Header2 3 7" xfId="395"/>
    <cellStyle name="Header2 3 7 10" xfId="6964"/>
    <cellStyle name="Header2 3 7 10 2" xfId="18161"/>
    <cellStyle name="Header2 3 7 10 3" xfId="29329"/>
    <cellStyle name="Header2 3 7 10 4" xfId="40494"/>
    <cellStyle name="Header2 3 7 10 5" xfId="51687"/>
    <cellStyle name="Header2 3 7 11" xfId="7598"/>
    <cellStyle name="Header2 3 7 11 2" xfId="18795"/>
    <cellStyle name="Header2 3 7 11 3" xfId="29963"/>
    <cellStyle name="Header2 3 7 11 4" xfId="41128"/>
    <cellStyle name="Header2 3 7 11 5" xfId="52321"/>
    <cellStyle name="Header2 3 7 12" xfId="8232"/>
    <cellStyle name="Header2 3 7 12 2" xfId="19429"/>
    <cellStyle name="Header2 3 7 12 3" xfId="30597"/>
    <cellStyle name="Header2 3 7 12 4" xfId="41762"/>
    <cellStyle name="Header2 3 7 12 5" xfId="52955"/>
    <cellStyle name="Header2 3 7 13" xfId="9283"/>
    <cellStyle name="Header2 3 7 13 2" xfId="20480"/>
    <cellStyle name="Header2 3 7 13 3" xfId="31648"/>
    <cellStyle name="Header2 3 7 13 4" xfId="42813"/>
    <cellStyle name="Header2 3 7 13 5" xfId="54006"/>
    <cellStyle name="Header2 3 7 14" xfId="10487"/>
    <cellStyle name="Header2 3 7 14 2" xfId="21684"/>
    <cellStyle name="Header2 3 7 14 3" xfId="32852"/>
    <cellStyle name="Header2 3 7 14 4" xfId="44017"/>
    <cellStyle name="Header2 3 7 14 5" xfId="55210"/>
    <cellStyle name="Header2 3 7 15" xfId="10948"/>
    <cellStyle name="Header2 3 7 15 2" xfId="22145"/>
    <cellStyle name="Header2 3 7 15 3" xfId="33313"/>
    <cellStyle name="Header2 3 7 15 4" xfId="44478"/>
    <cellStyle name="Header2 3 7 15 5" xfId="55671"/>
    <cellStyle name="Header2 3 7 16" xfId="11595"/>
    <cellStyle name="Header2 3 7 17" xfId="22765"/>
    <cellStyle name="Header2 3 7 18" xfId="33932"/>
    <cellStyle name="Header2 3 7 19" xfId="45118"/>
    <cellStyle name="Header2 3 7 2" xfId="1044"/>
    <cellStyle name="Header2 3 7 2 2" xfId="12241"/>
    <cellStyle name="Header2 3 7 2 3" xfId="23409"/>
    <cellStyle name="Header2 3 7 2 4" xfId="34574"/>
    <cellStyle name="Header2 3 7 2 5" xfId="45767"/>
    <cellStyle name="Header2 3 7 3" xfId="1384"/>
    <cellStyle name="Header2 3 7 3 2" xfId="12581"/>
    <cellStyle name="Header2 3 7 3 3" xfId="23749"/>
    <cellStyle name="Header2 3 7 3 4" xfId="34914"/>
    <cellStyle name="Header2 3 7 3 5" xfId="46107"/>
    <cellStyle name="Header2 3 7 4" xfId="2745"/>
    <cellStyle name="Header2 3 7 4 2" xfId="13942"/>
    <cellStyle name="Header2 3 7 4 3" xfId="25110"/>
    <cellStyle name="Header2 3 7 4 4" xfId="36275"/>
    <cellStyle name="Header2 3 7 4 5" xfId="47468"/>
    <cellStyle name="Header2 3 7 5" xfId="3379"/>
    <cellStyle name="Header2 3 7 5 2" xfId="14576"/>
    <cellStyle name="Header2 3 7 5 3" xfId="25744"/>
    <cellStyle name="Header2 3 7 5 4" xfId="36909"/>
    <cellStyle name="Header2 3 7 5 5" xfId="48102"/>
    <cellStyle name="Header2 3 7 6" xfId="4013"/>
    <cellStyle name="Header2 3 7 6 2" xfId="15210"/>
    <cellStyle name="Header2 3 7 6 3" xfId="26378"/>
    <cellStyle name="Header2 3 7 6 4" xfId="37543"/>
    <cellStyle name="Header2 3 7 6 5" xfId="48736"/>
    <cellStyle name="Header2 3 7 7" xfId="4646"/>
    <cellStyle name="Header2 3 7 7 2" xfId="15843"/>
    <cellStyle name="Header2 3 7 7 3" xfId="27011"/>
    <cellStyle name="Header2 3 7 7 4" xfId="38176"/>
    <cellStyle name="Header2 3 7 7 5" xfId="49369"/>
    <cellStyle name="Header2 3 7 8" xfId="5277"/>
    <cellStyle name="Header2 3 7 8 2" xfId="16474"/>
    <cellStyle name="Header2 3 7 8 3" xfId="27642"/>
    <cellStyle name="Header2 3 7 8 4" xfId="38807"/>
    <cellStyle name="Header2 3 7 8 5" xfId="50000"/>
    <cellStyle name="Header2 3 7 9" xfId="6331"/>
    <cellStyle name="Header2 3 7 9 2" xfId="17528"/>
    <cellStyle name="Header2 3 7 9 3" xfId="28696"/>
    <cellStyle name="Header2 3 7 9 4" xfId="39861"/>
    <cellStyle name="Header2 3 7 9 5" xfId="51054"/>
    <cellStyle name="Header2 3 8" xfId="480"/>
    <cellStyle name="Header2 3 8 10" xfId="7049"/>
    <cellStyle name="Header2 3 8 10 2" xfId="18246"/>
    <cellStyle name="Header2 3 8 10 3" xfId="29414"/>
    <cellStyle name="Header2 3 8 10 4" xfId="40579"/>
    <cellStyle name="Header2 3 8 10 5" xfId="51772"/>
    <cellStyle name="Header2 3 8 11" xfId="7683"/>
    <cellStyle name="Header2 3 8 11 2" xfId="18880"/>
    <cellStyle name="Header2 3 8 11 3" xfId="30048"/>
    <cellStyle name="Header2 3 8 11 4" xfId="41213"/>
    <cellStyle name="Header2 3 8 11 5" xfId="52406"/>
    <cellStyle name="Header2 3 8 12" xfId="8317"/>
    <cellStyle name="Header2 3 8 12 2" xfId="19514"/>
    <cellStyle name="Header2 3 8 12 3" xfId="30682"/>
    <cellStyle name="Header2 3 8 12 4" xfId="41847"/>
    <cellStyle name="Header2 3 8 12 5" xfId="53040"/>
    <cellStyle name="Header2 3 8 13" xfId="9368"/>
    <cellStyle name="Header2 3 8 13 2" xfId="20565"/>
    <cellStyle name="Header2 3 8 13 3" xfId="31733"/>
    <cellStyle name="Header2 3 8 13 4" xfId="42898"/>
    <cellStyle name="Header2 3 8 13 5" xfId="54091"/>
    <cellStyle name="Header2 3 8 14" xfId="10416"/>
    <cellStyle name="Header2 3 8 14 2" xfId="21613"/>
    <cellStyle name="Header2 3 8 14 3" xfId="32781"/>
    <cellStyle name="Header2 3 8 14 4" xfId="43946"/>
    <cellStyle name="Header2 3 8 14 5" xfId="55139"/>
    <cellStyle name="Header2 3 8 15" xfId="11033"/>
    <cellStyle name="Header2 3 8 15 2" xfId="22230"/>
    <cellStyle name="Header2 3 8 15 3" xfId="33398"/>
    <cellStyle name="Header2 3 8 15 4" xfId="44563"/>
    <cellStyle name="Header2 3 8 15 5" xfId="55756"/>
    <cellStyle name="Header2 3 8 16" xfId="11680"/>
    <cellStyle name="Header2 3 8 17" xfId="22850"/>
    <cellStyle name="Header2 3 8 18" xfId="34017"/>
    <cellStyle name="Header2 3 8 19" xfId="45203"/>
    <cellStyle name="Header2 3 8 2" xfId="1129"/>
    <cellStyle name="Header2 3 8 2 2" xfId="12326"/>
    <cellStyle name="Header2 3 8 2 3" xfId="23494"/>
    <cellStyle name="Header2 3 8 2 4" xfId="34659"/>
    <cellStyle name="Header2 3 8 2 5" xfId="45852"/>
    <cellStyle name="Header2 3 8 3" xfId="1708"/>
    <cellStyle name="Header2 3 8 3 2" xfId="12905"/>
    <cellStyle name="Header2 3 8 3 3" xfId="24073"/>
    <cellStyle name="Header2 3 8 3 4" xfId="35238"/>
    <cellStyle name="Header2 3 8 3 5" xfId="46431"/>
    <cellStyle name="Header2 3 8 4" xfId="2830"/>
    <cellStyle name="Header2 3 8 4 2" xfId="14027"/>
    <cellStyle name="Header2 3 8 4 3" xfId="25195"/>
    <cellStyle name="Header2 3 8 4 4" xfId="36360"/>
    <cellStyle name="Header2 3 8 4 5" xfId="47553"/>
    <cellStyle name="Header2 3 8 5" xfId="3464"/>
    <cellStyle name="Header2 3 8 5 2" xfId="14661"/>
    <cellStyle name="Header2 3 8 5 3" xfId="25829"/>
    <cellStyle name="Header2 3 8 5 4" xfId="36994"/>
    <cellStyle name="Header2 3 8 5 5" xfId="48187"/>
    <cellStyle name="Header2 3 8 6" xfId="4098"/>
    <cellStyle name="Header2 3 8 6 2" xfId="15295"/>
    <cellStyle name="Header2 3 8 6 3" xfId="26463"/>
    <cellStyle name="Header2 3 8 6 4" xfId="37628"/>
    <cellStyle name="Header2 3 8 6 5" xfId="48821"/>
    <cellStyle name="Header2 3 8 7" xfId="4731"/>
    <cellStyle name="Header2 3 8 7 2" xfId="15928"/>
    <cellStyle name="Header2 3 8 7 3" xfId="27096"/>
    <cellStyle name="Header2 3 8 7 4" xfId="38261"/>
    <cellStyle name="Header2 3 8 7 5" xfId="49454"/>
    <cellStyle name="Header2 3 8 8" xfId="5362"/>
    <cellStyle name="Header2 3 8 8 2" xfId="16559"/>
    <cellStyle name="Header2 3 8 8 3" xfId="27727"/>
    <cellStyle name="Header2 3 8 8 4" xfId="38892"/>
    <cellStyle name="Header2 3 8 8 5" xfId="50085"/>
    <cellStyle name="Header2 3 8 9" xfId="6416"/>
    <cellStyle name="Header2 3 8 9 2" xfId="17613"/>
    <cellStyle name="Header2 3 8 9 3" xfId="28781"/>
    <cellStyle name="Header2 3 8 9 4" xfId="39946"/>
    <cellStyle name="Header2 3 8 9 5" xfId="51139"/>
    <cellStyle name="Header2 3 9" xfId="538"/>
    <cellStyle name="Header2 3 9 10" xfId="7107"/>
    <cellStyle name="Header2 3 9 10 2" xfId="18304"/>
    <cellStyle name="Header2 3 9 10 3" xfId="29472"/>
    <cellStyle name="Header2 3 9 10 4" xfId="40637"/>
    <cellStyle name="Header2 3 9 10 5" xfId="51830"/>
    <cellStyle name="Header2 3 9 11" xfId="7741"/>
    <cellStyle name="Header2 3 9 11 2" xfId="18938"/>
    <cellStyle name="Header2 3 9 11 3" xfId="30106"/>
    <cellStyle name="Header2 3 9 11 4" xfId="41271"/>
    <cellStyle name="Header2 3 9 11 5" xfId="52464"/>
    <cellStyle name="Header2 3 9 12" xfId="8375"/>
    <cellStyle name="Header2 3 9 12 2" xfId="19572"/>
    <cellStyle name="Header2 3 9 12 3" xfId="30740"/>
    <cellStyle name="Header2 3 9 12 4" xfId="41905"/>
    <cellStyle name="Header2 3 9 12 5" xfId="53098"/>
    <cellStyle name="Header2 3 9 13" xfId="9426"/>
    <cellStyle name="Header2 3 9 13 2" xfId="20623"/>
    <cellStyle name="Header2 3 9 13 3" xfId="31791"/>
    <cellStyle name="Header2 3 9 13 4" xfId="42956"/>
    <cellStyle name="Header2 3 9 13 5" xfId="54149"/>
    <cellStyle name="Header2 3 9 14" xfId="10207"/>
    <cellStyle name="Header2 3 9 14 2" xfId="21404"/>
    <cellStyle name="Header2 3 9 14 3" xfId="32572"/>
    <cellStyle name="Header2 3 9 14 4" xfId="43737"/>
    <cellStyle name="Header2 3 9 14 5" xfId="54930"/>
    <cellStyle name="Header2 3 9 15" xfId="11091"/>
    <cellStyle name="Header2 3 9 15 2" xfId="22288"/>
    <cellStyle name="Header2 3 9 15 3" xfId="33456"/>
    <cellStyle name="Header2 3 9 15 4" xfId="44621"/>
    <cellStyle name="Header2 3 9 15 5" xfId="55814"/>
    <cellStyle name="Header2 3 9 16" xfId="11738"/>
    <cellStyle name="Header2 3 9 17" xfId="22908"/>
    <cellStyle name="Header2 3 9 18" xfId="34075"/>
    <cellStyle name="Header2 3 9 19" xfId="45261"/>
    <cellStyle name="Header2 3 9 2" xfId="1187"/>
    <cellStyle name="Header2 3 9 2 2" xfId="12384"/>
    <cellStyle name="Header2 3 9 2 3" xfId="23552"/>
    <cellStyle name="Header2 3 9 2 4" xfId="34717"/>
    <cellStyle name="Header2 3 9 2 5" xfId="45910"/>
    <cellStyle name="Header2 3 9 3" xfId="1549"/>
    <cellStyle name="Header2 3 9 3 2" xfId="12746"/>
    <cellStyle name="Header2 3 9 3 3" xfId="23914"/>
    <cellStyle name="Header2 3 9 3 4" xfId="35079"/>
    <cellStyle name="Header2 3 9 3 5" xfId="46272"/>
    <cellStyle name="Header2 3 9 4" xfId="2888"/>
    <cellStyle name="Header2 3 9 4 2" xfId="14085"/>
    <cellStyle name="Header2 3 9 4 3" xfId="25253"/>
    <cellStyle name="Header2 3 9 4 4" xfId="36418"/>
    <cellStyle name="Header2 3 9 4 5" xfId="47611"/>
    <cellStyle name="Header2 3 9 5" xfId="3522"/>
    <cellStyle name="Header2 3 9 5 2" xfId="14719"/>
    <cellStyle name="Header2 3 9 5 3" xfId="25887"/>
    <cellStyle name="Header2 3 9 5 4" xfId="37052"/>
    <cellStyle name="Header2 3 9 5 5" xfId="48245"/>
    <cellStyle name="Header2 3 9 6" xfId="4156"/>
    <cellStyle name="Header2 3 9 6 2" xfId="15353"/>
    <cellStyle name="Header2 3 9 6 3" xfId="26521"/>
    <cellStyle name="Header2 3 9 6 4" xfId="37686"/>
    <cellStyle name="Header2 3 9 6 5" xfId="48879"/>
    <cellStyle name="Header2 3 9 7" xfId="4789"/>
    <cellStyle name="Header2 3 9 7 2" xfId="15986"/>
    <cellStyle name="Header2 3 9 7 3" xfId="27154"/>
    <cellStyle name="Header2 3 9 7 4" xfId="38319"/>
    <cellStyle name="Header2 3 9 7 5" xfId="49512"/>
    <cellStyle name="Header2 3 9 8" xfId="5420"/>
    <cellStyle name="Header2 3 9 8 2" xfId="16617"/>
    <cellStyle name="Header2 3 9 8 3" xfId="27785"/>
    <cellStyle name="Header2 3 9 8 4" xfId="38950"/>
    <cellStyle name="Header2 3 9 8 5" xfId="50143"/>
    <cellStyle name="Header2 3 9 9" xfId="6474"/>
    <cellStyle name="Header2 3 9 9 2" xfId="17671"/>
    <cellStyle name="Header2 3 9 9 3" xfId="28839"/>
    <cellStyle name="Header2 3 9 9 4" xfId="40004"/>
    <cellStyle name="Header2 3 9 9 5" xfId="51197"/>
    <cellStyle name="Header2 4" xfId="90"/>
    <cellStyle name="Header2 4 10" xfId="623"/>
    <cellStyle name="Header2 4 10 10" xfId="7192"/>
    <cellStyle name="Header2 4 10 10 2" xfId="18389"/>
    <cellStyle name="Header2 4 10 10 3" xfId="29557"/>
    <cellStyle name="Header2 4 10 10 4" xfId="40722"/>
    <cellStyle name="Header2 4 10 10 5" xfId="51915"/>
    <cellStyle name="Header2 4 10 11" xfId="7826"/>
    <cellStyle name="Header2 4 10 11 2" xfId="19023"/>
    <cellStyle name="Header2 4 10 11 3" xfId="30191"/>
    <cellStyle name="Header2 4 10 11 4" xfId="41356"/>
    <cellStyle name="Header2 4 10 11 5" xfId="52549"/>
    <cellStyle name="Header2 4 10 12" xfId="8460"/>
    <cellStyle name="Header2 4 10 12 2" xfId="19657"/>
    <cellStyle name="Header2 4 10 12 3" xfId="30825"/>
    <cellStyle name="Header2 4 10 12 4" xfId="41990"/>
    <cellStyle name="Header2 4 10 12 5" xfId="53183"/>
    <cellStyle name="Header2 4 10 13" xfId="9511"/>
    <cellStyle name="Header2 4 10 13 2" xfId="20708"/>
    <cellStyle name="Header2 4 10 13 3" xfId="31876"/>
    <cellStyle name="Header2 4 10 13 4" xfId="43041"/>
    <cellStyle name="Header2 4 10 13 5" xfId="54234"/>
    <cellStyle name="Header2 4 10 14" xfId="10489"/>
    <cellStyle name="Header2 4 10 14 2" xfId="21686"/>
    <cellStyle name="Header2 4 10 14 3" xfId="32854"/>
    <cellStyle name="Header2 4 10 14 4" xfId="44019"/>
    <cellStyle name="Header2 4 10 14 5" xfId="55212"/>
    <cellStyle name="Header2 4 10 15" xfId="11176"/>
    <cellStyle name="Header2 4 10 15 2" xfId="22373"/>
    <cellStyle name="Header2 4 10 15 3" xfId="33541"/>
    <cellStyle name="Header2 4 10 15 4" xfId="44706"/>
    <cellStyle name="Header2 4 10 15 5" xfId="55899"/>
    <cellStyle name="Header2 4 10 16" xfId="11823"/>
    <cellStyle name="Header2 4 10 17" xfId="22993"/>
    <cellStyle name="Header2 4 10 18" xfId="34160"/>
    <cellStyle name="Header2 4 10 19" xfId="45346"/>
    <cellStyle name="Header2 4 10 2" xfId="1272"/>
    <cellStyle name="Header2 4 10 2 2" xfId="12469"/>
    <cellStyle name="Header2 4 10 2 3" xfId="23637"/>
    <cellStyle name="Header2 4 10 2 4" xfId="34802"/>
    <cellStyle name="Header2 4 10 2 5" xfId="45995"/>
    <cellStyle name="Header2 4 10 3" xfId="1786"/>
    <cellStyle name="Header2 4 10 3 2" xfId="12983"/>
    <cellStyle name="Header2 4 10 3 3" xfId="24151"/>
    <cellStyle name="Header2 4 10 3 4" xfId="35316"/>
    <cellStyle name="Header2 4 10 3 5" xfId="46509"/>
    <cellStyle name="Header2 4 10 4" xfId="2973"/>
    <cellStyle name="Header2 4 10 4 2" xfId="14170"/>
    <cellStyle name="Header2 4 10 4 3" xfId="25338"/>
    <cellStyle name="Header2 4 10 4 4" xfId="36503"/>
    <cellStyle name="Header2 4 10 4 5" xfId="47696"/>
    <cellStyle name="Header2 4 10 5" xfId="3607"/>
    <cellStyle name="Header2 4 10 5 2" xfId="14804"/>
    <cellStyle name="Header2 4 10 5 3" xfId="25972"/>
    <cellStyle name="Header2 4 10 5 4" xfId="37137"/>
    <cellStyle name="Header2 4 10 5 5" xfId="48330"/>
    <cellStyle name="Header2 4 10 6" xfId="4241"/>
    <cellStyle name="Header2 4 10 6 2" xfId="15438"/>
    <cellStyle name="Header2 4 10 6 3" xfId="26606"/>
    <cellStyle name="Header2 4 10 6 4" xfId="37771"/>
    <cellStyle name="Header2 4 10 6 5" xfId="48964"/>
    <cellStyle name="Header2 4 10 7" xfId="4874"/>
    <cellStyle name="Header2 4 10 7 2" xfId="16071"/>
    <cellStyle name="Header2 4 10 7 3" xfId="27239"/>
    <cellStyle name="Header2 4 10 7 4" xfId="38404"/>
    <cellStyle name="Header2 4 10 7 5" xfId="49597"/>
    <cellStyle name="Header2 4 10 8" xfId="5505"/>
    <cellStyle name="Header2 4 10 8 2" xfId="16702"/>
    <cellStyle name="Header2 4 10 8 3" xfId="27870"/>
    <cellStyle name="Header2 4 10 8 4" xfId="39035"/>
    <cellStyle name="Header2 4 10 8 5" xfId="50228"/>
    <cellStyle name="Header2 4 10 9" xfId="6559"/>
    <cellStyle name="Header2 4 10 9 2" xfId="17756"/>
    <cellStyle name="Header2 4 10 9 3" xfId="28924"/>
    <cellStyle name="Header2 4 10 9 4" xfId="40089"/>
    <cellStyle name="Header2 4 10 9 5" xfId="51282"/>
    <cellStyle name="Header2 4 11" xfId="636"/>
    <cellStyle name="Header2 4 11 10" xfId="7205"/>
    <cellStyle name="Header2 4 11 10 2" xfId="18402"/>
    <cellStyle name="Header2 4 11 10 3" xfId="29570"/>
    <cellStyle name="Header2 4 11 10 4" xfId="40735"/>
    <cellStyle name="Header2 4 11 10 5" xfId="51928"/>
    <cellStyle name="Header2 4 11 11" xfId="7839"/>
    <cellStyle name="Header2 4 11 11 2" xfId="19036"/>
    <cellStyle name="Header2 4 11 11 3" xfId="30204"/>
    <cellStyle name="Header2 4 11 11 4" xfId="41369"/>
    <cellStyle name="Header2 4 11 11 5" xfId="52562"/>
    <cellStyle name="Header2 4 11 12" xfId="8473"/>
    <cellStyle name="Header2 4 11 12 2" xfId="19670"/>
    <cellStyle name="Header2 4 11 12 3" xfId="30838"/>
    <cellStyle name="Header2 4 11 12 4" xfId="42003"/>
    <cellStyle name="Header2 4 11 12 5" xfId="53196"/>
    <cellStyle name="Header2 4 11 13" xfId="9524"/>
    <cellStyle name="Header2 4 11 13 2" xfId="20721"/>
    <cellStyle name="Header2 4 11 13 3" xfId="31889"/>
    <cellStyle name="Header2 4 11 13 4" xfId="43054"/>
    <cellStyle name="Header2 4 11 13 5" xfId="54247"/>
    <cellStyle name="Header2 4 11 14" xfId="10379"/>
    <cellStyle name="Header2 4 11 14 2" xfId="21576"/>
    <cellStyle name="Header2 4 11 14 3" xfId="32744"/>
    <cellStyle name="Header2 4 11 14 4" xfId="43909"/>
    <cellStyle name="Header2 4 11 14 5" xfId="55102"/>
    <cellStyle name="Header2 4 11 15" xfId="11189"/>
    <cellStyle name="Header2 4 11 15 2" xfId="22386"/>
    <cellStyle name="Header2 4 11 15 3" xfId="33554"/>
    <cellStyle name="Header2 4 11 15 4" xfId="44719"/>
    <cellStyle name="Header2 4 11 15 5" xfId="55912"/>
    <cellStyle name="Header2 4 11 16" xfId="11836"/>
    <cellStyle name="Header2 4 11 17" xfId="23006"/>
    <cellStyle name="Header2 4 11 18" xfId="34173"/>
    <cellStyle name="Header2 4 11 19" xfId="45359"/>
    <cellStyle name="Header2 4 11 2" xfId="1285"/>
    <cellStyle name="Header2 4 11 2 2" xfId="12482"/>
    <cellStyle name="Header2 4 11 2 3" xfId="23650"/>
    <cellStyle name="Header2 4 11 2 4" xfId="34815"/>
    <cellStyle name="Header2 4 11 2 5" xfId="46008"/>
    <cellStyle name="Header2 4 11 3" xfId="1670"/>
    <cellStyle name="Header2 4 11 3 2" xfId="12867"/>
    <cellStyle name="Header2 4 11 3 3" xfId="24035"/>
    <cellStyle name="Header2 4 11 3 4" xfId="35200"/>
    <cellStyle name="Header2 4 11 3 5" xfId="46393"/>
    <cellStyle name="Header2 4 11 4" xfId="2986"/>
    <cellStyle name="Header2 4 11 4 2" xfId="14183"/>
    <cellStyle name="Header2 4 11 4 3" xfId="25351"/>
    <cellStyle name="Header2 4 11 4 4" xfId="36516"/>
    <cellStyle name="Header2 4 11 4 5" xfId="47709"/>
    <cellStyle name="Header2 4 11 5" xfId="3620"/>
    <cellStyle name="Header2 4 11 5 2" xfId="14817"/>
    <cellStyle name="Header2 4 11 5 3" xfId="25985"/>
    <cellStyle name="Header2 4 11 5 4" xfId="37150"/>
    <cellStyle name="Header2 4 11 5 5" xfId="48343"/>
    <cellStyle name="Header2 4 11 6" xfId="4254"/>
    <cellStyle name="Header2 4 11 6 2" xfId="15451"/>
    <cellStyle name="Header2 4 11 6 3" xfId="26619"/>
    <cellStyle name="Header2 4 11 6 4" xfId="37784"/>
    <cellStyle name="Header2 4 11 6 5" xfId="48977"/>
    <cellStyle name="Header2 4 11 7" xfId="4887"/>
    <cellStyle name="Header2 4 11 7 2" xfId="16084"/>
    <cellStyle name="Header2 4 11 7 3" xfId="27252"/>
    <cellStyle name="Header2 4 11 7 4" xfId="38417"/>
    <cellStyle name="Header2 4 11 7 5" xfId="49610"/>
    <cellStyle name="Header2 4 11 8" xfId="5518"/>
    <cellStyle name="Header2 4 11 8 2" xfId="16715"/>
    <cellStyle name="Header2 4 11 8 3" xfId="27883"/>
    <cellStyle name="Header2 4 11 8 4" xfId="39048"/>
    <cellStyle name="Header2 4 11 8 5" xfId="50241"/>
    <cellStyle name="Header2 4 11 9" xfId="6572"/>
    <cellStyle name="Header2 4 11 9 2" xfId="17769"/>
    <cellStyle name="Header2 4 11 9 3" xfId="28937"/>
    <cellStyle name="Header2 4 11 9 4" xfId="40102"/>
    <cellStyle name="Header2 4 11 9 5" xfId="51295"/>
    <cellStyle name="Header2 4 12" xfId="739"/>
    <cellStyle name="Header2 4 12 2" xfId="11937"/>
    <cellStyle name="Header2 4 12 3" xfId="23105"/>
    <cellStyle name="Header2 4 12 4" xfId="34270"/>
    <cellStyle name="Header2 4 12 5" xfId="45462"/>
    <cellStyle name="Header2 4 13" xfId="1641"/>
    <cellStyle name="Header2 4 13 2" xfId="12838"/>
    <cellStyle name="Header2 4 13 3" xfId="24006"/>
    <cellStyle name="Header2 4 13 4" xfId="35171"/>
    <cellStyle name="Header2 4 13 5" xfId="46364"/>
    <cellStyle name="Header2 4 14" xfId="2230"/>
    <cellStyle name="Header2 4 14 2" xfId="13427"/>
    <cellStyle name="Header2 4 14 3" xfId="24595"/>
    <cellStyle name="Header2 4 14 4" xfId="35760"/>
    <cellStyle name="Header2 4 14 5" xfId="46953"/>
    <cellStyle name="Header2 4 15" xfId="3074"/>
    <cellStyle name="Header2 4 15 2" xfId="14271"/>
    <cellStyle name="Header2 4 15 3" xfId="25439"/>
    <cellStyle name="Header2 4 15 4" xfId="36604"/>
    <cellStyle name="Header2 4 15 5" xfId="47797"/>
    <cellStyle name="Header2 4 16" xfId="3708"/>
    <cellStyle name="Header2 4 16 2" xfId="14905"/>
    <cellStyle name="Header2 4 16 3" xfId="26073"/>
    <cellStyle name="Header2 4 16 4" xfId="37238"/>
    <cellStyle name="Header2 4 16 5" xfId="48431"/>
    <cellStyle name="Header2 4 17" xfId="4341"/>
    <cellStyle name="Header2 4 17 2" xfId="15538"/>
    <cellStyle name="Header2 4 17 3" xfId="26706"/>
    <cellStyle name="Header2 4 17 4" xfId="37871"/>
    <cellStyle name="Header2 4 17 5" xfId="49064"/>
    <cellStyle name="Header2 4 18" xfId="4973"/>
    <cellStyle name="Header2 4 18 2" xfId="16170"/>
    <cellStyle name="Header2 4 18 3" xfId="27338"/>
    <cellStyle name="Header2 4 18 4" xfId="38503"/>
    <cellStyle name="Header2 4 18 5" xfId="49696"/>
    <cellStyle name="Header2 4 19" xfId="5629"/>
    <cellStyle name="Header2 4 19 2" xfId="16826"/>
    <cellStyle name="Header2 4 19 3" xfId="27994"/>
    <cellStyle name="Header2 4 19 4" xfId="39159"/>
    <cellStyle name="Header2 4 19 5" xfId="50352"/>
    <cellStyle name="Header2 4 2" xfId="154"/>
    <cellStyle name="Header2 4 2 10" xfId="6723"/>
    <cellStyle name="Header2 4 2 10 2" xfId="17920"/>
    <cellStyle name="Header2 4 2 10 3" xfId="29088"/>
    <cellStyle name="Header2 4 2 10 4" xfId="40253"/>
    <cellStyle name="Header2 4 2 10 5" xfId="51446"/>
    <cellStyle name="Header2 4 2 11" xfId="7357"/>
    <cellStyle name="Header2 4 2 11 2" xfId="18554"/>
    <cellStyle name="Header2 4 2 11 3" xfId="29722"/>
    <cellStyle name="Header2 4 2 11 4" xfId="40887"/>
    <cellStyle name="Header2 4 2 11 5" xfId="52080"/>
    <cellStyle name="Header2 4 2 12" xfId="7991"/>
    <cellStyle name="Header2 4 2 12 2" xfId="19188"/>
    <cellStyle name="Header2 4 2 12 3" xfId="30356"/>
    <cellStyle name="Header2 4 2 12 4" xfId="41521"/>
    <cellStyle name="Header2 4 2 12 5" xfId="52714"/>
    <cellStyle name="Header2 4 2 13" xfId="6610"/>
    <cellStyle name="Header2 4 2 13 2" xfId="17807"/>
    <cellStyle name="Header2 4 2 13 3" xfId="28975"/>
    <cellStyle name="Header2 4 2 13 4" xfId="40140"/>
    <cellStyle name="Header2 4 2 13 5" xfId="51333"/>
    <cellStyle name="Header2 4 2 14" xfId="10437"/>
    <cellStyle name="Header2 4 2 14 2" xfId="21634"/>
    <cellStyle name="Header2 4 2 14 3" xfId="32802"/>
    <cellStyle name="Header2 4 2 14 4" xfId="43967"/>
    <cellStyle name="Header2 4 2 14 5" xfId="55160"/>
    <cellStyle name="Header2 4 2 15" xfId="10707"/>
    <cellStyle name="Header2 4 2 15 2" xfId="21904"/>
    <cellStyle name="Header2 4 2 15 3" xfId="33072"/>
    <cellStyle name="Header2 4 2 15 4" xfId="44237"/>
    <cellStyle name="Header2 4 2 15 5" xfId="55430"/>
    <cellStyle name="Header2 4 2 16" xfId="11354"/>
    <cellStyle name="Header2 4 2 17" xfId="22524"/>
    <cellStyle name="Header2 4 2 18" xfId="33691"/>
    <cellStyle name="Header2 4 2 19" xfId="44877"/>
    <cellStyle name="Header2 4 2 2" xfId="803"/>
    <cellStyle name="Header2 4 2 2 2" xfId="12000"/>
    <cellStyle name="Header2 4 2 2 3" xfId="23168"/>
    <cellStyle name="Header2 4 2 2 4" xfId="34333"/>
    <cellStyle name="Header2 4 2 2 5" xfId="45526"/>
    <cellStyle name="Header2 4 2 3" xfId="1692"/>
    <cellStyle name="Header2 4 2 3 2" xfId="12889"/>
    <cellStyle name="Header2 4 2 3 3" xfId="24057"/>
    <cellStyle name="Header2 4 2 3 4" xfId="35222"/>
    <cellStyle name="Header2 4 2 3 5" xfId="46415"/>
    <cellStyle name="Header2 4 2 4" xfId="2440"/>
    <cellStyle name="Header2 4 2 4 2" xfId="13637"/>
    <cellStyle name="Header2 4 2 4 3" xfId="24805"/>
    <cellStyle name="Header2 4 2 4 4" xfId="35970"/>
    <cellStyle name="Header2 4 2 4 5" xfId="47163"/>
    <cellStyle name="Header2 4 2 5" xfId="3138"/>
    <cellStyle name="Header2 4 2 5 2" xfId="14335"/>
    <cellStyle name="Header2 4 2 5 3" xfId="25503"/>
    <cellStyle name="Header2 4 2 5 4" xfId="36668"/>
    <cellStyle name="Header2 4 2 5 5" xfId="47861"/>
    <cellStyle name="Header2 4 2 6" xfId="3772"/>
    <cellStyle name="Header2 4 2 6 2" xfId="14969"/>
    <cellStyle name="Header2 4 2 6 3" xfId="26137"/>
    <cellStyle name="Header2 4 2 6 4" xfId="37302"/>
    <cellStyle name="Header2 4 2 6 5" xfId="48495"/>
    <cellStyle name="Header2 4 2 7" xfId="4405"/>
    <cellStyle name="Header2 4 2 7 2" xfId="15602"/>
    <cellStyle name="Header2 4 2 7 3" xfId="26770"/>
    <cellStyle name="Header2 4 2 7 4" xfId="37935"/>
    <cellStyle name="Header2 4 2 7 5" xfId="49128"/>
    <cellStyle name="Header2 4 2 8" xfId="5036"/>
    <cellStyle name="Header2 4 2 8 2" xfId="16233"/>
    <cellStyle name="Header2 4 2 8 3" xfId="27401"/>
    <cellStyle name="Header2 4 2 8 4" xfId="38566"/>
    <cellStyle name="Header2 4 2 8 5" xfId="49759"/>
    <cellStyle name="Header2 4 2 9" xfId="6004"/>
    <cellStyle name="Header2 4 2 9 2" xfId="17201"/>
    <cellStyle name="Header2 4 2 9 3" xfId="28369"/>
    <cellStyle name="Header2 4 2 9 4" xfId="39534"/>
    <cellStyle name="Header2 4 2 9 5" xfId="50727"/>
    <cellStyle name="Header2 4 20" xfId="6660"/>
    <cellStyle name="Header2 4 20 2" xfId="17857"/>
    <cellStyle name="Header2 4 20 3" xfId="29025"/>
    <cellStyle name="Header2 4 20 4" xfId="40190"/>
    <cellStyle name="Header2 4 20 5" xfId="51383"/>
    <cellStyle name="Header2 4 21" xfId="7293"/>
    <cellStyle name="Header2 4 21 2" xfId="18490"/>
    <cellStyle name="Header2 4 21 3" xfId="29658"/>
    <cellStyle name="Header2 4 21 4" xfId="40823"/>
    <cellStyle name="Header2 4 21 5" xfId="52016"/>
    <cellStyle name="Header2 4 22" xfId="7927"/>
    <cellStyle name="Header2 4 22 2" xfId="19124"/>
    <cellStyle name="Header2 4 22 3" xfId="30292"/>
    <cellStyle name="Header2 4 22 4" xfId="41457"/>
    <cellStyle name="Header2 4 22 5" xfId="52650"/>
    <cellStyle name="Header2 4 23" xfId="8940"/>
    <cellStyle name="Header2 4 23 2" xfId="20137"/>
    <cellStyle name="Header2 4 23 3" xfId="31305"/>
    <cellStyle name="Header2 4 23 4" xfId="42470"/>
    <cellStyle name="Header2 4 23 5" xfId="53663"/>
    <cellStyle name="Header2 4 24" xfId="10309"/>
    <cellStyle name="Header2 4 24 2" xfId="21506"/>
    <cellStyle name="Header2 4 24 3" xfId="32674"/>
    <cellStyle name="Header2 4 24 4" xfId="43839"/>
    <cellStyle name="Header2 4 24 5" xfId="55032"/>
    <cellStyle name="Header2 4 25" xfId="10644"/>
    <cellStyle name="Header2 4 25 2" xfId="21841"/>
    <cellStyle name="Header2 4 25 3" xfId="33009"/>
    <cellStyle name="Header2 4 25 4" xfId="44174"/>
    <cellStyle name="Header2 4 25 5" xfId="55367"/>
    <cellStyle name="Header2 4 26" xfId="11291"/>
    <cellStyle name="Header2 4 27" xfId="22461"/>
    <cellStyle name="Header2 4 28" xfId="33628"/>
    <cellStyle name="Header2 4 29" xfId="44813"/>
    <cellStyle name="Header2 4 3" xfId="210"/>
    <cellStyle name="Header2 4 3 10" xfId="6779"/>
    <cellStyle name="Header2 4 3 10 2" xfId="17976"/>
    <cellStyle name="Header2 4 3 10 3" xfId="29144"/>
    <cellStyle name="Header2 4 3 10 4" xfId="40309"/>
    <cellStyle name="Header2 4 3 10 5" xfId="51502"/>
    <cellStyle name="Header2 4 3 11" xfId="7413"/>
    <cellStyle name="Header2 4 3 11 2" xfId="18610"/>
    <cellStyle name="Header2 4 3 11 3" xfId="29778"/>
    <cellStyle name="Header2 4 3 11 4" xfId="40943"/>
    <cellStyle name="Header2 4 3 11 5" xfId="52136"/>
    <cellStyle name="Header2 4 3 12" xfId="8047"/>
    <cellStyle name="Header2 4 3 12 2" xfId="19244"/>
    <cellStyle name="Header2 4 3 12 3" xfId="30412"/>
    <cellStyle name="Header2 4 3 12 4" xfId="41577"/>
    <cellStyle name="Header2 4 3 12 5" xfId="52770"/>
    <cellStyle name="Header2 4 3 13" xfId="8561"/>
    <cellStyle name="Header2 4 3 13 2" xfId="19758"/>
    <cellStyle name="Header2 4 3 13 3" xfId="30926"/>
    <cellStyle name="Header2 4 3 13 4" xfId="42091"/>
    <cellStyle name="Header2 4 3 13 5" xfId="53284"/>
    <cellStyle name="Header2 4 3 14" xfId="10337"/>
    <cellStyle name="Header2 4 3 14 2" xfId="21534"/>
    <cellStyle name="Header2 4 3 14 3" xfId="32702"/>
    <cellStyle name="Header2 4 3 14 4" xfId="43867"/>
    <cellStyle name="Header2 4 3 14 5" xfId="55060"/>
    <cellStyle name="Header2 4 3 15" xfId="10763"/>
    <cellStyle name="Header2 4 3 15 2" xfId="21960"/>
    <cellStyle name="Header2 4 3 15 3" xfId="33128"/>
    <cellStyle name="Header2 4 3 15 4" xfId="44293"/>
    <cellStyle name="Header2 4 3 15 5" xfId="55486"/>
    <cellStyle name="Header2 4 3 16" xfId="11410"/>
    <cellStyle name="Header2 4 3 17" xfId="22580"/>
    <cellStyle name="Header2 4 3 18" xfId="33747"/>
    <cellStyle name="Header2 4 3 19" xfId="44933"/>
    <cellStyle name="Header2 4 3 2" xfId="859"/>
    <cellStyle name="Header2 4 3 2 2" xfId="12056"/>
    <cellStyle name="Header2 4 3 2 3" xfId="23224"/>
    <cellStyle name="Header2 4 3 2 4" xfId="34389"/>
    <cellStyle name="Header2 4 3 2 5" xfId="45582"/>
    <cellStyle name="Header2 4 3 3" xfId="1640"/>
    <cellStyle name="Header2 4 3 3 2" xfId="12837"/>
    <cellStyle name="Header2 4 3 3 3" xfId="24005"/>
    <cellStyle name="Header2 4 3 3 4" xfId="35170"/>
    <cellStyle name="Header2 4 3 3 5" xfId="46363"/>
    <cellStyle name="Header2 4 3 4" xfId="2374"/>
    <cellStyle name="Header2 4 3 4 2" xfId="13571"/>
    <cellStyle name="Header2 4 3 4 3" xfId="24739"/>
    <cellStyle name="Header2 4 3 4 4" xfId="35904"/>
    <cellStyle name="Header2 4 3 4 5" xfId="47097"/>
    <cellStyle name="Header2 4 3 5" xfId="3194"/>
    <cellStyle name="Header2 4 3 5 2" xfId="14391"/>
    <cellStyle name="Header2 4 3 5 3" xfId="25559"/>
    <cellStyle name="Header2 4 3 5 4" xfId="36724"/>
    <cellStyle name="Header2 4 3 5 5" xfId="47917"/>
    <cellStyle name="Header2 4 3 6" xfId="3828"/>
    <cellStyle name="Header2 4 3 6 2" xfId="15025"/>
    <cellStyle name="Header2 4 3 6 3" xfId="26193"/>
    <cellStyle name="Header2 4 3 6 4" xfId="37358"/>
    <cellStyle name="Header2 4 3 6 5" xfId="48551"/>
    <cellStyle name="Header2 4 3 7" xfId="4461"/>
    <cellStyle name="Header2 4 3 7 2" xfId="15658"/>
    <cellStyle name="Header2 4 3 7 3" xfId="26826"/>
    <cellStyle name="Header2 4 3 7 4" xfId="37991"/>
    <cellStyle name="Header2 4 3 7 5" xfId="49184"/>
    <cellStyle name="Header2 4 3 8" xfId="5092"/>
    <cellStyle name="Header2 4 3 8 2" xfId="16289"/>
    <cellStyle name="Header2 4 3 8 3" xfId="27457"/>
    <cellStyle name="Header2 4 3 8 4" xfId="38622"/>
    <cellStyle name="Header2 4 3 8 5" xfId="49815"/>
    <cellStyle name="Header2 4 3 9" xfId="5609"/>
    <cellStyle name="Header2 4 3 9 2" xfId="16806"/>
    <cellStyle name="Header2 4 3 9 3" xfId="27974"/>
    <cellStyle name="Header2 4 3 9 4" xfId="39139"/>
    <cellStyle name="Header2 4 3 9 5" xfId="50332"/>
    <cellStyle name="Header2 4 4" xfId="260"/>
    <cellStyle name="Header2 4 4 10" xfId="6829"/>
    <cellStyle name="Header2 4 4 10 2" xfId="18026"/>
    <cellStyle name="Header2 4 4 10 3" xfId="29194"/>
    <cellStyle name="Header2 4 4 10 4" xfId="40359"/>
    <cellStyle name="Header2 4 4 10 5" xfId="51552"/>
    <cellStyle name="Header2 4 4 11" xfId="7463"/>
    <cellStyle name="Header2 4 4 11 2" xfId="18660"/>
    <cellStyle name="Header2 4 4 11 3" xfId="29828"/>
    <cellStyle name="Header2 4 4 11 4" xfId="40993"/>
    <cellStyle name="Header2 4 4 11 5" xfId="52186"/>
    <cellStyle name="Header2 4 4 12" xfId="8097"/>
    <cellStyle name="Header2 4 4 12 2" xfId="19294"/>
    <cellStyle name="Header2 4 4 12 3" xfId="30462"/>
    <cellStyle name="Header2 4 4 12 4" xfId="41627"/>
    <cellStyle name="Header2 4 4 12 5" xfId="52820"/>
    <cellStyle name="Header2 4 4 13" xfId="9148"/>
    <cellStyle name="Header2 4 4 13 2" xfId="20345"/>
    <cellStyle name="Header2 4 4 13 3" xfId="31513"/>
    <cellStyle name="Header2 4 4 13 4" xfId="42678"/>
    <cellStyle name="Header2 4 4 13 5" xfId="53871"/>
    <cellStyle name="Header2 4 4 14" xfId="9578"/>
    <cellStyle name="Header2 4 4 14 2" xfId="20775"/>
    <cellStyle name="Header2 4 4 14 3" xfId="31943"/>
    <cellStyle name="Header2 4 4 14 4" xfId="43108"/>
    <cellStyle name="Header2 4 4 14 5" xfId="54301"/>
    <cellStyle name="Header2 4 4 15" xfId="10813"/>
    <cellStyle name="Header2 4 4 15 2" xfId="22010"/>
    <cellStyle name="Header2 4 4 15 3" xfId="33178"/>
    <cellStyle name="Header2 4 4 15 4" xfId="44343"/>
    <cellStyle name="Header2 4 4 15 5" xfId="55536"/>
    <cellStyle name="Header2 4 4 16" xfId="11460"/>
    <cellStyle name="Header2 4 4 17" xfId="22630"/>
    <cellStyle name="Header2 4 4 18" xfId="33797"/>
    <cellStyle name="Header2 4 4 19" xfId="44983"/>
    <cellStyle name="Header2 4 4 2" xfId="909"/>
    <cellStyle name="Header2 4 4 2 2" xfId="12106"/>
    <cellStyle name="Header2 4 4 2 3" xfId="23274"/>
    <cellStyle name="Header2 4 4 2 4" xfId="34439"/>
    <cellStyle name="Header2 4 4 2 5" xfId="45632"/>
    <cellStyle name="Header2 4 4 3" xfId="1917"/>
    <cellStyle name="Header2 4 4 3 2" xfId="13114"/>
    <cellStyle name="Header2 4 4 3 3" xfId="24282"/>
    <cellStyle name="Header2 4 4 3 4" xfId="35447"/>
    <cellStyle name="Header2 4 4 3 5" xfId="46640"/>
    <cellStyle name="Header2 4 4 4" xfId="2610"/>
    <cellStyle name="Header2 4 4 4 2" xfId="13807"/>
    <cellStyle name="Header2 4 4 4 3" xfId="24975"/>
    <cellStyle name="Header2 4 4 4 4" xfId="36140"/>
    <cellStyle name="Header2 4 4 4 5" xfId="47333"/>
    <cellStyle name="Header2 4 4 5" xfId="3244"/>
    <cellStyle name="Header2 4 4 5 2" xfId="14441"/>
    <cellStyle name="Header2 4 4 5 3" xfId="25609"/>
    <cellStyle name="Header2 4 4 5 4" xfId="36774"/>
    <cellStyle name="Header2 4 4 5 5" xfId="47967"/>
    <cellStyle name="Header2 4 4 6" xfId="3878"/>
    <cellStyle name="Header2 4 4 6 2" xfId="15075"/>
    <cellStyle name="Header2 4 4 6 3" xfId="26243"/>
    <cellStyle name="Header2 4 4 6 4" xfId="37408"/>
    <cellStyle name="Header2 4 4 6 5" xfId="48601"/>
    <cellStyle name="Header2 4 4 7" xfId="4511"/>
    <cellStyle name="Header2 4 4 7 2" xfId="15708"/>
    <cellStyle name="Header2 4 4 7 3" xfId="26876"/>
    <cellStyle name="Header2 4 4 7 4" xfId="38041"/>
    <cellStyle name="Header2 4 4 7 5" xfId="49234"/>
    <cellStyle name="Header2 4 4 8" xfId="5142"/>
    <cellStyle name="Header2 4 4 8 2" xfId="16339"/>
    <cellStyle name="Header2 4 4 8 3" xfId="27507"/>
    <cellStyle name="Header2 4 4 8 4" xfId="38672"/>
    <cellStyle name="Header2 4 4 8 5" xfId="49865"/>
    <cellStyle name="Header2 4 4 9" xfId="6196"/>
    <cellStyle name="Header2 4 4 9 2" xfId="17393"/>
    <cellStyle name="Header2 4 4 9 3" xfId="28561"/>
    <cellStyle name="Header2 4 4 9 4" xfId="39726"/>
    <cellStyle name="Header2 4 4 9 5" xfId="50919"/>
    <cellStyle name="Header2 4 5" xfId="299"/>
    <cellStyle name="Header2 4 5 10" xfId="6868"/>
    <cellStyle name="Header2 4 5 10 2" xfId="18065"/>
    <cellStyle name="Header2 4 5 10 3" xfId="29233"/>
    <cellStyle name="Header2 4 5 10 4" xfId="40398"/>
    <cellStyle name="Header2 4 5 10 5" xfId="51591"/>
    <cellStyle name="Header2 4 5 11" xfId="7502"/>
    <cellStyle name="Header2 4 5 11 2" xfId="18699"/>
    <cellStyle name="Header2 4 5 11 3" xfId="29867"/>
    <cellStyle name="Header2 4 5 11 4" xfId="41032"/>
    <cellStyle name="Header2 4 5 11 5" xfId="52225"/>
    <cellStyle name="Header2 4 5 12" xfId="8136"/>
    <cellStyle name="Header2 4 5 12 2" xfId="19333"/>
    <cellStyle name="Header2 4 5 12 3" xfId="30501"/>
    <cellStyle name="Header2 4 5 12 4" xfId="41666"/>
    <cellStyle name="Header2 4 5 12 5" xfId="52859"/>
    <cellStyle name="Header2 4 5 13" xfId="9187"/>
    <cellStyle name="Header2 4 5 13 2" xfId="20384"/>
    <cellStyle name="Header2 4 5 13 3" xfId="31552"/>
    <cellStyle name="Header2 4 5 13 4" xfId="42717"/>
    <cellStyle name="Header2 4 5 13 5" xfId="53910"/>
    <cellStyle name="Header2 4 5 14" xfId="10532"/>
    <cellStyle name="Header2 4 5 14 2" xfId="21729"/>
    <cellStyle name="Header2 4 5 14 3" xfId="32897"/>
    <cellStyle name="Header2 4 5 14 4" xfId="44062"/>
    <cellStyle name="Header2 4 5 14 5" xfId="55255"/>
    <cellStyle name="Header2 4 5 15" xfId="10852"/>
    <cellStyle name="Header2 4 5 15 2" xfId="22049"/>
    <cellStyle name="Header2 4 5 15 3" xfId="33217"/>
    <cellStyle name="Header2 4 5 15 4" xfId="44382"/>
    <cellStyle name="Header2 4 5 15 5" xfId="55575"/>
    <cellStyle name="Header2 4 5 16" xfId="11499"/>
    <cellStyle name="Header2 4 5 17" xfId="22669"/>
    <cellStyle name="Header2 4 5 18" xfId="33836"/>
    <cellStyle name="Header2 4 5 19" xfId="45022"/>
    <cellStyle name="Header2 4 5 2" xfId="948"/>
    <cellStyle name="Header2 4 5 2 2" xfId="12145"/>
    <cellStyle name="Header2 4 5 2 3" xfId="23313"/>
    <cellStyle name="Header2 4 5 2 4" xfId="34478"/>
    <cellStyle name="Header2 4 5 2 5" xfId="45671"/>
    <cellStyle name="Header2 4 5 3" xfId="1804"/>
    <cellStyle name="Header2 4 5 3 2" xfId="13001"/>
    <cellStyle name="Header2 4 5 3 3" xfId="24169"/>
    <cellStyle name="Header2 4 5 3 4" xfId="35334"/>
    <cellStyle name="Header2 4 5 3 5" xfId="46527"/>
    <cellStyle name="Header2 4 5 4" xfId="2649"/>
    <cellStyle name="Header2 4 5 4 2" xfId="13846"/>
    <cellStyle name="Header2 4 5 4 3" xfId="25014"/>
    <cellStyle name="Header2 4 5 4 4" xfId="36179"/>
    <cellStyle name="Header2 4 5 4 5" xfId="47372"/>
    <cellStyle name="Header2 4 5 5" xfId="3283"/>
    <cellStyle name="Header2 4 5 5 2" xfId="14480"/>
    <cellStyle name="Header2 4 5 5 3" xfId="25648"/>
    <cellStyle name="Header2 4 5 5 4" xfId="36813"/>
    <cellStyle name="Header2 4 5 5 5" xfId="48006"/>
    <cellStyle name="Header2 4 5 6" xfId="3917"/>
    <cellStyle name="Header2 4 5 6 2" xfId="15114"/>
    <cellStyle name="Header2 4 5 6 3" xfId="26282"/>
    <cellStyle name="Header2 4 5 6 4" xfId="37447"/>
    <cellStyle name="Header2 4 5 6 5" xfId="48640"/>
    <cellStyle name="Header2 4 5 7" xfId="4550"/>
    <cellStyle name="Header2 4 5 7 2" xfId="15747"/>
    <cellStyle name="Header2 4 5 7 3" xfId="26915"/>
    <cellStyle name="Header2 4 5 7 4" xfId="38080"/>
    <cellStyle name="Header2 4 5 7 5" xfId="49273"/>
    <cellStyle name="Header2 4 5 8" xfId="5181"/>
    <cellStyle name="Header2 4 5 8 2" xfId="16378"/>
    <cellStyle name="Header2 4 5 8 3" xfId="27546"/>
    <cellStyle name="Header2 4 5 8 4" xfId="38711"/>
    <cellStyle name="Header2 4 5 8 5" xfId="49904"/>
    <cellStyle name="Header2 4 5 9" xfId="6235"/>
    <cellStyle name="Header2 4 5 9 2" xfId="17432"/>
    <cellStyle name="Header2 4 5 9 3" xfId="28600"/>
    <cellStyle name="Header2 4 5 9 4" xfId="39765"/>
    <cellStyle name="Header2 4 5 9 5" xfId="50958"/>
    <cellStyle name="Header2 4 6" xfId="382"/>
    <cellStyle name="Header2 4 6 10" xfId="6951"/>
    <cellStyle name="Header2 4 6 10 2" xfId="18148"/>
    <cellStyle name="Header2 4 6 10 3" xfId="29316"/>
    <cellStyle name="Header2 4 6 10 4" xfId="40481"/>
    <cellStyle name="Header2 4 6 10 5" xfId="51674"/>
    <cellStyle name="Header2 4 6 11" xfId="7585"/>
    <cellStyle name="Header2 4 6 11 2" xfId="18782"/>
    <cellStyle name="Header2 4 6 11 3" xfId="29950"/>
    <cellStyle name="Header2 4 6 11 4" xfId="41115"/>
    <cellStyle name="Header2 4 6 11 5" xfId="52308"/>
    <cellStyle name="Header2 4 6 12" xfId="8219"/>
    <cellStyle name="Header2 4 6 12 2" xfId="19416"/>
    <cellStyle name="Header2 4 6 12 3" xfId="30584"/>
    <cellStyle name="Header2 4 6 12 4" xfId="41749"/>
    <cellStyle name="Header2 4 6 12 5" xfId="52942"/>
    <cellStyle name="Header2 4 6 13" xfId="9270"/>
    <cellStyle name="Header2 4 6 13 2" xfId="20467"/>
    <cellStyle name="Header2 4 6 13 3" xfId="31635"/>
    <cellStyle name="Header2 4 6 13 4" xfId="42800"/>
    <cellStyle name="Header2 4 6 13 5" xfId="53993"/>
    <cellStyle name="Header2 4 6 14" xfId="9811"/>
    <cellStyle name="Header2 4 6 14 2" xfId="21008"/>
    <cellStyle name="Header2 4 6 14 3" xfId="32176"/>
    <cellStyle name="Header2 4 6 14 4" xfId="43341"/>
    <cellStyle name="Header2 4 6 14 5" xfId="54534"/>
    <cellStyle name="Header2 4 6 15" xfId="10935"/>
    <cellStyle name="Header2 4 6 15 2" xfId="22132"/>
    <cellStyle name="Header2 4 6 15 3" xfId="33300"/>
    <cellStyle name="Header2 4 6 15 4" xfId="44465"/>
    <cellStyle name="Header2 4 6 15 5" xfId="55658"/>
    <cellStyle name="Header2 4 6 16" xfId="11582"/>
    <cellStyle name="Header2 4 6 17" xfId="22752"/>
    <cellStyle name="Header2 4 6 18" xfId="33919"/>
    <cellStyle name="Header2 4 6 19" xfId="45105"/>
    <cellStyle name="Header2 4 6 2" xfId="1031"/>
    <cellStyle name="Header2 4 6 2 2" xfId="12228"/>
    <cellStyle name="Header2 4 6 2 3" xfId="23396"/>
    <cellStyle name="Header2 4 6 2 4" xfId="34561"/>
    <cellStyle name="Header2 4 6 2 5" xfId="45754"/>
    <cellStyle name="Header2 4 6 3" xfId="1946"/>
    <cellStyle name="Header2 4 6 3 2" xfId="13143"/>
    <cellStyle name="Header2 4 6 3 3" xfId="24311"/>
    <cellStyle name="Header2 4 6 3 4" xfId="35476"/>
    <cellStyle name="Header2 4 6 3 5" xfId="46669"/>
    <cellStyle name="Header2 4 6 4" xfId="2732"/>
    <cellStyle name="Header2 4 6 4 2" xfId="13929"/>
    <cellStyle name="Header2 4 6 4 3" xfId="25097"/>
    <cellStyle name="Header2 4 6 4 4" xfId="36262"/>
    <cellStyle name="Header2 4 6 4 5" xfId="47455"/>
    <cellStyle name="Header2 4 6 5" xfId="3366"/>
    <cellStyle name="Header2 4 6 5 2" xfId="14563"/>
    <cellStyle name="Header2 4 6 5 3" xfId="25731"/>
    <cellStyle name="Header2 4 6 5 4" xfId="36896"/>
    <cellStyle name="Header2 4 6 5 5" xfId="48089"/>
    <cellStyle name="Header2 4 6 6" xfId="4000"/>
    <cellStyle name="Header2 4 6 6 2" xfId="15197"/>
    <cellStyle name="Header2 4 6 6 3" xfId="26365"/>
    <cellStyle name="Header2 4 6 6 4" xfId="37530"/>
    <cellStyle name="Header2 4 6 6 5" xfId="48723"/>
    <cellStyle name="Header2 4 6 7" xfId="4633"/>
    <cellStyle name="Header2 4 6 7 2" xfId="15830"/>
    <cellStyle name="Header2 4 6 7 3" xfId="26998"/>
    <cellStyle name="Header2 4 6 7 4" xfId="38163"/>
    <cellStyle name="Header2 4 6 7 5" xfId="49356"/>
    <cellStyle name="Header2 4 6 8" xfId="5264"/>
    <cellStyle name="Header2 4 6 8 2" xfId="16461"/>
    <cellStyle name="Header2 4 6 8 3" xfId="27629"/>
    <cellStyle name="Header2 4 6 8 4" xfId="38794"/>
    <cellStyle name="Header2 4 6 8 5" xfId="49987"/>
    <cellStyle name="Header2 4 6 9" xfId="6318"/>
    <cellStyle name="Header2 4 6 9 2" xfId="17515"/>
    <cellStyle name="Header2 4 6 9 3" xfId="28683"/>
    <cellStyle name="Header2 4 6 9 4" xfId="39848"/>
    <cellStyle name="Header2 4 6 9 5" xfId="51041"/>
    <cellStyle name="Header2 4 7" xfId="423"/>
    <cellStyle name="Header2 4 7 10" xfId="6992"/>
    <cellStyle name="Header2 4 7 10 2" xfId="18189"/>
    <cellStyle name="Header2 4 7 10 3" xfId="29357"/>
    <cellStyle name="Header2 4 7 10 4" xfId="40522"/>
    <cellStyle name="Header2 4 7 10 5" xfId="51715"/>
    <cellStyle name="Header2 4 7 11" xfId="7626"/>
    <cellStyle name="Header2 4 7 11 2" xfId="18823"/>
    <cellStyle name="Header2 4 7 11 3" xfId="29991"/>
    <cellStyle name="Header2 4 7 11 4" xfId="41156"/>
    <cellStyle name="Header2 4 7 11 5" xfId="52349"/>
    <cellStyle name="Header2 4 7 12" xfId="8260"/>
    <cellStyle name="Header2 4 7 12 2" xfId="19457"/>
    <cellStyle name="Header2 4 7 12 3" xfId="30625"/>
    <cellStyle name="Header2 4 7 12 4" xfId="41790"/>
    <cellStyle name="Header2 4 7 12 5" xfId="52983"/>
    <cellStyle name="Header2 4 7 13" xfId="9311"/>
    <cellStyle name="Header2 4 7 13 2" xfId="20508"/>
    <cellStyle name="Header2 4 7 13 3" xfId="31676"/>
    <cellStyle name="Header2 4 7 13 4" xfId="42841"/>
    <cellStyle name="Header2 4 7 13 5" xfId="54034"/>
    <cellStyle name="Header2 4 7 14" xfId="10224"/>
    <cellStyle name="Header2 4 7 14 2" xfId="21421"/>
    <cellStyle name="Header2 4 7 14 3" xfId="32589"/>
    <cellStyle name="Header2 4 7 14 4" xfId="43754"/>
    <cellStyle name="Header2 4 7 14 5" xfId="54947"/>
    <cellStyle name="Header2 4 7 15" xfId="10976"/>
    <cellStyle name="Header2 4 7 15 2" xfId="22173"/>
    <cellStyle name="Header2 4 7 15 3" xfId="33341"/>
    <cellStyle name="Header2 4 7 15 4" xfId="44506"/>
    <cellStyle name="Header2 4 7 15 5" xfId="55699"/>
    <cellStyle name="Header2 4 7 16" xfId="11623"/>
    <cellStyle name="Header2 4 7 17" xfId="22793"/>
    <cellStyle name="Header2 4 7 18" xfId="33960"/>
    <cellStyle name="Header2 4 7 19" xfId="45146"/>
    <cellStyle name="Header2 4 7 2" xfId="1072"/>
    <cellStyle name="Header2 4 7 2 2" xfId="12269"/>
    <cellStyle name="Header2 4 7 2 3" xfId="23437"/>
    <cellStyle name="Header2 4 7 2 4" xfId="34602"/>
    <cellStyle name="Header2 4 7 2 5" xfId="45795"/>
    <cellStyle name="Header2 4 7 3" xfId="1543"/>
    <cellStyle name="Header2 4 7 3 2" xfId="12740"/>
    <cellStyle name="Header2 4 7 3 3" xfId="23908"/>
    <cellStyle name="Header2 4 7 3 4" xfId="35073"/>
    <cellStyle name="Header2 4 7 3 5" xfId="46266"/>
    <cellStyle name="Header2 4 7 4" xfId="2773"/>
    <cellStyle name="Header2 4 7 4 2" xfId="13970"/>
    <cellStyle name="Header2 4 7 4 3" xfId="25138"/>
    <cellStyle name="Header2 4 7 4 4" xfId="36303"/>
    <cellStyle name="Header2 4 7 4 5" xfId="47496"/>
    <cellStyle name="Header2 4 7 5" xfId="3407"/>
    <cellStyle name="Header2 4 7 5 2" xfId="14604"/>
    <cellStyle name="Header2 4 7 5 3" xfId="25772"/>
    <cellStyle name="Header2 4 7 5 4" xfId="36937"/>
    <cellStyle name="Header2 4 7 5 5" xfId="48130"/>
    <cellStyle name="Header2 4 7 6" xfId="4041"/>
    <cellStyle name="Header2 4 7 6 2" xfId="15238"/>
    <cellStyle name="Header2 4 7 6 3" xfId="26406"/>
    <cellStyle name="Header2 4 7 6 4" xfId="37571"/>
    <cellStyle name="Header2 4 7 6 5" xfId="48764"/>
    <cellStyle name="Header2 4 7 7" xfId="4674"/>
    <cellStyle name="Header2 4 7 7 2" xfId="15871"/>
    <cellStyle name="Header2 4 7 7 3" xfId="27039"/>
    <cellStyle name="Header2 4 7 7 4" xfId="38204"/>
    <cellStyle name="Header2 4 7 7 5" xfId="49397"/>
    <cellStyle name="Header2 4 7 8" xfId="5305"/>
    <cellStyle name="Header2 4 7 8 2" xfId="16502"/>
    <cellStyle name="Header2 4 7 8 3" xfId="27670"/>
    <cellStyle name="Header2 4 7 8 4" xfId="38835"/>
    <cellStyle name="Header2 4 7 8 5" xfId="50028"/>
    <cellStyle name="Header2 4 7 9" xfId="6359"/>
    <cellStyle name="Header2 4 7 9 2" xfId="17556"/>
    <cellStyle name="Header2 4 7 9 3" xfId="28724"/>
    <cellStyle name="Header2 4 7 9 4" xfId="39889"/>
    <cellStyle name="Header2 4 7 9 5" xfId="51082"/>
    <cellStyle name="Header2 4 8" xfId="499"/>
    <cellStyle name="Header2 4 8 10" xfId="7068"/>
    <cellStyle name="Header2 4 8 10 2" xfId="18265"/>
    <cellStyle name="Header2 4 8 10 3" xfId="29433"/>
    <cellStyle name="Header2 4 8 10 4" xfId="40598"/>
    <cellStyle name="Header2 4 8 10 5" xfId="51791"/>
    <cellStyle name="Header2 4 8 11" xfId="7702"/>
    <cellStyle name="Header2 4 8 11 2" xfId="18899"/>
    <cellStyle name="Header2 4 8 11 3" xfId="30067"/>
    <cellStyle name="Header2 4 8 11 4" xfId="41232"/>
    <cellStyle name="Header2 4 8 11 5" xfId="52425"/>
    <cellStyle name="Header2 4 8 12" xfId="8336"/>
    <cellStyle name="Header2 4 8 12 2" xfId="19533"/>
    <cellStyle name="Header2 4 8 12 3" xfId="30701"/>
    <cellStyle name="Header2 4 8 12 4" xfId="41866"/>
    <cellStyle name="Header2 4 8 12 5" xfId="53059"/>
    <cellStyle name="Header2 4 8 13" xfId="9387"/>
    <cellStyle name="Header2 4 8 13 2" xfId="20584"/>
    <cellStyle name="Header2 4 8 13 3" xfId="31752"/>
    <cellStyle name="Header2 4 8 13 4" xfId="42917"/>
    <cellStyle name="Header2 4 8 13 5" xfId="54110"/>
    <cellStyle name="Header2 4 8 14" xfId="10543"/>
    <cellStyle name="Header2 4 8 14 2" xfId="21740"/>
    <cellStyle name="Header2 4 8 14 3" xfId="32908"/>
    <cellStyle name="Header2 4 8 14 4" xfId="44073"/>
    <cellStyle name="Header2 4 8 14 5" xfId="55266"/>
    <cellStyle name="Header2 4 8 15" xfId="11052"/>
    <cellStyle name="Header2 4 8 15 2" xfId="22249"/>
    <cellStyle name="Header2 4 8 15 3" xfId="33417"/>
    <cellStyle name="Header2 4 8 15 4" xfId="44582"/>
    <cellStyle name="Header2 4 8 15 5" xfId="55775"/>
    <cellStyle name="Header2 4 8 16" xfId="11699"/>
    <cellStyle name="Header2 4 8 17" xfId="22869"/>
    <cellStyle name="Header2 4 8 18" xfId="34036"/>
    <cellStyle name="Header2 4 8 19" xfId="45222"/>
    <cellStyle name="Header2 4 8 2" xfId="1148"/>
    <cellStyle name="Header2 4 8 2 2" xfId="12345"/>
    <cellStyle name="Header2 4 8 2 3" xfId="23513"/>
    <cellStyle name="Header2 4 8 2 4" xfId="34678"/>
    <cellStyle name="Header2 4 8 2 5" xfId="45871"/>
    <cellStyle name="Header2 4 8 3" xfId="1365"/>
    <cellStyle name="Header2 4 8 3 2" xfId="12562"/>
    <cellStyle name="Header2 4 8 3 3" xfId="23730"/>
    <cellStyle name="Header2 4 8 3 4" xfId="34895"/>
    <cellStyle name="Header2 4 8 3 5" xfId="46088"/>
    <cellStyle name="Header2 4 8 4" xfId="2849"/>
    <cellStyle name="Header2 4 8 4 2" xfId="14046"/>
    <cellStyle name="Header2 4 8 4 3" xfId="25214"/>
    <cellStyle name="Header2 4 8 4 4" xfId="36379"/>
    <cellStyle name="Header2 4 8 4 5" xfId="47572"/>
    <cellStyle name="Header2 4 8 5" xfId="3483"/>
    <cellStyle name="Header2 4 8 5 2" xfId="14680"/>
    <cellStyle name="Header2 4 8 5 3" xfId="25848"/>
    <cellStyle name="Header2 4 8 5 4" xfId="37013"/>
    <cellStyle name="Header2 4 8 5 5" xfId="48206"/>
    <cellStyle name="Header2 4 8 6" xfId="4117"/>
    <cellStyle name="Header2 4 8 6 2" xfId="15314"/>
    <cellStyle name="Header2 4 8 6 3" xfId="26482"/>
    <cellStyle name="Header2 4 8 6 4" xfId="37647"/>
    <cellStyle name="Header2 4 8 6 5" xfId="48840"/>
    <cellStyle name="Header2 4 8 7" xfId="4750"/>
    <cellStyle name="Header2 4 8 7 2" xfId="15947"/>
    <cellStyle name="Header2 4 8 7 3" xfId="27115"/>
    <cellStyle name="Header2 4 8 7 4" xfId="38280"/>
    <cellStyle name="Header2 4 8 7 5" xfId="49473"/>
    <cellStyle name="Header2 4 8 8" xfId="5381"/>
    <cellStyle name="Header2 4 8 8 2" xfId="16578"/>
    <cellStyle name="Header2 4 8 8 3" xfId="27746"/>
    <cellStyle name="Header2 4 8 8 4" xfId="38911"/>
    <cellStyle name="Header2 4 8 8 5" xfId="50104"/>
    <cellStyle name="Header2 4 8 9" xfId="6435"/>
    <cellStyle name="Header2 4 8 9 2" xfId="17632"/>
    <cellStyle name="Header2 4 8 9 3" xfId="28800"/>
    <cellStyle name="Header2 4 8 9 4" xfId="39965"/>
    <cellStyle name="Header2 4 8 9 5" xfId="51158"/>
    <cellStyle name="Header2 4 9" xfId="557"/>
    <cellStyle name="Header2 4 9 10" xfId="7126"/>
    <cellStyle name="Header2 4 9 10 2" xfId="18323"/>
    <cellStyle name="Header2 4 9 10 3" xfId="29491"/>
    <cellStyle name="Header2 4 9 10 4" xfId="40656"/>
    <cellStyle name="Header2 4 9 10 5" xfId="51849"/>
    <cellStyle name="Header2 4 9 11" xfId="7760"/>
    <cellStyle name="Header2 4 9 11 2" xfId="18957"/>
    <cellStyle name="Header2 4 9 11 3" xfId="30125"/>
    <cellStyle name="Header2 4 9 11 4" xfId="41290"/>
    <cellStyle name="Header2 4 9 11 5" xfId="52483"/>
    <cellStyle name="Header2 4 9 12" xfId="8394"/>
    <cellStyle name="Header2 4 9 12 2" xfId="19591"/>
    <cellStyle name="Header2 4 9 12 3" xfId="30759"/>
    <cellStyle name="Header2 4 9 12 4" xfId="41924"/>
    <cellStyle name="Header2 4 9 12 5" xfId="53117"/>
    <cellStyle name="Header2 4 9 13" xfId="9445"/>
    <cellStyle name="Header2 4 9 13 2" xfId="20642"/>
    <cellStyle name="Header2 4 9 13 3" xfId="31810"/>
    <cellStyle name="Header2 4 9 13 4" xfId="42975"/>
    <cellStyle name="Header2 4 9 13 5" xfId="54168"/>
    <cellStyle name="Header2 4 9 14" xfId="10361"/>
    <cellStyle name="Header2 4 9 14 2" xfId="21558"/>
    <cellStyle name="Header2 4 9 14 3" xfId="32726"/>
    <cellStyle name="Header2 4 9 14 4" xfId="43891"/>
    <cellStyle name="Header2 4 9 14 5" xfId="55084"/>
    <cellStyle name="Header2 4 9 15" xfId="11110"/>
    <cellStyle name="Header2 4 9 15 2" xfId="22307"/>
    <cellStyle name="Header2 4 9 15 3" xfId="33475"/>
    <cellStyle name="Header2 4 9 15 4" xfId="44640"/>
    <cellStyle name="Header2 4 9 15 5" xfId="55833"/>
    <cellStyle name="Header2 4 9 16" xfId="11757"/>
    <cellStyle name="Header2 4 9 17" xfId="22927"/>
    <cellStyle name="Header2 4 9 18" xfId="34094"/>
    <cellStyle name="Header2 4 9 19" xfId="45280"/>
    <cellStyle name="Header2 4 9 2" xfId="1206"/>
    <cellStyle name="Header2 4 9 2 2" xfId="12403"/>
    <cellStyle name="Header2 4 9 2 3" xfId="23571"/>
    <cellStyle name="Header2 4 9 2 4" xfId="34736"/>
    <cellStyle name="Header2 4 9 2 5" xfId="45929"/>
    <cellStyle name="Header2 4 9 3" xfId="1874"/>
    <cellStyle name="Header2 4 9 3 2" xfId="13071"/>
    <cellStyle name="Header2 4 9 3 3" xfId="24239"/>
    <cellStyle name="Header2 4 9 3 4" xfId="35404"/>
    <cellStyle name="Header2 4 9 3 5" xfId="46597"/>
    <cellStyle name="Header2 4 9 4" xfId="2907"/>
    <cellStyle name="Header2 4 9 4 2" xfId="14104"/>
    <cellStyle name="Header2 4 9 4 3" xfId="25272"/>
    <cellStyle name="Header2 4 9 4 4" xfId="36437"/>
    <cellStyle name="Header2 4 9 4 5" xfId="47630"/>
    <cellStyle name="Header2 4 9 5" xfId="3541"/>
    <cellStyle name="Header2 4 9 5 2" xfId="14738"/>
    <cellStyle name="Header2 4 9 5 3" xfId="25906"/>
    <cellStyle name="Header2 4 9 5 4" xfId="37071"/>
    <cellStyle name="Header2 4 9 5 5" xfId="48264"/>
    <cellStyle name="Header2 4 9 6" xfId="4175"/>
    <cellStyle name="Header2 4 9 6 2" xfId="15372"/>
    <cellStyle name="Header2 4 9 6 3" xfId="26540"/>
    <cellStyle name="Header2 4 9 6 4" xfId="37705"/>
    <cellStyle name="Header2 4 9 6 5" xfId="48898"/>
    <cellStyle name="Header2 4 9 7" xfId="4808"/>
    <cellStyle name="Header2 4 9 7 2" xfId="16005"/>
    <cellStyle name="Header2 4 9 7 3" xfId="27173"/>
    <cellStyle name="Header2 4 9 7 4" xfId="38338"/>
    <cellStyle name="Header2 4 9 7 5" xfId="49531"/>
    <cellStyle name="Header2 4 9 8" xfId="5439"/>
    <cellStyle name="Header2 4 9 8 2" xfId="16636"/>
    <cellStyle name="Header2 4 9 8 3" xfId="27804"/>
    <cellStyle name="Header2 4 9 8 4" xfId="38969"/>
    <cellStyle name="Header2 4 9 8 5" xfId="50162"/>
    <cellStyle name="Header2 4 9 9" xfId="6493"/>
    <cellStyle name="Header2 4 9 9 2" xfId="17690"/>
    <cellStyle name="Header2 4 9 9 3" xfId="28858"/>
    <cellStyle name="Header2 4 9 9 4" xfId="40023"/>
    <cellStyle name="Header2 4 9 9 5" xfId="51216"/>
    <cellStyle name="Header2 5" xfId="32"/>
    <cellStyle name="Header2 5 10" xfId="5941"/>
    <cellStyle name="Header2 5 10 2" xfId="17138"/>
    <cellStyle name="Header2 5 10 3" xfId="28306"/>
    <cellStyle name="Header2 5 10 4" xfId="39471"/>
    <cellStyle name="Header2 5 10 5" xfId="50664"/>
    <cellStyle name="Header2 5 11" xfId="5840"/>
    <cellStyle name="Header2 5 11 2" xfId="17037"/>
    <cellStyle name="Header2 5 11 3" xfId="28205"/>
    <cellStyle name="Header2 5 11 4" xfId="39370"/>
    <cellStyle name="Header2 5 11 5" xfId="50563"/>
    <cellStyle name="Header2 5 12" xfId="6617"/>
    <cellStyle name="Header2 5 12 2" xfId="17814"/>
    <cellStyle name="Header2 5 12 3" xfId="28982"/>
    <cellStyle name="Header2 5 12 4" xfId="40147"/>
    <cellStyle name="Header2 5 12 5" xfId="51340"/>
    <cellStyle name="Header2 5 13" xfId="7891"/>
    <cellStyle name="Header2 5 13 2" xfId="19088"/>
    <cellStyle name="Header2 5 13 3" xfId="30256"/>
    <cellStyle name="Header2 5 13 4" xfId="41421"/>
    <cellStyle name="Header2 5 13 5" xfId="52614"/>
    <cellStyle name="Header2 5 14" xfId="10070"/>
    <cellStyle name="Header2 5 14 2" xfId="21267"/>
    <cellStyle name="Header2 5 14 3" xfId="32435"/>
    <cellStyle name="Header2 5 14 4" xfId="43600"/>
    <cellStyle name="Header2 5 14 5" xfId="54793"/>
    <cellStyle name="Header2 5 15" xfId="10128"/>
    <cellStyle name="Header2 5 15 2" xfId="21325"/>
    <cellStyle name="Header2 5 15 3" xfId="32493"/>
    <cellStyle name="Header2 5 15 4" xfId="43658"/>
    <cellStyle name="Header2 5 15 5" xfId="54851"/>
    <cellStyle name="Header2 5 16" xfId="11234"/>
    <cellStyle name="Header2 5 17" xfId="11897"/>
    <cellStyle name="Header2 5 18" xfId="24"/>
    <cellStyle name="Header2 5 19" xfId="44761"/>
    <cellStyle name="Header2 5 2" xfId="687"/>
    <cellStyle name="Header2 5 2 2" xfId="11886"/>
    <cellStyle name="Header2 5 2 3" xfId="23055"/>
    <cellStyle name="Header2 5 2 4" xfId="34222"/>
    <cellStyle name="Header2 5 2 5" xfId="45410"/>
    <cellStyle name="Header2 5 3" xfId="1826"/>
    <cellStyle name="Header2 5 3 2" xfId="13023"/>
    <cellStyle name="Header2 5 3 3" xfId="24191"/>
    <cellStyle name="Header2 5 3 4" xfId="35356"/>
    <cellStyle name="Header2 5 3 5" xfId="46549"/>
    <cellStyle name="Header2 5 4" xfId="2424"/>
    <cellStyle name="Header2 5 4 2" xfId="13621"/>
    <cellStyle name="Header2 5 4 3" xfId="24789"/>
    <cellStyle name="Header2 5 4 4" xfId="35954"/>
    <cellStyle name="Header2 5 4 5" xfId="47147"/>
    <cellStyle name="Header2 5 5" xfId="1968"/>
    <cellStyle name="Header2 5 5 2" xfId="13165"/>
    <cellStyle name="Header2 5 5 3" xfId="24333"/>
    <cellStyle name="Header2 5 5 4" xfId="35498"/>
    <cellStyle name="Header2 5 5 5" xfId="46691"/>
    <cellStyle name="Header2 5 6" xfId="2179"/>
    <cellStyle name="Header2 5 6 2" xfId="13376"/>
    <cellStyle name="Header2 5 6 3" xfId="24544"/>
    <cellStyle name="Header2 5 6 4" xfId="35709"/>
    <cellStyle name="Header2 5 6 5" xfId="46902"/>
    <cellStyle name="Header2 5 7" xfId="1324"/>
    <cellStyle name="Header2 5 7 2" xfId="12521"/>
    <cellStyle name="Header2 5 7 3" xfId="23689"/>
    <cellStyle name="Header2 5 7 4" xfId="34854"/>
    <cellStyle name="Header2 5 7 5" xfId="46047"/>
    <cellStyle name="Header2 5 8" xfId="3669"/>
    <cellStyle name="Header2 5 8 2" xfId="14866"/>
    <cellStyle name="Header2 5 8 3" xfId="26034"/>
    <cellStyle name="Header2 5 8 4" xfId="37199"/>
    <cellStyle name="Header2 5 8 5" xfId="48392"/>
    <cellStyle name="Header2 5 9" xfId="6179"/>
    <cellStyle name="Header2 5 9 2" xfId="17376"/>
    <cellStyle name="Header2 5 9 3" xfId="28544"/>
    <cellStyle name="Header2 5 9 4" xfId="39709"/>
    <cellStyle name="Header2 5 9 5" xfId="50902"/>
    <cellStyle name="Header2 6" xfId="21"/>
    <cellStyle name="Header2 7" xfId="14"/>
    <cellStyle name="Hyperlink" xfId="6" builtinId="8"/>
    <cellStyle name="Hyperlink 2" xfId="28"/>
    <cellStyle name="Input [yellow]" xfId="7"/>
    <cellStyle name="Input [yellow] 2" xfId="43"/>
    <cellStyle name="Input [yellow] 2 10" xfId="78"/>
    <cellStyle name="Input [yellow] 2 10 10" xfId="598"/>
    <cellStyle name="Input [yellow] 2 10 10 10" xfId="5903"/>
    <cellStyle name="Input [yellow] 2 10 10 10 2" xfId="17100"/>
    <cellStyle name="Input [yellow] 2 10 10 10 3" xfId="28268"/>
    <cellStyle name="Input [yellow] 2 10 10 10 4" xfId="39433"/>
    <cellStyle name="Input [yellow] 2 10 10 10 5" xfId="50626"/>
    <cellStyle name="Input [yellow] 2 10 10 11" xfId="6534"/>
    <cellStyle name="Input [yellow] 2 10 10 11 2" xfId="17731"/>
    <cellStyle name="Input [yellow] 2 10 10 11 3" xfId="28899"/>
    <cellStyle name="Input [yellow] 2 10 10 11 4" xfId="40064"/>
    <cellStyle name="Input [yellow] 2 10 10 11 5" xfId="51257"/>
    <cellStyle name="Input [yellow] 2 10 10 12" xfId="7167"/>
    <cellStyle name="Input [yellow] 2 10 10 12 2" xfId="18364"/>
    <cellStyle name="Input [yellow] 2 10 10 12 3" xfId="29532"/>
    <cellStyle name="Input [yellow] 2 10 10 12 4" xfId="40697"/>
    <cellStyle name="Input [yellow] 2 10 10 12 5" xfId="51890"/>
    <cellStyle name="Input [yellow] 2 10 10 13" xfId="7801"/>
    <cellStyle name="Input [yellow] 2 10 10 13 2" xfId="18998"/>
    <cellStyle name="Input [yellow] 2 10 10 13 3" xfId="30166"/>
    <cellStyle name="Input [yellow] 2 10 10 13 4" xfId="41331"/>
    <cellStyle name="Input [yellow] 2 10 10 13 5" xfId="52524"/>
    <cellStyle name="Input [yellow] 2 10 10 14" xfId="8435"/>
    <cellStyle name="Input [yellow] 2 10 10 14 2" xfId="19632"/>
    <cellStyle name="Input [yellow] 2 10 10 14 3" xfId="30800"/>
    <cellStyle name="Input [yellow] 2 10 10 14 4" xfId="41965"/>
    <cellStyle name="Input [yellow] 2 10 10 14 5" xfId="53158"/>
    <cellStyle name="Input [yellow] 2 10 10 15" xfId="9063"/>
    <cellStyle name="Input [yellow] 2 10 10 15 2" xfId="20260"/>
    <cellStyle name="Input [yellow] 2 10 10 15 3" xfId="31428"/>
    <cellStyle name="Input [yellow] 2 10 10 15 4" xfId="42593"/>
    <cellStyle name="Input [yellow] 2 10 10 15 5" xfId="53786"/>
    <cellStyle name="Input [yellow] 2 10 10 16" xfId="9486"/>
    <cellStyle name="Input [yellow] 2 10 10 16 2" xfId="20683"/>
    <cellStyle name="Input [yellow] 2 10 10 16 3" xfId="31851"/>
    <cellStyle name="Input [yellow] 2 10 10 16 4" xfId="43016"/>
    <cellStyle name="Input [yellow] 2 10 10 16 5" xfId="54209"/>
    <cellStyle name="Input [yellow] 2 10 10 17" xfId="10111"/>
    <cellStyle name="Input [yellow] 2 10 10 17 2" xfId="21308"/>
    <cellStyle name="Input [yellow] 2 10 10 17 3" xfId="32476"/>
    <cellStyle name="Input [yellow] 2 10 10 17 4" xfId="43641"/>
    <cellStyle name="Input [yellow] 2 10 10 17 5" xfId="54834"/>
    <cellStyle name="Input [yellow] 2 10 10 18" xfId="10519"/>
    <cellStyle name="Input [yellow] 2 10 10 18 2" xfId="21716"/>
    <cellStyle name="Input [yellow] 2 10 10 18 3" xfId="32884"/>
    <cellStyle name="Input [yellow] 2 10 10 18 4" xfId="44049"/>
    <cellStyle name="Input [yellow] 2 10 10 18 5" xfId="55242"/>
    <cellStyle name="Input [yellow] 2 10 10 19" xfId="11151"/>
    <cellStyle name="Input [yellow] 2 10 10 19 2" xfId="22348"/>
    <cellStyle name="Input [yellow] 2 10 10 19 3" xfId="33516"/>
    <cellStyle name="Input [yellow] 2 10 10 19 4" xfId="44681"/>
    <cellStyle name="Input [yellow] 2 10 10 19 5" xfId="55874"/>
    <cellStyle name="Input [yellow] 2 10 10 2" xfId="1247"/>
    <cellStyle name="Input [yellow] 2 10 10 2 2" xfId="12444"/>
    <cellStyle name="Input [yellow] 2 10 10 2 3" xfId="23612"/>
    <cellStyle name="Input [yellow] 2 10 10 2 4" xfId="34777"/>
    <cellStyle name="Input [yellow] 2 10 10 2 5" xfId="45970"/>
    <cellStyle name="Input [yellow] 2 10 10 20" xfId="11798"/>
    <cellStyle name="Input [yellow] 2 10 10 21" xfId="22968"/>
    <cellStyle name="Input [yellow] 2 10 10 22" xfId="34135"/>
    <cellStyle name="Input [yellow] 2 10 10 23" xfId="45321"/>
    <cellStyle name="Input [yellow] 2 10 10 3" xfId="1880"/>
    <cellStyle name="Input [yellow] 2 10 10 3 2" xfId="13077"/>
    <cellStyle name="Input [yellow] 2 10 10 3 3" xfId="24245"/>
    <cellStyle name="Input [yellow] 2 10 10 3 4" xfId="35410"/>
    <cellStyle name="Input [yellow] 2 10 10 3 5" xfId="46603"/>
    <cellStyle name="Input [yellow] 2 10 10 4" xfId="2523"/>
    <cellStyle name="Input [yellow] 2 10 10 4 2" xfId="13720"/>
    <cellStyle name="Input [yellow] 2 10 10 4 3" xfId="24888"/>
    <cellStyle name="Input [yellow] 2 10 10 4 4" xfId="36053"/>
    <cellStyle name="Input [yellow] 2 10 10 4 5" xfId="47246"/>
    <cellStyle name="Input [yellow] 2 10 10 5" xfId="2948"/>
    <cellStyle name="Input [yellow] 2 10 10 5 2" xfId="14145"/>
    <cellStyle name="Input [yellow] 2 10 10 5 3" xfId="25313"/>
    <cellStyle name="Input [yellow] 2 10 10 5 4" xfId="36478"/>
    <cellStyle name="Input [yellow] 2 10 10 5 5" xfId="47671"/>
    <cellStyle name="Input [yellow] 2 10 10 6" xfId="3582"/>
    <cellStyle name="Input [yellow] 2 10 10 6 2" xfId="14779"/>
    <cellStyle name="Input [yellow] 2 10 10 6 3" xfId="25947"/>
    <cellStyle name="Input [yellow] 2 10 10 6 4" xfId="37112"/>
    <cellStyle name="Input [yellow] 2 10 10 6 5" xfId="48305"/>
    <cellStyle name="Input [yellow] 2 10 10 7" xfId="4216"/>
    <cellStyle name="Input [yellow] 2 10 10 7 2" xfId="15413"/>
    <cellStyle name="Input [yellow] 2 10 10 7 3" xfId="26581"/>
    <cellStyle name="Input [yellow] 2 10 10 7 4" xfId="37746"/>
    <cellStyle name="Input [yellow] 2 10 10 7 5" xfId="48939"/>
    <cellStyle name="Input [yellow] 2 10 10 8" xfId="4849"/>
    <cellStyle name="Input [yellow] 2 10 10 8 2" xfId="16046"/>
    <cellStyle name="Input [yellow] 2 10 10 8 3" xfId="27214"/>
    <cellStyle name="Input [yellow] 2 10 10 8 4" xfId="38379"/>
    <cellStyle name="Input [yellow] 2 10 10 8 5" xfId="49572"/>
    <cellStyle name="Input [yellow] 2 10 10 9" xfId="5480"/>
    <cellStyle name="Input [yellow] 2 10 10 9 2" xfId="16677"/>
    <cellStyle name="Input [yellow] 2 10 10 9 3" xfId="27845"/>
    <cellStyle name="Input [yellow] 2 10 10 9 4" xfId="39010"/>
    <cellStyle name="Input [yellow] 2 10 10 9 5" xfId="50203"/>
    <cellStyle name="Input [yellow] 2 10 11" xfId="653"/>
    <cellStyle name="Input [yellow] 2 10 11 10" xfId="5815"/>
    <cellStyle name="Input [yellow] 2 10 11 10 2" xfId="17012"/>
    <cellStyle name="Input [yellow] 2 10 11 10 3" xfId="28180"/>
    <cellStyle name="Input [yellow] 2 10 11 10 4" xfId="39345"/>
    <cellStyle name="Input [yellow] 2 10 11 10 5" xfId="50538"/>
    <cellStyle name="Input [yellow] 2 10 11 11" xfId="6589"/>
    <cellStyle name="Input [yellow] 2 10 11 11 2" xfId="17786"/>
    <cellStyle name="Input [yellow] 2 10 11 11 3" xfId="28954"/>
    <cellStyle name="Input [yellow] 2 10 11 11 4" xfId="40119"/>
    <cellStyle name="Input [yellow] 2 10 11 11 5" xfId="51312"/>
    <cellStyle name="Input [yellow] 2 10 11 12" xfId="7222"/>
    <cellStyle name="Input [yellow] 2 10 11 12 2" xfId="18419"/>
    <cellStyle name="Input [yellow] 2 10 11 12 3" xfId="29587"/>
    <cellStyle name="Input [yellow] 2 10 11 12 4" xfId="40752"/>
    <cellStyle name="Input [yellow] 2 10 11 12 5" xfId="51945"/>
    <cellStyle name="Input [yellow] 2 10 11 13" xfId="7856"/>
    <cellStyle name="Input [yellow] 2 10 11 13 2" xfId="19053"/>
    <cellStyle name="Input [yellow] 2 10 11 13 3" xfId="30221"/>
    <cellStyle name="Input [yellow] 2 10 11 13 4" xfId="41386"/>
    <cellStyle name="Input [yellow] 2 10 11 13 5" xfId="52579"/>
    <cellStyle name="Input [yellow] 2 10 11 14" xfId="8490"/>
    <cellStyle name="Input [yellow] 2 10 11 14 2" xfId="19687"/>
    <cellStyle name="Input [yellow] 2 10 11 14 3" xfId="30855"/>
    <cellStyle name="Input [yellow] 2 10 11 14 4" xfId="42020"/>
    <cellStyle name="Input [yellow] 2 10 11 14 5" xfId="53213"/>
    <cellStyle name="Input [yellow] 2 10 11 15" xfId="9118"/>
    <cellStyle name="Input [yellow] 2 10 11 15 2" xfId="20315"/>
    <cellStyle name="Input [yellow] 2 10 11 15 3" xfId="31483"/>
    <cellStyle name="Input [yellow] 2 10 11 15 4" xfId="42648"/>
    <cellStyle name="Input [yellow] 2 10 11 15 5" xfId="53841"/>
    <cellStyle name="Input [yellow] 2 10 11 16" xfId="9541"/>
    <cellStyle name="Input [yellow] 2 10 11 16 2" xfId="20738"/>
    <cellStyle name="Input [yellow] 2 10 11 16 3" xfId="31906"/>
    <cellStyle name="Input [yellow] 2 10 11 16 4" xfId="43071"/>
    <cellStyle name="Input [yellow] 2 10 11 16 5" xfId="54264"/>
    <cellStyle name="Input [yellow] 2 10 11 17" xfId="10166"/>
    <cellStyle name="Input [yellow] 2 10 11 17 2" xfId="21363"/>
    <cellStyle name="Input [yellow] 2 10 11 17 3" xfId="32531"/>
    <cellStyle name="Input [yellow] 2 10 11 17 4" xfId="43696"/>
    <cellStyle name="Input [yellow] 2 10 11 17 5" xfId="54889"/>
    <cellStyle name="Input [yellow] 2 10 11 18" xfId="10389"/>
    <cellStyle name="Input [yellow] 2 10 11 18 2" xfId="21586"/>
    <cellStyle name="Input [yellow] 2 10 11 18 3" xfId="32754"/>
    <cellStyle name="Input [yellow] 2 10 11 18 4" xfId="43919"/>
    <cellStyle name="Input [yellow] 2 10 11 18 5" xfId="55112"/>
    <cellStyle name="Input [yellow] 2 10 11 19" xfId="11206"/>
    <cellStyle name="Input [yellow] 2 10 11 19 2" xfId="22403"/>
    <cellStyle name="Input [yellow] 2 10 11 19 3" xfId="33571"/>
    <cellStyle name="Input [yellow] 2 10 11 19 4" xfId="44736"/>
    <cellStyle name="Input [yellow] 2 10 11 19 5" xfId="55929"/>
    <cellStyle name="Input [yellow] 2 10 11 2" xfId="1302"/>
    <cellStyle name="Input [yellow] 2 10 11 2 2" xfId="12499"/>
    <cellStyle name="Input [yellow] 2 10 11 2 3" xfId="23667"/>
    <cellStyle name="Input [yellow] 2 10 11 2 4" xfId="34832"/>
    <cellStyle name="Input [yellow] 2 10 11 2 5" xfId="46025"/>
    <cellStyle name="Input [yellow] 2 10 11 20" xfId="11853"/>
    <cellStyle name="Input [yellow] 2 10 11 21" xfId="23023"/>
    <cellStyle name="Input [yellow] 2 10 11 22" xfId="34190"/>
    <cellStyle name="Input [yellow] 2 10 11 23" xfId="45376"/>
    <cellStyle name="Input [yellow] 2 10 11 3" xfId="1905"/>
    <cellStyle name="Input [yellow] 2 10 11 3 2" xfId="13102"/>
    <cellStyle name="Input [yellow] 2 10 11 3 3" xfId="24270"/>
    <cellStyle name="Input [yellow] 2 10 11 3 4" xfId="35435"/>
    <cellStyle name="Input [yellow] 2 10 11 3 5" xfId="46628"/>
    <cellStyle name="Input [yellow] 2 10 11 4" xfId="2578"/>
    <cellStyle name="Input [yellow] 2 10 11 4 2" xfId="13775"/>
    <cellStyle name="Input [yellow] 2 10 11 4 3" xfId="24943"/>
    <cellStyle name="Input [yellow] 2 10 11 4 4" xfId="36108"/>
    <cellStyle name="Input [yellow] 2 10 11 4 5" xfId="47301"/>
    <cellStyle name="Input [yellow] 2 10 11 5" xfId="3003"/>
    <cellStyle name="Input [yellow] 2 10 11 5 2" xfId="14200"/>
    <cellStyle name="Input [yellow] 2 10 11 5 3" xfId="25368"/>
    <cellStyle name="Input [yellow] 2 10 11 5 4" xfId="36533"/>
    <cellStyle name="Input [yellow] 2 10 11 5 5" xfId="47726"/>
    <cellStyle name="Input [yellow] 2 10 11 6" xfId="3637"/>
    <cellStyle name="Input [yellow] 2 10 11 6 2" xfId="14834"/>
    <cellStyle name="Input [yellow] 2 10 11 6 3" xfId="26002"/>
    <cellStyle name="Input [yellow] 2 10 11 6 4" xfId="37167"/>
    <cellStyle name="Input [yellow] 2 10 11 6 5" xfId="48360"/>
    <cellStyle name="Input [yellow] 2 10 11 7" xfId="4271"/>
    <cellStyle name="Input [yellow] 2 10 11 7 2" xfId="15468"/>
    <cellStyle name="Input [yellow] 2 10 11 7 3" xfId="26636"/>
    <cellStyle name="Input [yellow] 2 10 11 7 4" xfId="37801"/>
    <cellStyle name="Input [yellow] 2 10 11 7 5" xfId="48994"/>
    <cellStyle name="Input [yellow] 2 10 11 8" xfId="4904"/>
    <cellStyle name="Input [yellow] 2 10 11 8 2" xfId="16101"/>
    <cellStyle name="Input [yellow] 2 10 11 8 3" xfId="27269"/>
    <cellStyle name="Input [yellow] 2 10 11 8 4" xfId="38434"/>
    <cellStyle name="Input [yellow] 2 10 11 8 5" xfId="49627"/>
    <cellStyle name="Input [yellow] 2 10 11 9" xfId="5535"/>
    <cellStyle name="Input [yellow] 2 10 11 9 2" xfId="16732"/>
    <cellStyle name="Input [yellow] 2 10 11 9 3" xfId="27900"/>
    <cellStyle name="Input [yellow] 2 10 11 9 4" xfId="39065"/>
    <cellStyle name="Input [yellow] 2 10 11 9 5" xfId="50258"/>
    <cellStyle name="Input [yellow] 2 10 12" xfId="727"/>
    <cellStyle name="Input [yellow] 2 10 12 2" xfId="11925"/>
    <cellStyle name="Input [yellow] 2 10 12 3" xfId="23093"/>
    <cellStyle name="Input [yellow] 2 10 12 4" xfId="34258"/>
    <cellStyle name="Input [yellow] 2 10 12 5" xfId="45450"/>
    <cellStyle name="Input [yellow] 2 10 13" xfId="1730"/>
    <cellStyle name="Input [yellow] 2 10 13 2" xfId="12927"/>
    <cellStyle name="Input [yellow] 2 10 13 3" xfId="24095"/>
    <cellStyle name="Input [yellow] 2 10 13 4" xfId="35260"/>
    <cellStyle name="Input [yellow] 2 10 13 5" xfId="46453"/>
    <cellStyle name="Input [yellow] 2 10 14" xfId="2004"/>
    <cellStyle name="Input [yellow] 2 10 14 2" xfId="13201"/>
    <cellStyle name="Input [yellow] 2 10 14 3" xfId="24369"/>
    <cellStyle name="Input [yellow] 2 10 14 4" xfId="35534"/>
    <cellStyle name="Input [yellow] 2 10 14 5" xfId="46727"/>
    <cellStyle name="Input [yellow] 2 10 15" xfId="2205"/>
    <cellStyle name="Input [yellow] 2 10 15 2" xfId="13402"/>
    <cellStyle name="Input [yellow] 2 10 15 3" xfId="24570"/>
    <cellStyle name="Input [yellow] 2 10 15 4" xfId="35735"/>
    <cellStyle name="Input [yellow] 2 10 15 5" xfId="46928"/>
    <cellStyle name="Input [yellow] 2 10 16" xfId="3062"/>
    <cellStyle name="Input [yellow] 2 10 16 2" xfId="14259"/>
    <cellStyle name="Input [yellow] 2 10 16 3" xfId="25427"/>
    <cellStyle name="Input [yellow] 2 10 16 4" xfId="36592"/>
    <cellStyle name="Input [yellow] 2 10 16 5" xfId="47785"/>
    <cellStyle name="Input [yellow] 2 10 17" xfId="3696"/>
    <cellStyle name="Input [yellow] 2 10 17 2" xfId="14893"/>
    <cellStyle name="Input [yellow] 2 10 17 3" xfId="26061"/>
    <cellStyle name="Input [yellow] 2 10 17 4" xfId="37226"/>
    <cellStyle name="Input [yellow] 2 10 17 5" xfId="48419"/>
    <cellStyle name="Input [yellow] 2 10 18" xfId="4329"/>
    <cellStyle name="Input [yellow] 2 10 18 2" xfId="15526"/>
    <cellStyle name="Input [yellow] 2 10 18 3" xfId="26694"/>
    <cellStyle name="Input [yellow] 2 10 18 4" xfId="37859"/>
    <cellStyle name="Input [yellow] 2 10 18 5" xfId="49052"/>
    <cellStyle name="Input [yellow] 2 10 19" xfId="4961"/>
    <cellStyle name="Input [yellow] 2 10 19 2" xfId="16158"/>
    <cellStyle name="Input [yellow] 2 10 19 3" xfId="27326"/>
    <cellStyle name="Input [yellow] 2 10 19 4" xfId="38491"/>
    <cellStyle name="Input [yellow] 2 10 19 5" xfId="49684"/>
    <cellStyle name="Input [yellow] 2 10 2" xfId="142"/>
    <cellStyle name="Input [yellow] 2 10 2 10" xfId="5860"/>
    <cellStyle name="Input [yellow] 2 10 2 10 2" xfId="17057"/>
    <cellStyle name="Input [yellow] 2 10 2 10 3" xfId="28225"/>
    <cellStyle name="Input [yellow] 2 10 2 10 4" xfId="39390"/>
    <cellStyle name="Input [yellow] 2 10 2 10 5" xfId="50583"/>
    <cellStyle name="Input [yellow] 2 10 2 11" xfId="5887"/>
    <cellStyle name="Input [yellow] 2 10 2 11 2" xfId="17084"/>
    <cellStyle name="Input [yellow] 2 10 2 11 3" xfId="28252"/>
    <cellStyle name="Input [yellow] 2 10 2 11 4" xfId="39417"/>
    <cellStyle name="Input [yellow] 2 10 2 11 5" xfId="50610"/>
    <cellStyle name="Input [yellow] 2 10 2 12" xfId="6711"/>
    <cellStyle name="Input [yellow] 2 10 2 12 2" xfId="17908"/>
    <cellStyle name="Input [yellow] 2 10 2 12 3" xfId="29076"/>
    <cellStyle name="Input [yellow] 2 10 2 12 4" xfId="40241"/>
    <cellStyle name="Input [yellow] 2 10 2 12 5" xfId="51434"/>
    <cellStyle name="Input [yellow] 2 10 2 13" xfId="7345"/>
    <cellStyle name="Input [yellow] 2 10 2 13 2" xfId="18542"/>
    <cellStyle name="Input [yellow] 2 10 2 13 3" xfId="29710"/>
    <cellStyle name="Input [yellow] 2 10 2 13 4" xfId="40875"/>
    <cellStyle name="Input [yellow] 2 10 2 13 5" xfId="52068"/>
    <cellStyle name="Input [yellow] 2 10 2 14" xfId="7979"/>
    <cellStyle name="Input [yellow] 2 10 2 14 2" xfId="19176"/>
    <cellStyle name="Input [yellow] 2 10 2 14 3" xfId="30344"/>
    <cellStyle name="Input [yellow] 2 10 2 14 4" xfId="41509"/>
    <cellStyle name="Input [yellow] 2 10 2 14 5" xfId="52702"/>
    <cellStyle name="Input [yellow] 2 10 2 15" xfId="8610"/>
    <cellStyle name="Input [yellow] 2 10 2 15 2" xfId="19807"/>
    <cellStyle name="Input [yellow] 2 10 2 15 3" xfId="30975"/>
    <cellStyle name="Input [yellow] 2 10 2 15 4" xfId="42140"/>
    <cellStyle name="Input [yellow] 2 10 2 15 5" xfId="53333"/>
    <cellStyle name="Input [yellow] 2 10 2 16" xfId="8725"/>
    <cellStyle name="Input [yellow] 2 10 2 16 2" xfId="19922"/>
    <cellStyle name="Input [yellow] 2 10 2 16 3" xfId="31090"/>
    <cellStyle name="Input [yellow] 2 10 2 16 4" xfId="42255"/>
    <cellStyle name="Input [yellow] 2 10 2 16 5" xfId="53448"/>
    <cellStyle name="Input [yellow] 2 10 2 17" xfId="9663"/>
    <cellStyle name="Input [yellow] 2 10 2 17 2" xfId="20860"/>
    <cellStyle name="Input [yellow] 2 10 2 17 3" xfId="32028"/>
    <cellStyle name="Input [yellow] 2 10 2 17 4" xfId="43193"/>
    <cellStyle name="Input [yellow] 2 10 2 17 5" xfId="54386"/>
    <cellStyle name="Input [yellow] 2 10 2 18" xfId="10497"/>
    <cellStyle name="Input [yellow] 2 10 2 18 2" xfId="21694"/>
    <cellStyle name="Input [yellow] 2 10 2 18 3" xfId="32862"/>
    <cellStyle name="Input [yellow] 2 10 2 18 4" xfId="44027"/>
    <cellStyle name="Input [yellow] 2 10 2 18 5" xfId="55220"/>
    <cellStyle name="Input [yellow] 2 10 2 19" xfId="10695"/>
    <cellStyle name="Input [yellow] 2 10 2 19 2" xfId="21892"/>
    <cellStyle name="Input [yellow] 2 10 2 19 3" xfId="33060"/>
    <cellStyle name="Input [yellow] 2 10 2 19 4" xfId="44225"/>
    <cellStyle name="Input [yellow] 2 10 2 19 5" xfId="55418"/>
    <cellStyle name="Input [yellow] 2 10 2 2" xfId="791"/>
    <cellStyle name="Input [yellow] 2 10 2 2 2" xfId="11988"/>
    <cellStyle name="Input [yellow] 2 10 2 2 3" xfId="23156"/>
    <cellStyle name="Input [yellow] 2 10 2 2 4" xfId="34321"/>
    <cellStyle name="Input [yellow] 2 10 2 2 5" xfId="45514"/>
    <cellStyle name="Input [yellow] 2 10 2 20" xfId="11342"/>
    <cellStyle name="Input [yellow] 2 10 2 21" xfId="22512"/>
    <cellStyle name="Input [yellow] 2 10 2 22" xfId="33679"/>
    <cellStyle name="Input [yellow] 2 10 2 23" xfId="44865"/>
    <cellStyle name="Input [yellow] 2 10 2 3" xfId="1794"/>
    <cellStyle name="Input [yellow] 2 10 2 3 2" xfId="12991"/>
    <cellStyle name="Input [yellow] 2 10 2 3 3" xfId="24159"/>
    <cellStyle name="Input [yellow] 2 10 2 3 4" xfId="35324"/>
    <cellStyle name="Input [yellow] 2 10 2 3 5" xfId="46517"/>
    <cellStyle name="Input [yellow] 2 10 2 4" xfId="2068"/>
    <cellStyle name="Input [yellow] 2 10 2 4 2" xfId="13265"/>
    <cellStyle name="Input [yellow] 2 10 2 4 3" xfId="24433"/>
    <cellStyle name="Input [yellow] 2 10 2 4 4" xfId="35598"/>
    <cellStyle name="Input [yellow] 2 10 2 4 5" xfId="46791"/>
    <cellStyle name="Input [yellow] 2 10 2 5" xfId="2306"/>
    <cellStyle name="Input [yellow] 2 10 2 5 2" xfId="13503"/>
    <cellStyle name="Input [yellow] 2 10 2 5 3" xfId="24671"/>
    <cellStyle name="Input [yellow] 2 10 2 5 4" xfId="35836"/>
    <cellStyle name="Input [yellow] 2 10 2 5 5" xfId="47029"/>
    <cellStyle name="Input [yellow] 2 10 2 6" xfId="3126"/>
    <cellStyle name="Input [yellow] 2 10 2 6 2" xfId="14323"/>
    <cellStyle name="Input [yellow] 2 10 2 6 3" xfId="25491"/>
    <cellStyle name="Input [yellow] 2 10 2 6 4" xfId="36656"/>
    <cellStyle name="Input [yellow] 2 10 2 6 5" xfId="47849"/>
    <cellStyle name="Input [yellow] 2 10 2 7" xfId="3760"/>
    <cellStyle name="Input [yellow] 2 10 2 7 2" xfId="14957"/>
    <cellStyle name="Input [yellow] 2 10 2 7 3" xfId="26125"/>
    <cellStyle name="Input [yellow] 2 10 2 7 4" xfId="37290"/>
    <cellStyle name="Input [yellow] 2 10 2 7 5" xfId="48483"/>
    <cellStyle name="Input [yellow] 2 10 2 8" xfId="4393"/>
    <cellStyle name="Input [yellow] 2 10 2 8 2" xfId="15590"/>
    <cellStyle name="Input [yellow] 2 10 2 8 3" xfId="26758"/>
    <cellStyle name="Input [yellow] 2 10 2 8 4" xfId="37923"/>
    <cellStyle name="Input [yellow] 2 10 2 8 5" xfId="49116"/>
    <cellStyle name="Input [yellow] 2 10 2 9" xfId="5024"/>
    <cellStyle name="Input [yellow] 2 10 2 9 2" xfId="16221"/>
    <cellStyle name="Input [yellow] 2 10 2 9 3" xfId="27389"/>
    <cellStyle name="Input [yellow] 2 10 2 9 4" xfId="38554"/>
    <cellStyle name="Input [yellow] 2 10 2 9 5" xfId="49747"/>
    <cellStyle name="Input [yellow] 2 10 20" xfId="5557"/>
    <cellStyle name="Input [yellow] 2 10 20 2" xfId="16754"/>
    <cellStyle name="Input [yellow] 2 10 20 3" xfId="27922"/>
    <cellStyle name="Input [yellow] 2 10 20 4" xfId="39087"/>
    <cellStyle name="Input [yellow] 2 10 20 5" xfId="50280"/>
    <cellStyle name="Input [yellow] 2 10 21" xfId="6003"/>
    <cellStyle name="Input [yellow] 2 10 21 2" xfId="17200"/>
    <cellStyle name="Input [yellow] 2 10 21 3" xfId="28368"/>
    <cellStyle name="Input [yellow] 2 10 21 4" xfId="39533"/>
    <cellStyle name="Input [yellow] 2 10 21 5" xfId="50726"/>
    <cellStyle name="Input [yellow] 2 10 22" xfId="6648"/>
    <cellStyle name="Input [yellow] 2 10 22 2" xfId="17845"/>
    <cellStyle name="Input [yellow] 2 10 22 3" xfId="29013"/>
    <cellStyle name="Input [yellow] 2 10 22 4" xfId="40178"/>
    <cellStyle name="Input [yellow] 2 10 22 5" xfId="51371"/>
    <cellStyle name="Input [yellow] 2 10 23" xfId="7281"/>
    <cellStyle name="Input [yellow] 2 10 23 2" xfId="18478"/>
    <cellStyle name="Input [yellow] 2 10 23 3" xfId="29646"/>
    <cellStyle name="Input [yellow] 2 10 23 4" xfId="40811"/>
    <cellStyle name="Input [yellow] 2 10 23 5" xfId="52004"/>
    <cellStyle name="Input [yellow] 2 10 24" xfId="7915"/>
    <cellStyle name="Input [yellow] 2 10 24 2" xfId="19112"/>
    <cellStyle name="Input [yellow] 2 10 24 3" xfId="30280"/>
    <cellStyle name="Input [yellow] 2 10 24 4" xfId="41445"/>
    <cellStyle name="Input [yellow] 2 10 24 5" xfId="52638"/>
    <cellStyle name="Input [yellow] 2 10 25" xfId="8547"/>
    <cellStyle name="Input [yellow] 2 10 25 2" xfId="19744"/>
    <cellStyle name="Input [yellow] 2 10 25 3" xfId="30912"/>
    <cellStyle name="Input [yellow] 2 10 25 4" xfId="42077"/>
    <cellStyle name="Input [yellow] 2 10 25 5" xfId="53270"/>
    <cellStyle name="Input [yellow] 2 10 26" xfId="9001"/>
    <cellStyle name="Input [yellow] 2 10 26 2" xfId="20198"/>
    <cellStyle name="Input [yellow] 2 10 26 3" xfId="31366"/>
    <cellStyle name="Input [yellow] 2 10 26 4" xfId="42531"/>
    <cellStyle name="Input [yellow] 2 10 26 5" xfId="53724"/>
    <cellStyle name="Input [yellow] 2 10 27" xfId="9600"/>
    <cellStyle name="Input [yellow] 2 10 27 2" xfId="20797"/>
    <cellStyle name="Input [yellow] 2 10 27 3" xfId="31965"/>
    <cellStyle name="Input [yellow] 2 10 27 4" xfId="43130"/>
    <cellStyle name="Input [yellow] 2 10 27 5" xfId="54323"/>
    <cellStyle name="Input [yellow] 2 10 28" xfId="10401"/>
    <cellStyle name="Input [yellow] 2 10 28 2" xfId="21598"/>
    <cellStyle name="Input [yellow] 2 10 28 3" xfId="32766"/>
    <cellStyle name="Input [yellow] 2 10 28 4" xfId="43931"/>
    <cellStyle name="Input [yellow] 2 10 28 5" xfId="55124"/>
    <cellStyle name="Input [yellow] 2 10 29" xfId="10632"/>
    <cellStyle name="Input [yellow] 2 10 29 2" xfId="21829"/>
    <cellStyle name="Input [yellow] 2 10 29 3" xfId="32997"/>
    <cellStyle name="Input [yellow] 2 10 29 4" xfId="44162"/>
    <cellStyle name="Input [yellow] 2 10 29 5" xfId="55355"/>
    <cellStyle name="Input [yellow] 2 10 3" xfId="198"/>
    <cellStyle name="Input [yellow] 2 10 3 10" xfId="5654"/>
    <cellStyle name="Input [yellow] 2 10 3 10 2" xfId="16851"/>
    <cellStyle name="Input [yellow] 2 10 3 10 3" xfId="28019"/>
    <cellStyle name="Input [yellow] 2 10 3 10 4" xfId="39184"/>
    <cellStyle name="Input [yellow] 2 10 3 10 5" xfId="50377"/>
    <cellStyle name="Input [yellow] 2 10 3 11" xfId="6061"/>
    <cellStyle name="Input [yellow] 2 10 3 11 2" xfId="17258"/>
    <cellStyle name="Input [yellow] 2 10 3 11 3" xfId="28426"/>
    <cellStyle name="Input [yellow] 2 10 3 11 4" xfId="39591"/>
    <cellStyle name="Input [yellow] 2 10 3 11 5" xfId="50784"/>
    <cellStyle name="Input [yellow] 2 10 3 12" xfId="6767"/>
    <cellStyle name="Input [yellow] 2 10 3 12 2" xfId="17964"/>
    <cellStyle name="Input [yellow] 2 10 3 12 3" xfId="29132"/>
    <cellStyle name="Input [yellow] 2 10 3 12 4" xfId="40297"/>
    <cellStyle name="Input [yellow] 2 10 3 12 5" xfId="51490"/>
    <cellStyle name="Input [yellow] 2 10 3 13" xfId="7401"/>
    <cellStyle name="Input [yellow] 2 10 3 13 2" xfId="18598"/>
    <cellStyle name="Input [yellow] 2 10 3 13 3" xfId="29766"/>
    <cellStyle name="Input [yellow] 2 10 3 13 4" xfId="40931"/>
    <cellStyle name="Input [yellow] 2 10 3 13 5" xfId="52124"/>
    <cellStyle name="Input [yellow] 2 10 3 14" xfId="8035"/>
    <cellStyle name="Input [yellow] 2 10 3 14 2" xfId="19232"/>
    <cellStyle name="Input [yellow] 2 10 3 14 3" xfId="30400"/>
    <cellStyle name="Input [yellow] 2 10 3 14 4" xfId="41565"/>
    <cellStyle name="Input [yellow] 2 10 3 14 5" xfId="52758"/>
    <cellStyle name="Input [yellow] 2 10 3 15" xfId="8666"/>
    <cellStyle name="Input [yellow] 2 10 3 15 2" xfId="19863"/>
    <cellStyle name="Input [yellow] 2 10 3 15 3" xfId="31031"/>
    <cellStyle name="Input [yellow] 2 10 3 15 4" xfId="42196"/>
    <cellStyle name="Input [yellow] 2 10 3 15 5" xfId="53389"/>
    <cellStyle name="Input [yellow] 2 10 3 16" xfId="8986"/>
    <cellStyle name="Input [yellow] 2 10 3 16 2" xfId="20183"/>
    <cellStyle name="Input [yellow] 2 10 3 16 3" xfId="31351"/>
    <cellStyle name="Input [yellow] 2 10 3 16 4" xfId="42516"/>
    <cellStyle name="Input [yellow] 2 10 3 16 5" xfId="53709"/>
    <cellStyle name="Input [yellow] 2 10 3 17" xfId="9717"/>
    <cellStyle name="Input [yellow] 2 10 3 17 2" xfId="20914"/>
    <cellStyle name="Input [yellow] 2 10 3 17 3" xfId="32082"/>
    <cellStyle name="Input [yellow] 2 10 3 17 4" xfId="43247"/>
    <cellStyle name="Input [yellow] 2 10 3 17 5" xfId="54440"/>
    <cellStyle name="Input [yellow] 2 10 3 18" xfId="10425"/>
    <cellStyle name="Input [yellow] 2 10 3 18 2" xfId="21622"/>
    <cellStyle name="Input [yellow] 2 10 3 18 3" xfId="32790"/>
    <cellStyle name="Input [yellow] 2 10 3 18 4" xfId="43955"/>
    <cellStyle name="Input [yellow] 2 10 3 18 5" xfId="55148"/>
    <cellStyle name="Input [yellow] 2 10 3 19" xfId="10751"/>
    <cellStyle name="Input [yellow] 2 10 3 19 2" xfId="21948"/>
    <cellStyle name="Input [yellow] 2 10 3 19 3" xfId="33116"/>
    <cellStyle name="Input [yellow] 2 10 3 19 4" xfId="44281"/>
    <cellStyle name="Input [yellow] 2 10 3 19 5" xfId="55474"/>
    <cellStyle name="Input [yellow] 2 10 3 2" xfId="847"/>
    <cellStyle name="Input [yellow] 2 10 3 2 2" xfId="12044"/>
    <cellStyle name="Input [yellow] 2 10 3 2 3" xfId="23212"/>
    <cellStyle name="Input [yellow] 2 10 3 2 4" xfId="34377"/>
    <cellStyle name="Input [yellow] 2 10 3 2 5" xfId="45570"/>
    <cellStyle name="Input [yellow] 2 10 3 20" xfId="11398"/>
    <cellStyle name="Input [yellow] 2 10 3 21" xfId="22568"/>
    <cellStyle name="Input [yellow] 2 10 3 22" xfId="33735"/>
    <cellStyle name="Input [yellow] 2 10 3 23" xfId="44921"/>
    <cellStyle name="Input [yellow] 2 10 3 3" xfId="1722"/>
    <cellStyle name="Input [yellow] 2 10 3 3 2" xfId="12919"/>
    <cellStyle name="Input [yellow] 2 10 3 3 3" xfId="24087"/>
    <cellStyle name="Input [yellow] 2 10 3 3 4" xfId="35252"/>
    <cellStyle name="Input [yellow] 2 10 3 3 5" xfId="46445"/>
    <cellStyle name="Input [yellow] 2 10 3 4" xfId="2124"/>
    <cellStyle name="Input [yellow] 2 10 3 4 2" xfId="13321"/>
    <cellStyle name="Input [yellow] 2 10 3 4 3" xfId="24489"/>
    <cellStyle name="Input [yellow] 2 10 3 4 4" xfId="35654"/>
    <cellStyle name="Input [yellow] 2 10 3 4 5" xfId="46847"/>
    <cellStyle name="Input [yellow] 2 10 3 5" xfId="2427"/>
    <cellStyle name="Input [yellow] 2 10 3 5 2" xfId="13624"/>
    <cellStyle name="Input [yellow] 2 10 3 5 3" xfId="24792"/>
    <cellStyle name="Input [yellow] 2 10 3 5 4" xfId="35957"/>
    <cellStyle name="Input [yellow] 2 10 3 5 5" xfId="47150"/>
    <cellStyle name="Input [yellow] 2 10 3 6" xfId="3182"/>
    <cellStyle name="Input [yellow] 2 10 3 6 2" xfId="14379"/>
    <cellStyle name="Input [yellow] 2 10 3 6 3" xfId="25547"/>
    <cellStyle name="Input [yellow] 2 10 3 6 4" xfId="36712"/>
    <cellStyle name="Input [yellow] 2 10 3 6 5" xfId="47905"/>
    <cellStyle name="Input [yellow] 2 10 3 7" xfId="3816"/>
    <cellStyle name="Input [yellow] 2 10 3 7 2" xfId="15013"/>
    <cellStyle name="Input [yellow] 2 10 3 7 3" xfId="26181"/>
    <cellStyle name="Input [yellow] 2 10 3 7 4" xfId="37346"/>
    <cellStyle name="Input [yellow] 2 10 3 7 5" xfId="48539"/>
    <cellStyle name="Input [yellow] 2 10 3 8" xfId="4449"/>
    <cellStyle name="Input [yellow] 2 10 3 8 2" xfId="15646"/>
    <cellStyle name="Input [yellow] 2 10 3 8 3" xfId="26814"/>
    <cellStyle name="Input [yellow] 2 10 3 8 4" xfId="37979"/>
    <cellStyle name="Input [yellow] 2 10 3 8 5" xfId="49172"/>
    <cellStyle name="Input [yellow] 2 10 3 9" xfId="5080"/>
    <cellStyle name="Input [yellow] 2 10 3 9 2" xfId="16277"/>
    <cellStyle name="Input [yellow] 2 10 3 9 3" xfId="27445"/>
    <cellStyle name="Input [yellow] 2 10 3 9 4" xfId="38610"/>
    <cellStyle name="Input [yellow] 2 10 3 9 5" xfId="49803"/>
    <cellStyle name="Input [yellow] 2 10 30" xfId="11279"/>
    <cellStyle name="Input [yellow] 2 10 31" xfId="22449"/>
    <cellStyle name="Input [yellow] 2 10 32" xfId="33616"/>
    <cellStyle name="Input [yellow] 2 10 33" xfId="44801"/>
    <cellStyle name="Input [yellow] 2 10 4" xfId="116"/>
    <cellStyle name="Input [yellow] 2 10 4 10" xfId="5584"/>
    <cellStyle name="Input [yellow] 2 10 4 10 2" xfId="16781"/>
    <cellStyle name="Input [yellow] 2 10 4 10 3" xfId="27949"/>
    <cellStyle name="Input [yellow] 2 10 4 10 4" xfId="39114"/>
    <cellStyle name="Input [yellow] 2 10 4 10 5" xfId="50307"/>
    <cellStyle name="Input [yellow] 2 10 4 11" xfId="5691"/>
    <cellStyle name="Input [yellow] 2 10 4 11 2" xfId="16888"/>
    <cellStyle name="Input [yellow] 2 10 4 11 3" xfId="28056"/>
    <cellStyle name="Input [yellow] 2 10 4 11 4" xfId="39221"/>
    <cellStyle name="Input [yellow] 2 10 4 11 5" xfId="50414"/>
    <cellStyle name="Input [yellow] 2 10 4 12" xfId="6685"/>
    <cellStyle name="Input [yellow] 2 10 4 12 2" xfId="17882"/>
    <cellStyle name="Input [yellow] 2 10 4 12 3" xfId="29050"/>
    <cellStyle name="Input [yellow] 2 10 4 12 4" xfId="40215"/>
    <cellStyle name="Input [yellow] 2 10 4 12 5" xfId="51408"/>
    <cellStyle name="Input [yellow] 2 10 4 13" xfId="7319"/>
    <cellStyle name="Input [yellow] 2 10 4 13 2" xfId="18516"/>
    <cellStyle name="Input [yellow] 2 10 4 13 3" xfId="29684"/>
    <cellStyle name="Input [yellow] 2 10 4 13 4" xfId="40849"/>
    <cellStyle name="Input [yellow] 2 10 4 13 5" xfId="52042"/>
    <cellStyle name="Input [yellow] 2 10 4 14" xfId="7953"/>
    <cellStyle name="Input [yellow] 2 10 4 14 2" xfId="19150"/>
    <cellStyle name="Input [yellow] 2 10 4 14 3" xfId="30318"/>
    <cellStyle name="Input [yellow] 2 10 4 14 4" xfId="41483"/>
    <cellStyle name="Input [yellow] 2 10 4 14 5" xfId="52676"/>
    <cellStyle name="Input [yellow] 2 10 4 15" xfId="8584"/>
    <cellStyle name="Input [yellow] 2 10 4 15 2" xfId="19781"/>
    <cellStyle name="Input [yellow] 2 10 4 15 3" xfId="30949"/>
    <cellStyle name="Input [yellow] 2 10 4 15 4" xfId="42114"/>
    <cellStyle name="Input [yellow] 2 10 4 15 5" xfId="53307"/>
    <cellStyle name="Input [yellow] 2 10 4 16" xfId="8728"/>
    <cellStyle name="Input [yellow] 2 10 4 16 2" xfId="19925"/>
    <cellStyle name="Input [yellow] 2 10 4 16 3" xfId="31093"/>
    <cellStyle name="Input [yellow] 2 10 4 16 4" xfId="42258"/>
    <cellStyle name="Input [yellow] 2 10 4 16 5" xfId="53451"/>
    <cellStyle name="Input [yellow] 2 10 4 17" xfId="9637"/>
    <cellStyle name="Input [yellow] 2 10 4 17 2" xfId="20834"/>
    <cellStyle name="Input [yellow] 2 10 4 17 3" xfId="32002"/>
    <cellStyle name="Input [yellow] 2 10 4 17 4" xfId="43167"/>
    <cellStyle name="Input [yellow] 2 10 4 17 5" xfId="54360"/>
    <cellStyle name="Input [yellow] 2 10 4 18" xfId="10196"/>
    <cellStyle name="Input [yellow] 2 10 4 18 2" xfId="21393"/>
    <cellStyle name="Input [yellow] 2 10 4 18 3" xfId="32561"/>
    <cellStyle name="Input [yellow] 2 10 4 18 4" xfId="43726"/>
    <cellStyle name="Input [yellow] 2 10 4 18 5" xfId="54919"/>
    <cellStyle name="Input [yellow] 2 10 4 19" xfId="10669"/>
    <cellStyle name="Input [yellow] 2 10 4 19 2" xfId="21866"/>
    <cellStyle name="Input [yellow] 2 10 4 19 3" xfId="33034"/>
    <cellStyle name="Input [yellow] 2 10 4 19 4" xfId="44199"/>
    <cellStyle name="Input [yellow] 2 10 4 19 5" xfId="55392"/>
    <cellStyle name="Input [yellow] 2 10 4 2" xfId="765"/>
    <cellStyle name="Input [yellow] 2 10 4 2 2" xfId="11962"/>
    <cellStyle name="Input [yellow] 2 10 4 2 3" xfId="23130"/>
    <cellStyle name="Input [yellow] 2 10 4 2 4" xfId="34295"/>
    <cellStyle name="Input [yellow] 2 10 4 2 5" xfId="45488"/>
    <cellStyle name="Input [yellow] 2 10 4 20" xfId="11316"/>
    <cellStyle name="Input [yellow] 2 10 4 21" xfId="22486"/>
    <cellStyle name="Input [yellow] 2 10 4 22" xfId="33653"/>
    <cellStyle name="Input [yellow] 2 10 4 23" xfId="44839"/>
    <cellStyle name="Input [yellow] 2 10 4 3" xfId="1515"/>
    <cellStyle name="Input [yellow] 2 10 4 3 2" xfId="12712"/>
    <cellStyle name="Input [yellow] 2 10 4 3 3" xfId="23880"/>
    <cellStyle name="Input [yellow] 2 10 4 3 4" xfId="35045"/>
    <cellStyle name="Input [yellow] 2 10 4 3 5" xfId="46238"/>
    <cellStyle name="Input [yellow] 2 10 4 4" xfId="2042"/>
    <cellStyle name="Input [yellow] 2 10 4 4 2" xfId="13239"/>
    <cellStyle name="Input [yellow] 2 10 4 4 3" xfId="24407"/>
    <cellStyle name="Input [yellow] 2 10 4 4 4" xfId="35572"/>
    <cellStyle name="Input [yellow] 2 10 4 4 5" xfId="46765"/>
    <cellStyle name="Input [yellow] 2 10 4 5" xfId="2573"/>
    <cellStyle name="Input [yellow] 2 10 4 5 2" xfId="13770"/>
    <cellStyle name="Input [yellow] 2 10 4 5 3" xfId="24938"/>
    <cellStyle name="Input [yellow] 2 10 4 5 4" xfId="36103"/>
    <cellStyle name="Input [yellow] 2 10 4 5 5" xfId="47296"/>
    <cellStyle name="Input [yellow] 2 10 4 6" xfId="3100"/>
    <cellStyle name="Input [yellow] 2 10 4 6 2" xfId="14297"/>
    <cellStyle name="Input [yellow] 2 10 4 6 3" xfId="25465"/>
    <cellStyle name="Input [yellow] 2 10 4 6 4" xfId="36630"/>
    <cellStyle name="Input [yellow] 2 10 4 6 5" xfId="47823"/>
    <cellStyle name="Input [yellow] 2 10 4 7" xfId="3734"/>
    <cellStyle name="Input [yellow] 2 10 4 7 2" xfId="14931"/>
    <cellStyle name="Input [yellow] 2 10 4 7 3" xfId="26099"/>
    <cellStyle name="Input [yellow] 2 10 4 7 4" xfId="37264"/>
    <cellStyle name="Input [yellow] 2 10 4 7 5" xfId="48457"/>
    <cellStyle name="Input [yellow] 2 10 4 8" xfId="4367"/>
    <cellStyle name="Input [yellow] 2 10 4 8 2" xfId="15564"/>
    <cellStyle name="Input [yellow] 2 10 4 8 3" xfId="26732"/>
    <cellStyle name="Input [yellow] 2 10 4 8 4" xfId="37897"/>
    <cellStyle name="Input [yellow] 2 10 4 8 5" xfId="49090"/>
    <cellStyle name="Input [yellow] 2 10 4 9" xfId="4998"/>
    <cellStyle name="Input [yellow] 2 10 4 9 2" xfId="16195"/>
    <cellStyle name="Input [yellow] 2 10 4 9 3" xfId="27363"/>
    <cellStyle name="Input [yellow] 2 10 4 9 4" xfId="38528"/>
    <cellStyle name="Input [yellow] 2 10 4 9 5" xfId="49721"/>
    <cellStyle name="Input [yellow] 2 10 5" xfId="311"/>
    <cellStyle name="Input [yellow] 2 10 5 10" xfId="6006"/>
    <cellStyle name="Input [yellow] 2 10 5 10 2" xfId="17203"/>
    <cellStyle name="Input [yellow] 2 10 5 10 3" xfId="28371"/>
    <cellStyle name="Input [yellow] 2 10 5 10 4" xfId="39536"/>
    <cellStyle name="Input [yellow] 2 10 5 10 5" xfId="50729"/>
    <cellStyle name="Input [yellow] 2 10 5 11" xfId="6247"/>
    <cellStyle name="Input [yellow] 2 10 5 11 2" xfId="17444"/>
    <cellStyle name="Input [yellow] 2 10 5 11 3" xfId="28612"/>
    <cellStyle name="Input [yellow] 2 10 5 11 4" xfId="39777"/>
    <cellStyle name="Input [yellow] 2 10 5 11 5" xfId="50970"/>
    <cellStyle name="Input [yellow] 2 10 5 12" xfId="6880"/>
    <cellStyle name="Input [yellow] 2 10 5 12 2" xfId="18077"/>
    <cellStyle name="Input [yellow] 2 10 5 12 3" xfId="29245"/>
    <cellStyle name="Input [yellow] 2 10 5 12 4" xfId="40410"/>
    <cellStyle name="Input [yellow] 2 10 5 12 5" xfId="51603"/>
    <cellStyle name="Input [yellow] 2 10 5 13" xfId="7514"/>
    <cellStyle name="Input [yellow] 2 10 5 13 2" xfId="18711"/>
    <cellStyle name="Input [yellow] 2 10 5 13 3" xfId="29879"/>
    <cellStyle name="Input [yellow] 2 10 5 13 4" xfId="41044"/>
    <cellStyle name="Input [yellow] 2 10 5 13 5" xfId="52237"/>
    <cellStyle name="Input [yellow] 2 10 5 14" xfId="8148"/>
    <cellStyle name="Input [yellow] 2 10 5 14 2" xfId="19345"/>
    <cellStyle name="Input [yellow] 2 10 5 14 3" xfId="30513"/>
    <cellStyle name="Input [yellow] 2 10 5 14 4" xfId="41678"/>
    <cellStyle name="Input [yellow] 2 10 5 14 5" xfId="52871"/>
    <cellStyle name="Input [yellow] 2 10 5 15" xfId="8777"/>
    <cellStyle name="Input [yellow] 2 10 5 15 2" xfId="19974"/>
    <cellStyle name="Input [yellow] 2 10 5 15 3" xfId="31142"/>
    <cellStyle name="Input [yellow] 2 10 5 15 4" xfId="42307"/>
    <cellStyle name="Input [yellow] 2 10 5 15 5" xfId="53500"/>
    <cellStyle name="Input [yellow] 2 10 5 16" xfId="9199"/>
    <cellStyle name="Input [yellow] 2 10 5 16 2" xfId="20396"/>
    <cellStyle name="Input [yellow] 2 10 5 16 3" xfId="31564"/>
    <cellStyle name="Input [yellow] 2 10 5 16 4" xfId="42729"/>
    <cellStyle name="Input [yellow] 2 10 5 16 5" xfId="53922"/>
    <cellStyle name="Input [yellow] 2 10 5 17" xfId="9826"/>
    <cellStyle name="Input [yellow] 2 10 5 17 2" xfId="21023"/>
    <cellStyle name="Input [yellow] 2 10 5 17 3" xfId="32191"/>
    <cellStyle name="Input [yellow] 2 10 5 17 4" xfId="43356"/>
    <cellStyle name="Input [yellow] 2 10 5 17 5" xfId="54549"/>
    <cellStyle name="Input [yellow] 2 10 5 18" xfId="10360"/>
    <cellStyle name="Input [yellow] 2 10 5 18 2" xfId="21557"/>
    <cellStyle name="Input [yellow] 2 10 5 18 3" xfId="32725"/>
    <cellStyle name="Input [yellow] 2 10 5 18 4" xfId="43890"/>
    <cellStyle name="Input [yellow] 2 10 5 18 5" xfId="55083"/>
    <cellStyle name="Input [yellow] 2 10 5 19" xfId="10864"/>
    <cellStyle name="Input [yellow] 2 10 5 19 2" xfId="22061"/>
    <cellStyle name="Input [yellow] 2 10 5 19 3" xfId="33229"/>
    <cellStyle name="Input [yellow] 2 10 5 19 4" xfId="44394"/>
    <cellStyle name="Input [yellow] 2 10 5 19 5" xfId="55587"/>
    <cellStyle name="Input [yellow] 2 10 5 2" xfId="960"/>
    <cellStyle name="Input [yellow] 2 10 5 2 2" xfId="12157"/>
    <cellStyle name="Input [yellow] 2 10 5 2 3" xfId="23325"/>
    <cellStyle name="Input [yellow] 2 10 5 2 4" xfId="34490"/>
    <cellStyle name="Input [yellow] 2 10 5 2 5" xfId="45683"/>
    <cellStyle name="Input [yellow] 2 10 5 20" xfId="11511"/>
    <cellStyle name="Input [yellow] 2 10 5 21" xfId="22681"/>
    <cellStyle name="Input [yellow] 2 10 5 22" xfId="33848"/>
    <cellStyle name="Input [yellow] 2 10 5 23" xfId="45034"/>
    <cellStyle name="Input [yellow] 2 10 5 3" xfId="1723"/>
    <cellStyle name="Input [yellow] 2 10 5 3 2" xfId="12920"/>
    <cellStyle name="Input [yellow] 2 10 5 3 3" xfId="24088"/>
    <cellStyle name="Input [yellow] 2 10 5 3 4" xfId="35253"/>
    <cellStyle name="Input [yellow] 2 10 5 3 5" xfId="46446"/>
    <cellStyle name="Input [yellow] 2 10 5 4" xfId="2236"/>
    <cellStyle name="Input [yellow] 2 10 5 4 2" xfId="13433"/>
    <cellStyle name="Input [yellow] 2 10 5 4 3" xfId="24601"/>
    <cellStyle name="Input [yellow] 2 10 5 4 4" xfId="35766"/>
    <cellStyle name="Input [yellow] 2 10 5 4 5" xfId="46959"/>
    <cellStyle name="Input [yellow] 2 10 5 5" xfId="2661"/>
    <cellStyle name="Input [yellow] 2 10 5 5 2" xfId="13858"/>
    <cellStyle name="Input [yellow] 2 10 5 5 3" xfId="25026"/>
    <cellStyle name="Input [yellow] 2 10 5 5 4" xfId="36191"/>
    <cellStyle name="Input [yellow] 2 10 5 5 5" xfId="47384"/>
    <cellStyle name="Input [yellow] 2 10 5 6" xfId="3295"/>
    <cellStyle name="Input [yellow] 2 10 5 6 2" xfId="14492"/>
    <cellStyle name="Input [yellow] 2 10 5 6 3" xfId="25660"/>
    <cellStyle name="Input [yellow] 2 10 5 6 4" xfId="36825"/>
    <cellStyle name="Input [yellow] 2 10 5 6 5" xfId="48018"/>
    <cellStyle name="Input [yellow] 2 10 5 7" xfId="3929"/>
    <cellStyle name="Input [yellow] 2 10 5 7 2" xfId="15126"/>
    <cellStyle name="Input [yellow] 2 10 5 7 3" xfId="26294"/>
    <cellStyle name="Input [yellow] 2 10 5 7 4" xfId="37459"/>
    <cellStyle name="Input [yellow] 2 10 5 7 5" xfId="48652"/>
    <cellStyle name="Input [yellow] 2 10 5 8" xfId="4562"/>
    <cellStyle name="Input [yellow] 2 10 5 8 2" xfId="15759"/>
    <cellStyle name="Input [yellow] 2 10 5 8 3" xfId="26927"/>
    <cellStyle name="Input [yellow] 2 10 5 8 4" xfId="38092"/>
    <cellStyle name="Input [yellow] 2 10 5 8 5" xfId="49285"/>
    <cellStyle name="Input [yellow] 2 10 5 9" xfId="5193"/>
    <cellStyle name="Input [yellow] 2 10 5 9 2" xfId="16390"/>
    <cellStyle name="Input [yellow] 2 10 5 9 3" xfId="27558"/>
    <cellStyle name="Input [yellow] 2 10 5 9 4" xfId="38723"/>
    <cellStyle name="Input [yellow] 2 10 5 9 5" xfId="49916"/>
    <cellStyle name="Input [yellow] 2 10 6" xfId="378"/>
    <cellStyle name="Input [yellow] 2 10 6 10" xfId="6082"/>
    <cellStyle name="Input [yellow] 2 10 6 10 2" xfId="17279"/>
    <cellStyle name="Input [yellow] 2 10 6 10 3" xfId="28447"/>
    <cellStyle name="Input [yellow] 2 10 6 10 4" xfId="39612"/>
    <cellStyle name="Input [yellow] 2 10 6 10 5" xfId="50805"/>
    <cellStyle name="Input [yellow] 2 10 6 11" xfId="6314"/>
    <cellStyle name="Input [yellow] 2 10 6 11 2" xfId="17511"/>
    <cellStyle name="Input [yellow] 2 10 6 11 3" xfId="28679"/>
    <cellStyle name="Input [yellow] 2 10 6 11 4" xfId="39844"/>
    <cellStyle name="Input [yellow] 2 10 6 11 5" xfId="51037"/>
    <cellStyle name="Input [yellow] 2 10 6 12" xfId="6947"/>
    <cellStyle name="Input [yellow] 2 10 6 12 2" xfId="18144"/>
    <cellStyle name="Input [yellow] 2 10 6 12 3" xfId="29312"/>
    <cellStyle name="Input [yellow] 2 10 6 12 4" xfId="40477"/>
    <cellStyle name="Input [yellow] 2 10 6 12 5" xfId="51670"/>
    <cellStyle name="Input [yellow] 2 10 6 13" xfId="7581"/>
    <cellStyle name="Input [yellow] 2 10 6 13 2" xfId="18778"/>
    <cellStyle name="Input [yellow] 2 10 6 13 3" xfId="29946"/>
    <cellStyle name="Input [yellow] 2 10 6 13 4" xfId="41111"/>
    <cellStyle name="Input [yellow] 2 10 6 13 5" xfId="52304"/>
    <cellStyle name="Input [yellow] 2 10 6 14" xfId="8215"/>
    <cellStyle name="Input [yellow] 2 10 6 14 2" xfId="19412"/>
    <cellStyle name="Input [yellow] 2 10 6 14 3" xfId="30580"/>
    <cellStyle name="Input [yellow] 2 10 6 14 4" xfId="41745"/>
    <cellStyle name="Input [yellow] 2 10 6 14 5" xfId="52938"/>
    <cellStyle name="Input [yellow] 2 10 6 15" xfId="8843"/>
    <cellStyle name="Input [yellow] 2 10 6 15 2" xfId="20040"/>
    <cellStyle name="Input [yellow] 2 10 6 15 3" xfId="31208"/>
    <cellStyle name="Input [yellow] 2 10 6 15 4" xfId="42373"/>
    <cellStyle name="Input [yellow] 2 10 6 15 5" xfId="53566"/>
    <cellStyle name="Input [yellow] 2 10 6 16" xfId="9266"/>
    <cellStyle name="Input [yellow] 2 10 6 16 2" xfId="20463"/>
    <cellStyle name="Input [yellow] 2 10 6 16 3" xfId="31631"/>
    <cellStyle name="Input [yellow] 2 10 6 16 4" xfId="42796"/>
    <cellStyle name="Input [yellow] 2 10 6 16 5" xfId="53989"/>
    <cellStyle name="Input [yellow] 2 10 6 17" xfId="9892"/>
    <cellStyle name="Input [yellow] 2 10 6 17 2" xfId="21089"/>
    <cellStyle name="Input [yellow] 2 10 6 17 3" xfId="32257"/>
    <cellStyle name="Input [yellow] 2 10 6 17 4" xfId="43422"/>
    <cellStyle name="Input [yellow] 2 10 6 17 5" xfId="54615"/>
    <cellStyle name="Input [yellow] 2 10 6 18" xfId="10294"/>
    <cellStyle name="Input [yellow] 2 10 6 18 2" xfId="21491"/>
    <cellStyle name="Input [yellow] 2 10 6 18 3" xfId="32659"/>
    <cellStyle name="Input [yellow] 2 10 6 18 4" xfId="43824"/>
    <cellStyle name="Input [yellow] 2 10 6 18 5" xfId="55017"/>
    <cellStyle name="Input [yellow] 2 10 6 19" xfId="10931"/>
    <cellStyle name="Input [yellow] 2 10 6 19 2" xfId="22128"/>
    <cellStyle name="Input [yellow] 2 10 6 19 3" xfId="33296"/>
    <cellStyle name="Input [yellow] 2 10 6 19 4" xfId="44461"/>
    <cellStyle name="Input [yellow] 2 10 6 19 5" xfId="55654"/>
    <cellStyle name="Input [yellow] 2 10 6 2" xfId="1027"/>
    <cellStyle name="Input [yellow] 2 10 6 2 2" xfId="12224"/>
    <cellStyle name="Input [yellow] 2 10 6 2 3" xfId="23392"/>
    <cellStyle name="Input [yellow] 2 10 6 2 4" xfId="34557"/>
    <cellStyle name="Input [yellow] 2 10 6 2 5" xfId="45750"/>
    <cellStyle name="Input [yellow] 2 10 6 20" xfId="11578"/>
    <cellStyle name="Input [yellow] 2 10 6 21" xfId="22748"/>
    <cellStyle name="Input [yellow] 2 10 6 22" xfId="33915"/>
    <cellStyle name="Input [yellow] 2 10 6 23" xfId="45101"/>
    <cellStyle name="Input [yellow] 2 10 6 3" xfId="1610"/>
    <cellStyle name="Input [yellow] 2 10 6 3 2" xfId="12807"/>
    <cellStyle name="Input [yellow] 2 10 6 3 3" xfId="23975"/>
    <cellStyle name="Input [yellow] 2 10 6 3 4" xfId="35140"/>
    <cellStyle name="Input [yellow] 2 10 6 3 5" xfId="46333"/>
    <cellStyle name="Input [yellow] 2 10 6 4" xfId="2303"/>
    <cellStyle name="Input [yellow] 2 10 6 4 2" xfId="13500"/>
    <cellStyle name="Input [yellow] 2 10 6 4 3" xfId="24668"/>
    <cellStyle name="Input [yellow] 2 10 6 4 4" xfId="35833"/>
    <cellStyle name="Input [yellow] 2 10 6 4 5" xfId="47026"/>
    <cellStyle name="Input [yellow] 2 10 6 5" xfId="2728"/>
    <cellStyle name="Input [yellow] 2 10 6 5 2" xfId="13925"/>
    <cellStyle name="Input [yellow] 2 10 6 5 3" xfId="25093"/>
    <cellStyle name="Input [yellow] 2 10 6 5 4" xfId="36258"/>
    <cellStyle name="Input [yellow] 2 10 6 5 5" xfId="47451"/>
    <cellStyle name="Input [yellow] 2 10 6 6" xfId="3362"/>
    <cellStyle name="Input [yellow] 2 10 6 6 2" xfId="14559"/>
    <cellStyle name="Input [yellow] 2 10 6 6 3" xfId="25727"/>
    <cellStyle name="Input [yellow] 2 10 6 6 4" xfId="36892"/>
    <cellStyle name="Input [yellow] 2 10 6 6 5" xfId="48085"/>
    <cellStyle name="Input [yellow] 2 10 6 7" xfId="3996"/>
    <cellStyle name="Input [yellow] 2 10 6 7 2" xfId="15193"/>
    <cellStyle name="Input [yellow] 2 10 6 7 3" xfId="26361"/>
    <cellStyle name="Input [yellow] 2 10 6 7 4" xfId="37526"/>
    <cellStyle name="Input [yellow] 2 10 6 7 5" xfId="48719"/>
    <cellStyle name="Input [yellow] 2 10 6 8" xfId="4629"/>
    <cellStyle name="Input [yellow] 2 10 6 8 2" xfId="15826"/>
    <cellStyle name="Input [yellow] 2 10 6 8 3" xfId="26994"/>
    <cellStyle name="Input [yellow] 2 10 6 8 4" xfId="38159"/>
    <cellStyle name="Input [yellow] 2 10 6 8 5" xfId="49352"/>
    <cellStyle name="Input [yellow] 2 10 6 9" xfId="5260"/>
    <cellStyle name="Input [yellow] 2 10 6 9 2" xfId="16457"/>
    <cellStyle name="Input [yellow] 2 10 6 9 3" xfId="27625"/>
    <cellStyle name="Input [yellow] 2 10 6 9 4" xfId="38790"/>
    <cellStyle name="Input [yellow] 2 10 6 9 5" xfId="49983"/>
    <cellStyle name="Input [yellow] 2 10 7" xfId="442"/>
    <cellStyle name="Input [yellow] 2 10 7 10" xfId="5593"/>
    <cellStyle name="Input [yellow] 2 10 7 10 2" xfId="16790"/>
    <cellStyle name="Input [yellow] 2 10 7 10 3" xfId="27958"/>
    <cellStyle name="Input [yellow] 2 10 7 10 4" xfId="39123"/>
    <cellStyle name="Input [yellow] 2 10 7 10 5" xfId="50316"/>
    <cellStyle name="Input [yellow] 2 10 7 11" xfId="6378"/>
    <cellStyle name="Input [yellow] 2 10 7 11 2" xfId="17575"/>
    <cellStyle name="Input [yellow] 2 10 7 11 3" xfId="28743"/>
    <cellStyle name="Input [yellow] 2 10 7 11 4" xfId="39908"/>
    <cellStyle name="Input [yellow] 2 10 7 11 5" xfId="51101"/>
    <cellStyle name="Input [yellow] 2 10 7 12" xfId="7011"/>
    <cellStyle name="Input [yellow] 2 10 7 12 2" xfId="18208"/>
    <cellStyle name="Input [yellow] 2 10 7 12 3" xfId="29376"/>
    <cellStyle name="Input [yellow] 2 10 7 12 4" xfId="40541"/>
    <cellStyle name="Input [yellow] 2 10 7 12 5" xfId="51734"/>
    <cellStyle name="Input [yellow] 2 10 7 13" xfId="7645"/>
    <cellStyle name="Input [yellow] 2 10 7 13 2" xfId="18842"/>
    <cellStyle name="Input [yellow] 2 10 7 13 3" xfId="30010"/>
    <cellStyle name="Input [yellow] 2 10 7 13 4" xfId="41175"/>
    <cellStyle name="Input [yellow] 2 10 7 13 5" xfId="52368"/>
    <cellStyle name="Input [yellow] 2 10 7 14" xfId="8279"/>
    <cellStyle name="Input [yellow] 2 10 7 14 2" xfId="19476"/>
    <cellStyle name="Input [yellow] 2 10 7 14 3" xfId="30644"/>
    <cellStyle name="Input [yellow] 2 10 7 14 4" xfId="41809"/>
    <cellStyle name="Input [yellow] 2 10 7 14 5" xfId="53002"/>
    <cellStyle name="Input [yellow] 2 10 7 15" xfId="8907"/>
    <cellStyle name="Input [yellow] 2 10 7 15 2" xfId="20104"/>
    <cellStyle name="Input [yellow] 2 10 7 15 3" xfId="31272"/>
    <cellStyle name="Input [yellow] 2 10 7 15 4" xfId="42437"/>
    <cellStyle name="Input [yellow] 2 10 7 15 5" xfId="53630"/>
    <cellStyle name="Input [yellow] 2 10 7 16" xfId="9330"/>
    <cellStyle name="Input [yellow] 2 10 7 16 2" xfId="20527"/>
    <cellStyle name="Input [yellow] 2 10 7 16 3" xfId="31695"/>
    <cellStyle name="Input [yellow] 2 10 7 16 4" xfId="42860"/>
    <cellStyle name="Input [yellow] 2 10 7 16 5" xfId="54053"/>
    <cellStyle name="Input [yellow] 2 10 7 17" xfId="9956"/>
    <cellStyle name="Input [yellow] 2 10 7 17 2" xfId="21153"/>
    <cellStyle name="Input [yellow] 2 10 7 17 3" xfId="32321"/>
    <cellStyle name="Input [yellow] 2 10 7 17 4" xfId="43486"/>
    <cellStyle name="Input [yellow] 2 10 7 17 5" xfId="54679"/>
    <cellStyle name="Input [yellow] 2 10 7 18" xfId="10417"/>
    <cellStyle name="Input [yellow] 2 10 7 18 2" xfId="21614"/>
    <cellStyle name="Input [yellow] 2 10 7 18 3" xfId="32782"/>
    <cellStyle name="Input [yellow] 2 10 7 18 4" xfId="43947"/>
    <cellStyle name="Input [yellow] 2 10 7 18 5" xfId="55140"/>
    <cellStyle name="Input [yellow] 2 10 7 19" xfId="10995"/>
    <cellStyle name="Input [yellow] 2 10 7 19 2" xfId="22192"/>
    <cellStyle name="Input [yellow] 2 10 7 19 3" xfId="33360"/>
    <cellStyle name="Input [yellow] 2 10 7 19 4" xfId="44525"/>
    <cellStyle name="Input [yellow] 2 10 7 19 5" xfId="55718"/>
    <cellStyle name="Input [yellow] 2 10 7 2" xfId="1091"/>
    <cellStyle name="Input [yellow] 2 10 7 2 2" xfId="12288"/>
    <cellStyle name="Input [yellow] 2 10 7 2 3" xfId="23456"/>
    <cellStyle name="Input [yellow] 2 10 7 2 4" xfId="34621"/>
    <cellStyle name="Input [yellow] 2 10 7 2 5" xfId="45814"/>
    <cellStyle name="Input [yellow] 2 10 7 20" xfId="11642"/>
    <cellStyle name="Input [yellow] 2 10 7 21" xfId="22812"/>
    <cellStyle name="Input [yellow] 2 10 7 22" xfId="33979"/>
    <cellStyle name="Input [yellow] 2 10 7 23" xfId="45165"/>
    <cellStyle name="Input [yellow] 2 10 7 3" xfId="1726"/>
    <cellStyle name="Input [yellow] 2 10 7 3 2" xfId="12923"/>
    <cellStyle name="Input [yellow] 2 10 7 3 3" xfId="24091"/>
    <cellStyle name="Input [yellow] 2 10 7 3 4" xfId="35256"/>
    <cellStyle name="Input [yellow] 2 10 7 3 5" xfId="46449"/>
    <cellStyle name="Input [yellow] 2 10 7 4" xfId="2367"/>
    <cellStyle name="Input [yellow] 2 10 7 4 2" xfId="13564"/>
    <cellStyle name="Input [yellow] 2 10 7 4 3" xfId="24732"/>
    <cellStyle name="Input [yellow] 2 10 7 4 4" xfId="35897"/>
    <cellStyle name="Input [yellow] 2 10 7 4 5" xfId="47090"/>
    <cellStyle name="Input [yellow] 2 10 7 5" xfId="2792"/>
    <cellStyle name="Input [yellow] 2 10 7 5 2" xfId="13989"/>
    <cellStyle name="Input [yellow] 2 10 7 5 3" xfId="25157"/>
    <cellStyle name="Input [yellow] 2 10 7 5 4" xfId="36322"/>
    <cellStyle name="Input [yellow] 2 10 7 5 5" xfId="47515"/>
    <cellStyle name="Input [yellow] 2 10 7 6" xfId="3426"/>
    <cellStyle name="Input [yellow] 2 10 7 6 2" xfId="14623"/>
    <cellStyle name="Input [yellow] 2 10 7 6 3" xfId="25791"/>
    <cellStyle name="Input [yellow] 2 10 7 6 4" xfId="36956"/>
    <cellStyle name="Input [yellow] 2 10 7 6 5" xfId="48149"/>
    <cellStyle name="Input [yellow] 2 10 7 7" xfId="4060"/>
    <cellStyle name="Input [yellow] 2 10 7 7 2" xfId="15257"/>
    <cellStyle name="Input [yellow] 2 10 7 7 3" xfId="26425"/>
    <cellStyle name="Input [yellow] 2 10 7 7 4" xfId="37590"/>
    <cellStyle name="Input [yellow] 2 10 7 7 5" xfId="48783"/>
    <cellStyle name="Input [yellow] 2 10 7 8" xfId="4693"/>
    <cellStyle name="Input [yellow] 2 10 7 8 2" xfId="15890"/>
    <cellStyle name="Input [yellow] 2 10 7 8 3" xfId="27058"/>
    <cellStyle name="Input [yellow] 2 10 7 8 4" xfId="38223"/>
    <cellStyle name="Input [yellow] 2 10 7 8 5" xfId="49416"/>
    <cellStyle name="Input [yellow] 2 10 7 9" xfId="5324"/>
    <cellStyle name="Input [yellow] 2 10 7 9 2" xfId="16521"/>
    <cellStyle name="Input [yellow] 2 10 7 9 3" xfId="27689"/>
    <cellStyle name="Input [yellow] 2 10 7 9 4" xfId="38854"/>
    <cellStyle name="Input [yellow] 2 10 7 9 5" xfId="50047"/>
    <cellStyle name="Input [yellow] 2 10 8" xfId="487"/>
    <cellStyle name="Input [yellow] 2 10 8 10" xfId="6062"/>
    <cellStyle name="Input [yellow] 2 10 8 10 2" xfId="17259"/>
    <cellStyle name="Input [yellow] 2 10 8 10 3" xfId="28427"/>
    <cellStyle name="Input [yellow] 2 10 8 10 4" xfId="39592"/>
    <cellStyle name="Input [yellow] 2 10 8 10 5" xfId="50785"/>
    <cellStyle name="Input [yellow] 2 10 8 11" xfId="6423"/>
    <cellStyle name="Input [yellow] 2 10 8 11 2" xfId="17620"/>
    <cellStyle name="Input [yellow] 2 10 8 11 3" xfId="28788"/>
    <cellStyle name="Input [yellow] 2 10 8 11 4" xfId="39953"/>
    <cellStyle name="Input [yellow] 2 10 8 11 5" xfId="51146"/>
    <cellStyle name="Input [yellow] 2 10 8 12" xfId="7056"/>
    <cellStyle name="Input [yellow] 2 10 8 12 2" xfId="18253"/>
    <cellStyle name="Input [yellow] 2 10 8 12 3" xfId="29421"/>
    <cellStyle name="Input [yellow] 2 10 8 12 4" xfId="40586"/>
    <cellStyle name="Input [yellow] 2 10 8 12 5" xfId="51779"/>
    <cellStyle name="Input [yellow] 2 10 8 13" xfId="7690"/>
    <cellStyle name="Input [yellow] 2 10 8 13 2" xfId="18887"/>
    <cellStyle name="Input [yellow] 2 10 8 13 3" xfId="30055"/>
    <cellStyle name="Input [yellow] 2 10 8 13 4" xfId="41220"/>
    <cellStyle name="Input [yellow] 2 10 8 13 5" xfId="52413"/>
    <cellStyle name="Input [yellow] 2 10 8 14" xfId="8324"/>
    <cellStyle name="Input [yellow] 2 10 8 14 2" xfId="19521"/>
    <cellStyle name="Input [yellow] 2 10 8 14 3" xfId="30689"/>
    <cellStyle name="Input [yellow] 2 10 8 14 4" xfId="41854"/>
    <cellStyle name="Input [yellow] 2 10 8 14 5" xfId="53047"/>
    <cellStyle name="Input [yellow] 2 10 8 15" xfId="8952"/>
    <cellStyle name="Input [yellow] 2 10 8 15 2" xfId="20149"/>
    <cellStyle name="Input [yellow] 2 10 8 15 3" xfId="31317"/>
    <cellStyle name="Input [yellow] 2 10 8 15 4" xfId="42482"/>
    <cellStyle name="Input [yellow] 2 10 8 15 5" xfId="53675"/>
    <cellStyle name="Input [yellow] 2 10 8 16" xfId="9375"/>
    <cellStyle name="Input [yellow] 2 10 8 16 2" xfId="20572"/>
    <cellStyle name="Input [yellow] 2 10 8 16 3" xfId="31740"/>
    <cellStyle name="Input [yellow] 2 10 8 16 4" xfId="42905"/>
    <cellStyle name="Input [yellow] 2 10 8 16 5" xfId="54098"/>
    <cellStyle name="Input [yellow] 2 10 8 17" xfId="10000"/>
    <cellStyle name="Input [yellow] 2 10 8 17 2" xfId="21197"/>
    <cellStyle name="Input [yellow] 2 10 8 17 3" xfId="32365"/>
    <cellStyle name="Input [yellow] 2 10 8 17 4" xfId="43530"/>
    <cellStyle name="Input [yellow] 2 10 8 17 5" xfId="54723"/>
    <cellStyle name="Input [yellow] 2 10 8 18" xfId="10583"/>
    <cellStyle name="Input [yellow] 2 10 8 18 2" xfId="21780"/>
    <cellStyle name="Input [yellow] 2 10 8 18 3" xfId="32948"/>
    <cellStyle name="Input [yellow] 2 10 8 18 4" xfId="44113"/>
    <cellStyle name="Input [yellow] 2 10 8 18 5" xfId="55306"/>
    <cellStyle name="Input [yellow] 2 10 8 19" xfId="11040"/>
    <cellStyle name="Input [yellow] 2 10 8 19 2" xfId="22237"/>
    <cellStyle name="Input [yellow] 2 10 8 19 3" xfId="33405"/>
    <cellStyle name="Input [yellow] 2 10 8 19 4" xfId="44570"/>
    <cellStyle name="Input [yellow] 2 10 8 19 5" xfId="55763"/>
    <cellStyle name="Input [yellow] 2 10 8 2" xfId="1136"/>
    <cellStyle name="Input [yellow] 2 10 8 2 2" xfId="12333"/>
    <cellStyle name="Input [yellow] 2 10 8 2 3" xfId="23501"/>
    <cellStyle name="Input [yellow] 2 10 8 2 4" xfId="34666"/>
    <cellStyle name="Input [yellow] 2 10 8 2 5" xfId="45859"/>
    <cellStyle name="Input [yellow] 2 10 8 20" xfId="11687"/>
    <cellStyle name="Input [yellow] 2 10 8 21" xfId="22857"/>
    <cellStyle name="Input [yellow] 2 10 8 22" xfId="34024"/>
    <cellStyle name="Input [yellow] 2 10 8 23" xfId="45210"/>
    <cellStyle name="Input [yellow] 2 10 8 3" xfId="1892"/>
    <cellStyle name="Input [yellow] 2 10 8 3 2" xfId="13089"/>
    <cellStyle name="Input [yellow] 2 10 8 3 3" xfId="24257"/>
    <cellStyle name="Input [yellow] 2 10 8 3 4" xfId="35422"/>
    <cellStyle name="Input [yellow] 2 10 8 3 5" xfId="46615"/>
    <cellStyle name="Input [yellow] 2 10 8 4" xfId="2412"/>
    <cellStyle name="Input [yellow] 2 10 8 4 2" xfId="13609"/>
    <cellStyle name="Input [yellow] 2 10 8 4 3" xfId="24777"/>
    <cellStyle name="Input [yellow] 2 10 8 4 4" xfId="35942"/>
    <cellStyle name="Input [yellow] 2 10 8 4 5" xfId="47135"/>
    <cellStyle name="Input [yellow] 2 10 8 5" xfId="2837"/>
    <cellStyle name="Input [yellow] 2 10 8 5 2" xfId="14034"/>
    <cellStyle name="Input [yellow] 2 10 8 5 3" xfId="25202"/>
    <cellStyle name="Input [yellow] 2 10 8 5 4" xfId="36367"/>
    <cellStyle name="Input [yellow] 2 10 8 5 5" xfId="47560"/>
    <cellStyle name="Input [yellow] 2 10 8 6" xfId="3471"/>
    <cellStyle name="Input [yellow] 2 10 8 6 2" xfId="14668"/>
    <cellStyle name="Input [yellow] 2 10 8 6 3" xfId="25836"/>
    <cellStyle name="Input [yellow] 2 10 8 6 4" xfId="37001"/>
    <cellStyle name="Input [yellow] 2 10 8 6 5" xfId="48194"/>
    <cellStyle name="Input [yellow] 2 10 8 7" xfId="4105"/>
    <cellStyle name="Input [yellow] 2 10 8 7 2" xfId="15302"/>
    <cellStyle name="Input [yellow] 2 10 8 7 3" xfId="26470"/>
    <cellStyle name="Input [yellow] 2 10 8 7 4" xfId="37635"/>
    <cellStyle name="Input [yellow] 2 10 8 7 5" xfId="48828"/>
    <cellStyle name="Input [yellow] 2 10 8 8" xfId="4738"/>
    <cellStyle name="Input [yellow] 2 10 8 8 2" xfId="15935"/>
    <cellStyle name="Input [yellow] 2 10 8 8 3" xfId="27103"/>
    <cellStyle name="Input [yellow] 2 10 8 8 4" xfId="38268"/>
    <cellStyle name="Input [yellow] 2 10 8 8 5" xfId="49461"/>
    <cellStyle name="Input [yellow] 2 10 8 9" xfId="5369"/>
    <cellStyle name="Input [yellow] 2 10 8 9 2" xfId="16566"/>
    <cellStyle name="Input [yellow] 2 10 8 9 3" xfId="27734"/>
    <cellStyle name="Input [yellow] 2 10 8 9 4" xfId="38899"/>
    <cellStyle name="Input [yellow] 2 10 8 9 5" xfId="50092"/>
    <cellStyle name="Input [yellow] 2 10 9" xfId="545"/>
    <cellStyle name="Input [yellow] 2 10 9 10" xfId="5805"/>
    <cellStyle name="Input [yellow] 2 10 9 10 2" xfId="17002"/>
    <cellStyle name="Input [yellow] 2 10 9 10 3" xfId="28170"/>
    <cellStyle name="Input [yellow] 2 10 9 10 4" xfId="39335"/>
    <cellStyle name="Input [yellow] 2 10 9 10 5" xfId="50528"/>
    <cellStyle name="Input [yellow] 2 10 9 11" xfId="6481"/>
    <cellStyle name="Input [yellow] 2 10 9 11 2" xfId="17678"/>
    <cellStyle name="Input [yellow] 2 10 9 11 3" xfId="28846"/>
    <cellStyle name="Input [yellow] 2 10 9 11 4" xfId="40011"/>
    <cellStyle name="Input [yellow] 2 10 9 11 5" xfId="51204"/>
    <cellStyle name="Input [yellow] 2 10 9 12" xfId="7114"/>
    <cellStyle name="Input [yellow] 2 10 9 12 2" xfId="18311"/>
    <cellStyle name="Input [yellow] 2 10 9 12 3" xfId="29479"/>
    <cellStyle name="Input [yellow] 2 10 9 12 4" xfId="40644"/>
    <cellStyle name="Input [yellow] 2 10 9 12 5" xfId="51837"/>
    <cellStyle name="Input [yellow] 2 10 9 13" xfId="7748"/>
    <cellStyle name="Input [yellow] 2 10 9 13 2" xfId="18945"/>
    <cellStyle name="Input [yellow] 2 10 9 13 3" xfId="30113"/>
    <cellStyle name="Input [yellow] 2 10 9 13 4" xfId="41278"/>
    <cellStyle name="Input [yellow] 2 10 9 13 5" xfId="52471"/>
    <cellStyle name="Input [yellow] 2 10 9 14" xfId="8382"/>
    <cellStyle name="Input [yellow] 2 10 9 14 2" xfId="19579"/>
    <cellStyle name="Input [yellow] 2 10 9 14 3" xfId="30747"/>
    <cellStyle name="Input [yellow] 2 10 9 14 4" xfId="41912"/>
    <cellStyle name="Input [yellow] 2 10 9 14 5" xfId="53105"/>
    <cellStyle name="Input [yellow] 2 10 9 15" xfId="9010"/>
    <cellStyle name="Input [yellow] 2 10 9 15 2" xfId="20207"/>
    <cellStyle name="Input [yellow] 2 10 9 15 3" xfId="31375"/>
    <cellStyle name="Input [yellow] 2 10 9 15 4" xfId="42540"/>
    <cellStyle name="Input [yellow] 2 10 9 15 5" xfId="53733"/>
    <cellStyle name="Input [yellow] 2 10 9 16" xfId="9433"/>
    <cellStyle name="Input [yellow] 2 10 9 16 2" xfId="20630"/>
    <cellStyle name="Input [yellow] 2 10 9 16 3" xfId="31798"/>
    <cellStyle name="Input [yellow] 2 10 9 16 4" xfId="42963"/>
    <cellStyle name="Input [yellow] 2 10 9 16 5" xfId="54156"/>
    <cellStyle name="Input [yellow] 2 10 9 17" xfId="10058"/>
    <cellStyle name="Input [yellow] 2 10 9 17 2" xfId="21255"/>
    <cellStyle name="Input [yellow] 2 10 9 17 3" xfId="32423"/>
    <cellStyle name="Input [yellow] 2 10 9 17 4" xfId="43588"/>
    <cellStyle name="Input [yellow] 2 10 9 17 5" xfId="54781"/>
    <cellStyle name="Input [yellow] 2 10 9 18" xfId="10453"/>
    <cellStyle name="Input [yellow] 2 10 9 18 2" xfId="21650"/>
    <cellStyle name="Input [yellow] 2 10 9 18 3" xfId="32818"/>
    <cellStyle name="Input [yellow] 2 10 9 18 4" xfId="43983"/>
    <cellStyle name="Input [yellow] 2 10 9 18 5" xfId="55176"/>
    <cellStyle name="Input [yellow] 2 10 9 19" xfId="11098"/>
    <cellStyle name="Input [yellow] 2 10 9 19 2" xfId="22295"/>
    <cellStyle name="Input [yellow] 2 10 9 19 3" xfId="33463"/>
    <cellStyle name="Input [yellow] 2 10 9 19 4" xfId="44628"/>
    <cellStyle name="Input [yellow] 2 10 9 19 5" xfId="55821"/>
    <cellStyle name="Input [yellow] 2 10 9 2" xfId="1194"/>
    <cellStyle name="Input [yellow] 2 10 9 2 2" xfId="12391"/>
    <cellStyle name="Input [yellow] 2 10 9 2 3" xfId="23559"/>
    <cellStyle name="Input [yellow] 2 10 9 2 4" xfId="34724"/>
    <cellStyle name="Input [yellow] 2 10 9 2 5" xfId="45917"/>
    <cellStyle name="Input [yellow] 2 10 9 20" xfId="11745"/>
    <cellStyle name="Input [yellow] 2 10 9 21" xfId="22915"/>
    <cellStyle name="Input [yellow] 2 10 9 22" xfId="34082"/>
    <cellStyle name="Input [yellow] 2 10 9 23" xfId="45268"/>
    <cellStyle name="Input [yellow] 2 10 9 3" xfId="1749"/>
    <cellStyle name="Input [yellow] 2 10 9 3 2" xfId="12946"/>
    <cellStyle name="Input [yellow] 2 10 9 3 3" xfId="24114"/>
    <cellStyle name="Input [yellow] 2 10 9 3 4" xfId="35279"/>
    <cellStyle name="Input [yellow] 2 10 9 3 5" xfId="46472"/>
    <cellStyle name="Input [yellow] 2 10 9 4" xfId="2470"/>
    <cellStyle name="Input [yellow] 2 10 9 4 2" xfId="13667"/>
    <cellStyle name="Input [yellow] 2 10 9 4 3" xfId="24835"/>
    <cellStyle name="Input [yellow] 2 10 9 4 4" xfId="36000"/>
    <cellStyle name="Input [yellow] 2 10 9 4 5" xfId="47193"/>
    <cellStyle name="Input [yellow] 2 10 9 5" xfId="2895"/>
    <cellStyle name="Input [yellow] 2 10 9 5 2" xfId="14092"/>
    <cellStyle name="Input [yellow] 2 10 9 5 3" xfId="25260"/>
    <cellStyle name="Input [yellow] 2 10 9 5 4" xfId="36425"/>
    <cellStyle name="Input [yellow] 2 10 9 5 5" xfId="47618"/>
    <cellStyle name="Input [yellow] 2 10 9 6" xfId="3529"/>
    <cellStyle name="Input [yellow] 2 10 9 6 2" xfId="14726"/>
    <cellStyle name="Input [yellow] 2 10 9 6 3" xfId="25894"/>
    <cellStyle name="Input [yellow] 2 10 9 6 4" xfId="37059"/>
    <cellStyle name="Input [yellow] 2 10 9 6 5" xfId="48252"/>
    <cellStyle name="Input [yellow] 2 10 9 7" xfId="4163"/>
    <cellStyle name="Input [yellow] 2 10 9 7 2" xfId="15360"/>
    <cellStyle name="Input [yellow] 2 10 9 7 3" xfId="26528"/>
    <cellStyle name="Input [yellow] 2 10 9 7 4" xfId="37693"/>
    <cellStyle name="Input [yellow] 2 10 9 7 5" xfId="48886"/>
    <cellStyle name="Input [yellow] 2 10 9 8" xfId="4796"/>
    <cellStyle name="Input [yellow] 2 10 9 8 2" xfId="15993"/>
    <cellStyle name="Input [yellow] 2 10 9 8 3" xfId="27161"/>
    <cellStyle name="Input [yellow] 2 10 9 8 4" xfId="38326"/>
    <cellStyle name="Input [yellow] 2 10 9 8 5" xfId="49519"/>
    <cellStyle name="Input [yellow] 2 10 9 9" xfId="5427"/>
    <cellStyle name="Input [yellow] 2 10 9 9 2" xfId="16624"/>
    <cellStyle name="Input [yellow] 2 10 9 9 3" xfId="27792"/>
    <cellStyle name="Input [yellow] 2 10 9 9 4" xfId="38957"/>
    <cellStyle name="Input [yellow] 2 10 9 9 5" xfId="50150"/>
    <cellStyle name="Input [yellow] 2 11" xfId="81"/>
    <cellStyle name="Input [yellow] 2 11 10" xfId="445"/>
    <cellStyle name="Input [yellow] 2 11 10 10" xfId="5882"/>
    <cellStyle name="Input [yellow] 2 11 10 10 2" xfId="17079"/>
    <cellStyle name="Input [yellow] 2 11 10 10 3" xfId="28247"/>
    <cellStyle name="Input [yellow] 2 11 10 10 4" xfId="39412"/>
    <cellStyle name="Input [yellow] 2 11 10 10 5" xfId="50605"/>
    <cellStyle name="Input [yellow] 2 11 10 11" xfId="6381"/>
    <cellStyle name="Input [yellow] 2 11 10 11 2" xfId="17578"/>
    <cellStyle name="Input [yellow] 2 11 10 11 3" xfId="28746"/>
    <cellStyle name="Input [yellow] 2 11 10 11 4" xfId="39911"/>
    <cellStyle name="Input [yellow] 2 11 10 11 5" xfId="51104"/>
    <cellStyle name="Input [yellow] 2 11 10 12" xfId="7014"/>
    <cellStyle name="Input [yellow] 2 11 10 12 2" xfId="18211"/>
    <cellStyle name="Input [yellow] 2 11 10 12 3" xfId="29379"/>
    <cellStyle name="Input [yellow] 2 11 10 12 4" xfId="40544"/>
    <cellStyle name="Input [yellow] 2 11 10 12 5" xfId="51737"/>
    <cellStyle name="Input [yellow] 2 11 10 13" xfId="7648"/>
    <cellStyle name="Input [yellow] 2 11 10 13 2" xfId="18845"/>
    <cellStyle name="Input [yellow] 2 11 10 13 3" xfId="30013"/>
    <cellStyle name="Input [yellow] 2 11 10 13 4" xfId="41178"/>
    <cellStyle name="Input [yellow] 2 11 10 13 5" xfId="52371"/>
    <cellStyle name="Input [yellow] 2 11 10 14" xfId="8282"/>
    <cellStyle name="Input [yellow] 2 11 10 14 2" xfId="19479"/>
    <cellStyle name="Input [yellow] 2 11 10 14 3" xfId="30647"/>
    <cellStyle name="Input [yellow] 2 11 10 14 4" xfId="41812"/>
    <cellStyle name="Input [yellow] 2 11 10 14 5" xfId="53005"/>
    <cellStyle name="Input [yellow] 2 11 10 15" xfId="8910"/>
    <cellStyle name="Input [yellow] 2 11 10 15 2" xfId="20107"/>
    <cellStyle name="Input [yellow] 2 11 10 15 3" xfId="31275"/>
    <cellStyle name="Input [yellow] 2 11 10 15 4" xfId="42440"/>
    <cellStyle name="Input [yellow] 2 11 10 15 5" xfId="53633"/>
    <cellStyle name="Input [yellow] 2 11 10 16" xfId="9333"/>
    <cellStyle name="Input [yellow] 2 11 10 16 2" xfId="20530"/>
    <cellStyle name="Input [yellow] 2 11 10 16 3" xfId="31698"/>
    <cellStyle name="Input [yellow] 2 11 10 16 4" xfId="42863"/>
    <cellStyle name="Input [yellow] 2 11 10 16 5" xfId="54056"/>
    <cellStyle name="Input [yellow] 2 11 10 17" xfId="9959"/>
    <cellStyle name="Input [yellow] 2 11 10 17 2" xfId="21156"/>
    <cellStyle name="Input [yellow] 2 11 10 17 3" xfId="32324"/>
    <cellStyle name="Input [yellow] 2 11 10 17 4" xfId="43489"/>
    <cellStyle name="Input [yellow] 2 11 10 17 5" xfId="54682"/>
    <cellStyle name="Input [yellow] 2 11 10 18" xfId="10245"/>
    <cellStyle name="Input [yellow] 2 11 10 18 2" xfId="21442"/>
    <cellStyle name="Input [yellow] 2 11 10 18 3" xfId="32610"/>
    <cellStyle name="Input [yellow] 2 11 10 18 4" xfId="43775"/>
    <cellStyle name="Input [yellow] 2 11 10 18 5" xfId="54968"/>
    <cellStyle name="Input [yellow] 2 11 10 19" xfId="10998"/>
    <cellStyle name="Input [yellow] 2 11 10 19 2" xfId="22195"/>
    <cellStyle name="Input [yellow] 2 11 10 19 3" xfId="33363"/>
    <cellStyle name="Input [yellow] 2 11 10 19 4" xfId="44528"/>
    <cellStyle name="Input [yellow] 2 11 10 19 5" xfId="55721"/>
    <cellStyle name="Input [yellow] 2 11 10 2" xfId="1094"/>
    <cellStyle name="Input [yellow] 2 11 10 2 2" xfId="12291"/>
    <cellStyle name="Input [yellow] 2 11 10 2 3" xfId="23459"/>
    <cellStyle name="Input [yellow] 2 11 10 2 4" xfId="34624"/>
    <cellStyle name="Input [yellow] 2 11 10 2 5" xfId="45817"/>
    <cellStyle name="Input [yellow] 2 11 10 20" xfId="11645"/>
    <cellStyle name="Input [yellow] 2 11 10 21" xfId="22815"/>
    <cellStyle name="Input [yellow] 2 11 10 22" xfId="33982"/>
    <cellStyle name="Input [yellow] 2 11 10 23" xfId="45168"/>
    <cellStyle name="Input [yellow] 2 11 10 3" xfId="1406"/>
    <cellStyle name="Input [yellow] 2 11 10 3 2" xfId="12603"/>
    <cellStyle name="Input [yellow] 2 11 10 3 3" xfId="23771"/>
    <cellStyle name="Input [yellow] 2 11 10 3 4" xfId="34936"/>
    <cellStyle name="Input [yellow] 2 11 10 3 5" xfId="46129"/>
    <cellStyle name="Input [yellow] 2 11 10 4" xfId="2370"/>
    <cellStyle name="Input [yellow] 2 11 10 4 2" xfId="13567"/>
    <cellStyle name="Input [yellow] 2 11 10 4 3" xfId="24735"/>
    <cellStyle name="Input [yellow] 2 11 10 4 4" xfId="35900"/>
    <cellStyle name="Input [yellow] 2 11 10 4 5" xfId="47093"/>
    <cellStyle name="Input [yellow] 2 11 10 5" xfId="2795"/>
    <cellStyle name="Input [yellow] 2 11 10 5 2" xfId="13992"/>
    <cellStyle name="Input [yellow] 2 11 10 5 3" xfId="25160"/>
    <cellStyle name="Input [yellow] 2 11 10 5 4" xfId="36325"/>
    <cellStyle name="Input [yellow] 2 11 10 5 5" xfId="47518"/>
    <cellStyle name="Input [yellow] 2 11 10 6" xfId="3429"/>
    <cellStyle name="Input [yellow] 2 11 10 6 2" xfId="14626"/>
    <cellStyle name="Input [yellow] 2 11 10 6 3" xfId="25794"/>
    <cellStyle name="Input [yellow] 2 11 10 6 4" xfId="36959"/>
    <cellStyle name="Input [yellow] 2 11 10 6 5" xfId="48152"/>
    <cellStyle name="Input [yellow] 2 11 10 7" xfId="4063"/>
    <cellStyle name="Input [yellow] 2 11 10 7 2" xfId="15260"/>
    <cellStyle name="Input [yellow] 2 11 10 7 3" xfId="26428"/>
    <cellStyle name="Input [yellow] 2 11 10 7 4" xfId="37593"/>
    <cellStyle name="Input [yellow] 2 11 10 7 5" xfId="48786"/>
    <cellStyle name="Input [yellow] 2 11 10 8" xfId="4696"/>
    <cellStyle name="Input [yellow] 2 11 10 8 2" xfId="15893"/>
    <cellStyle name="Input [yellow] 2 11 10 8 3" xfId="27061"/>
    <cellStyle name="Input [yellow] 2 11 10 8 4" xfId="38226"/>
    <cellStyle name="Input [yellow] 2 11 10 8 5" xfId="49419"/>
    <cellStyle name="Input [yellow] 2 11 10 9" xfId="5327"/>
    <cellStyle name="Input [yellow] 2 11 10 9 2" xfId="16524"/>
    <cellStyle name="Input [yellow] 2 11 10 9 3" xfId="27692"/>
    <cellStyle name="Input [yellow] 2 11 10 9 4" xfId="38857"/>
    <cellStyle name="Input [yellow] 2 11 10 9 5" xfId="50050"/>
    <cellStyle name="Input [yellow] 2 11 11" xfId="612"/>
    <cellStyle name="Input [yellow] 2 11 11 10" xfId="5775"/>
    <cellStyle name="Input [yellow] 2 11 11 10 2" xfId="16972"/>
    <cellStyle name="Input [yellow] 2 11 11 10 3" xfId="28140"/>
    <cellStyle name="Input [yellow] 2 11 11 10 4" xfId="39305"/>
    <cellStyle name="Input [yellow] 2 11 11 10 5" xfId="50498"/>
    <cellStyle name="Input [yellow] 2 11 11 11" xfId="6548"/>
    <cellStyle name="Input [yellow] 2 11 11 11 2" xfId="17745"/>
    <cellStyle name="Input [yellow] 2 11 11 11 3" xfId="28913"/>
    <cellStyle name="Input [yellow] 2 11 11 11 4" xfId="40078"/>
    <cellStyle name="Input [yellow] 2 11 11 11 5" xfId="51271"/>
    <cellStyle name="Input [yellow] 2 11 11 12" xfId="7181"/>
    <cellStyle name="Input [yellow] 2 11 11 12 2" xfId="18378"/>
    <cellStyle name="Input [yellow] 2 11 11 12 3" xfId="29546"/>
    <cellStyle name="Input [yellow] 2 11 11 12 4" xfId="40711"/>
    <cellStyle name="Input [yellow] 2 11 11 12 5" xfId="51904"/>
    <cellStyle name="Input [yellow] 2 11 11 13" xfId="7815"/>
    <cellStyle name="Input [yellow] 2 11 11 13 2" xfId="19012"/>
    <cellStyle name="Input [yellow] 2 11 11 13 3" xfId="30180"/>
    <cellStyle name="Input [yellow] 2 11 11 13 4" xfId="41345"/>
    <cellStyle name="Input [yellow] 2 11 11 13 5" xfId="52538"/>
    <cellStyle name="Input [yellow] 2 11 11 14" xfId="8449"/>
    <cellStyle name="Input [yellow] 2 11 11 14 2" xfId="19646"/>
    <cellStyle name="Input [yellow] 2 11 11 14 3" xfId="30814"/>
    <cellStyle name="Input [yellow] 2 11 11 14 4" xfId="41979"/>
    <cellStyle name="Input [yellow] 2 11 11 14 5" xfId="53172"/>
    <cellStyle name="Input [yellow] 2 11 11 15" xfId="9077"/>
    <cellStyle name="Input [yellow] 2 11 11 15 2" xfId="20274"/>
    <cellStyle name="Input [yellow] 2 11 11 15 3" xfId="31442"/>
    <cellStyle name="Input [yellow] 2 11 11 15 4" xfId="42607"/>
    <cellStyle name="Input [yellow] 2 11 11 15 5" xfId="53800"/>
    <cellStyle name="Input [yellow] 2 11 11 16" xfId="9500"/>
    <cellStyle name="Input [yellow] 2 11 11 16 2" xfId="20697"/>
    <cellStyle name="Input [yellow] 2 11 11 16 3" xfId="31865"/>
    <cellStyle name="Input [yellow] 2 11 11 16 4" xfId="43030"/>
    <cellStyle name="Input [yellow] 2 11 11 16 5" xfId="54223"/>
    <cellStyle name="Input [yellow] 2 11 11 17" xfId="10125"/>
    <cellStyle name="Input [yellow] 2 11 11 17 2" xfId="21322"/>
    <cellStyle name="Input [yellow] 2 11 11 17 3" xfId="32490"/>
    <cellStyle name="Input [yellow] 2 11 11 17 4" xfId="43655"/>
    <cellStyle name="Input [yellow] 2 11 11 17 5" xfId="54848"/>
    <cellStyle name="Input [yellow] 2 11 11 18" xfId="10492"/>
    <cellStyle name="Input [yellow] 2 11 11 18 2" xfId="21689"/>
    <cellStyle name="Input [yellow] 2 11 11 18 3" xfId="32857"/>
    <cellStyle name="Input [yellow] 2 11 11 18 4" xfId="44022"/>
    <cellStyle name="Input [yellow] 2 11 11 18 5" xfId="55215"/>
    <cellStyle name="Input [yellow] 2 11 11 19" xfId="11165"/>
    <cellStyle name="Input [yellow] 2 11 11 19 2" xfId="22362"/>
    <cellStyle name="Input [yellow] 2 11 11 19 3" xfId="33530"/>
    <cellStyle name="Input [yellow] 2 11 11 19 4" xfId="44695"/>
    <cellStyle name="Input [yellow] 2 11 11 19 5" xfId="55888"/>
    <cellStyle name="Input [yellow] 2 11 11 2" xfId="1261"/>
    <cellStyle name="Input [yellow] 2 11 11 2 2" xfId="12458"/>
    <cellStyle name="Input [yellow] 2 11 11 2 3" xfId="23626"/>
    <cellStyle name="Input [yellow] 2 11 11 2 4" xfId="34791"/>
    <cellStyle name="Input [yellow] 2 11 11 2 5" xfId="45984"/>
    <cellStyle name="Input [yellow] 2 11 11 20" xfId="11812"/>
    <cellStyle name="Input [yellow] 2 11 11 21" xfId="22982"/>
    <cellStyle name="Input [yellow] 2 11 11 22" xfId="34149"/>
    <cellStyle name="Input [yellow] 2 11 11 23" xfId="45335"/>
    <cellStyle name="Input [yellow] 2 11 11 3" xfId="1789"/>
    <cellStyle name="Input [yellow] 2 11 11 3 2" xfId="12986"/>
    <cellStyle name="Input [yellow] 2 11 11 3 3" xfId="24154"/>
    <cellStyle name="Input [yellow] 2 11 11 3 4" xfId="35319"/>
    <cellStyle name="Input [yellow] 2 11 11 3 5" xfId="46512"/>
    <cellStyle name="Input [yellow] 2 11 11 4" xfId="2537"/>
    <cellStyle name="Input [yellow] 2 11 11 4 2" xfId="13734"/>
    <cellStyle name="Input [yellow] 2 11 11 4 3" xfId="24902"/>
    <cellStyle name="Input [yellow] 2 11 11 4 4" xfId="36067"/>
    <cellStyle name="Input [yellow] 2 11 11 4 5" xfId="47260"/>
    <cellStyle name="Input [yellow] 2 11 11 5" xfId="2962"/>
    <cellStyle name="Input [yellow] 2 11 11 5 2" xfId="14159"/>
    <cellStyle name="Input [yellow] 2 11 11 5 3" xfId="25327"/>
    <cellStyle name="Input [yellow] 2 11 11 5 4" xfId="36492"/>
    <cellStyle name="Input [yellow] 2 11 11 5 5" xfId="47685"/>
    <cellStyle name="Input [yellow] 2 11 11 6" xfId="3596"/>
    <cellStyle name="Input [yellow] 2 11 11 6 2" xfId="14793"/>
    <cellStyle name="Input [yellow] 2 11 11 6 3" xfId="25961"/>
    <cellStyle name="Input [yellow] 2 11 11 6 4" xfId="37126"/>
    <cellStyle name="Input [yellow] 2 11 11 6 5" xfId="48319"/>
    <cellStyle name="Input [yellow] 2 11 11 7" xfId="4230"/>
    <cellStyle name="Input [yellow] 2 11 11 7 2" xfId="15427"/>
    <cellStyle name="Input [yellow] 2 11 11 7 3" xfId="26595"/>
    <cellStyle name="Input [yellow] 2 11 11 7 4" xfId="37760"/>
    <cellStyle name="Input [yellow] 2 11 11 7 5" xfId="48953"/>
    <cellStyle name="Input [yellow] 2 11 11 8" xfId="4863"/>
    <cellStyle name="Input [yellow] 2 11 11 8 2" xfId="16060"/>
    <cellStyle name="Input [yellow] 2 11 11 8 3" xfId="27228"/>
    <cellStyle name="Input [yellow] 2 11 11 8 4" xfId="38393"/>
    <cellStyle name="Input [yellow] 2 11 11 8 5" xfId="49586"/>
    <cellStyle name="Input [yellow] 2 11 11 9" xfId="5494"/>
    <cellStyle name="Input [yellow] 2 11 11 9 2" xfId="16691"/>
    <cellStyle name="Input [yellow] 2 11 11 9 3" xfId="27859"/>
    <cellStyle name="Input [yellow] 2 11 11 9 4" xfId="39024"/>
    <cellStyle name="Input [yellow] 2 11 11 9 5" xfId="50217"/>
    <cellStyle name="Input [yellow] 2 11 12" xfId="730"/>
    <cellStyle name="Input [yellow] 2 11 12 2" xfId="11928"/>
    <cellStyle name="Input [yellow] 2 11 12 3" xfId="23096"/>
    <cellStyle name="Input [yellow] 2 11 12 4" xfId="34261"/>
    <cellStyle name="Input [yellow] 2 11 12 5" xfId="45453"/>
    <cellStyle name="Input [yellow] 2 11 13" xfId="1413"/>
    <cellStyle name="Input [yellow] 2 11 13 2" xfId="12610"/>
    <cellStyle name="Input [yellow] 2 11 13 3" xfId="23778"/>
    <cellStyle name="Input [yellow] 2 11 13 4" xfId="34943"/>
    <cellStyle name="Input [yellow] 2 11 13 5" xfId="46136"/>
    <cellStyle name="Input [yellow] 2 11 14" xfId="2007"/>
    <cellStyle name="Input [yellow] 2 11 14 2" xfId="13204"/>
    <cellStyle name="Input [yellow] 2 11 14 3" xfId="24372"/>
    <cellStyle name="Input [yellow] 2 11 14 4" xfId="35537"/>
    <cellStyle name="Input [yellow] 2 11 14 5" xfId="46730"/>
    <cellStyle name="Input [yellow] 2 11 15" xfId="2116"/>
    <cellStyle name="Input [yellow] 2 11 15 2" xfId="13313"/>
    <cellStyle name="Input [yellow] 2 11 15 3" xfId="24481"/>
    <cellStyle name="Input [yellow] 2 11 15 4" xfId="35646"/>
    <cellStyle name="Input [yellow] 2 11 15 5" xfId="46839"/>
    <cellStyle name="Input [yellow] 2 11 16" xfId="3065"/>
    <cellStyle name="Input [yellow] 2 11 16 2" xfId="14262"/>
    <cellStyle name="Input [yellow] 2 11 16 3" xfId="25430"/>
    <cellStyle name="Input [yellow] 2 11 16 4" xfId="36595"/>
    <cellStyle name="Input [yellow] 2 11 16 5" xfId="47788"/>
    <cellStyle name="Input [yellow] 2 11 17" xfId="3699"/>
    <cellStyle name="Input [yellow] 2 11 17 2" xfId="14896"/>
    <cellStyle name="Input [yellow] 2 11 17 3" xfId="26064"/>
    <cellStyle name="Input [yellow] 2 11 17 4" xfId="37229"/>
    <cellStyle name="Input [yellow] 2 11 17 5" xfId="48422"/>
    <cellStyle name="Input [yellow] 2 11 18" xfId="4332"/>
    <cellStyle name="Input [yellow] 2 11 18 2" xfId="15529"/>
    <cellStyle name="Input [yellow] 2 11 18 3" xfId="26697"/>
    <cellStyle name="Input [yellow] 2 11 18 4" xfId="37862"/>
    <cellStyle name="Input [yellow] 2 11 18 5" xfId="49055"/>
    <cellStyle name="Input [yellow] 2 11 19" xfId="4964"/>
    <cellStyle name="Input [yellow] 2 11 19 2" xfId="16161"/>
    <cellStyle name="Input [yellow] 2 11 19 3" xfId="27329"/>
    <cellStyle name="Input [yellow] 2 11 19 4" xfId="38494"/>
    <cellStyle name="Input [yellow] 2 11 19 5" xfId="49687"/>
    <cellStyle name="Input [yellow] 2 11 2" xfId="145"/>
    <cellStyle name="Input [yellow] 2 11 2 10" xfId="6027"/>
    <cellStyle name="Input [yellow] 2 11 2 10 2" xfId="17224"/>
    <cellStyle name="Input [yellow] 2 11 2 10 3" xfId="28392"/>
    <cellStyle name="Input [yellow] 2 11 2 10 4" xfId="39557"/>
    <cellStyle name="Input [yellow] 2 11 2 10 5" xfId="50750"/>
    <cellStyle name="Input [yellow] 2 11 2 11" xfId="5818"/>
    <cellStyle name="Input [yellow] 2 11 2 11 2" xfId="17015"/>
    <cellStyle name="Input [yellow] 2 11 2 11 3" xfId="28183"/>
    <cellStyle name="Input [yellow] 2 11 2 11 4" xfId="39348"/>
    <cellStyle name="Input [yellow] 2 11 2 11 5" xfId="50541"/>
    <cellStyle name="Input [yellow] 2 11 2 12" xfId="6714"/>
    <cellStyle name="Input [yellow] 2 11 2 12 2" xfId="17911"/>
    <cellStyle name="Input [yellow] 2 11 2 12 3" xfId="29079"/>
    <cellStyle name="Input [yellow] 2 11 2 12 4" xfId="40244"/>
    <cellStyle name="Input [yellow] 2 11 2 12 5" xfId="51437"/>
    <cellStyle name="Input [yellow] 2 11 2 13" xfId="7348"/>
    <cellStyle name="Input [yellow] 2 11 2 13 2" xfId="18545"/>
    <cellStyle name="Input [yellow] 2 11 2 13 3" xfId="29713"/>
    <cellStyle name="Input [yellow] 2 11 2 13 4" xfId="40878"/>
    <cellStyle name="Input [yellow] 2 11 2 13 5" xfId="52071"/>
    <cellStyle name="Input [yellow] 2 11 2 14" xfId="7982"/>
    <cellStyle name="Input [yellow] 2 11 2 14 2" xfId="19179"/>
    <cellStyle name="Input [yellow] 2 11 2 14 3" xfId="30347"/>
    <cellStyle name="Input [yellow] 2 11 2 14 4" xfId="41512"/>
    <cellStyle name="Input [yellow] 2 11 2 14 5" xfId="52705"/>
    <cellStyle name="Input [yellow] 2 11 2 15" xfId="8613"/>
    <cellStyle name="Input [yellow] 2 11 2 15 2" xfId="19810"/>
    <cellStyle name="Input [yellow] 2 11 2 15 3" xfId="30978"/>
    <cellStyle name="Input [yellow] 2 11 2 15 4" xfId="42143"/>
    <cellStyle name="Input [yellow] 2 11 2 15 5" xfId="53336"/>
    <cellStyle name="Input [yellow] 2 11 2 16" xfId="8846"/>
    <cellStyle name="Input [yellow] 2 11 2 16 2" xfId="20043"/>
    <cellStyle name="Input [yellow] 2 11 2 16 3" xfId="31211"/>
    <cellStyle name="Input [yellow] 2 11 2 16 4" xfId="42376"/>
    <cellStyle name="Input [yellow] 2 11 2 16 5" xfId="53569"/>
    <cellStyle name="Input [yellow] 2 11 2 17" xfId="9666"/>
    <cellStyle name="Input [yellow] 2 11 2 17 2" xfId="20863"/>
    <cellStyle name="Input [yellow] 2 11 2 17 3" xfId="32031"/>
    <cellStyle name="Input [yellow] 2 11 2 17 4" xfId="43196"/>
    <cellStyle name="Input [yellow] 2 11 2 17 5" xfId="54389"/>
    <cellStyle name="Input [yellow] 2 11 2 18" xfId="10285"/>
    <cellStyle name="Input [yellow] 2 11 2 18 2" xfId="21482"/>
    <cellStyle name="Input [yellow] 2 11 2 18 3" xfId="32650"/>
    <cellStyle name="Input [yellow] 2 11 2 18 4" xfId="43815"/>
    <cellStyle name="Input [yellow] 2 11 2 18 5" xfId="55008"/>
    <cellStyle name="Input [yellow] 2 11 2 19" xfId="10698"/>
    <cellStyle name="Input [yellow] 2 11 2 19 2" xfId="21895"/>
    <cellStyle name="Input [yellow] 2 11 2 19 3" xfId="33063"/>
    <cellStyle name="Input [yellow] 2 11 2 19 4" xfId="44228"/>
    <cellStyle name="Input [yellow] 2 11 2 19 5" xfId="55421"/>
    <cellStyle name="Input [yellow] 2 11 2 2" xfId="794"/>
    <cellStyle name="Input [yellow] 2 11 2 2 2" xfId="11991"/>
    <cellStyle name="Input [yellow] 2 11 2 2 3" xfId="23159"/>
    <cellStyle name="Input [yellow] 2 11 2 2 4" xfId="34324"/>
    <cellStyle name="Input [yellow] 2 11 2 2 5" xfId="45517"/>
    <cellStyle name="Input [yellow] 2 11 2 20" xfId="11345"/>
    <cellStyle name="Input [yellow] 2 11 2 21" xfId="22515"/>
    <cellStyle name="Input [yellow] 2 11 2 22" xfId="33682"/>
    <cellStyle name="Input [yellow] 2 11 2 23" xfId="44868"/>
    <cellStyle name="Input [yellow] 2 11 2 3" xfId="1537"/>
    <cellStyle name="Input [yellow] 2 11 2 3 2" xfId="12734"/>
    <cellStyle name="Input [yellow] 2 11 2 3 3" xfId="23902"/>
    <cellStyle name="Input [yellow] 2 11 2 3 4" xfId="35067"/>
    <cellStyle name="Input [yellow] 2 11 2 3 5" xfId="46260"/>
    <cellStyle name="Input [yellow] 2 11 2 4" xfId="2071"/>
    <cellStyle name="Input [yellow] 2 11 2 4 2" xfId="13268"/>
    <cellStyle name="Input [yellow] 2 11 2 4 3" xfId="24436"/>
    <cellStyle name="Input [yellow] 2 11 2 4 4" xfId="35601"/>
    <cellStyle name="Input [yellow] 2 11 2 4 5" xfId="46794"/>
    <cellStyle name="Input [yellow] 2 11 2 5" xfId="2184"/>
    <cellStyle name="Input [yellow] 2 11 2 5 2" xfId="13381"/>
    <cellStyle name="Input [yellow] 2 11 2 5 3" xfId="24549"/>
    <cellStyle name="Input [yellow] 2 11 2 5 4" xfId="35714"/>
    <cellStyle name="Input [yellow] 2 11 2 5 5" xfId="46907"/>
    <cellStyle name="Input [yellow] 2 11 2 6" xfId="3129"/>
    <cellStyle name="Input [yellow] 2 11 2 6 2" xfId="14326"/>
    <cellStyle name="Input [yellow] 2 11 2 6 3" xfId="25494"/>
    <cellStyle name="Input [yellow] 2 11 2 6 4" xfId="36659"/>
    <cellStyle name="Input [yellow] 2 11 2 6 5" xfId="47852"/>
    <cellStyle name="Input [yellow] 2 11 2 7" xfId="3763"/>
    <cellStyle name="Input [yellow] 2 11 2 7 2" xfId="14960"/>
    <cellStyle name="Input [yellow] 2 11 2 7 3" xfId="26128"/>
    <cellStyle name="Input [yellow] 2 11 2 7 4" xfId="37293"/>
    <cellStyle name="Input [yellow] 2 11 2 7 5" xfId="48486"/>
    <cellStyle name="Input [yellow] 2 11 2 8" xfId="4396"/>
    <cellStyle name="Input [yellow] 2 11 2 8 2" xfId="15593"/>
    <cellStyle name="Input [yellow] 2 11 2 8 3" xfId="26761"/>
    <cellStyle name="Input [yellow] 2 11 2 8 4" xfId="37926"/>
    <cellStyle name="Input [yellow] 2 11 2 8 5" xfId="49119"/>
    <cellStyle name="Input [yellow] 2 11 2 9" xfId="5027"/>
    <cellStyle name="Input [yellow] 2 11 2 9 2" xfId="16224"/>
    <cellStyle name="Input [yellow] 2 11 2 9 3" xfId="27392"/>
    <cellStyle name="Input [yellow] 2 11 2 9 4" xfId="38557"/>
    <cellStyle name="Input [yellow] 2 11 2 9 5" xfId="49750"/>
    <cellStyle name="Input [yellow] 2 11 20" xfId="5920"/>
    <cellStyle name="Input [yellow] 2 11 20 2" xfId="17117"/>
    <cellStyle name="Input [yellow] 2 11 20 3" xfId="28285"/>
    <cellStyle name="Input [yellow] 2 11 20 4" xfId="39450"/>
    <cellStyle name="Input [yellow] 2 11 20 5" xfId="50643"/>
    <cellStyle name="Input [yellow] 2 11 21" xfId="5646"/>
    <cellStyle name="Input [yellow] 2 11 21 2" xfId="16843"/>
    <cellStyle name="Input [yellow] 2 11 21 3" xfId="28011"/>
    <cellStyle name="Input [yellow] 2 11 21 4" xfId="39176"/>
    <cellStyle name="Input [yellow] 2 11 21 5" xfId="50369"/>
    <cellStyle name="Input [yellow] 2 11 22" xfId="6651"/>
    <cellStyle name="Input [yellow] 2 11 22 2" xfId="17848"/>
    <cellStyle name="Input [yellow] 2 11 22 3" xfId="29016"/>
    <cellStyle name="Input [yellow] 2 11 22 4" xfId="40181"/>
    <cellStyle name="Input [yellow] 2 11 22 5" xfId="51374"/>
    <cellStyle name="Input [yellow] 2 11 23" xfId="7284"/>
    <cellStyle name="Input [yellow] 2 11 23 2" xfId="18481"/>
    <cellStyle name="Input [yellow] 2 11 23 3" xfId="29649"/>
    <cellStyle name="Input [yellow] 2 11 23 4" xfId="40814"/>
    <cellStyle name="Input [yellow] 2 11 23 5" xfId="52007"/>
    <cellStyle name="Input [yellow] 2 11 24" xfId="7918"/>
    <cellStyle name="Input [yellow] 2 11 24 2" xfId="19115"/>
    <cellStyle name="Input [yellow] 2 11 24 3" xfId="30283"/>
    <cellStyle name="Input [yellow] 2 11 24 4" xfId="41448"/>
    <cellStyle name="Input [yellow] 2 11 24 5" xfId="52641"/>
    <cellStyle name="Input [yellow] 2 11 25" xfId="8550"/>
    <cellStyle name="Input [yellow] 2 11 25 2" xfId="19747"/>
    <cellStyle name="Input [yellow] 2 11 25 3" xfId="30915"/>
    <cellStyle name="Input [yellow] 2 11 25 4" xfId="42080"/>
    <cellStyle name="Input [yellow] 2 11 25 5" xfId="53273"/>
    <cellStyle name="Input [yellow] 2 11 26" xfId="8746"/>
    <cellStyle name="Input [yellow] 2 11 26 2" xfId="19943"/>
    <cellStyle name="Input [yellow] 2 11 26 3" xfId="31111"/>
    <cellStyle name="Input [yellow] 2 11 26 4" xfId="42276"/>
    <cellStyle name="Input [yellow] 2 11 26 5" xfId="53469"/>
    <cellStyle name="Input [yellow] 2 11 27" xfId="9602"/>
    <cellStyle name="Input [yellow] 2 11 27 2" xfId="20799"/>
    <cellStyle name="Input [yellow] 2 11 27 3" xfId="31967"/>
    <cellStyle name="Input [yellow] 2 11 27 4" xfId="43132"/>
    <cellStyle name="Input [yellow] 2 11 27 5" xfId="54325"/>
    <cellStyle name="Input [yellow] 2 11 28" xfId="10255"/>
    <cellStyle name="Input [yellow] 2 11 28 2" xfId="21452"/>
    <cellStyle name="Input [yellow] 2 11 28 3" xfId="32620"/>
    <cellStyle name="Input [yellow] 2 11 28 4" xfId="43785"/>
    <cellStyle name="Input [yellow] 2 11 28 5" xfId="54978"/>
    <cellStyle name="Input [yellow] 2 11 29" xfId="10635"/>
    <cellStyle name="Input [yellow] 2 11 29 2" xfId="21832"/>
    <cellStyle name="Input [yellow] 2 11 29 3" xfId="33000"/>
    <cellStyle name="Input [yellow] 2 11 29 4" xfId="44165"/>
    <cellStyle name="Input [yellow] 2 11 29 5" xfId="55358"/>
    <cellStyle name="Input [yellow] 2 11 3" xfId="201"/>
    <cellStyle name="Input [yellow] 2 11 3 10" xfId="5782"/>
    <cellStyle name="Input [yellow] 2 11 3 10 2" xfId="16979"/>
    <cellStyle name="Input [yellow] 2 11 3 10 3" xfId="28147"/>
    <cellStyle name="Input [yellow] 2 11 3 10 4" xfId="39312"/>
    <cellStyle name="Input [yellow] 2 11 3 10 5" xfId="50505"/>
    <cellStyle name="Input [yellow] 2 11 3 11" xfId="5975"/>
    <cellStyle name="Input [yellow] 2 11 3 11 2" xfId="17172"/>
    <cellStyle name="Input [yellow] 2 11 3 11 3" xfId="28340"/>
    <cellStyle name="Input [yellow] 2 11 3 11 4" xfId="39505"/>
    <cellStyle name="Input [yellow] 2 11 3 11 5" xfId="50698"/>
    <cellStyle name="Input [yellow] 2 11 3 12" xfId="6770"/>
    <cellStyle name="Input [yellow] 2 11 3 12 2" xfId="17967"/>
    <cellStyle name="Input [yellow] 2 11 3 12 3" xfId="29135"/>
    <cellStyle name="Input [yellow] 2 11 3 12 4" xfId="40300"/>
    <cellStyle name="Input [yellow] 2 11 3 12 5" xfId="51493"/>
    <cellStyle name="Input [yellow] 2 11 3 13" xfId="7404"/>
    <cellStyle name="Input [yellow] 2 11 3 13 2" xfId="18601"/>
    <cellStyle name="Input [yellow] 2 11 3 13 3" xfId="29769"/>
    <cellStyle name="Input [yellow] 2 11 3 13 4" xfId="40934"/>
    <cellStyle name="Input [yellow] 2 11 3 13 5" xfId="52127"/>
    <cellStyle name="Input [yellow] 2 11 3 14" xfId="8038"/>
    <cellStyle name="Input [yellow] 2 11 3 14 2" xfId="19235"/>
    <cellStyle name="Input [yellow] 2 11 3 14 3" xfId="30403"/>
    <cellStyle name="Input [yellow] 2 11 3 14 4" xfId="41568"/>
    <cellStyle name="Input [yellow] 2 11 3 14 5" xfId="52761"/>
    <cellStyle name="Input [yellow] 2 11 3 15" xfId="8669"/>
    <cellStyle name="Input [yellow] 2 11 3 15 2" xfId="19866"/>
    <cellStyle name="Input [yellow] 2 11 3 15 3" xfId="31034"/>
    <cellStyle name="Input [yellow] 2 11 3 15 4" xfId="42199"/>
    <cellStyle name="Input [yellow] 2 11 3 15 5" xfId="53392"/>
    <cellStyle name="Input [yellow] 2 11 3 16" xfId="8967"/>
    <cellStyle name="Input [yellow] 2 11 3 16 2" xfId="20164"/>
    <cellStyle name="Input [yellow] 2 11 3 16 3" xfId="31332"/>
    <cellStyle name="Input [yellow] 2 11 3 16 4" xfId="42497"/>
    <cellStyle name="Input [yellow] 2 11 3 16 5" xfId="53690"/>
    <cellStyle name="Input [yellow] 2 11 3 17" xfId="9720"/>
    <cellStyle name="Input [yellow] 2 11 3 17 2" xfId="20917"/>
    <cellStyle name="Input [yellow] 2 11 3 17 3" xfId="32085"/>
    <cellStyle name="Input [yellow] 2 11 3 17 4" xfId="43250"/>
    <cellStyle name="Input [yellow] 2 11 3 17 5" xfId="54443"/>
    <cellStyle name="Input [yellow] 2 11 3 18" xfId="10249"/>
    <cellStyle name="Input [yellow] 2 11 3 18 2" xfId="21446"/>
    <cellStyle name="Input [yellow] 2 11 3 18 3" xfId="32614"/>
    <cellStyle name="Input [yellow] 2 11 3 18 4" xfId="43779"/>
    <cellStyle name="Input [yellow] 2 11 3 18 5" xfId="54972"/>
    <cellStyle name="Input [yellow] 2 11 3 19" xfId="10754"/>
    <cellStyle name="Input [yellow] 2 11 3 19 2" xfId="21951"/>
    <cellStyle name="Input [yellow] 2 11 3 19 3" xfId="33119"/>
    <cellStyle name="Input [yellow] 2 11 3 19 4" xfId="44284"/>
    <cellStyle name="Input [yellow] 2 11 3 19 5" xfId="55477"/>
    <cellStyle name="Input [yellow] 2 11 3 2" xfId="850"/>
    <cellStyle name="Input [yellow] 2 11 3 2 2" xfId="12047"/>
    <cellStyle name="Input [yellow] 2 11 3 2 3" xfId="23215"/>
    <cellStyle name="Input [yellow] 2 11 3 2 4" xfId="34380"/>
    <cellStyle name="Input [yellow] 2 11 3 2 5" xfId="45573"/>
    <cellStyle name="Input [yellow] 2 11 3 20" xfId="11401"/>
    <cellStyle name="Input [yellow] 2 11 3 21" xfId="22571"/>
    <cellStyle name="Input [yellow] 2 11 3 22" xfId="33738"/>
    <cellStyle name="Input [yellow] 2 11 3 23" xfId="44924"/>
    <cellStyle name="Input [yellow] 2 11 3 3" xfId="1565"/>
    <cellStyle name="Input [yellow] 2 11 3 3 2" xfId="12762"/>
    <cellStyle name="Input [yellow] 2 11 3 3 3" xfId="23930"/>
    <cellStyle name="Input [yellow] 2 11 3 3 4" xfId="35095"/>
    <cellStyle name="Input [yellow] 2 11 3 3 5" xfId="46288"/>
    <cellStyle name="Input [yellow] 2 11 3 4" xfId="2127"/>
    <cellStyle name="Input [yellow] 2 11 3 4 2" xfId="13324"/>
    <cellStyle name="Input [yellow] 2 11 3 4 3" xfId="24492"/>
    <cellStyle name="Input [yellow] 2 11 3 4 4" xfId="35657"/>
    <cellStyle name="Input [yellow] 2 11 3 4 5" xfId="46850"/>
    <cellStyle name="Input [yellow] 2 11 3 5" xfId="2257"/>
    <cellStyle name="Input [yellow] 2 11 3 5 2" xfId="13454"/>
    <cellStyle name="Input [yellow] 2 11 3 5 3" xfId="24622"/>
    <cellStyle name="Input [yellow] 2 11 3 5 4" xfId="35787"/>
    <cellStyle name="Input [yellow] 2 11 3 5 5" xfId="46980"/>
    <cellStyle name="Input [yellow] 2 11 3 6" xfId="3185"/>
    <cellStyle name="Input [yellow] 2 11 3 6 2" xfId="14382"/>
    <cellStyle name="Input [yellow] 2 11 3 6 3" xfId="25550"/>
    <cellStyle name="Input [yellow] 2 11 3 6 4" xfId="36715"/>
    <cellStyle name="Input [yellow] 2 11 3 6 5" xfId="47908"/>
    <cellStyle name="Input [yellow] 2 11 3 7" xfId="3819"/>
    <cellStyle name="Input [yellow] 2 11 3 7 2" xfId="15016"/>
    <cellStyle name="Input [yellow] 2 11 3 7 3" xfId="26184"/>
    <cellStyle name="Input [yellow] 2 11 3 7 4" xfId="37349"/>
    <cellStyle name="Input [yellow] 2 11 3 7 5" xfId="48542"/>
    <cellStyle name="Input [yellow] 2 11 3 8" xfId="4452"/>
    <cellStyle name="Input [yellow] 2 11 3 8 2" xfId="15649"/>
    <cellStyle name="Input [yellow] 2 11 3 8 3" xfId="26817"/>
    <cellStyle name="Input [yellow] 2 11 3 8 4" xfId="37982"/>
    <cellStyle name="Input [yellow] 2 11 3 8 5" xfId="49175"/>
    <cellStyle name="Input [yellow] 2 11 3 9" xfId="5083"/>
    <cellStyle name="Input [yellow] 2 11 3 9 2" xfId="16280"/>
    <cellStyle name="Input [yellow] 2 11 3 9 3" xfId="27448"/>
    <cellStyle name="Input [yellow] 2 11 3 9 4" xfId="38613"/>
    <cellStyle name="Input [yellow] 2 11 3 9 5" xfId="49806"/>
    <cellStyle name="Input [yellow] 2 11 30" xfId="11282"/>
    <cellStyle name="Input [yellow] 2 11 31" xfId="22452"/>
    <cellStyle name="Input [yellow] 2 11 32" xfId="33619"/>
    <cellStyle name="Input [yellow] 2 11 33" xfId="44804"/>
    <cellStyle name="Input [yellow] 2 11 4" xfId="29"/>
    <cellStyle name="Input [yellow] 2 11 4 10" xfId="5566"/>
    <cellStyle name="Input [yellow] 2 11 4 10 2" xfId="16763"/>
    <cellStyle name="Input [yellow] 2 11 4 10 3" xfId="27931"/>
    <cellStyle name="Input [yellow] 2 11 4 10 4" xfId="39096"/>
    <cellStyle name="Input [yellow] 2 11 4 10 5" xfId="50289"/>
    <cellStyle name="Input [yellow] 2 11 4 11" xfId="5770"/>
    <cellStyle name="Input [yellow] 2 11 4 11 2" xfId="16967"/>
    <cellStyle name="Input [yellow] 2 11 4 11 3" xfId="28135"/>
    <cellStyle name="Input [yellow] 2 11 4 11 4" xfId="39300"/>
    <cellStyle name="Input [yellow] 2 11 4 11 5" xfId="50493"/>
    <cellStyle name="Input [yellow] 2 11 4 12" xfId="6169"/>
    <cellStyle name="Input [yellow] 2 11 4 12 2" xfId="17366"/>
    <cellStyle name="Input [yellow] 2 11 4 12 3" xfId="28534"/>
    <cellStyle name="Input [yellow] 2 11 4 12 4" xfId="39699"/>
    <cellStyle name="Input [yellow] 2 11 4 12 5" xfId="50892"/>
    <cellStyle name="Input [yellow] 2 11 4 13" xfId="5653"/>
    <cellStyle name="Input [yellow] 2 11 4 13 2" xfId="16850"/>
    <cellStyle name="Input [yellow] 2 11 4 13 3" xfId="28018"/>
    <cellStyle name="Input [yellow] 2 11 4 13 4" xfId="39183"/>
    <cellStyle name="Input [yellow] 2 11 4 13 5" xfId="50376"/>
    <cellStyle name="Input [yellow] 2 11 4 14" xfId="6128"/>
    <cellStyle name="Input [yellow] 2 11 4 14 2" xfId="17325"/>
    <cellStyle name="Input [yellow] 2 11 4 14 3" xfId="28493"/>
    <cellStyle name="Input [yellow] 2 11 4 14 4" xfId="39658"/>
    <cellStyle name="Input [yellow] 2 11 4 14 5" xfId="50851"/>
    <cellStyle name="Input [yellow] 2 11 4 15" xfId="7252"/>
    <cellStyle name="Input [yellow] 2 11 4 15 2" xfId="18449"/>
    <cellStyle name="Input [yellow] 2 11 4 15 3" xfId="29617"/>
    <cellStyle name="Input [yellow] 2 11 4 15 4" xfId="40782"/>
    <cellStyle name="Input [yellow] 2 11 4 15 5" xfId="51975"/>
    <cellStyle name="Input [yellow] 2 11 4 16" xfId="7275"/>
    <cellStyle name="Input [yellow] 2 11 4 16 2" xfId="18472"/>
    <cellStyle name="Input [yellow] 2 11 4 16 3" xfId="29640"/>
    <cellStyle name="Input [yellow] 2 11 4 16 4" xfId="40805"/>
    <cellStyle name="Input [yellow] 2 11 4 16 5" xfId="51998"/>
    <cellStyle name="Input [yellow] 2 11 4 17" xfId="6620"/>
    <cellStyle name="Input [yellow] 2 11 4 17 2" xfId="17817"/>
    <cellStyle name="Input [yellow] 2 11 4 17 3" xfId="28985"/>
    <cellStyle name="Input [yellow] 2 11 4 17 4" xfId="40150"/>
    <cellStyle name="Input [yellow] 2 11 4 17 5" xfId="51343"/>
    <cellStyle name="Input [yellow] 2 11 4 18" xfId="9571"/>
    <cellStyle name="Input [yellow] 2 11 4 18 2" xfId="20768"/>
    <cellStyle name="Input [yellow] 2 11 4 18 3" xfId="31936"/>
    <cellStyle name="Input [yellow] 2 11 4 18 4" xfId="43101"/>
    <cellStyle name="Input [yellow] 2 11 4 18 5" xfId="54294"/>
    <cellStyle name="Input [yellow] 2 11 4 19" xfId="9594"/>
    <cellStyle name="Input [yellow] 2 11 4 19 2" xfId="20791"/>
    <cellStyle name="Input [yellow] 2 11 4 19 3" xfId="31959"/>
    <cellStyle name="Input [yellow] 2 11 4 19 4" xfId="43124"/>
    <cellStyle name="Input [yellow] 2 11 4 19 5" xfId="54317"/>
    <cellStyle name="Input [yellow] 2 11 4 2" xfId="684"/>
    <cellStyle name="Input [yellow] 2 11 4 2 2" xfId="11883"/>
    <cellStyle name="Input [yellow] 2 11 4 2 3" xfId="23052"/>
    <cellStyle name="Input [yellow] 2 11 4 2 4" xfId="34219"/>
    <cellStyle name="Input [yellow] 2 11 4 2 5" xfId="45407"/>
    <cellStyle name="Input [yellow] 2 11 4 20" xfId="11231"/>
    <cellStyle name="Input [yellow] 2 11 4 21" xfId="11273"/>
    <cellStyle name="Input [yellow] 2 11 4 22" xfId="23068"/>
    <cellStyle name="Input [yellow] 2 11 4 23" xfId="44758"/>
    <cellStyle name="Input [yellow] 2 11 4 3" xfId="674"/>
    <cellStyle name="Input [yellow] 2 11 4 3 2" xfId="11874"/>
    <cellStyle name="Input [yellow] 2 11 4 3 3" xfId="23044"/>
    <cellStyle name="Input [yellow] 2 11 4 3 4" xfId="34211"/>
    <cellStyle name="Input [yellow] 2 11 4 3 5" xfId="45397"/>
    <cellStyle name="Input [yellow] 2 11 4 4" xfId="1958"/>
    <cellStyle name="Input [yellow] 2 11 4 4 2" xfId="13155"/>
    <cellStyle name="Input [yellow] 2 11 4 4 3" xfId="24323"/>
    <cellStyle name="Input [yellow] 2 11 4 4 4" xfId="35488"/>
    <cellStyle name="Input [yellow] 2 11 4 4 5" xfId="46681"/>
    <cellStyle name="Input [yellow] 2 11 4 5" xfId="1323"/>
    <cellStyle name="Input [yellow] 2 11 4 5 2" xfId="12520"/>
    <cellStyle name="Input [yellow] 2 11 4 5 3" xfId="23688"/>
    <cellStyle name="Input [yellow] 2 11 4 5 4" xfId="34853"/>
    <cellStyle name="Input [yellow] 2 11 4 5 5" xfId="46046"/>
    <cellStyle name="Input [yellow] 2 11 4 6" xfId="1984"/>
    <cellStyle name="Input [yellow] 2 11 4 6 2" xfId="13181"/>
    <cellStyle name="Input [yellow] 2 11 4 6 3" xfId="24349"/>
    <cellStyle name="Input [yellow] 2 11 4 6 4" xfId="35514"/>
    <cellStyle name="Input [yellow] 2 11 4 6 5" xfId="46707"/>
    <cellStyle name="Input [yellow] 2 11 4 7" xfId="1975"/>
    <cellStyle name="Input [yellow] 2 11 4 7 2" xfId="13172"/>
    <cellStyle name="Input [yellow] 2 11 4 7 3" xfId="24340"/>
    <cellStyle name="Input [yellow] 2 11 4 7 4" xfId="35505"/>
    <cellStyle name="Input [yellow] 2 11 4 7 5" xfId="46698"/>
    <cellStyle name="Input [yellow] 2 11 4 8" xfId="3033"/>
    <cellStyle name="Input [yellow] 2 11 4 8 2" xfId="14230"/>
    <cellStyle name="Input [yellow] 2 11 4 8 3" xfId="25398"/>
    <cellStyle name="Input [yellow] 2 11 4 8 4" xfId="36563"/>
    <cellStyle name="Input [yellow] 2 11 4 8 5" xfId="47756"/>
    <cellStyle name="Input [yellow] 2 11 4 9" xfId="3709"/>
    <cellStyle name="Input [yellow] 2 11 4 9 2" xfId="14906"/>
    <cellStyle name="Input [yellow] 2 11 4 9 3" xfId="26074"/>
    <cellStyle name="Input [yellow] 2 11 4 9 4" xfId="37239"/>
    <cellStyle name="Input [yellow] 2 11 4 9 5" xfId="48432"/>
    <cellStyle name="Input [yellow] 2 11 5" xfId="306"/>
    <cellStyle name="Input [yellow] 2 11 5 10" xfId="6016"/>
    <cellStyle name="Input [yellow] 2 11 5 10 2" xfId="17213"/>
    <cellStyle name="Input [yellow] 2 11 5 10 3" xfId="28381"/>
    <cellStyle name="Input [yellow] 2 11 5 10 4" xfId="39546"/>
    <cellStyle name="Input [yellow] 2 11 5 10 5" xfId="50739"/>
    <cellStyle name="Input [yellow] 2 11 5 11" xfId="6242"/>
    <cellStyle name="Input [yellow] 2 11 5 11 2" xfId="17439"/>
    <cellStyle name="Input [yellow] 2 11 5 11 3" xfId="28607"/>
    <cellStyle name="Input [yellow] 2 11 5 11 4" xfId="39772"/>
    <cellStyle name="Input [yellow] 2 11 5 11 5" xfId="50965"/>
    <cellStyle name="Input [yellow] 2 11 5 12" xfId="6875"/>
    <cellStyle name="Input [yellow] 2 11 5 12 2" xfId="18072"/>
    <cellStyle name="Input [yellow] 2 11 5 12 3" xfId="29240"/>
    <cellStyle name="Input [yellow] 2 11 5 12 4" xfId="40405"/>
    <cellStyle name="Input [yellow] 2 11 5 12 5" xfId="51598"/>
    <cellStyle name="Input [yellow] 2 11 5 13" xfId="7509"/>
    <cellStyle name="Input [yellow] 2 11 5 13 2" xfId="18706"/>
    <cellStyle name="Input [yellow] 2 11 5 13 3" xfId="29874"/>
    <cellStyle name="Input [yellow] 2 11 5 13 4" xfId="41039"/>
    <cellStyle name="Input [yellow] 2 11 5 13 5" xfId="52232"/>
    <cellStyle name="Input [yellow] 2 11 5 14" xfId="8143"/>
    <cellStyle name="Input [yellow] 2 11 5 14 2" xfId="19340"/>
    <cellStyle name="Input [yellow] 2 11 5 14 3" xfId="30508"/>
    <cellStyle name="Input [yellow] 2 11 5 14 4" xfId="41673"/>
    <cellStyle name="Input [yellow] 2 11 5 14 5" xfId="52866"/>
    <cellStyle name="Input [yellow] 2 11 5 15" xfId="8772"/>
    <cellStyle name="Input [yellow] 2 11 5 15 2" xfId="19969"/>
    <cellStyle name="Input [yellow] 2 11 5 15 3" xfId="31137"/>
    <cellStyle name="Input [yellow] 2 11 5 15 4" xfId="42302"/>
    <cellStyle name="Input [yellow] 2 11 5 15 5" xfId="53495"/>
    <cellStyle name="Input [yellow] 2 11 5 16" xfId="9194"/>
    <cellStyle name="Input [yellow] 2 11 5 16 2" xfId="20391"/>
    <cellStyle name="Input [yellow] 2 11 5 16 3" xfId="31559"/>
    <cellStyle name="Input [yellow] 2 11 5 16 4" xfId="42724"/>
    <cellStyle name="Input [yellow] 2 11 5 16 5" xfId="53917"/>
    <cellStyle name="Input [yellow] 2 11 5 17" xfId="9821"/>
    <cellStyle name="Input [yellow] 2 11 5 17 2" xfId="21018"/>
    <cellStyle name="Input [yellow] 2 11 5 17 3" xfId="32186"/>
    <cellStyle name="Input [yellow] 2 11 5 17 4" xfId="43351"/>
    <cellStyle name="Input [yellow] 2 11 5 17 5" xfId="54544"/>
    <cellStyle name="Input [yellow] 2 11 5 18" xfId="9685"/>
    <cellStyle name="Input [yellow] 2 11 5 18 2" xfId="20882"/>
    <cellStyle name="Input [yellow] 2 11 5 18 3" xfId="32050"/>
    <cellStyle name="Input [yellow] 2 11 5 18 4" xfId="43215"/>
    <cellStyle name="Input [yellow] 2 11 5 18 5" xfId="54408"/>
    <cellStyle name="Input [yellow] 2 11 5 19" xfId="10859"/>
    <cellStyle name="Input [yellow] 2 11 5 19 2" xfId="22056"/>
    <cellStyle name="Input [yellow] 2 11 5 19 3" xfId="33224"/>
    <cellStyle name="Input [yellow] 2 11 5 19 4" xfId="44389"/>
    <cellStyle name="Input [yellow] 2 11 5 19 5" xfId="55582"/>
    <cellStyle name="Input [yellow] 2 11 5 2" xfId="955"/>
    <cellStyle name="Input [yellow] 2 11 5 2 2" xfId="12152"/>
    <cellStyle name="Input [yellow] 2 11 5 2 3" xfId="23320"/>
    <cellStyle name="Input [yellow] 2 11 5 2 4" xfId="34485"/>
    <cellStyle name="Input [yellow] 2 11 5 2 5" xfId="45678"/>
    <cellStyle name="Input [yellow] 2 11 5 20" xfId="11506"/>
    <cellStyle name="Input [yellow] 2 11 5 21" xfId="22676"/>
    <cellStyle name="Input [yellow] 2 11 5 22" xfId="33843"/>
    <cellStyle name="Input [yellow] 2 11 5 23" xfId="45029"/>
    <cellStyle name="Input [yellow] 2 11 5 3" xfId="1409"/>
    <cellStyle name="Input [yellow] 2 11 5 3 2" xfId="12606"/>
    <cellStyle name="Input [yellow] 2 11 5 3 3" xfId="23774"/>
    <cellStyle name="Input [yellow] 2 11 5 3 4" xfId="34939"/>
    <cellStyle name="Input [yellow] 2 11 5 3 5" xfId="46132"/>
    <cellStyle name="Input [yellow] 2 11 5 4" xfId="2231"/>
    <cellStyle name="Input [yellow] 2 11 5 4 2" xfId="13428"/>
    <cellStyle name="Input [yellow] 2 11 5 4 3" xfId="24596"/>
    <cellStyle name="Input [yellow] 2 11 5 4 4" xfId="35761"/>
    <cellStyle name="Input [yellow] 2 11 5 4 5" xfId="46954"/>
    <cellStyle name="Input [yellow] 2 11 5 5" xfId="2656"/>
    <cellStyle name="Input [yellow] 2 11 5 5 2" xfId="13853"/>
    <cellStyle name="Input [yellow] 2 11 5 5 3" xfId="25021"/>
    <cellStyle name="Input [yellow] 2 11 5 5 4" xfId="36186"/>
    <cellStyle name="Input [yellow] 2 11 5 5 5" xfId="47379"/>
    <cellStyle name="Input [yellow] 2 11 5 6" xfId="3290"/>
    <cellStyle name="Input [yellow] 2 11 5 6 2" xfId="14487"/>
    <cellStyle name="Input [yellow] 2 11 5 6 3" xfId="25655"/>
    <cellStyle name="Input [yellow] 2 11 5 6 4" xfId="36820"/>
    <cellStyle name="Input [yellow] 2 11 5 6 5" xfId="48013"/>
    <cellStyle name="Input [yellow] 2 11 5 7" xfId="3924"/>
    <cellStyle name="Input [yellow] 2 11 5 7 2" xfId="15121"/>
    <cellStyle name="Input [yellow] 2 11 5 7 3" xfId="26289"/>
    <cellStyle name="Input [yellow] 2 11 5 7 4" xfId="37454"/>
    <cellStyle name="Input [yellow] 2 11 5 7 5" xfId="48647"/>
    <cellStyle name="Input [yellow] 2 11 5 8" xfId="4557"/>
    <cellStyle name="Input [yellow] 2 11 5 8 2" xfId="15754"/>
    <cellStyle name="Input [yellow] 2 11 5 8 3" xfId="26922"/>
    <cellStyle name="Input [yellow] 2 11 5 8 4" xfId="38087"/>
    <cellStyle name="Input [yellow] 2 11 5 8 5" xfId="49280"/>
    <cellStyle name="Input [yellow] 2 11 5 9" xfId="5188"/>
    <cellStyle name="Input [yellow] 2 11 5 9 2" xfId="16385"/>
    <cellStyle name="Input [yellow] 2 11 5 9 3" xfId="27553"/>
    <cellStyle name="Input [yellow] 2 11 5 9 4" xfId="38718"/>
    <cellStyle name="Input [yellow] 2 11 5 9 5" xfId="49911"/>
    <cellStyle name="Input [yellow] 2 11 6" xfId="303"/>
    <cellStyle name="Input [yellow] 2 11 6 10" xfId="5761"/>
    <cellStyle name="Input [yellow] 2 11 6 10 2" xfId="16958"/>
    <cellStyle name="Input [yellow] 2 11 6 10 3" xfId="28126"/>
    <cellStyle name="Input [yellow] 2 11 6 10 4" xfId="39291"/>
    <cellStyle name="Input [yellow] 2 11 6 10 5" xfId="50484"/>
    <cellStyle name="Input [yellow] 2 11 6 11" xfId="6239"/>
    <cellStyle name="Input [yellow] 2 11 6 11 2" xfId="17436"/>
    <cellStyle name="Input [yellow] 2 11 6 11 3" xfId="28604"/>
    <cellStyle name="Input [yellow] 2 11 6 11 4" xfId="39769"/>
    <cellStyle name="Input [yellow] 2 11 6 11 5" xfId="50962"/>
    <cellStyle name="Input [yellow] 2 11 6 12" xfId="6872"/>
    <cellStyle name="Input [yellow] 2 11 6 12 2" xfId="18069"/>
    <cellStyle name="Input [yellow] 2 11 6 12 3" xfId="29237"/>
    <cellStyle name="Input [yellow] 2 11 6 12 4" xfId="40402"/>
    <cellStyle name="Input [yellow] 2 11 6 12 5" xfId="51595"/>
    <cellStyle name="Input [yellow] 2 11 6 13" xfId="7506"/>
    <cellStyle name="Input [yellow] 2 11 6 13 2" xfId="18703"/>
    <cellStyle name="Input [yellow] 2 11 6 13 3" xfId="29871"/>
    <cellStyle name="Input [yellow] 2 11 6 13 4" xfId="41036"/>
    <cellStyle name="Input [yellow] 2 11 6 13 5" xfId="52229"/>
    <cellStyle name="Input [yellow] 2 11 6 14" xfId="8140"/>
    <cellStyle name="Input [yellow] 2 11 6 14 2" xfId="19337"/>
    <cellStyle name="Input [yellow] 2 11 6 14 3" xfId="30505"/>
    <cellStyle name="Input [yellow] 2 11 6 14 4" xfId="41670"/>
    <cellStyle name="Input [yellow] 2 11 6 14 5" xfId="52863"/>
    <cellStyle name="Input [yellow] 2 11 6 15" xfId="8769"/>
    <cellStyle name="Input [yellow] 2 11 6 15 2" xfId="19966"/>
    <cellStyle name="Input [yellow] 2 11 6 15 3" xfId="31134"/>
    <cellStyle name="Input [yellow] 2 11 6 15 4" xfId="42299"/>
    <cellStyle name="Input [yellow] 2 11 6 15 5" xfId="53492"/>
    <cellStyle name="Input [yellow] 2 11 6 16" xfId="9191"/>
    <cellStyle name="Input [yellow] 2 11 6 16 2" xfId="20388"/>
    <cellStyle name="Input [yellow] 2 11 6 16 3" xfId="31556"/>
    <cellStyle name="Input [yellow] 2 11 6 16 4" xfId="42721"/>
    <cellStyle name="Input [yellow] 2 11 6 16 5" xfId="53914"/>
    <cellStyle name="Input [yellow] 2 11 6 17" xfId="9818"/>
    <cellStyle name="Input [yellow] 2 11 6 17 2" xfId="21015"/>
    <cellStyle name="Input [yellow] 2 11 6 17 3" xfId="32183"/>
    <cellStyle name="Input [yellow] 2 11 6 17 4" xfId="43348"/>
    <cellStyle name="Input [yellow] 2 11 6 17 5" xfId="54541"/>
    <cellStyle name="Input [yellow] 2 11 6 18" xfId="10202"/>
    <cellStyle name="Input [yellow] 2 11 6 18 2" xfId="21399"/>
    <cellStyle name="Input [yellow] 2 11 6 18 3" xfId="32567"/>
    <cellStyle name="Input [yellow] 2 11 6 18 4" xfId="43732"/>
    <cellStyle name="Input [yellow] 2 11 6 18 5" xfId="54925"/>
    <cellStyle name="Input [yellow] 2 11 6 19" xfId="10856"/>
    <cellStyle name="Input [yellow] 2 11 6 19 2" xfId="22053"/>
    <cellStyle name="Input [yellow] 2 11 6 19 3" xfId="33221"/>
    <cellStyle name="Input [yellow] 2 11 6 19 4" xfId="44386"/>
    <cellStyle name="Input [yellow] 2 11 6 19 5" xfId="55579"/>
    <cellStyle name="Input [yellow] 2 11 6 2" xfId="952"/>
    <cellStyle name="Input [yellow] 2 11 6 2 2" xfId="12149"/>
    <cellStyle name="Input [yellow] 2 11 6 2 3" xfId="23317"/>
    <cellStyle name="Input [yellow] 2 11 6 2 4" xfId="34482"/>
    <cellStyle name="Input [yellow] 2 11 6 2 5" xfId="45675"/>
    <cellStyle name="Input [yellow] 2 11 6 20" xfId="11503"/>
    <cellStyle name="Input [yellow] 2 11 6 21" xfId="22673"/>
    <cellStyle name="Input [yellow] 2 11 6 22" xfId="33840"/>
    <cellStyle name="Input [yellow] 2 11 6 23" xfId="45026"/>
    <cellStyle name="Input [yellow] 2 11 6 3" xfId="1568"/>
    <cellStyle name="Input [yellow] 2 11 6 3 2" xfId="12765"/>
    <cellStyle name="Input [yellow] 2 11 6 3 3" xfId="23933"/>
    <cellStyle name="Input [yellow] 2 11 6 3 4" xfId="35098"/>
    <cellStyle name="Input [yellow] 2 11 6 3 5" xfId="46291"/>
    <cellStyle name="Input [yellow] 2 11 6 4" xfId="2228"/>
    <cellStyle name="Input [yellow] 2 11 6 4 2" xfId="13425"/>
    <cellStyle name="Input [yellow] 2 11 6 4 3" xfId="24593"/>
    <cellStyle name="Input [yellow] 2 11 6 4 4" xfId="35758"/>
    <cellStyle name="Input [yellow] 2 11 6 4 5" xfId="46951"/>
    <cellStyle name="Input [yellow] 2 11 6 5" xfId="2653"/>
    <cellStyle name="Input [yellow] 2 11 6 5 2" xfId="13850"/>
    <cellStyle name="Input [yellow] 2 11 6 5 3" xfId="25018"/>
    <cellStyle name="Input [yellow] 2 11 6 5 4" xfId="36183"/>
    <cellStyle name="Input [yellow] 2 11 6 5 5" xfId="47376"/>
    <cellStyle name="Input [yellow] 2 11 6 6" xfId="3287"/>
    <cellStyle name="Input [yellow] 2 11 6 6 2" xfId="14484"/>
    <cellStyle name="Input [yellow] 2 11 6 6 3" xfId="25652"/>
    <cellStyle name="Input [yellow] 2 11 6 6 4" xfId="36817"/>
    <cellStyle name="Input [yellow] 2 11 6 6 5" xfId="48010"/>
    <cellStyle name="Input [yellow] 2 11 6 7" xfId="3921"/>
    <cellStyle name="Input [yellow] 2 11 6 7 2" xfId="15118"/>
    <cellStyle name="Input [yellow] 2 11 6 7 3" xfId="26286"/>
    <cellStyle name="Input [yellow] 2 11 6 7 4" xfId="37451"/>
    <cellStyle name="Input [yellow] 2 11 6 7 5" xfId="48644"/>
    <cellStyle name="Input [yellow] 2 11 6 8" xfId="4554"/>
    <cellStyle name="Input [yellow] 2 11 6 8 2" xfId="15751"/>
    <cellStyle name="Input [yellow] 2 11 6 8 3" xfId="26919"/>
    <cellStyle name="Input [yellow] 2 11 6 8 4" xfId="38084"/>
    <cellStyle name="Input [yellow] 2 11 6 8 5" xfId="49277"/>
    <cellStyle name="Input [yellow] 2 11 6 9" xfId="5185"/>
    <cellStyle name="Input [yellow] 2 11 6 9 2" xfId="16382"/>
    <cellStyle name="Input [yellow] 2 11 6 9 3" xfId="27550"/>
    <cellStyle name="Input [yellow] 2 11 6 9 4" xfId="38715"/>
    <cellStyle name="Input [yellow] 2 11 6 9 5" xfId="49908"/>
    <cellStyle name="Input [yellow] 2 11 7" xfId="394"/>
    <cellStyle name="Input [yellow] 2 11 7 10" xfId="6186"/>
    <cellStyle name="Input [yellow] 2 11 7 10 2" xfId="17383"/>
    <cellStyle name="Input [yellow] 2 11 7 10 3" xfId="28551"/>
    <cellStyle name="Input [yellow] 2 11 7 10 4" xfId="39716"/>
    <cellStyle name="Input [yellow] 2 11 7 10 5" xfId="50909"/>
    <cellStyle name="Input [yellow] 2 11 7 11" xfId="6330"/>
    <cellStyle name="Input [yellow] 2 11 7 11 2" xfId="17527"/>
    <cellStyle name="Input [yellow] 2 11 7 11 3" xfId="28695"/>
    <cellStyle name="Input [yellow] 2 11 7 11 4" xfId="39860"/>
    <cellStyle name="Input [yellow] 2 11 7 11 5" xfId="51053"/>
    <cellStyle name="Input [yellow] 2 11 7 12" xfId="6963"/>
    <cellStyle name="Input [yellow] 2 11 7 12 2" xfId="18160"/>
    <cellStyle name="Input [yellow] 2 11 7 12 3" xfId="29328"/>
    <cellStyle name="Input [yellow] 2 11 7 12 4" xfId="40493"/>
    <cellStyle name="Input [yellow] 2 11 7 12 5" xfId="51686"/>
    <cellStyle name="Input [yellow] 2 11 7 13" xfId="7597"/>
    <cellStyle name="Input [yellow] 2 11 7 13 2" xfId="18794"/>
    <cellStyle name="Input [yellow] 2 11 7 13 3" xfId="29962"/>
    <cellStyle name="Input [yellow] 2 11 7 13 4" xfId="41127"/>
    <cellStyle name="Input [yellow] 2 11 7 13 5" xfId="52320"/>
    <cellStyle name="Input [yellow] 2 11 7 14" xfId="8231"/>
    <cellStyle name="Input [yellow] 2 11 7 14 2" xfId="19428"/>
    <cellStyle name="Input [yellow] 2 11 7 14 3" xfId="30596"/>
    <cellStyle name="Input [yellow] 2 11 7 14 4" xfId="41761"/>
    <cellStyle name="Input [yellow] 2 11 7 14 5" xfId="52954"/>
    <cellStyle name="Input [yellow] 2 11 7 15" xfId="8859"/>
    <cellStyle name="Input [yellow] 2 11 7 15 2" xfId="20056"/>
    <cellStyle name="Input [yellow] 2 11 7 15 3" xfId="31224"/>
    <cellStyle name="Input [yellow] 2 11 7 15 4" xfId="42389"/>
    <cellStyle name="Input [yellow] 2 11 7 15 5" xfId="53582"/>
    <cellStyle name="Input [yellow] 2 11 7 16" xfId="9282"/>
    <cellStyle name="Input [yellow] 2 11 7 16 2" xfId="20479"/>
    <cellStyle name="Input [yellow] 2 11 7 16 3" xfId="31647"/>
    <cellStyle name="Input [yellow] 2 11 7 16 4" xfId="42812"/>
    <cellStyle name="Input [yellow] 2 11 7 16 5" xfId="54005"/>
    <cellStyle name="Input [yellow] 2 11 7 17" xfId="9908"/>
    <cellStyle name="Input [yellow] 2 11 7 17 2" xfId="21105"/>
    <cellStyle name="Input [yellow] 2 11 7 17 3" xfId="32273"/>
    <cellStyle name="Input [yellow] 2 11 7 17 4" xfId="43438"/>
    <cellStyle name="Input [yellow] 2 11 7 17 5" xfId="54631"/>
    <cellStyle name="Input [yellow] 2 11 7 18" xfId="10600"/>
    <cellStyle name="Input [yellow] 2 11 7 18 2" xfId="21797"/>
    <cellStyle name="Input [yellow] 2 11 7 18 3" xfId="32965"/>
    <cellStyle name="Input [yellow] 2 11 7 18 4" xfId="44130"/>
    <cellStyle name="Input [yellow] 2 11 7 18 5" xfId="55323"/>
    <cellStyle name="Input [yellow] 2 11 7 19" xfId="10947"/>
    <cellStyle name="Input [yellow] 2 11 7 19 2" xfId="22144"/>
    <cellStyle name="Input [yellow] 2 11 7 19 3" xfId="33312"/>
    <cellStyle name="Input [yellow] 2 11 7 19 4" xfId="44477"/>
    <cellStyle name="Input [yellow] 2 11 7 19 5" xfId="55670"/>
    <cellStyle name="Input [yellow] 2 11 7 2" xfId="1043"/>
    <cellStyle name="Input [yellow] 2 11 7 2 2" xfId="12240"/>
    <cellStyle name="Input [yellow] 2 11 7 2 3" xfId="23408"/>
    <cellStyle name="Input [yellow] 2 11 7 2 4" xfId="34573"/>
    <cellStyle name="Input [yellow] 2 11 7 2 5" xfId="45766"/>
    <cellStyle name="Input [yellow] 2 11 7 20" xfId="11594"/>
    <cellStyle name="Input [yellow] 2 11 7 21" xfId="22764"/>
    <cellStyle name="Input [yellow] 2 11 7 22" xfId="33931"/>
    <cellStyle name="Input [yellow] 2 11 7 23" xfId="45117"/>
    <cellStyle name="Input [yellow] 2 11 7 3" xfId="1841"/>
    <cellStyle name="Input [yellow] 2 11 7 3 2" xfId="13038"/>
    <cellStyle name="Input [yellow] 2 11 7 3 3" xfId="24206"/>
    <cellStyle name="Input [yellow] 2 11 7 3 4" xfId="35371"/>
    <cellStyle name="Input [yellow] 2 11 7 3 5" xfId="46564"/>
    <cellStyle name="Input [yellow] 2 11 7 4" xfId="2319"/>
    <cellStyle name="Input [yellow] 2 11 7 4 2" xfId="13516"/>
    <cellStyle name="Input [yellow] 2 11 7 4 3" xfId="24684"/>
    <cellStyle name="Input [yellow] 2 11 7 4 4" xfId="35849"/>
    <cellStyle name="Input [yellow] 2 11 7 4 5" xfId="47042"/>
    <cellStyle name="Input [yellow] 2 11 7 5" xfId="2744"/>
    <cellStyle name="Input [yellow] 2 11 7 5 2" xfId="13941"/>
    <cellStyle name="Input [yellow] 2 11 7 5 3" xfId="25109"/>
    <cellStyle name="Input [yellow] 2 11 7 5 4" xfId="36274"/>
    <cellStyle name="Input [yellow] 2 11 7 5 5" xfId="47467"/>
    <cellStyle name="Input [yellow] 2 11 7 6" xfId="3378"/>
    <cellStyle name="Input [yellow] 2 11 7 6 2" xfId="14575"/>
    <cellStyle name="Input [yellow] 2 11 7 6 3" xfId="25743"/>
    <cellStyle name="Input [yellow] 2 11 7 6 4" xfId="36908"/>
    <cellStyle name="Input [yellow] 2 11 7 6 5" xfId="48101"/>
    <cellStyle name="Input [yellow] 2 11 7 7" xfId="4012"/>
    <cellStyle name="Input [yellow] 2 11 7 7 2" xfId="15209"/>
    <cellStyle name="Input [yellow] 2 11 7 7 3" xfId="26377"/>
    <cellStyle name="Input [yellow] 2 11 7 7 4" xfId="37542"/>
    <cellStyle name="Input [yellow] 2 11 7 7 5" xfId="48735"/>
    <cellStyle name="Input [yellow] 2 11 7 8" xfId="4645"/>
    <cellStyle name="Input [yellow] 2 11 7 8 2" xfId="15842"/>
    <cellStyle name="Input [yellow] 2 11 7 8 3" xfId="27010"/>
    <cellStyle name="Input [yellow] 2 11 7 8 4" xfId="38175"/>
    <cellStyle name="Input [yellow] 2 11 7 8 5" xfId="49368"/>
    <cellStyle name="Input [yellow] 2 11 7 9" xfId="5276"/>
    <cellStyle name="Input [yellow] 2 11 7 9 2" xfId="16473"/>
    <cellStyle name="Input [yellow] 2 11 7 9 3" xfId="27641"/>
    <cellStyle name="Input [yellow] 2 11 7 9 4" xfId="38806"/>
    <cellStyle name="Input [yellow] 2 11 7 9 5" xfId="49999"/>
    <cellStyle name="Input [yellow] 2 11 8" xfId="490"/>
    <cellStyle name="Input [yellow] 2 11 8 10" xfId="6098"/>
    <cellStyle name="Input [yellow] 2 11 8 10 2" xfId="17295"/>
    <cellStyle name="Input [yellow] 2 11 8 10 3" xfId="28463"/>
    <cellStyle name="Input [yellow] 2 11 8 10 4" xfId="39628"/>
    <cellStyle name="Input [yellow] 2 11 8 10 5" xfId="50821"/>
    <cellStyle name="Input [yellow] 2 11 8 11" xfId="6426"/>
    <cellStyle name="Input [yellow] 2 11 8 11 2" xfId="17623"/>
    <cellStyle name="Input [yellow] 2 11 8 11 3" xfId="28791"/>
    <cellStyle name="Input [yellow] 2 11 8 11 4" xfId="39956"/>
    <cellStyle name="Input [yellow] 2 11 8 11 5" xfId="51149"/>
    <cellStyle name="Input [yellow] 2 11 8 12" xfId="7059"/>
    <cellStyle name="Input [yellow] 2 11 8 12 2" xfId="18256"/>
    <cellStyle name="Input [yellow] 2 11 8 12 3" xfId="29424"/>
    <cellStyle name="Input [yellow] 2 11 8 12 4" xfId="40589"/>
    <cellStyle name="Input [yellow] 2 11 8 12 5" xfId="51782"/>
    <cellStyle name="Input [yellow] 2 11 8 13" xfId="7693"/>
    <cellStyle name="Input [yellow] 2 11 8 13 2" xfId="18890"/>
    <cellStyle name="Input [yellow] 2 11 8 13 3" xfId="30058"/>
    <cellStyle name="Input [yellow] 2 11 8 13 4" xfId="41223"/>
    <cellStyle name="Input [yellow] 2 11 8 13 5" xfId="52416"/>
    <cellStyle name="Input [yellow] 2 11 8 14" xfId="8327"/>
    <cellStyle name="Input [yellow] 2 11 8 14 2" xfId="19524"/>
    <cellStyle name="Input [yellow] 2 11 8 14 3" xfId="30692"/>
    <cellStyle name="Input [yellow] 2 11 8 14 4" xfId="41857"/>
    <cellStyle name="Input [yellow] 2 11 8 14 5" xfId="53050"/>
    <cellStyle name="Input [yellow] 2 11 8 15" xfId="8955"/>
    <cellStyle name="Input [yellow] 2 11 8 15 2" xfId="20152"/>
    <cellStyle name="Input [yellow] 2 11 8 15 3" xfId="31320"/>
    <cellStyle name="Input [yellow] 2 11 8 15 4" xfId="42485"/>
    <cellStyle name="Input [yellow] 2 11 8 15 5" xfId="53678"/>
    <cellStyle name="Input [yellow] 2 11 8 16" xfId="9378"/>
    <cellStyle name="Input [yellow] 2 11 8 16 2" xfId="20575"/>
    <cellStyle name="Input [yellow] 2 11 8 16 3" xfId="31743"/>
    <cellStyle name="Input [yellow] 2 11 8 16 4" xfId="42908"/>
    <cellStyle name="Input [yellow] 2 11 8 16 5" xfId="54101"/>
    <cellStyle name="Input [yellow] 2 11 8 17" xfId="10003"/>
    <cellStyle name="Input [yellow] 2 11 8 17 2" xfId="21200"/>
    <cellStyle name="Input [yellow] 2 11 8 17 3" xfId="32368"/>
    <cellStyle name="Input [yellow] 2 11 8 17 4" xfId="43533"/>
    <cellStyle name="Input [yellow] 2 11 8 17 5" xfId="54726"/>
    <cellStyle name="Input [yellow] 2 11 8 18" xfId="10470"/>
    <cellStyle name="Input [yellow] 2 11 8 18 2" xfId="21667"/>
    <cellStyle name="Input [yellow] 2 11 8 18 3" xfId="32835"/>
    <cellStyle name="Input [yellow] 2 11 8 18 4" xfId="44000"/>
    <cellStyle name="Input [yellow] 2 11 8 18 5" xfId="55193"/>
    <cellStyle name="Input [yellow] 2 11 8 19" xfId="11043"/>
    <cellStyle name="Input [yellow] 2 11 8 19 2" xfId="22240"/>
    <cellStyle name="Input [yellow] 2 11 8 19 3" xfId="33408"/>
    <cellStyle name="Input [yellow] 2 11 8 19 4" xfId="44573"/>
    <cellStyle name="Input [yellow] 2 11 8 19 5" xfId="55766"/>
    <cellStyle name="Input [yellow] 2 11 8 2" xfId="1139"/>
    <cellStyle name="Input [yellow] 2 11 8 2 2" xfId="12336"/>
    <cellStyle name="Input [yellow] 2 11 8 2 3" xfId="23504"/>
    <cellStyle name="Input [yellow] 2 11 8 2 4" xfId="34669"/>
    <cellStyle name="Input [yellow] 2 11 8 2 5" xfId="45862"/>
    <cellStyle name="Input [yellow] 2 11 8 20" xfId="11690"/>
    <cellStyle name="Input [yellow] 2 11 8 21" xfId="22860"/>
    <cellStyle name="Input [yellow] 2 11 8 22" xfId="34027"/>
    <cellStyle name="Input [yellow] 2 11 8 23" xfId="45213"/>
    <cellStyle name="Input [yellow] 2 11 8 3" xfId="1767"/>
    <cellStyle name="Input [yellow] 2 11 8 3 2" xfId="12964"/>
    <cellStyle name="Input [yellow] 2 11 8 3 3" xfId="24132"/>
    <cellStyle name="Input [yellow] 2 11 8 3 4" xfId="35297"/>
    <cellStyle name="Input [yellow] 2 11 8 3 5" xfId="46490"/>
    <cellStyle name="Input [yellow] 2 11 8 4" xfId="2415"/>
    <cellStyle name="Input [yellow] 2 11 8 4 2" xfId="13612"/>
    <cellStyle name="Input [yellow] 2 11 8 4 3" xfId="24780"/>
    <cellStyle name="Input [yellow] 2 11 8 4 4" xfId="35945"/>
    <cellStyle name="Input [yellow] 2 11 8 4 5" xfId="47138"/>
    <cellStyle name="Input [yellow] 2 11 8 5" xfId="2840"/>
    <cellStyle name="Input [yellow] 2 11 8 5 2" xfId="14037"/>
    <cellStyle name="Input [yellow] 2 11 8 5 3" xfId="25205"/>
    <cellStyle name="Input [yellow] 2 11 8 5 4" xfId="36370"/>
    <cellStyle name="Input [yellow] 2 11 8 5 5" xfId="47563"/>
    <cellStyle name="Input [yellow] 2 11 8 6" xfId="3474"/>
    <cellStyle name="Input [yellow] 2 11 8 6 2" xfId="14671"/>
    <cellStyle name="Input [yellow] 2 11 8 6 3" xfId="25839"/>
    <cellStyle name="Input [yellow] 2 11 8 6 4" xfId="37004"/>
    <cellStyle name="Input [yellow] 2 11 8 6 5" xfId="48197"/>
    <cellStyle name="Input [yellow] 2 11 8 7" xfId="4108"/>
    <cellStyle name="Input [yellow] 2 11 8 7 2" xfId="15305"/>
    <cellStyle name="Input [yellow] 2 11 8 7 3" xfId="26473"/>
    <cellStyle name="Input [yellow] 2 11 8 7 4" xfId="37638"/>
    <cellStyle name="Input [yellow] 2 11 8 7 5" xfId="48831"/>
    <cellStyle name="Input [yellow] 2 11 8 8" xfId="4741"/>
    <cellStyle name="Input [yellow] 2 11 8 8 2" xfId="15938"/>
    <cellStyle name="Input [yellow] 2 11 8 8 3" xfId="27106"/>
    <cellStyle name="Input [yellow] 2 11 8 8 4" xfId="38271"/>
    <cellStyle name="Input [yellow] 2 11 8 8 5" xfId="49464"/>
    <cellStyle name="Input [yellow] 2 11 8 9" xfId="5372"/>
    <cellStyle name="Input [yellow] 2 11 8 9 2" xfId="16569"/>
    <cellStyle name="Input [yellow] 2 11 8 9 3" xfId="27737"/>
    <cellStyle name="Input [yellow] 2 11 8 9 4" xfId="38902"/>
    <cellStyle name="Input [yellow] 2 11 8 9 5" xfId="50095"/>
    <cellStyle name="Input [yellow] 2 11 9" xfId="548"/>
    <cellStyle name="Input [yellow] 2 11 9 10" xfId="5892"/>
    <cellStyle name="Input [yellow] 2 11 9 10 2" xfId="17089"/>
    <cellStyle name="Input [yellow] 2 11 9 10 3" xfId="28257"/>
    <cellStyle name="Input [yellow] 2 11 9 10 4" xfId="39422"/>
    <cellStyle name="Input [yellow] 2 11 9 10 5" xfId="50615"/>
    <cellStyle name="Input [yellow] 2 11 9 11" xfId="6484"/>
    <cellStyle name="Input [yellow] 2 11 9 11 2" xfId="17681"/>
    <cellStyle name="Input [yellow] 2 11 9 11 3" xfId="28849"/>
    <cellStyle name="Input [yellow] 2 11 9 11 4" xfId="40014"/>
    <cellStyle name="Input [yellow] 2 11 9 11 5" xfId="51207"/>
    <cellStyle name="Input [yellow] 2 11 9 12" xfId="7117"/>
    <cellStyle name="Input [yellow] 2 11 9 12 2" xfId="18314"/>
    <cellStyle name="Input [yellow] 2 11 9 12 3" xfId="29482"/>
    <cellStyle name="Input [yellow] 2 11 9 12 4" xfId="40647"/>
    <cellStyle name="Input [yellow] 2 11 9 12 5" xfId="51840"/>
    <cellStyle name="Input [yellow] 2 11 9 13" xfId="7751"/>
    <cellStyle name="Input [yellow] 2 11 9 13 2" xfId="18948"/>
    <cellStyle name="Input [yellow] 2 11 9 13 3" xfId="30116"/>
    <cellStyle name="Input [yellow] 2 11 9 13 4" xfId="41281"/>
    <cellStyle name="Input [yellow] 2 11 9 13 5" xfId="52474"/>
    <cellStyle name="Input [yellow] 2 11 9 14" xfId="8385"/>
    <cellStyle name="Input [yellow] 2 11 9 14 2" xfId="19582"/>
    <cellStyle name="Input [yellow] 2 11 9 14 3" xfId="30750"/>
    <cellStyle name="Input [yellow] 2 11 9 14 4" xfId="41915"/>
    <cellStyle name="Input [yellow] 2 11 9 14 5" xfId="53108"/>
    <cellStyle name="Input [yellow] 2 11 9 15" xfId="9013"/>
    <cellStyle name="Input [yellow] 2 11 9 15 2" xfId="20210"/>
    <cellStyle name="Input [yellow] 2 11 9 15 3" xfId="31378"/>
    <cellStyle name="Input [yellow] 2 11 9 15 4" xfId="42543"/>
    <cellStyle name="Input [yellow] 2 11 9 15 5" xfId="53736"/>
    <cellStyle name="Input [yellow] 2 11 9 16" xfId="9436"/>
    <cellStyle name="Input [yellow] 2 11 9 16 2" xfId="20633"/>
    <cellStyle name="Input [yellow] 2 11 9 16 3" xfId="31801"/>
    <cellStyle name="Input [yellow] 2 11 9 16 4" xfId="42966"/>
    <cellStyle name="Input [yellow] 2 11 9 16 5" xfId="54159"/>
    <cellStyle name="Input [yellow] 2 11 9 17" xfId="10061"/>
    <cellStyle name="Input [yellow] 2 11 9 17 2" xfId="21258"/>
    <cellStyle name="Input [yellow] 2 11 9 17 3" xfId="32426"/>
    <cellStyle name="Input [yellow] 2 11 9 17 4" xfId="43591"/>
    <cellStyle name="Input [yellow] 2 11 9 17 5" xfId="54784"/>
    <cellStyle name="Input [yellow] 2 11 9 18" xfId="10275"/>
    <cellStyle name="Input [yellow] 2 11 9 18 2" xfId="21472"/>
    <cellStyle name="Input [yellow] 2 11 9 18 3" xfId="32640"/>
    <cellStyle name="Input [yellow] 2 11 9 18 4" xfId="43805"/>
    <cellStyle name="Input [yellow] 2 11 9 18 5" xfId="54998"/>
    <cellStyle name="Input [yellow] 2 11 9 19" xfId="11101"/>
    <cellStyle name="Input [yellow] 2 11 9 19 2" xfId="22298"/>
    <cellStyle name="Input [yellow] 2 11 9 19 3" xfId="33466"/>
    <cellStyle name="Input [yellow] 2 11 9 19 4" xfId="44631"/>
    <cellStyle name="Input [yellow] 2 11 9 19 5" xfId="55824"/>
    <cellStyle name="Input [yellow] 2 11 9 2" xfId="1197"/>
    <cellStyle name="Input [yellow] 2 11 9 2 2" xfId="12394"/>
    <cellStyle name="Input [yellow] 2 11 9 2 3" xfId="23562"/>
    <cellStyle name="Input [yellow] 2 11 9 2 4" xfId="34727"/>
    <cellStyle name="Input [yellow] 2 11 9 2 5" xfId="45920"/>
    <cellStyle name="Input [yellow] 2 11 9 20" xfId="11748"/>
    <cellStyle name="Input [yellow] 2 11 9 21" xfId="22918"/>
    <cellStyle name="Input [yellow] 2 11 9 22" xfId="34085"/>
    <cellStyle name="Input [yellow] 2 11 9 23" xfId="45271"/>
    <cellStyle name="Input [yellow] 2 11 9 3" xfId="1623"/>
    <cellStyle name="Input [yellow] 2 11 9 3 2" xfId="12820"/>
    <cellStyle name="Input [yellow] 2 11 9 3 3" xfId="23988"/>
    <cellStyle name="Input [yellow] 2 11 9 3 4" xfId="35153"/>
    <cellStyle name="Input [yellow] 2 11 9 3 5" xfId="46346"/>
    <cellStyle name="Input [yellow] 2 11 9 4" xfId="2473"/>
    <cellStyle name="Input [yellow] 2 11 9 4 2" xfId="13670"/>
    <cellStyle name="Input [yellow] 2 11 9 4 3" xfId="24838"/>
    <cellStyle name="Input [yellow] 2 11 9 4 4" xfId="36003"/>
    <cellStyle name="Input [yellow] 2 11 9 4 5" xfId="47196"/>
    <cellStyle name="Input [yellow] 2 11 9 5" xfId="2898"/>
    <cellStyle name="Input [yellow] 2 11 9 5 2" xfId="14095"/>
    <cellStyle name="Input [yellow] 2 11 9 5 3" xfId="25263"/>
    <cellStyle name="Input [yellow] 2 11 9 5 4" xfId="36428"/>
    <cellStyle name="Input [yellow] 2 11 9 5 5" xfId="47621"/>
    <cellStyle name="Input [yellow] 2 11 9 6" xfId="3532"/>
    <cellStyle name="Input [yellow] 2 11 9 6 2" xfId="14729"/>
    <cellStyle name="Input [yellow] 2 11 9 6 3" xfId="25897"/>
    <cellStyle name="Input [yellow] 2 11 9 6 4" xfId="37062"/>
    <cellStyle name="Input [yellow] 2 11 9 6 5" xfId="48255"/>
    <cellStyle name="Input [yellow] 2 11 9 7" xfId="4166"/>
    <cellStyle name="Input [yellow] 2 11 9 7 2" xfId="15363"/>
    <cellStyle name="Input [yellow] 2 11 9 7 3" xfId="26531"/>
    <cellStyle name="Input [yellow] 2 11 9 7 4" xfId="37696"/>
    <cellStyle name="Input [yellow] 2 11 9 7 5" xfId="48889"/>
    <cellStyle name="Input [yellow] 2 11 9 8" xfId="4799"/>
    <cellStyle name="Input [yellow] 2 11 9 8 2" xfId="15996"/>
    <cellStyle name="Input [yellow] 2 11 9 8 3" xfId="27164"/>
    <cellStyle name="Input [yellow] 2 11 9 8 4" xfId="38329"/>
    <cellStyle name="Input [yellow] 2 11 9 8 5" xfId="49522"/>
    <cellStyle name="Input [yellow] 2 11 9 9" xfId="5430"/>
    <cellStyle name="Input [yellow] 2 11 9 9 2" xfId="16627"/>
    <cellStyle name="Input [yellow] 2 11 9 9 3" xfId="27795"/>
    <cellStyle name="Input [yellow] 2 11 9 9 4" xfId="38960"/>
    <cellStyle name="Input [yellow] 2 11 9 9 5" xfId="50153"/>
    <cellStyle name="Input [yellow] 2 12" xfId="84"/>
    <cellStyle name="Input [yellow] 2 12 10" xfId="443"/>
    <cellStyle name="Input [yellow] 2 12 10 10" xfId="5894"/>
    <cellStyle name="Input [yellow] 2 12 10 10 2" xfId="17091"/>
    <cellStyle name="Input [yellow] 2 12 10 10 3" xfId="28259"/>
    <cellStyle name="Input [yellow] 2 12 10 10 4" xfId="39424"/>
    <cellStyle name="Input [yellow] 2 12 10 10 5" xfId="50617"/>
    <cellStyle name="Input [yellow] 2 12 10 11" xfId="6379"/>
    <cellStyle name="Input [yellow] 2 12 10 11 2" xfId="17576"/>
    <cellStyle name="Input [yellow] 2 12 10 11 3" xfId="28744"/>
    <cellStyle name="Input [yellow] 2 12 10 11 4" xfId="39909"/>
    <cellStyle name="Input [yellow] 2 12 10 11 5" xfId="51102"/>
    <cellStyle name="Input [yellow] 2 12 10 12" xfId="7012"/>
    <cellStyle name="Input [yellow] 2 12 10 12 2" xfId="18209"/>
    <cellStyle name="Input [yellow] 2 12 10 12 3" xfId="29377"/>
    <cellStyle name="Input [yellow] 2 12 10 12 4" xfId="40542"/>
    <cellStyle name="Input [yellow] 2 12 10 12 5" xfId="51735"/>
    <cellStyle name="Input [yellow] 2 12 10 13" xfId="7646"/>
    <cellStyle name="Input [yellow] 2 12 10 13 2" xfId="18843"/>
    <cellStyle name="Input [yellow] 2 12 10 13 3" xfId="30011"/>
    <cellStyle name="Input [yellow] 2 12 10 13 4" xfId="41176"/>
    <cellStyle name="Input [yellow] 2 12 10 13 5" xfId="52369"/>
    <cellStyle name="Input [yellow] 2 12 10 14" xfId="8280"/>
    <cellStyle name="Input [yellow] 2 12 10 14 2" xfId="19477"/>
    <cellStyle name="Input [yellow] 2 12 10 14 3" xfId="30645"/>
    <cellStyle name="Input [yellow] 2 12 10 14 4" xfId="41810"/>
    <cellStyle name="Input [yellow] 2 12 10 14 5" xfId="53003"/>
    <cellStyle name="Input [yellow] 2 12 10 15" xfId="8908"/>
    <cellStyle name="Input [yellow] 2 12 10 15 2" xfId="20105"/>
    <cellStyle name="Input [yellow] 2 12 10 15 3" xfId="31273"/>
    <cellStyle name="Input [yellow] 2 12 10 15 4" xfId="42438"/>
    <cellStyle name="Input [yellow] 2 12 10 15 5" xfId="53631"/>
    <cellStyle name="Input [yellow] 2 12 10 16" xfId="9331"/>
    <cellStyle name="Input [yellow] 2 12 10 16 2" xfId="20528"/>
    <cellStyle name="Input [yellow] 2 12 10 16 3" xfId="31696"/>
    <cellStyle name="Input [yellow] 2 12 10 16 4" xfId="42861"/>
    <cellStyle name="Input [yellow] 2 12 10 16 5" xfId="54054"/>
    <cellStyle name="Input [yellow] 2 12 10 17" xfId="9957"/>
    <cellStyle name="Input [yellow] 2 12 10 17 2" xfId="21154"/>
    <cellStyle name="Input [yellow] 2 12 10 17 3" xfId="32322"/>
    <cellStyle name="Input [yellow] 2 12 10 17 4" xfId="43487"/>
    <cellStyle name="Input [yellow] 2 12 10 17 5" xfId="54680"/>
    <cellStyle name="Input [yellow] 2 12 10 18" xfId="10372"/>
    <cellStyle name="Input [yellow] 2 12 10 18 2" xfId="21569"/>
    <cellStyle name="Input [yellow] 2 12 10 18 3" xfId="32737"/>
    <cellStyle name="Input [yellow] 2 12 10 18 4" xfId="43902"/>
    <cellStyle name="Input [yellow] 2 12 10 18 5" xfId="55095"/>
    <cellStyle name="Input [yellow] 2 12 10 19" xfId="10996"/>
    <cellStyle name="Input [yellow] 2 12 10 19 2" xfId="22193"/>
    <cellStyle name="Input [yellow] 2 12 10 19 3" xfId="33361"/>
    <cellStyle name="Input [yellow] 2 12 10 19 4" xfId="44526"/>
    <cellStyle name="Input [yellow] 2 12 10 19 5" xfId="55719"/>
    <cellStyle name="Input [yellow] 2 12 10 2" xfId="1092"/>
    <cellStyle name="Input [yellow] 2 12 10 2 2" xfId="12289"/>
    <cellStyle name="Input [yellow] 2 12 10 2 3" xfId="23457"/>
    <cellStyle name="Input [yellow] 2 12 10 2 4" xfId="34622"/>
    <cellStyle name="Input [yellow] 2 12 10 2 5" xfId="45815"/>
    <cellStyle name="Input [yellow] 2 12 10 20" xfId="11643"/>
    <cellStyle name="Input [yellow] 2 12 10 21" xfId="22813"/>
    <cellStyle name="Input [yellow] 2 12 10 22" xfId="33980"/>
    <cellStyle name="Input [yellow] 2 12 10 23" xfId="45166"/>
    <cellStyle name="Input [yellow] 2 12 10 3" xfId="1663"/>
    <cellStyle name="Input [yellow] 2 12 10 3 2" xfId="12860"/>
    <cellStyle name="Input [yellow] 2 12 10 3 3" xfId="24028"/>
    <cellStyle name="Input [yellow] 2 12 10 3 4" xfId="35193"/>
    <cellStyle name="Input [yellow] 2 12 10 3 5" xfId="46386"/>
    <cellStyle name="Input [yellow] 2 12 10 4" xfId="2368"/>
    <cellStyle name="Input [yellow] 2 12 10 4 2" xfId="13565"/>
    <cellStyle name="Input [yellow] 2 12 10 4 3" xfId="24733"/>
    <cellStyle name="Input [yellow] 2 12 10 4 4" xfId="35898"/>
    <cellStyle name="Input [yellow] 2 12 10 4 5" xfId="47091"/>
    <cellStyle name="Input [yellow] 2 12 10 5" xfId="2793"/>
    <cellStyle name="Input [yellow] 2 12 10 5 2" xfId="13990"/>
    <cellStyle name="Input [yellow] 2 12 10 5 3" xfId="25158"/>
    <cellStyle name="Input [yellow] 2 12 10 5 4" xfId="36323"/>
    <cellStyle name="Input [yellow] 2 12 10 5 5" xfId="47516"/>
    <cellStyle name="Input [yellow] 2 12 10 6" xfId="3427"/>
    <cellStyle name="Input [yellow] 2 12 10 6 2" xfId="14624"/>
    <cellStyle name="Input [yellow] 2 12 10 6 3" xfId="25792"/>
    <cellStyle name="Input [yellow] 2 12 10 6 4" xfId="36957"/>
    <cellStyle name="Input [yellow] 2 12 10 6 5" xfId="48150"/>
    <cellStyle name="Input [yellow] 2 12 10 7" xfId="4061"/>
    <cellStyle name="Input [yellow] 2 12 10 7 2" xfId="15258"/>
    <cellStyle name="Input [yellow] 2 12 10 7 3" xfId="26426"/>
    <cellStyle name="Input [yellow] 2 12 10 7 4" xfId="37591"/>
    <cellStyle name="Input [yellow] 2 12 10 7 5" xfId="48784"/>
    <cellStyle name="Input [yellow] 2 12 10 8" xfId="4694"/>
    <cellStyle name="Input [yellow] 2 12 10 8 2" xfId="15891"/>
    <cellStyle name="Input [yellow] 2 12 10 8 3" xfId="27059"/>
    <cellStyle name="Input [yellow] 2 12 10 8 4" xfId="38224"/>
    <cellStyle name="Input [yellow] 2 12 10 8 5" xfId="49417"/>
    <cellStyle name="Input [yellow] 2 12 10 9" xfId="5325"/>
    <cellStyle name="Input [yellow] 2 12 10 9 2" xfId="16522"/>
    <cellStyle name="Input [yellow] 2 12 10 9 3" xfId="27690"/>
    <cellStyle name="Input [yellow] 2 12 10 9 4" xfId="38855"/>
    <cellStyle name="Input [yellow] 2 12 10 9 5" xfId="50048"/>
    <cellStyle name="Input [yellow] 2 12 11" xfId="658"/>
    <cellStyle name="Input [yellow] 2 12 11 10" xfId="5961"/>
    <cellStyle name="Input [yellow] 2 12 11 10 2" xfId="17158"/>
    <cellStyle name="Input [yellow] 2 12 11 10 3" xfId="28326"/>
    <cellStyle name="Input [yellow] 2 12 11 10 4" xfId="39491"/>
    <cellStyle name="Input [yellow] 2 12 11 10 5" xfId="50684"/>
    <cellStyle name="Input [yellow] 2 12 11 11" xfId="6594"/>
    <cellStyle name="Input [yellow] 2 12 11 11 2" xfId="17791"/>
    <cellStyle name="Input [yellow] 2 12 11 11 3" xfId="28959"/>
    <cellStyle name="Input [yellow] 2 12 11 11 4" xfId="40124"/>
    <cellStyle name="Input [yellow] 2 12 11 11 5" xfId="51317"/>
    <cellStyle name="Input [yellow] 2 12 11 12" xfId="7227"/>
    <cellStyle name="Input [yellow] 2 12 11 12 2" xfId="18424"/>
    <cellStyle name="Input [yellow] 2 12 11 12 3" xfId="29592"/>
    <cellStyle name="Input [yellow] 2 12 11 12 4" xfId="40757"/>
    <cellStyle name="Input [yellow] 2 12 11 12 5" xfId="51950"/>
    <cellStyle name="Input [yellow] 2 12 11 13" xfId="7861"/>
    <cellStyle name="Input [yellow] 2 12 11 13 2" xfId="19058"/>
    <cellStyle name="Input [yellow] 2 12 11 13 3" xfId="30226"/>
    <cellStyle name="Input [yellow] 2 12 11 13 4" xfId="41391"/>
    <cellStyle name="Input [yellow] 2 12 11 13 5" xfId="52584"/>
    <cellStyle name="Input [yellow] 2 12 11 14" xfId="8495"/>
    <cellStyle name="Input [yellow] 2 12 11 14 2" xfId="19692"/>
    <cellStyle name="Input [yellow] 2 12 11 14 3" xfId="30860"/>
    <cellStyle name="Input [yellow] 2 12 11 14 4" xfId="42025"/>
    <cellStyle name="Input [yellow] 2 12 11 14 5" xfId="53218"/>
    <cellStyle name="Input [yellow] 2 12 11 15" xfId="9123"/>
    <cellStyle name="Input [yellow] 2 12 11 15 2" xfId="20320"/>
    <cellStyle name="Input [yellow] 2 12 11 15 3" xfId="31488"/>
    <cellStyle name="Input [yellow] 2 12 11 15 4" xfId="42653"/>
    <cellStyle name="Input [yellow] 2 12 11 15 5" xfId="53846"/>
    <cellStyle name="Input [yellow] 2 12 11 16" xfId="9546"/>
    <cellStyle name="Input [yellow] 2 12 11 16 2" xfId="20743"/>
    <cellStyle name="Input [yellow] 2 12 11 16 3" xfId="31911"/>
    <cellStyle name="Input [yellow] 2 12 11 16 4" xfId="43076"/>
    <cellStyle name="Input [yellow] 2 12 11 16 5" xfId="54269"/>
    <cellStyle name="Input [yellow] 2 12 11 17" xfId="10170"/>
    <cellStyle name="Input [yellow] 2 12 11 17 2" xfId="21367"/>
    <cellStyle name="Input [yellow] 2 12 11 17 3" xfId="32535"/>
    <cellStyle name="Input [yellow] 2 12 11 17 4" xfId="43700"/>
    <cellStyle name="Input [yellow] 2 12 11 17 5" xfId="54893"/>
    <cellStyle name="Input [yellow] 2 12 11 18" xfId="10367"/>
    <cellStyle name="Input [yellow] 2 12 11 18 2" xfId="21564"/>
    <cellStyle name="Input [yellow] 2 12 11 18 3" xfId="32732"/>
    <cellStyle name="Input [yellow] 2 12 11 18 4" xfId="43897"/>
    <cellStyle name="Input [yellow] 2 12 11 18 5" xfId="55090"/>
    <cellStyle name="Input [yellow] 2 12 11 19" xfId="11211"/>
    <cellStyle name="Input [yellow] 2 12 11 19 2" xfId="22408"/>
    <cellStyle name="Input [yellow] 2 12 11 19 3" xfId="33576"/>
    <cellStyle name="Input [yellow] 2 12 11 19 4" xfId="44741"/>
    <cellStyle name="Input [yellow] 2 12 11 19 5" xfId="55934"/>
    <cellStyle name="Input [yellow] 2 12 11 2" xfId="1307"/>
    <cellStyle name="Input [yellow] 2 12 11 2 2" xfId="12504"/>
    <cellStyle name="Input [yellow] 2 12 11 2 3" xfId="23672"/>
    <cellStyle name="Input [yellow] 2 12 11 2 4" xfId="34837"/>
    <cellStyle name="Input [yellow] 2 12 11 2 5" xfId="46030"/>
    <cellStyle name="Input [yellow] 2 12 11 20" xfId="11858"/>
    <cellStyle name="Input [yellow] 2 12 11 21" xfId="23028"/>
    <cellStyle name="Input [yellow] 2 12 11 22" xfId="34195"/>
    <cellStyle name="Input [yellow] 2 12 11 23" xfId="45381"/>
    <cellStyle name="Input [yellow] 2 12 11 3" xfId="1590"/>
    <cellStyle name="Input [yellow] 2 12 11 3 2" xfId="12787"/>
    <cellStyle name="Input [yellow] 2 12 11 3 3" xfId="23955"/>
    <cellStyle name="Input [yellow] 2 12 11 3 4" xfId="35120"/>
    <cellStyle name="Input [yellow] 2 12 11 3 5" xfId="46313"/>
    <cellStyle name="Input [yellow] 2 12 11 4" xfId="2583"/>
    <cellStyle name="Input [yellow] 2 12 11 4 2" xfId="13780"/>
    <cellStyle name="Input [yellow] 2 12 11 4 3" xfId="24948"/>
    <cellStyle name="Input [yellow] 2 12 11 4 4" xfId="36113"/>
    <cellStyle name="Input [yellow] 2 12 11 4 5" xfId="47306"/>
    <cellStyle name="Input [yellow] 2 12 11 5" xfId="3008"/>
    <cellStyle name="Input [yellow] 2 12 11 5 2" xfId="14205"/>
    <cellStyle name="Input [yellow] 2 12 11 5 3" xfId="25373"/>
    <cellStyle name="Input [yellow] 2 12 11 5 4" xfId="36538"/>
    <cellStyle name="Input [yellow] 2 12 11 5 5" xfId="47731"/>
    <cellStyle name="Input [yellow] 2 12 11 6" xfId="3642"/>
    <cellStyle name="Input [yellow] 2 12 11 6 2" xfId="14839"/>
    <cellStyle name="Input [yellow] 2 12 11 6 3" xfId="26007"/>
    <cellStyle name="Input [yellow] 2 12 11 6 4" xfId="37172"/>
    <cellStyle name="Input [yellow] 2 12 11 6 5" xfId="48365"/>
    <cellStyle name="Input [yellow] 2 12 11 7" xfId="4276"/>
    <cellStyle name="Input [yellow] 2 12 11 7 2" xfId="15473"/>
    <cellStyle name="Input [yellow] 2 12 11 7 3" xfId="26641"/>
    <cellStyle name="Input [yellow] 2 12 11 7 4" xfId="37806"/>
    <cellStyle name="Input [yellow] 2 12 11 7 5" xfId="48999"/>
    <cellStyle name="Input [yellow] 2 12 11 8" xfId="4909"/>
    <cellStyle name="Input [yellow] 2 12 11 8 2" xfId="16106"/>
    <cellStyle name="Input [yellow] 2 12 11 8 3" xfId="27274"/>
    <cellStyle name="Input [yellow] 2 12 11 8 4" xfId="38439"/>
    <cellStyle name="Input [yellow] 2 12 11 8 5" xfId="49632"/>
    <cellStyle name="Input [yellow] 2 12 11 9" xfId="5540"/>
    <cellStyle name="Input [yellow] 2 12 11 9 2" xfId="16737"/>
    <cellStyle name="Input [yellow] 2 12 11 9 3" xfId="27905"/>
    <cellStyle name="Input [yellow] 2 12 11 9 4" xfId="39070"/>
    <cellStyle name="Input [yellow] 2 12 11 9 5" xfId="50263"/>
    <cellStyle name="Input [yellow] 2 12 12" xfId="733"/>
    <cellStyle name="Input [yellow] 2 12 12 2" xfId="11931"/>
    <cellStyle name="Input [yellow] 2 12 12 3" xfId="23099"/>
    <cellStyle name="Input [yellow] 2 12 12 4" xfId="34264"/>
    <cellStyle name="Input [yellow] 2 12 12 5" xfId="45456"/>
    <cellStyle name="Input [yellow] 2 12 13" xfId="1928"/>
    <cellStyle name="Input [yellow] 2 12 13 2" xfId="13125"/>
    <cellStyle name="Input [yellow] 2 12 13 3" xfId="24293"/>
    <cellStyle name="Input [yellow] 2 12 13 4" xfId="35458"/>
    <cellStyle name="Input [yellow] 2 12 13 5" xfId="46651"/>
    <cellStyle name="Input [yellow] 2 12 14" xfId="2010"/>
    <cellStyle name="Input [yellow] 2 12 14 2" xfId="13207"/>
    <cellStyle name="Input [yellow] 2 12 14 3" xfId="24375"/>
    <cellStyle name="Input [yellow] 2 12 14 4" xfId="35540"/>
    <cellStyle name="Input [yellow] 2 12 14 5" xfId="46733"/>
    <cellStyle name="Input [yellow] 2 12 15" xfId="2510"/>
    <cellStyle name="Input [yellow] 2 12 15 2" xfId="13707"/>
    <cellStyle name="Input [yellow] 2 12 15 3" xfId="24875"/>
    <cellStyle name="Input [yellow] 2 12 15 4" xfId="36040"/>
    <cellStyle name="Input [yellow] 2 12 15 5" xfId="47233"/>
    <cellStyle name="Input [yellow] 2 12 16" xfId="3068"/>
    <cellStyle name="Input [yellow] 2 12 16 2" xfId="14265"/>
    <cellStyle name="Input [yellow] 2 12 16 3" xfId="25433"/>
    <cellStyle name="Input [yellow] 2 12 16 4" xfId="36598"/>
    <cellStyle name="Input [yellow] 2 12 16 5" xfId="47791"/>
    <cellStyle name="Input [yellow] 2 12 17" xfId="3702"/>
    <cellStyle name="Input [yellow] 2 12 17 2" xfId="14899"/>
    <cellStyle name="Input [yellow] 2 12 17 3" xfId="26067"/>
    <cellStyle name="Input [yellow] 2 12 17 4" xfId="37232"/>
    <cellStyle name="Input [yellow] 2 12 17 5" xfId="48425"/>
    <cellStyle name="Input [yellow] 2 12 18" xfId="4335"/>
    <cellStyle name="Input [yellow] 2 12 18 2" xfId="15532"/>
    <cellStyle name="Input [yellow] 2 12 18 3" xfId="26700"/>
    <cellStyle name="Input [yellow] 2 12 18 4" xfId="37865"/>
    <cellStyle name="Input [yellow] 2 12 18 5" xfId="49058"/>
    <cellStyle name="Input [yellow] 2 12 19" xfId="4967"/>
    <cellStyle name="Input [yellow] 2 12 19 2" xfId="16164"/>
    <cellStyle name="Input [yellow] 2 12 19 3" xfId="27332"/>
    <cellStyle name="Input [yellow] 2 12 19 4" xfId="38497"/>
    <cellStyle name="Input [yellow] 2 12 19 5" xfId="49690"/>
    <cellStyle name="Input [yellow] 2 12 2" xfId="148"/>
    <cellStyle name="Input [yellow] 2 12 2 10" xfId="5889"/>
    <cellStyle name="Input [yellow] 2 12 2 10 2" xfId="17086"/>
    <cellStyle name="Input [yellow] 2 12 2 10 3" xfId="28254"/>
    <cellStyle name="Input [yellow] 2 12 2 10 4" xfId="39419"/>
    <cellStyle name="Input [yellow] 2 12 2 10 5" xfId="50612"/>
    <cellStyle name="Input [yellow] 2 12 2 11" xfId="5938"/>
    <cellStyle name="Input [yellow] 2 12 2 11 2" xfId="17135"/>
    <cellStyle name="Input [yellow] 2 12 2 11 3" xfId="28303"/>
    <cellStyle name="Input [yellow] 2 12 2 11 4" xfId="39468"/>
    <cellStyle name="Input [yellow] 2 12 2 11 5" xfId="50661"/>
    <cellStyle name="Input [yellow] 2 12 2 12" xfId="6717"/>
    <cellStyle name="Input [yellow] 2 12 2 12 2" xfId="17914"/>
    <cellStyle name="Input [yellow] 2 12 2 12 3" xfId="29082"/>
    <cellStyle name="Input [yellow] 2 12 2 12 4" xfId="40247"/>
    <cellStyle name="Input [yellow] 2 12 2 12 5" xfId="51440"/>
    <cellStyle name="Input [yellow] 2 12 2 13" xfId="7351"/>
    <cellStyle name="Input [yellow] 2 12 2 13 2" xfId="18548"/>
    <cellStyle name="Input [yellow] 2 12 2 13 3" xfId="29716"/>
    <cellStyle name="Input [yellow] 2 12 2 13 4" xfId="40881"/>
    <cellStyle name="Input [yellow] 2 12 2 13 5" xfId="52074"/>
    <cellStyle name="Input [yellow] 2 12 2 14" xfId="7985"/>
    <cellStyle name="Input [yellow] 2 12 2 14 2" xfId="19182"/>
    <cellStyle name="Input [yellow] 2 12 2 14 3" xfId="30350"/>
    <cellStyle name="Input [yellow] 2 12 2 14 4" xfId="41515"/>
    <cellStyle name="Input [yellow] 2 12 2 14 5" xfId="52708"/>
    <cellStyle name="Input [yellow] 2 12 2 15" xfId="8616"/>
    <cellStyle name="Input [yellow] 2 12 2 15 2" xfId="19813"/>
    <cellStyle name="Input [yellow] 2 12 2 15 3" xfId="30981"/>
    <cellStyle name="Input [yellow] 2 12 2 15 4" xfId="42146"/>
    <cellStyle name="Input [yellow] 2 12 2 15 5" xfId="53339"/>
    <cellStyle name="Input [yellow] 2 12 2 16" xfId="8724"/>
    <cellStyle name="Input [yellow] 2 12 2 16 2" xfId="19921"/>
    <cellStyle name="Input [yellow] 2 12 2 16 3" xfId="31089"/>
    <cellStyle name="Input [yellow] 2 12 2 16 4" xfId="42254"/>
    <cellStyle name="Input [yellow] 2 12 2 16 5" xfId="53447"/>
    <cellStyle name="Input [yellow] 2 12 2 17" xfId="9669"/>
    <cellStyle name="Input [yellow] 2 12 2 17 2" xfId="20866"/>
    <cellStyle name="Input [yellow] 2 12 2 17 3" xfId="32034"/>
    <cellStyle name="Input [yellow] 2 12 2 17 4" xfId="43199"/>
    <cellStyle name="Input [yellow] 2 12 2 17 5" xfId="54392"/>
    <cellStyle name="Input [yellow] 2 12 2 18" xfId="10134"/>
    <cellStyle name="Input [yellow] 2 12 2 18 2" xfId="21331"/>
    <cellStyle name="Input [yellow] 2 12 2 18 3" xfId="32499"/>
    <cellStyle name="Input [yellow] 2 12 2 18 4" xfId="43664"/>
    <cellStyle name="Input [yellow] 2 12 2 18 5" xfId="54857"/>
    <cellStyle name="Input [yellow] 2 12 2 19" xfId="10701"/>
    <cellStyle name="Input [yellow] 2 12 2 19 2" xfId="21898"/>
    <cellStyle name="Input [yellow] 2 12 2 19 3" xfId="33066"/>
    <cellStyle name="Input [yellow] 2 12 2 19 4" xfId="44231"/>
    <cellStyle name="Input [yellow] 2 12 2 19 5" xfId="55424"/>
    <cellStyle name="Input [yellow] 2 12 2 2" xfId="797"/>
    <cellStyle name="Input [yellow] 2 12 2 2 2" xfId="11994"/>
    <cellStyle name="Input [yellow] 2 12 2 2 3" xfId="23162"/>
    <cellStyle name="Input [yellow] 2 12 2 2 4" xfId="34327"/>
    <cellStyle name="Input [yellow] 2 12 2 2 5" xfId="45520"/>
    <cellStyle name="Input [yellow] 2 12 2 20" xfId="11348"/>
    <cellStyle name="Input [yellow] 2 12 2 21" xfId="22518"/>
    <cellStyle name="Input [yellow] 2 12 2 22" xfId="33685"/>
    <cellStyle name="Input [yellow] 2 12 2 23" xfId="44871"/>
    <cellStyle name="Input [yellow] 2 12 2 3" xfId="1452"/>
    <cellStyle name="Input [yellow] 2 12 2 3 2" xfId="12649"/>
    <cellStyle name="Input [yellow] 2 12 2 3 3" xfId="23817"/>
    <cellStyle name="Input [yellow] 2 12 2 3 4" xfId="34982"/>
    <cellStyle name="Input [yellow] 2 12 2 3 5" xfId="46175"/>
    <cellStyle name="Input [yellow] 2 12 2 4" xfId="2074"/>
    <cellStyle name="Input [yellow] 2 12 2 4 2" xfId="13271"/>
    <cellStyle name="Input [yellow] 2 12 2 4 3" xfId="24439"/>
    <cellStyle name="Input [yellow] 2 12 2 4 4" xfId="35604"/>
    <cellStyle name="Input [yellow] 2 12 2 4 5" xfId="46797"/>
    <cellStyle name="Input [yellow] 2 12 2 5" xfId="2594"/>
    <cellStyle name="Input [yellow] 2 12 2 5 2" xfId="13791"/>
    <cellStyle name="Input [yellow] 2 12 2 5 3" xfId="24959"/>
    <cellStyle name="Input [yellow] 2 12 2 5 4" xfId="36124"/>
    <cellStyle name="Input [yellow] 2 12 2 5 5" xfId="47317"/>
    <cellStyle name="Input [yellow] 2 12 2 6" xfId="3132"/>
    <cellStyle name="Input [yellow] 2 12 2 6 2" xfId="14329"/>
    <cellStyle name="Input [yellow] 2 12 2 6 3" xfId="25497"/>
    <cellStyle name="Input [yellow] 2 12 2 6 4" xfId="36662"/>
    <cellStyle name="Input [yellow] 2 12 2 6 5" xfId="47855"/>
    <cellStyle name="Input [yellow] 2 12 2 7" xfId="3766"/>
    <cellStyle name="Input [yellow] 2 12 2 7 2" xfId="14963"/>
    <cellStyle name="Input [yellow] 2 12 2 7 3" xfId="26131"/>
    <cellStyle name="Input [yellow] 2 12 2 7 4" xfId="37296"/>
    <cellStyle name="Input [yellow] 2 12 2 7 5" xfId="48489"/>
    <cellStyle name="Input [yellow] 2 12 2 8" xfId="4399"/>
    <cellStyle name="Input [yellow] 2 12 2 8 2" xfId="15596"/>
    <cellStyle name="Input [yellow] 2 12 2 8 3" xfId="26764"/>
    <cellStyle name="Input [yellow] 2 12 2 8 4" xfId="37929"/>
    <cellStyle name="Input [yellow] 2 12 2 8 5" xfId="49122"/>
    <cellStyle name="Input [yellow] 2 12 2 9" xfId="5030"/>
    <cellStyle name="Input [yellow] 2 12 2 9 2" xfId="16227"/>
    <cellStyle name="Input [yellow] 2 12 2 9 3" xfId="27395"/>
    <cellStyle name="Input [yellow] 2 12 2 9 4" xfId="38560"/>
    <cellStyle name="Input [yellow] 2 12 2 9 5" xfId="49753"/>
    <cellStyle name="Input [yellow] 2 12 20" xfId="5568"/>
    <cellStyle name="Input [yellow] 2 12 20 2" xfId="16765"/>
    <cellStyle name="Input [yellow] 2 12 20 3" xfId="27933"/>
    <cellStyle name="Input [yellow] 2 12 20 4" xfId="39098"/>
    <cellStyle name="Input [yellow] 2 12 20 5" xfId="50291"/>
    <cellStyle name="Input [yellow] 2 12 21" xfId="5810"/>
    <cellStyle name="Input [yellow] 2 12 21 2" xfId="17007"/>
    <cellStyle name="Input [yellow] 2 12 21 3" xfId="28175"/>
    <cellStyle name="Input [yellow] 2 12 21 4" xfId="39340"/>
    <cellStyle name="Input [yellow] 2 12 21 5" xfId="50533"/>
    <cellStyle name="Input [yellow] 2 12 22" xfId="6654"/>
    <cellStyle name="Input [yellow] 2 12 22 2" xfId="17851"/>
    <cellStyle name="Input [yellow] 2 12 22 3" xfId="29019"/>
    <cellStyle name="Input [yellow] 2 12 22 4" xfId="40184"/>
    <cellStyle name="Input [yellow] 2 12 22 5" xfId="51377"/>
    <cellStyle name="Input [yellow] 2 12 23" xfId="7287"/>
    <cellStyle name="Input [yellow] 2 12 23 2" xfId="18484"/>
    <cellStyle name="Input [yellow] 2 12 23 3" xfId="29652"/>
    <cellStyle name="Input [yellow] 2 12 23 4" xfId="40817"/>
    <cellStyle name="Input [yellow] 2 12 23 5" xfId="52010"/>
    <cellStyle name="Input [yellow] 2 12 24" xfId="7921"/>
    <cellStyle name="Input [yellow] 2 12 24 2" xfId="19118"/>
    <cellStyle name="Input [yellow] 2 12 24 3" xfId="30286"/>
    <cellStyle name="Input [yellow] 2 12 24 4" xfId="41451"/>
    <cellStyle name="Input [yellow] 2 12 24 5" xfId="52644"/>
    <cellStyle name="Input [yellow] 2 12 25" xfId="8553"/>
    <cellStyle name="Input [yellow] 2 12 25 2" xfId="19750"/>
    <cellStyle name="Input [yellow] 2 12 25 3" xfId="30918"/>
    <cellStyle name="Input [yellow] 2 12 25 4" xfId="42083"/>
    <cellStyle name="Input [yellow] 2 12 25 5" xfId="53276"/>
    <cellStyle name="Input [yellow] 2 12 26" xfId="8658"/>
    <cellStyle name="Input [yellow] 2 12 26 2" xfId="19855"/>
    <cellStyle name="Input [yellow] 2 12 26 3" xfId="31023"/>
    <cellStyle name="Input [yellow] 2 12 26 4" xfId="42188"/>
    <cellStyle name="Input [yellow] 2 12 26 5" xfId="53381"/>
    <cellStyle name="Input [yellow] 2 12 27" xfId="9605"/>
    <cellStyle name="Input [yellow] 2 12 27 2" xfId="20802"/>
    <cellStyle name="Input [yellow] 2 12 27 3" xfId="31970"/>
    <cellStyle name="Input [yellow] 2 12 27 4" xfId="43135"/>
    <cellStyle name="Input [yellow] 2 12 27 5" xfId="54328"/>
    <cellStyle name="Input [yellow] 2 12 28" xfId="9761"/>
    <cellStyle name="Input [yellow] 2 12 28 2" xfId="20958"/>
    <cellStyle name="Input [yellow] 2 12 28 3" xfId="32126"/>
    <cellStyle name="Input [yellow] 2 12 28 4" xfId="43291"/>
    <cellStyle name="Input [yellow] 2 12 28 5" xfId="54484"/>
    <cellStyle name="Input [yellow] 2 12 29" xfId="10638"/>
    <cellStyle name="Input [yellow] 2 12 29 2" xfId="21835"/>
    <cellStyle name="Input [yellow] 2 12 29 3" xfId="33003"/>
    <cellStyle name="Input [yellow] 2 12 29 4" xfId="44168"/>
    <cellStyle name="Input [yellow] 2 12 29 5" xfId="55361"/>
    <cellStyle name="Input [yellow] 2 12 3" xfId="204"/>
    <cellStyle name="Input [yellow] 2 12 3 10" xfId="5617"/>
    <cellStyle name="Input [yellow] 2 12 3 10 2" xfId="16814"/>
    <cellStyle name="Input [yellow] 2 12 3 10 3" xfId="27982"/>
    <cellStyle name="Input [yellow] 2 12 3 10 4" xfId="39147"/>
    <cellStyle name="Input [yellow] 2 12 3 10 5" xfId="50340"/>
    <cellStyle name="Input [yellow] 2 12 3 11" xfId="6001"/>
    <cellStyle name="Input [yellow] 2 12 3 11 2" xfId="17198"/>
    <cellStyle name="Input [yellow] 2 12 3 11 3" xfId="28366"/>
    <cellStyle name="Input [yellow] 2 12 3 11 4" xfId="39531"/>
    <cellStyle name="Input [yellow] 2 12 3 11 5" xfId="50724"/>
    <cellStyle name="Input [yellow] 2 12 3 12" xfId="6773"/>
    <cellStyle name="Input [yellow] 2 12 3 12 2" xfId="17970"/>
    <cellStyle name="Input [yellow] 2 12 3 12 3" xfId="29138"/>
    <cellStyle name="Input [yellow] 2 12 3 12 4" xfId="40303"/>
    <cellStyle name="Input [yellow] 2 12 3 12 5" xfId="51496"/>
    <cellStyle name="Input [yellow] 2 12 3 13" xfId="7407"/>
    <cellStyle name="Input [yellow] 2 12 3 13 2" xfId="18604"/>
    <cellStyle name="Input [yellow] 2 12 3 13 3" xfId="29772"/>
    <cellStyle name="Input [yellow] 2 12 3 13 4" xfId="40937"/>
    <cellStyle name="Input [yellow] 2 12 3 13 5" xfId="52130"/>
    <cellStyle name="Input [yellow] 2 12 3 14" xfId="8041"/>
    <cellStyle name="Input [yellow] 2 12 3 14 2" xfId="19238"/>
    <cellStyle name="Input [yellow] 2 12 3 14 3" xfId="30406"/>
    <cellStyle name="Input [yellow] 2 12 3 14 4" xfId="41571"/>
    <cellStyle name="Input [yellow] 2 12 3 14 5" xfId="52764"/>
    <cellStyle name="Input [yellow] 2 12 3 15" xfId="8672"/>
    <cellStyle name="Input [yellow] 2 12 3 15 2" xfId="19869"/>
    <cellStyle name="Input [yellow] 2 12 3 15 3" xfId="31037"/>
    <cellStyle name="Input [yellow] 2 12 3 15 4" xfId="42202"/>
    <cellStyle name="Input [yellow] 2 12 3 15 5" xfId="53395"/>
    <cellStyle name="Input [yellow] 2 12 3 16" xfId="8798"/>
    <cellStyle name="Input [yellow] 2 12 3 16 2" xfId="19995"/>
    <cellStyle name="Input [yellow] 2 12 3 16 3" xfId="31163"/>
    <cellStyle name="Input [yellow] 2 12 3 16 4" xfId="42328"/>
    <cellStyle name="Input [yellow] 2 12 3 16 5" xfId="53521"/>
    <cellStyle name="Input [yellow] 2 12 3 17" xfId="9723"/>
    <cellStyle name="Input [yellow] 2 12 3 17 2" xfId="20920"/>
    <cellStyle name="Input [yellow] 2 12 3 17 3" xfId="32088"/>
    <cellStyle name="Input [yellow] 2 12 3 17 4" xfId="43253"/>
    <cellStyle name="Input [yellow] 2 12 3 17 5" xfId="54446"/>
    <cellStyle name="Input [yellow] 2 12 3 18" xfId="9639"/>
    <cellStyle name="Input [yellow] 2 12 3 18 2" xfId="20836"/>
    <cellStyle name="Input [yellow] 2 12 3 18 3" xfId="32004"/>
    <cellStyle name="Input [yellow] 2 12 3 18 4" xfId="43169"/>
    <cellStyle name="Input [yellow] 2 12 3 18 5" xfId="54362"/>
    <cellStyle name="Input [yellow] 2 12 3 19" xfId="10757"/>
    <cellStyle name="Input [yellow] 2 12 3 19 2" xfId="21954"/>
    <cellStyle name="Input [yellow] 2 12 3 19 3" xfId="33122"/>
    <cellStyle name="Input [yellow] 2 12 3 19 4" xfId="44287"/>
    <cellStyle name="Input [yellow] 2 12 3 19 5" xfId="55480"/>
    <cellStyle name="Input [yellow] 2 12 3 2" xfId="853"/>
    <cellStyle name="Input [yellow] 2 12 3 2 2" xfId="12050"/>
    <cellStyle name="Input [yellow] 2 12 3 2 3" xfId="23218"/>
    <cellStyle name="Input [yellow] 2 12 3 2 4" xfId="34383"/>
    <cellStyle name="Input [yellow] 2 12 3 2 5" xfId="45576"/>
    <cellStyle name="Input [yellow] 2 12 3 20" xfId="11404"/>
    <cellStyle name="Input [yellow] 2 12 3 21" xfId="22574"/>
    <cellStyle name="Input [yellow] 2 12 3 22" xfId="33741"/>
    <cellStyle name="Input [yellow] 2 12 3 23" xfId="44927"/>
    <cellStyle name="Input [yellow] 2 12 3 3" xfId="1929"/>
    <cellStyle name="Input [yellow] 2 12 3 3 2" xfId="13126"/>
    <cellStyle name="Input [yellow] 2 12 3 3 3" xfId="24294"/>
    <cellStyle name="Input [yellow] 2 12 3 3 4" xfId="35459"/>
    <cellStyle name="Input [yellow] 2 12 3 3 5" xfId="46652"/>
    <cellStyle name="Input [yellow] 2 12 3 4" xfId="2130"/>
    <cellStyle name="Input [yellow] 2 12 3 4 2" xfId="13327"/>
    <cellStyle name="Input [yellow] 2 12 3 4 3" xfId="24495"/>
    <cellStyle name="Input [yellow] 2 12 3 4 4" xfId="35660"/>
    <cellStyle name="Input [yellow] 2 12 3 4 5" xfId="46853"/>
    <cellStyle name="Input [yellow] 2 12 3 5" xfId="2082"/>
    <cellStyle name="Input [yellow] 2 12 3 5 2" xfId="13279"/>
    <cellStyle name="Input [yellow] 2 12 3 5 3" xfId="24447"/>
    <cellStyle name="Input [yellow] 2 12 3 5 4" xfId="35612"/>
    <cellStyle name="Input [yellow] 2 12 3 5 5" xfId="46805"/>
    <cellStyle name="Input [yellow] 2 12 3 6" xfId="3188"/>
    <cellStyle name="Input [yellow] 2 12 3 6 2" xfId="14385"/>
    <cellStyle name="Input [yellow] 2 12 3 6 3" xfId="25553"/>
    <cellStyle name="Input [yellow] 2 12 3 6 4" xfId="36718"/>
    <cellStyle name="Input [yellow] 2 12 3 6 5" xfId="47911"/>
    <cellStyle name="Input [yellow] 2 12 3 7" xfId="3822"/>
    <cellStyle name="Input [yellow] 2 12 3 7 2" xfId="15019"/>
    <cellStyle name="Input [yellow] 2 12 3 7 3" xfId="26187"/>
    <cellStyle name="Input [yellow] 2 12 3 7 4" xfId="37352"/>
    <cellStyle name="Input [yellow] 2 12 3 7 5" xfId="48545"/>
    <cellStyle name="Input [yellow] 2 12 3 8" xfId="4455"/>
    <cellStyle name="Input [yellow] 2 12 3 8 2" xfId="15652"/>
    <cellStyle name="Input [yellow] 2 12 3 8 3" xfId="26820"/>
    <cellStyle name="Input [yellow] 2 12 3 8 4" xfId="37985"/>
    <cellStyle name="Input [yellow] 2 12 3 8 5" xfId="49178"/>
    <cellStyle name="Input [yellow] 2 12 3 9" xfId="5086"/>
    <cellStyle name="Input [yellow] 2 12 3 9 2" xfId="16283"/>
    <cellStyle name="Input [yellow] 2 12 3 9 3" xfId="27451"/>
    <cellStyle name="Input [yellow] 2 12 3 9 4" xfId="38616"/>
    <cellStyle name="Input [yellow] 2 12 3 9 5" xfId="49809"/>
    <cellStyle name="Input [yellow] 2 12 30" xfId="11285"/>
    <cellStyle name="Input [yellow] 2 12 31" xfId="22455"/>
    <cellStyle name="Input [yellow] 2 12 32" xfId="33622"/>
    <cellStyle name="Input [yellow] 2 12 33" xfId="44807"/>
    <cellStyle name="Input [yellow] 2 12 4" xfId="256"/>
    <cellStyle name="Input [yellow] 2 12 4 10" xfId="5974"/>
    <cellStyle name="Input [yellow] 2 12 4 10 2" xfId="17171"/>
    <cellStyle name="Input [yellow] 2 12 4 10 3" xfId="28339"/>
    <cellStyle name="Input [yellow] 2 12 4 10 4" xfId="39504"/>
    <cellStyle name="Input [yellow] 2 12 4 10 5" xfId="50697"/>
    <cellStyle name="Input [yellow] 2 12 4 11" xfId="6192"/>
    <cellStyle name="Input [yellow] 2 12 4 11 2" xfId="17389"/>
    <cellStyle name="Input [yellow] 2 12 4 11 3" xfId="28557"/>
    <cellStyle name="Input [yellow] 2 12 4 11 4" xfId="39722"/>
    <cellStyle name="Input [yellow] 2 12 4 11 5" xfId="50915"/>
    <cellStyle name="Input [yellow] 2 12 4 12" xfId="6825"/>
    <cellStyle name="Input [yellow] 2 12 4 12 2" xfId="18022"/>
    <cellStyle name="Input [yellow] 2 12 4 12 3" xfId="29190"/>
    <cellStyle name="Input [yellow] 2 12 4 12 4" xfId="40355"/>
    <cellStyle name="Input [yellow] 2 12 4 12 5" xfId="51548"/>
    <cellStyle name="Input [yellow] 2 12 4 13" xfId="7459"/>
    <cellStyle name="Input [yellow] 2 12 4 13 2" xfId="18656"/>
    <cellStyle name="Input [yellow] 2 12 4 13 3" xfId="29824"/>
    <cellStyle name="Input [yellow] 2 12 4 13 4" xfId="40989"/>
    <cellStyle name="Input [yellow] 2 12 4 13 5" xfId="52182"/>
    <cellStyle name="Input [yellow] 2 12 4 14" xfId="8093"/>
    <cellStyle name="Input [yellow] 2 12 4 14 2" xfId="19290"/>
    <cellStyle name="Input [yellow] 2 12 4 14 3" xfId="30458"/>
    <cellStyle name="Input [yellow] 2 12 4 14 4" xfId="41623"/>
    <cellStyle name="Input [yellow] 2 12 4 14 5" xfId="52816"/>
    <cellStyle name="Input [yellow] 2 12 4 15" xfId="8722"/>
    <cellStyle name="Input [yellow] 2 12 4 15 2" xfId="19919"/>
    <cellStyle name="Input [yellow] 2 12 4 15 3" xfId="31087"/>
    <cellStyle name="Input [yellow] 2 12 4 15 4" xfId="42252"/>
    <cellStyle name="Input [yellow] 2 12 4 15 5" xfId="53445"/>
    <cellStyle name="Input [yellow] 2 12 4 16" xfId="9144"/>
    <cellStyle name="Input [yellow] 2 12 4 16 2" xfId="20341"/>
    <cellStyle name="Input [yellow] 2 12 4 16 3" xfId="31509"/>
    <cellStyle name="Input [yellow] 2 12 4 16 4" xfId="42674"/>
    <cellStyle name="Input [yellow] 2 12 4 16 5" xfId="53867"/>
    <cellStyle name="Input [yellow] 2 12 4 17" xfId="9772"/>
    <cellStyle name="Input [yellow] 2 12 4 17 2" xfId="20969"/>
    <cellStyle name="Input [yellow] 2 12 4 17 3" xfId="32137"/>
    <cellStyle name="Input [yellow] 2 12 4 17 4" xfId="43302"/>
    <cellStyle name="Input [yellow] 2 12 4 17 5" xfId="54495"/>
    <cellStyle name="Input [yellow] 2 12 4 18" xfId="10328"/>
    <cellStyle name="Input [yellow] 2 12 4 18 2" xfId="21525"/>
    <cellStyle name="Input [yellow] 2 12 4 18 3" xfId="32693"/>
    <cellStyle name="Input [yellow] 2 12 4 18 4" xfId="43858"/>
    <cellStyle name="Input [yellow] 2 12 4 18 5" xfId="55051"/>
    <cellStyle name="Input [yellow] 2 12 4 19" xfId="10809"/>
    <cellStyle name="Input [yellow] 2 12 4 19 2" xfId="22006"/>
    <cellStyle name="Input [yellow] 2 12 4 19 3" xfId="33174"/>
    <cellStyle name="Input [yellow] 2 12 4 19 4" xfId="44339"/>
    <cellStyle name="Input [yellow] 2 12 4 19 5" xfId="55532"/>
    <cellStyle name="Input [yellow] 2 12 4 2" xfId="905"/>
    <cellStyle name="Input [yellow] 2 12 4 2 2" xfId="12102"/>
    <cellStyle name="Input [yellow] 2 12 4 2 3" xfId="23270"/>
    <cellStyle name="Input [yellow] 2 12 4 2 4" xfId="34435"/>
    <cellStyle name="Input [yellow] 2 12 4 2 5" xfId="45628"/>
    <cellStyle name="Input [yellow] 2 12 4 20" xfId="11456"/>
    <cellStyle name="Input [yellow] 2 12 4 21" xfId="22626"/>
    <cellStyle name="Input [yellow] 2 12 4 22" xfId="33793"/>
    <cellStyle name="Input [yellow] 2 12 4 23" xfId="44979"/>
    <cellStyle name="Input [yellow] 2 12 4 3" xfId="1602"/>
    <cellStyle name="Input [yellow] 2 12 4 3 2" xfId="12799"/>
    <cellStyle name="Input [yellow] 2 12 4 3 3" xfId="23967"/>
    <cellStyle name="Input [yellow] 2 12 4 3 4" xfId="35132"/>
    <cellStyle name="Input [yellow] 2 12 4 3 5" xfId="46325"/>
    <cellStyle name="Input [yellow] 2 12 4 4" xfId="2182"/>
    <cellStyle name="Input [yellow] 2 12 4 4 2" xfId="13379"/>
    <cellStyle name="Input [yellow] 2 12 4 4 3" xfId="24547"/>
    <cellStyle name="Input [yellow] 2 12 4 4 4" xfId="35712"/>
    <cellStyle name="Input [yellow] 2 12 4 4 5" xfId="46905"/>
    <cellStyle name="Input [yellow] 2 12 4 5" xfId="2606"/>
    <cellStyle name="Input [yellow] 2 12 4 5 2" xfId="13803"/>
    <cellStyle name="Input [yellow] 2 12 4 5 3" xfId="24971"/>
    <cellStyle name="Input [yellow] 2 12 4 5 4" xfId="36136"/>
    <cellStyle name="Input [yellow] 2 12 4 5 5" xfId="47329"/>
    <cellStyle name="Input [yellow] 2 12 4 6" xfId="3240"/>
    <cellStyle name="Input [yellow] 2 12 4 6 2" xfId="14437"/>
    <cellStyle name="Input [yellow] 2 12 4 6 3" xfId="25605"/>
    <cellStyle name="Input [yellow] 2 12 4 6 4" xfId="36770"/>
    <cellStyle name="Input [yellow] 2 12 4 6 5" xfId="47963"/>
    <cellStyle name="Input [yellow] 2 12 4 7" xfId="3874"/>
    <cellStyle name="Input [yellow] 2 12 4 7 2" xfId="15071"/>
    <cellStyle name="Input [yellow] 2 12 4 7 3" xfId="26239"/>
    <cellStyle name="Input [yellow] 2 12 4 7 4" xfId="37404"/>
    <cellStyle name="Input [yellow] 2 12 4 7 5" xfId="48597"/>
    <cellStyle name="Input [yellow] 2 12 4 8" xfId="4507"/>
    <cellStyle name="Input [yellow] 2 12 4 8 2" xfId="15704"/>
    <cellStyle name="Input [yellow] 2 12 4 8 3" xfId="26872"/>
    <cellStyle name="Input [yellow] 2 12 4 8 4" xfId="38037"/>
    <cellStyle name="Input [yellow] 2 12 4 8 5" xfId="49230"/>
    <cellStyle name="Input [yellow] 2 12 4 9" xfId="5138"/>
    <cellStyle name="Input [yellow] 2 12 4 9 2" xfId="16335"/>
    <cellStyle name="Input [yellow] 2 12 4 9 3" xfId="27503"/>
    <cellStyle name="Input [yellow] 2 12 4 9 4" xfId="38668"/>
    <cellStyle name="Input [yellow] 2 12 4 9 5" xfId="49861"/>
    <cellStyle name="Input [yellow] 2 12 5" xfId="290"/>
    <cellStyle name="Input [yellow] 2 12 5 10" xfId="5574"/>
    <cellStyle name="Input [yellow] 2 12 5 10 2" xfId="16771"/>
    <cellStyle name="Input [yellow] 2 12 5 10 3" xfId="27939"/>
    <cellStyle name="Input [yellow] 2 12 5 10 4" xfId="39104"/>
    <cellStyle name="Input [yellow] 2 12 5 10 5" xfId="50297"/>
    <cellStyle name="Input [yellow] 2 12 5 11" xfId="6226"/>
    <cellStyle name="Input [yellow] 2 12 5 11 2" xfId="17423"/>
    <cellStyle name="Input [yellow] 2 12 5 11 3" xfId="28591"/>
    <cellStyle name="Input [yellow] 2 12 5 11 4" xfId="39756"/>
    <cellStyle name="Input [yellow] 2 12 5 11 5" xfId="50949"/>
    <cellStyle name="Input [yellow] 2 12 5 12" xfId="6859"/>
    <cellStyle name="Input [yellow] 2 12 5 12 2" xfId="18056"/>
    <cellStyle name="Input [yellow] 2 12 5 12 3" xfId="29224"/>
    <cellStyle name="Input [yellow] 2 12 5 12 4" xfId="40389"/>
    <cellStyle name="Input [yellow] 2 12 5 12 5" xfId="51582"/>
    <cellStyle name="Input [yellow] 2 12 5 13" xfId="7493"/>
    <cellStyle name="Input [yellow] 2 12 5 13 2" xfId="18690"/>
    <cellStyle name="Input [yellow] 2 12 5 13 3" xfId="29858"/>
    <cellStyle name="Input [yellow] 2 12 5 13 4" xfId="41023"/>
    <cellStyle name="Input [yellow] 2 12 5 13 5" xfId="52216"/>
    <cellStyle name="Input [yellow] 2 12 5 14" xfId="8127"/>
    <cellStyle name="Input [yellow] 2 12 5 14 2" xfId="19324"/>
    <cellStyle name="Input [yellow] 2 12 5 14 3" xfId="30492"/>
    <cellStyle name="Input [yellow] 2 12 5 14 4" xfId="41657"/>
    <cellStyle name="Input [yellow] 2 12 5 14 5" xfId="52850"/>
    <cellStyle name="Input [yellow] 2 12 5 15" xfId="8756"/>
    <cellStyle name="Input [yellow] 2 12 5 15 2" xfId="19953"/>
    <cellStyle name="Input [yellow] 2 12 5 15 3" xfId="31121"/>
    <cellStyle name="Input [yellow] 2 12 5 15 4" xfId="42286"/>
    <cellStyle name="Input [yellow] 2 12 5 15 5" xfId="53479"/>
    <cellStyle name="Input [yellow] 2 12 5 16" xfId="9178"/>
    <cellStyle name="Input [yellow] 2 12 5 16 2" xfId="20375"/>
    <cellStyle name="Input [yellow] 2 12 5 16 3" xfId="31543"/>
    <cellStyle name="Input [yellow] 2 12 5 16 4" xfId="42708"/>
    <cellStyle name="Input [yellow] 2 12 5 16 5" xfId="53901"/>
    <cellStyle name="Input [yellow] 2 12 5 17" xfId="9805"/>
    <cellStyle name="Input [yellow] 2 12 5 17 2" xfId="21002"/>
    <cellStyle name="Input [yellow] 2 12 5 17 3" xfId="32170"/>
    <cellStyle name="Input [yellow] 2 12 5 17 4" xfId="43335"/>
    <cellStyle name="Input [yellow] 2 12 5 17 5" xfId="54528"/>
    <cellStyle name="Input [yellow] 2 12 5 18" xfId="10228"/>
    <cellStyle name="Input [yellow] 2 12 5 18 2" xfId="21425"/>
    <cellStyle name="Input [yellow] 2 12 5 18 3" xfId="32593"/>
    <cellStyle name="Input [yellow] 2 12 5 18 4" xfId="43758"/>
    <cellStyle name="Input [yellow] 2 12 5 18 5" xfId="54951"/>
    <cellStyle name="Input [yellow] 2 12 5 19" xfId="10843"/>
    <cellStyle name="Input [yellow] 2 12 5 19 2" xfId="22040"/>
    <cellStyle name="Input [yellow] 2 12 5 19 3" xfId="33208"/>
    <cellStyle name="Input [yellow] 2 12 5 19 4" xfId="44373"/>
    <cellStyle name="Input [yellow] 2 12 5 19 5" xfId="55566"/>
    <cellStyle name="Input [yellow] 2 12 5 2" xfId="939"/>
    <cellStyle name="Input [yellow] 2 12 5 2 2" xfId="12136"/>
    <cellStyle name="Input [yellow] 2 12 5 2 3" xfId="23304"/>
    <cellStyle name="Input [yellow] 2 12 5 2 4" xfId="34469"/>
    <cellStyle name="Input [yellow] 2 12 5 2 5" xfId="45662"/>
    <cellStyle name="Input [yellow] 2 12 5 20" xfId="11490"/>
    <cellStyle name="Input [yellow] 2 12 5 21" xfId="22660"/>
    <cellStyle name="Input [yellow] 2 12 5 22" xfId="33827"/>
    <cellStyle name="Input [yellow] 2 12 5 23" xfId="45013"/>
    <cellStyle name="Input [yellow] 2 12 5 3" xfId="1536"/>
    <cellStyle name="Input [yellow] 2 12 5 3 2" xfId="12733"/>
    <cellStyle name="Input [yellow] 2 12 5 3 3" xfId="23901"/>
    <cellStyle name="Input [yellow] 2 12 5 3 4" xfId="35066"/>
    <cellStyle name="Input [yellow] 2 12 5 3 5" xfId="46259"/>
    <cellStyle name="Input [yellow] 2 12 5 4" xfId="2215"/>
    <cellStyle name="Input [yellow] 2 12 5 4 2" xfId="13412"/>
    <cellStyle name="Input [yellow] 2 12 5 4 3" xfId="24580"/>
    <cellStyle name="Input [yellow] 2 12 5 4 4" xfId="35745"/>
    <cellStyle name="Input [yellow] 2 12 5 4 5" xfId="46938"/>
    <cellStyle name="Input [yellow] 2 12 5 5" xfId="2640"/>
    <cellStyle name="Input [yellow] 2 12 5 5 2" xfId="13837"/>
    <cellStyle name="Input [yellow] 2 12 5 5 3" xfId="25005"/>
    <cellStyle name="Input [yellow] 2 12 5 5 4" xfId="36170"/>
    <cellStyle name="Input [yellow] 2 12 5 5 5" xfId="47363"/>
    <cellStyle name="Input [yellow] 2 12 5 6" xfId="3274"/>
    <cellStyle name="Input [yellow] 2 12 5 6 2" xfId="14471"/>
    <cellStyle name="Input [yellow] 2 12 5 6 3" xfId="25639"/>
    <cellStyle name="Input [yellow] 2 12 5 6 4" xfId="36804"/>
    <cellStyle name="Input [yellow] 2 12 5 6 5" xfId="47997"/>
    <cellStyle name="Input [yellow] 2 12 5 7" xfId="3908"/>
    <cellStyle name="Input [yellow] 2 12 5 7 2" xfId="15105"/>
    <cellStyle name="Input [yellow] 2 12 5 7 3" xfId="26273"/>
    <cellStyle name="Input [yellow] 2 12 5 7 4" xfId="37438"/>
    <cellStyle name="Input [yellow] 2 12 5 7 5" xfId="48631"/>
    <cellStyle name="Input [yellow] 2 12 5 8" xfId="4541"/>
    <cellStyle name="Input [yellow] 2 12 5 8 2" xfId="15738"/>
    <cellStyle name="Input [yellow] 2 12 5 8 3" xfId="26906"/>
    <cellStyle name="Input [yellow] 2 12 5 8 4" xfId="38071"/>
    <cellStyle name="Input [yellow] 2 12 5 8 5" xfId="49264"/>
    <cellStyle name="Input [yellow] 2 12 5 9" xfId="5172"/>
    <cellStyle name="Input [yellow] 2 12 5 9 2" xfId="16369"/>
    <cellStyle name="Input [yellow] 2 12 5 9 3" xfId="27537"/>
    <cellStyle name="Input [yellow] 2 12 5 9 4" xfId="38702"/>
    <cellStyle name="Input [yellow] 2 12 5 9 5" xfId="49895"/>
    <cellStyle name="Input [yellow] 2 12 6" xfId="323"/>
    <cellStyle name="Input [yellow] 2 12 6 10" xfId="6120"/>
    <cellStyle name="Input [yellow] 2 12 6 10 2" xfId="17317"/>
    <cellStyle name="Input [yellow] 2 12 6 10 3" xfId="28485"/>
    <cellStyle name="Input [yellow] 2 12 6 10 4" xfId="39650"/>
    <cellStyle name="Input [yellow] 2 12 6 10 5" xfId="50843"/>
    <cellStyle name="Input [yellow] 2 12 6 11" xfId="6259"/>
    <cellStyle name="Input [yellow] 2 12 6 11 2" xfId="17456"/>
    <cellStyle name="Input [yellow] 2 12 6 11 3" xfId="28624"/>
    <cellStyle name="Input [yellow] 2 12 6 11 4" xfId="39789"/>
    <cellStyle name="Input [yellow] 2 12 6 11 5" xfId="50982"/>
    <cellStyle name="Input [yellow] 2 12 6 12" xfId="6892"/>
    <cellStyle name="Input [yellow] 2 12 6 12 2" xfId="18089"/>
    <cellStyle name="Input [yellow] 2 12 6 12 3" xfId="29257"/>
    <cellStyle name="Input [yellow] 2 12 6 12 4" xfId="40422"/>
    <cellStyle name="Input [yellow] 2 12 6 12 5" xfId="51615"/>
    <cellStyle name="Input [yellow] 2 12 6 13" xfId="7526"/>
    <cellStyle name="Input [yellow] 2 12 6 13 2" xfId="18723"/>
    <cellStyle name="Input [yellow] 2 12 6 13 3" xfId="29891"/>
    <cellStyle name="Input [yellow] 2 12 6 13 4" xfId="41056"/>
    <cellStyle name="Input [yellow] 2 12 6 13 5" xfId="52249"/>
    <cellStyle name="Input [yellow] 2 12 6 14" xfId="8160"/>
    <cellStyle name="Input [yellow] 2 12 6 14 2" xfId="19357"/>
    <cellStyle name="Input [yellow] 2 12 6 14 3" xfId="30525"/>
    <cellStyle name="Input [yellow] 2 12 6 14 4" xfId="41690"/>
    <cellStyle name="Input [yellow] 2 12 6 14 5" xfId="52883"/>
    <cellStyle name="Input [yellow] 2 12 6 15" xfId="8789"/>
    <cellStyle name="Input [yellow] 2 12 6 15 2" xfId="19986"/>
    <cellStyle name="Input [yellow] 2 12 6 15 3" xfId="31154"/>
    <cellStyle name="Input [yellow] 2 12 6 15 4" xfId="42319"/>
    <cellStyle name="Input [yellow] 2 12 6 15 5" xfId="53512"/>
    <cellStyle name="Input [yellow] 2 12 6 16" xfId="9211"/>
    <cellStyle name="Input [yellow] 2 12 6 16 2" xfId="20408"/>
    <cellStyle name="Input [yellow] 2 12 6 16 3" xfId="31576"/>
    <cellStyle name="Input [yellow] 2 12 6 16 4" xfId="42741"/>
    <cellStyle name="Input [yellow] 2 12 6 16 5" xfId="53934"/>
    <cellStyle name="Input [yellow] 2 12 6 17" xfId="9838"/>
    <cellStyle name="Input [yellow] 2 12 6 17 2" xfId="21035"/>
    <cellStyle name="Input [yellow] 2 12 6 17 3" xfId="32203"/>
    <cellStyle name="Input [yellow] 2 12 6 17 4" xfId="43368"/>
    <cellStyle name="Input [yellow] 2 12 6 17 5" xfId="54561"/>
    <cellStyle name="Input [yellow] 2 12 6 18" xfId="10335"/>
    <cellStyle name="Input [yellow] 2 12 6 18 2" xfId="21532"/>
    <cellStyle name="Input [yellow] 2 12 6 18 3" xfId="32700"/>
    <cellStyle name="Input [yellow] 2 12 6 18 4" xfId="43865"/>
    <cellStyle name="Input [yellow] 2 12 6 18 5" xfId="55058"/>
    <cellStyle name="Input [yellow] 2 12 6 19" xfId="10876"/>
    <cellStyle name="Input [yellow] 2 12 6 19 2" xfId="22073"/>
    <cellStyle name="Input [yellow] 2 12 6 19 3" xfId="33241"/>
    <cellStyle name="Input [yellow] 2 12 6 19 4" xfId="44406"/>
    <cellStyle name="Input [yellow] 2 12 6 19 5" xfId="55599"/>
    <cellStyle name="Input [yellow] 2 12 6 2" xfId="972"/>
    <cellStyle name="Input [yellow] 2 12 6 2 2" xfId="12169"/>
    <cellStyle name="Input [yellow] 2 12 6 2 3" xfId="23337"/>
    <cellStyle name="Input [yellow] 2 12 6 2 4" xfId="34502"/>
    <cellStyle name="Input [yellow] 2 12 6 2 5" xfId="45695"/>
    <cellStyle name="Input [yellow] 2 12 6 20" xfId="11523"/>
    <cellStyle name="Input [yellow] 2 12 6 21" xfId="22693"/>
    <cellStyle name="Input [yellow] 2 12 6 22" xfId="33860"/>
    <cellStyle name="Input [yellow] 2 12 6 23" xfId="45046"/>
    <cellStyle name="Input [yellow] 2 12 6 3" xfId="1518"/>
    <cellStyle name="Input [yellow] 2 12 6 3 2" xfId="12715"/>
    <cellStyle name="Input [yellow] 2 12 6 3 3" xfId="23883"/>
    <cellStyle name="Input [yellow] 2 12 6 3 4" xfId="35048"/>
    <cellStyle name="Input [yellow] 2 12 6 3 5" xfId="46241"/>
    <cellStyle name="Input [yellow] 2 12 6 4" xfId="2248"/>
    <cellStyle name="Input [yellow] 2 12 6 4 2" xfId="13445"/>
    <cellStyle name="Input [yellow] 2 12 6 4 3" xfId="24613"/>
    <cellStyle name="Input [yellow] 2 12 6 4 4" xfId="35778"/>
    <cellStyle name="Input [yellow] 2 12 6 4 5" xfId="46971"/>
    <cellStyle name="Input [yellow] 2 12 6 5" xfId="2673"/>
    <cellStyle name="Input [yellow] 2 12 6 5 2" xfId="13870"/>
    <cellStyle name="Input [yellow] 2 12 6 5 3" xfId="25038"/>
    <cellStyle name="Input [yellow] 2 12 6 5 4" xfId="36203"/>
    <cellStyle name="Input [yellow] 2 12 6 5 5" xfId="47396"/>
    <cellStyle name="Input [yellow] 2 12 6 6" xfId="3307"/>
    <cellStyle name="Input [yellow] 2 12 6 6 2" xfId="14504"/>
    <cellStyle name="Input [yellow] 2 12 6 6 3" xfId="25672"/>
    <cellStyle name="Input [yellow] 2 12 6 6 4" xfId="36837"/>
    <cellStyle name="Input [yellow] 2 12 6 6 5" xfId="48030"/>
    <cellStyle name="Input [yellow] 2 12 6 7" xfId="3941"/>
    <cellStyle name="Input [yellow] 2 12 6 7 2" xfId="15138"/>
    <cellStyle name="Input [yellow] 2 12 6 7 3" xfId="26306"/>
    <cellStyle name="Input [yellow] 2 12 6 7 4" xfId="37471"/>
    <cellStyle name="Input [yellow] 2 12 6 7 5" xfId="48664"/>
    <cellStyle name="Input [yellow] 2 12 6 8" xfId="4574"/>
    <cellStyle name="Input [yellow] 2 12 6 8 2" xfId="15771"/>
    <cellStyle name="Input [yellow] 2 12 6 8 3" xfId="26939"/>
    <cellStyle name="Input [yellow] 2 12 6 8 4" xfId="38104"/>
    <cellStyle name="Input [yellow] 2 12 6 8 5" xfId="49297"/>
    <cellStyle name="Input [yellow] 2 12 6 9" xfId="5205"/>
    <cellStyle name="Input [yellow] 2 12 6 9 2" xfId="16402"/>
    <cellStyle name="Input [yellow] 2 12 6 9 3" xfId="27570"/>
    <cellStyle name="Input [yellow] 2 12 6 9 4" xfId="38735"/>
    <cellStyle name="Input [yellow] 2 12 6 9 5" xfId="49928"/>
    <cellStyle name="Input [yellow] 2 12 7" xfId="417"/>
    <cellStyle name="Input [yellow] 2 12 7 10" xfId="5943"/>
    <cellStyle name="Input [yellow] 2 12 7 10 2" xfId="17140"/>
    <cellStyle name="Input [yellow] 2 12 7 10 3" xfId="28308"/>
    <cellStyle name="Input [yellow] 2 12 7 10 4" xfId="39473"/>
    <cellStyle name="Input [yellow] 2 12 7 10 5" xfId="50666"/>
    <cellStyle name="Input [yellow] 2 12 7 11" xfId="6353"/>
    <cellStyle name="Input [yellow] 2 12 7 11 2" xfId="17550"/>
    <cellStyle name="Input [yellow] 2 12 7 11 3" xfId="28718"/>
    <cellStyle name="Input [yellow] 2 12 7 11 4" xfId="39883"/>
    <cellStyle name="Input [yellow] 2 12 7 11 5" xfId="51076"/>
    <cellStyle name="Input [yellow] 2 12 7 12" xfId="6986"/>
    <cellStyle name="Input [yellow] 2 12 7 12 2" xfId="18183"/>
    <cellStyle name="Input [yellow] 2 12 7 12 3" xfId="29351"/>
    <cellStyle name="Input [yellow] 2 12 7 12 4" xfId="40516"/>
    <cellStyle name="Input [yellow] 2 12 7 12 5" xfId="51709"/>
    <cellStyle name="Input [yellow] 2 12 7 13" xfId="7620"/>
    <cellStyle name="Input [yellow] 2 12 7 13 2" xfId="18817"/>
    <cellStyle name="Input [yellow] 2 12 7 13 3" xfId="29985"/>
    <cellStyle name="Input [yellow] 2 12 7 13 4" xfId="41150"/>
    <cellStyle name="Input [yellow] 2 12 7 13 5" xfId="52343"/>
    <cellStyle name="Input [yellow] 2 12 7 14" xfId="8254"/>
    <cellStyle name="Input [yellow] 2 12 7 14 2" xfId="19451"/>
    <cellStyle name="Input [yellow] 2 12 7 14 3" xfId="30619"/>
    <cellStyle name="Input [yellow] 2 12 7 14 4" xfId="41784"/>
    <cellStyle name="Input [yellow] 2 12 7 14 5" xfId="52977"/>
    <cellStyle name="Input [yellow] 2 12 7 15" xfId="8882"/>
    <cellStyle name="Input [yellow] 2 12 7 15 2" xfId="20079"/>
    <cellStyle name="Input [yellow] 2 12 7 15 3" xfId="31247"/>
    <cellStyle name="Input [yellow] 2 12 7 15 4" xfId="42412"/>
    <cellStyle name="Input [yellow] 2 12 7 15 5" xfId="53605"/>
    <cellStyle name="Input [yellow] 2 12 7 16" xfId="9305"/>
    <cellStyle name="Input [yellow] 2 12 7 16 2" xfId="20502"/>
    <cellStyle name="Input [yellow] 2 12 7 16 3" xfId="31670"/>
    <cellStyle name="Input [yellow] 2 12 7 16 4" xfId="42835"/>
    <cellStyle name="Input [yellow] 2 12 7 16 5" xfId="54028"/>
    <cellStyle name="Input [yellow] 2 12 7 17" xfId="9931"/>
    <cellStyle name="Input [yellow] 2 12 7 17 2" xfId="21128"/>
    <cellStyle name="Input [yellow] 2 12 7 17 3" xfId="32296"/>
    <cellStyle name="Input [yellow] 2 12 7 17 4" xfId="43461"/>
    <cellStyle name="Input [yellow] 2 12 7 17 5" xfId="54654"/>
    <cellStyle name="Input [yellow] 2 12 7 18" xfId="10530"/>
    <cellStyle name="Input [yellow] 2 12 7 18 2" xfId="21727"/>
    <cellStyle name="Input [yellow] 2 12 7 18 3" xfId="32895"/>
    <cellStyle name="Input [yellow] 2 12 7 18 4" xfId="44060"/>
    <cellStyle name="Input [yellow] 2 12 7 18 5" xfId="55253"/>
    <cellStyle name="Input [yellow] 2 12 7 19" xfId="10970"/>
    <cellStyle name="Input [yellow] 2 12 7 19 2" xfId="22167"/>
    <cellStyle name="Input [yellow] 2 12 7 19 3" xfId="33335"/>
    <cellStyle name="Input [yellow] 2 12 7 19 4" xfId="44500"/>
    <cellStyle name="Input [yellow] 2 12 7 19 5" xfId="55693"/>
    <cellStyle name="Input [yellow] 2 12 7 2" xfId="1066"/>
    <cellStyle name="Input [yellow] 2 12 7 2 2" xfId="12263"/>
    <cellStyle name="Input [yellow] 2 12 7 2 3" xfId="23431"/>
    <cellStyle name="Input [yellow] 2 12 7 2 4" xfId="34596"/>
    <cellStyle name="Input [yellow] 2 12 7 2 5" xfId="45789"/>
    <cellStyle name="Input [yellow] 2 12 7 20" xfId="11617"/>
    <cellStyle name="Input [yellow] 2 12 7 21" xfId="22787"/>
    <cellStyle name="Input [yellow] 2 12 7 22" xfId="33954"/>
    <cellStyle name="Input [yellow] 2 12 7 23" xfId="45140"/>
    <cellStyle name="Input [yellow] 2 12 7 3" xfId="1376"/>
    <cellStyle name="Input [yellow] 2 12 7 3 2" xfId="12573"/>
    <cellStyle name="Input [yellow] 2 12 7 3 3" xfId="23741"/>
    <cellStyle name="Input [yellow] 2 12 7 3 4" xfId="34906"/>
    <cellStyle name="Input [yellow] 2 12 7 3 5" xfId="46099"/>
    <cellStyle name="Input [yellow] 2 12 7 4" xfId="2342"/>
    <cellStyle name="Input [yellow] 2 12 7 4 2" xfId="13539"/>
    <cellStyle name="Input [yellow] 2 12 7 4 3" xfId="24707"/>
    <cellStyle name="Input [yellow] 2 12 7 4 4" xfId="35872"/>
    <cellStyle name="Input [yellow] 2 12 7 4 5" xfId="47065"/>
    <cellStyle name="Input [yellow] 2 12 7 5" xfId="2767"/>
    <cellStyle name="Input [yellow] 2 12 7 5 2" xfId="13964"/>
    <cellStyle name="Input [yellow] 2 12 7 5 3" xfId="25132"/>
    <cellStyle name="Input [yellow] 2 12 7 5 4" xfId="36297"/>
    <cellStyle name="Input [yellow] 2 12 7 5 5" xfId="47490"/>
    <cellStyle name="Input [yellow] 2 12 7 6" xfId="3401"/>
    <cellStyle name="Input [yellow] 2 12 7 6 2" xfId="14598"/>
    <cellStyle name="Input [yellow] 2 12 7 6 3" xfId="25766"/>
    <cellStyle name="Input [yellow] 2 12 7 6 4" xfId="36931"/>
    <cellStyle name="Input [yellow] 2 12 7 6 5" xfId="48124"/>
    <cellStyle name="Input [yellow] 2 12 7 7" xfId="4035"/>
    <cellStyle name="Input [yellow] 2 12 7 7 2" xfId="15232"/>
    <cellStyle name="Input [yellow] 2 12 7 7 3" xfId="26400"/>
    <cellStyle name="Input [yellow] 2 12 7 7 4" xfId="37565"/>
    <cellStyle name="Input [yellow] 2 12 7 7 5" xfId="48758"/>
    <cellStyle name="Input [yellow] 2 12 7 8" xfId="4668"/>
    <cellStyle name="Input [yellow] 2 12 7 8 2" xfId="15865"/>
    <cellStyle name="Input [yellow] 2 12 7 8 3" xfId="27033"/>
    <cellStyle name="Input [yellow] 2 12 7 8 4" xfId="38198"/>
    <cellStyle name="Input [yellow] 2 12 7 8 5" xfId="49391"/>
    <cellStyle name="Input [yellow] 2 12 7 9" xfId="5299"/>
    <cellStyle name="Input [yellow] 2 12 7 9 2" xfId="16496"/>
    <cellStyle name="Input [yellow] 2 12 7 9 3" xfId="27664"/>
    <cellStyle name="Input [yellow] 2 12 7 9 4" xfId="38829"/>
    <cellStyle name="Input [yellow] 2 12 7 9 5" xfId="50022"/>
    <cellStyle name="Input [yellow] 2 12 8" xfId="493"/>
    <cellStyle name="Input [yellow] 2 12 8 10" xfId="5616"/>
    <cellStyle name="Input [yellow] 2 12 8 10 2" xfId="16813"/>
    <cellStyle name="Input [yellow] 2 12 8 10 3" xfId="27981"/>
    <cellStyle name="Input [yellow] 2 12 8 10 4" xfId="39146"/>
    <cellStyle name="Input [yellow] 2 12 8 10 5" xfId="50339"/>
    <cellStyle name="Input [yellow] 2 12 8 11" xfId="6429"/>
    <cellStyle name="Input [yellow] 2 12 8 11 2" xfId="17626"/>
    <cellStyle name="Input [yellow] 2 12 8 11 3" xfId="28794"/>
    <cellStyle name="Input [yellow] 2 12 8 11 4" xfId="39959"/>
    <cellStyle name="Input [yellow] 2 12 8 11 5" xfId="51152"/>
    <cellStyle name="Input [yellow] 2 12 8 12" xfId="7062"/>
    <cellStyle name="Input [yellow] 2 12 8 12 2" xfId="18259"/>
    <cellStyle name="Input [yellow] 2 12 8 12 3" xfId="29427"/>
    <cellStyle name="Input [yellow] 2 12 8 12 4" xfId="40592"/>
    <cellStyle name="Input [yellow] 2 12 8 12 5" xfId="51785"/>
    <cellStyle name="Input [yellow] 2 12 8 13" xfId="7696"/>
    <cellStyle name="Input [yellow] 2 12 8 13 2" xfId="18893"/>
    <cellStyle name="Input [yellow] 2 12 8 13 3" xfId="30061"/>
    <cellStyle name="Input [yellow] 2 12 8 13 4" xfId="41226"/>
    <cellStyle name="Input [yellow] 2 12 8 13 5" xfId="52419"/>
    <cellStyle name="Input [yellow] 2 12 8 14" xfId="8330"/>
    <cellStyle name="Input [yellow] 2 12 8 14 2" xfId="19527"/>
    <cellStyle name="Input [yellow] 2 12 8 14 3" xfId="30695"/>
    <cellStyle name="Input [yellow] 2 12 8 14 4" xfId="41860"/>
    <cellStyle name="Input [yellow] 2 12 8 14 5" xfId="53053"/>
    <cellStyle name="Input [yellow] 2 12 8 15" xfId="8958"/>
    <cellStyle name="Input [yellow] 2 12 8 15 2" xfId="20155"/>
    <cellStyle name="Input [yellow] 2 12 8 15 3" xfId="31323"/>
    <cellStyle name="Input [yellow] 2 12 8 15 4" xfId="42488"/>
    <cellStyle name="Input [yellow] 2 12 8 15 5" xfId="53681"/>
    <cellStyle name="Input [yellow] 2 12 8 16" xfId="9381"/>
    <cellStyle name="Input [yellow] 2 12 8 16 2" xfId="20578"/>
    <cellStyle name="Input [yellow] 2 12 8 16 3" xfId="31746"/>
    <cellStyle name="Input [yellow] 2 12 8 16 4" xfId="42911"/>
    <cellStyle name="Input [yellow] 2 12 8 16 5" xfId="54104"/>
    <cellStyle name="Input [yellow] 2 12 8 17" xfId="10006"/>
    <cellStyle name="Input [yellow] 2 12 8 17 2" xfId="21203"/>
    <cellStyle name="Input [yellow] 2 12 8 17 3" xfId="32371"/>
    <cellStyle name="Input [yellow] 2 12 8 17 4" xfId="43536"/>
    <cellStyle name="Input [yellow] 2 12 8 17 5" xfId="54729"/>
    <cellStyle name="Input [yellow] 2 12 8 18" xfId="10304"/>
    <cellStyle name="Input [yellow] 2 12 8 18 2" xfId="21501"/>
    <cellStyle name="Input [yellow] 2 12 8 18 3" xfId="32669"/>
    <cellStyle name="Input [yellow] 2 12 8 18 4" xfId="43834"/>
    <cellStyle name="Input [yellow] 2 12 8 18 5" xfId="55027"/>
    <cellStyle name="Input [yellow] 2 12 8 19" xfId="11046"/>
    <cellStyle name="Input [yellow] 2 12 8 19 2" xfId="22243"/>
    <cellStyle name="Input [yellow] 2 12 8 19 3" xfId="33411"/>
    <cellStyle name="Input [yellow] 2 12 8 19 4" xfId="44576"/>
    <cellStyle name="Input [yellow] 2 12 8 19 5" xfId="55769"/>
    <cellStyle name="Input [yellow] 2 12 8 2" xfId="1142"/>
    <cellStyle name="Input [yellow] 2 12 8 2 2" xfId="12339"/>
    <cellStyle name="Input [yellow] 2 12 8 2 3" xfId="23507"/>
    <cellStyle name="Input [yellow] 2 12 8 2 4" xfId="34672"/>
    <cellStyle name="Input [yellow] 2 12 8 2 5" xfId="45865"/>
    <cellStyle name="Input [yellow] 2 12 8 20" xfId="11693"/>
    <cellStyle name="Input [yellow] 2 12 8 21" xfId="22863"/>
    <cellStyle name="Input [yellow] 2 12 8 22" xfId="34030"/>
    <cellStyle name="Input [yellow] 2 12 8 23" xfId="45216"/>
    <cellStyle name="Input [yellow] 2 12 8 3" xfId="1606"/>
    <cellStyle name="Input [yellow] 2 12 8 3 2" xfId="12803"/>
    <cellStyle name="Input [yellow] 2 12 8 3 3" xfId="23971"/>
    <cellStyle name="Input [yellow] 2 12 8 3 4" xfId="35136"/>
    <cellStyle name="Input [yellow] 2 12 8 3 5" xfId="46329"/>
    <cellStyle name="Input [yellow] 2 12 8 4" xfId="2418"/>
    <cellStyle name="Input [yellow] 2 12 8 4 2" xfId="13615"/>
    <cellStyle name="Input [yellow] 2 12 8 4 3" xfId="24783"/>
    <cellStyle name="Input [yellow] 2 12 8 4 4" xfId="35948"/>
    <cellStyle name="Input [yellow] 2 12 8 4 5" xfId="47141"/>
    <cellStyle name="Input [yellow] 2 12 8 5" xfId="2843"/>
    <cellStyle name="Input [yellow] 2 12 8 5 2" xfId="14040"/>
    <cellStyle name="Input [yellow] 2 12 8 5 3" xfId="25208"/>
    <cellStyle name="Input [yellow] 2 12 8 5 4" xfId="36373"/>
    <cellStyle name="Input [yellow] 2 12 8 5 5" xfId="47566"/>
    <cellStyle name="Input [yellow] 2 12 8 6" xfId="3477"/>
    <cellStyle name="Input [yellow] 2 12 8 6 2" xfId="14674"/>
    <cellStyle name="Input [yellow] 2 12 8 6 3" xfId="25842"/>
    <cellStyle name="Input [yellow] 2 12 8 6 4" xfId="37007"/>
    <cellStyle name="Input [yellow] 2 12 8 6 5" xfId="48200"/>
    <cellStyle name="Input [yellow] 2 12 8 7" xfId="4111"/>
    <cellStyle name="Input [yellow] 2 12 8 7 2" xfId="15308"/>
    <cellStyle name="Input [yellow] 2 12 8 7 3" xfId="26476"/>
    <cellStyle name="Input [yellow] 2 12 8 7 4" xfId="37641"/>
    <cellStyle name="Input [yellow] 2 12 8 7 5" xfId="48834"/>
    <cellStyle name="Input [yellow] 2 12 8 8" xfId="4744"/>
    <cellStyle name="Input [yellow] 2 12 8 8 2" xfId="15941"/>
    <cellStyle name="Input [yellow] 2 12 8 8 3" xfId="27109"/>
    <cellStyle name="Input [yellow] 2 12 8 8 4" xfId="38274"/>
    <cellStyle name="Input [yellow] 2 12 8 8 5" xfId="49467"/>
    <cellStyle name="Input [yellow] 2 12 8 9" xfId="5375"/>
    <cellStyle name="Input [yellow] 2 12 8 9 2" xfId="16572"/>
    <cellStyle name="Input [yellow] 2 12 8 9 3" xfId="27740"/>
    <cellStyle name="Input [yellow] 2 12 8 9 4" xfId="38905"/>
    <cellStyle name="Input [yellow] 2 12 8 9 5" xfId="50098"/>
    <cellStyle name="Input [yellow] 2 12 9" xfId="551"/>
    <cellStyle name="Input [yellow] 2 12 9 10" xfId="5835"/>
    <cellStyle name="Input [yellow] 2 12 9 10 2" xfId="17032"/>
    <cellStyle name="Input [yellow] 2 12 9 10 3" xfId="28200"/>
    <cellStyle name="Input [yellow] 2 12 9 10 4" xfId="39365"/>
    <cellStyle name="Input [yellow] 2 12 9 10 5" xfId="50558"/>
    <cellStyle name="Input [yellow] 2 12 9 11" xfId="6487"/>
    <cellStyle name="Input [yellow] 2 12 9 11 2" xfId="17684"/>
    <cellStyle name="Input [yellow] 2 12 9 11 3" xfId="28852"/>
    <cellStyle name="Input [yellow] 2 12 9 11 4" xfId="40017"/>
    <cellStyle name="Input [yellow] 2 12 9 11 5" xfId="51210"/>
    <cellStyle name="Input [yellow] 2 12 9 12" xfId="7120"/>
    <cellStyle name="Input [yellow] 2 12 9 12 2" xfId="18317"/>
    <cellStyle name="Input [yellow] 2 12 9 12 3" xfId="29485"/>
    <cellStyle name="Input [yellow] 2 12 9 12 4" xfId="40650"/>
    <cellStyle name="Input [yellow] 2 12 9 12 5" xfId="51843"/>
    <cellStyle name="Input [yellow] 2 12 9 13" xfId="7754"/>
    <cellStyle name="Input [yellow] 2 12 9 13 2" xfId="18951"/>
    <cellStyle name="Input [yellow] 2 12 9 13 3" xfId="30119"/>
    <cellStyle name="Input [yellow] 2 12 9 13 4" xfId="41284"/>
    <cellStyle name="Input [yellow] 2 12 9 13 5" xfId="52477"/>
    <cellStyle name="Input [yellow] 2 12 9 14" xfId="8388"/>
    <cellStyle name="Input [yellow] 2 12 9 14 2" xfId="19585"/>
    <cellStyle name="Input [yellow] 2 12 9 14 3" xfId="30753"/>
    <cellStyle name="Input [yellow] 2 12 9 14 4" xfId="41918"/>
    <cellStyle name="Input [yellow] 2 12 9 14 5" xfId="53111"/>
    <cellStyle name="Input [yellow] 2 12 9 15" xfId="9016"/>
    <cellStyle name="Input [yellow] 2 12 9 15 2" xfId="20213"/>
    <cellStyle name="Input [yellow] 2 12 9 15 3" xfId="31381"/>
    <cellStyle name="Input [yellow] 2 12 9 15 4" xfId="42546"/>
    <cellStyle name="Input [yellow] 2 12 9 15 5" xfId="53739"/>
    <cellStyle name="Input [yellow] 2 12 9 16" xfId="9439"/>
    <cellStyle name="Input [yellow] 2 12 9 16 2" xfId="20636"/>
    <cellStyle name="Input [yellow] 2 12 9 16 3" xfId="31804"/>
    <cellStyle name="Input [yellow] 2 12 9 16 4" xfId="42969"/>
    <cellStyle name="Input [yellow] 2 12 9 16 5" xfId="54162"/>
    <cellStyle name="Input [yellow] 2 12 9 17" xfId="10064"/>
    <cellStyle name="Input [yellow] 2 12 9 17 2" xfId="21261"/>
    <cellStyle name="Input [yellow] 2 12 9 17 3" xfId="32429"/>
    <cellStyle name="Input [yellow] 2 12 9 17 4" xfId="43594"/>
    <cellStyle name="Input [yellow] 2 12 9 17 5" xfId="54787"/>
    <cellStyle name="Input [yellow] 2 12 9 18" xfId="9623"/>
    <cellStyle name="Input [yellow] 2 12 9 18 2" xfId="20820"/>
    <cellStyle name="Input [yellow] 2 12 9 18 3" xfId="31988"/>
    <cellStyle name="Input [yellow] 2 12 9 18 4" xfId="43153"/>
    <cellStyle name="Input [yellow] 2 12 9 18 5" xfId="54346"/>
    <cellStyle name="Input [yellow] 2 12 9 19" xfId="11104"/>
    <cellStyle name="Input [yellow] 2 12 9 19 2" xfId="22301"/>
    <cellStyle name="Input [yellow] 2 12 9 19 3" xfId="33469"/>
    <cellStyle name="Input [yellow] 2 12 9 19 4" xfId="44634"/>
    <cellStyle name="Input [yellow] 2 12 9 19 5" xfId="55827"/>
    <cellStyle name="Input [yellow] 2 12 9 2" xfId="1200"/>
    <cellStyle name="Input [yellow] 2 12 9 2 2" xfId="12397"/>
    <cellStyle name="Input [yellow] 2 12 9 2 3" xfId="23565"/>
    <cellStyle name="Input [yellow] 2 12 9 2 4" xfId="34730"/>
    <cellStyle name="Input [yellow] 2 12 9 2 5" xfId="45923"/>
    <cellStyle name="Input [yellow] 2 12 9 20" xfId="11751"/>
    <cellStyle name="Input [yellow] 2 12 9 21" xfId="22921"/>
    <cellStyle name="Input [yellow] 2 12 9 22" xfId="34088"/>
    <cellStyle name="Input [yellow] 2 12 9 23" xfId="45274"/>
    <cellStyle name="Input [yellow] 2 12 9 3" xfId="1411"/>
    <cellStyle name="Input [yellow] 2 12 9 3 2" xfId="12608"/>
    <cellStyle name="Input [yellow] 2 12 9 3 3" xfId="23776"/>
    <cellStyle name="Input [yellow] 2 12 9 3 4" xfId="34941"/>
    <cellStyle name="Input [yellow] 2 12 9 3 5" xfId="46134"/>
    <cellStyle name="Input [yellow] 2 12 9 4" xfId="2476"/>
    <cellStyle name="Input [yellow] 2 12 9 4 2" xfId="13673"/>
    <cellStyle name="Input [yellow] 2 12 9 4 3" xfId="24841"/>
    <cellStyle name="Input [yellow] 2 12 9 4 4" xfId="36006"/>
    <cellStyle name="Input [yellow] 2 12 9 4 5" xfId="47199"/>
    <cellStyle name="Input [yellow] 2 12 9 5" xfId="2901"/>
    <cellStyle name="Input [yellow] 2 12 9 5 2" xfId="14098"/>
    <cellStyle name="Input [yellow] 2 12 9 5 3" xfId="25266"/>
    <cellStyle name="Input [yellow] 2 12 9 5 4" xfId="36431"/>
    <cellStyle name="Input [yellow] 2 12 9 5 5" xfId="47624"/>
    <cellStyle name="Input [yellow] 2 12 9 6" xfId="3535"/>
    <cellStyle name="Input [yellow] 2 12 9 6 2" xfId="14732"/>
    <cellStyle name="Input [yellow] 2 12 9 6 3" xfId="25900"/>
    <cellStyle name="Input [yellow] 2 12 9 6 4" xfId="37065"/>
    <cellStyle name="Input [yellow] 2 12 9 6 5" xfId="48258"/>
    <cellStyle name="Input [yellow] 2 12 9 7" xfId="4169"/>
    <cellStyle name="Input [yellow] 2 12 9 7 2" xfId="15366"/>
    <cellStyle name="Input [yellow] 2 12 9 7 3" xfId="26534"/>
    <cellStyle name="Input [yellow] 2 12 9 7 4" xfId="37699"/>
    <cellStyle name="Input [yellow] 2 12 9 7 5" xfId="48892"/>
    <cellStyle name="Input [yellow] 2 12 9 8" xfId="4802"/>
    <cellStyle name="Input [yellow] 2 12 9 8 2" xfId="15999"/>
    <cellStyle name="Input [yellow] 2 12 9 8 3" xfId="27167"/>
    <cellStyle name="Input [yellow] 2 12 9 8 4" xfId="38332"/>
    <cellStyle name="Input [yellow] 2 12 9 8 5" xfId="49525"/>
    <cellStyle name="Input [yellow] 2 12 9 9" xfId="5433"/>
    <cellStyle name="Input [yellow] 2 12 9 9 2" xfId="16630"/>
    <cellStyle name="Input [yellow] 2 12 9 9 3" xfId="27798"/>
    <cellStyle name="Input [yellow] 2 12 9 9 4" xfId="38963"/>
    <cellStyle name="Input [yellow] 2 12 9 9 5" xfId="50156"/>
    <cellStyle name="Input [yellow] 2 13" xfId="85"/>
    <cellStyle name="Input [yellow] 2 13 10" xfId="601"/>
    <cellStyle name="Input [yellow] 2 13 10 10" xfId="5897"/>
    <cellStyle name="Input [yellow] 2 13 10 10 2" xfId="17094"/>
    <cellStyle name="Input [yellow] 2 13 10 10 3" xfId="28262"/>
    <cellStyle name="Input [yellow] 2 13 10 10 4" xfId="39427"/>
    <cellStyle name="Input [yellow] 2 13 10 10 5" xfId="50620"/>
    <cellStyle name="Input [yellow] 2 13 10 11" xfId="6537"/>
    <cellStyle name="Input [yellow] 2 13 10 11 2" xfId="17734"/>
    <cellStyle name="Input [yellow] 2 13 10 11 3" xfId="28902"/>
    <cellStyle name="Input [yellow] 2 13 10 11 4" xfId="40067"/>
    <cellStyle name="Input [yellow] 2 13 10 11 5" xfId="51260"/>
    <cellStyle name="Input [yellow] 2 13 10 12" xfId="7170"/>
    <cellStyle name="Input [yellow] 2 13 10 12 2" xfId="18367"/>
    <cellStyle name="Input [yellow] 2 13 10 12 3" xfId="29535"/>
    <cellStyle name="Input [yellow] 2 13 10 12 4" xfId="40700"/>
    <cellStyle name="Input [yellow] 2 13 10 12 5" xfId="51893"/>
    <cellStyle name="Input [yellow] 2 13 10 13" xfId="7804"/>
    <cellStyle name="Input [yellow] 2 13 10 13 2" xfId="19001"/>
    <cellStyle name="Input [yellow] 2 13 10 13 3" xfId="30169"/>
    <cellStyle name="Input [yellow] 2 13 10 13 4" xfId="41334"/>
    <cellStyle name="Input [yellow] 2 13 10 13 5" xfId="52527"/>
    <cellStyle name="Input [yellow] 2 13 10 14" xfId="8438"/>
    <cellStyle name="Input [yellow] 2 13 10 14 2" xfId="19635"/>
    <cellStyle name="Input [yellow] 2 13 10 14 3" xfId="30803"/>
    <cellStyle name="Input [yellow] 2 13 10 14 4" xfId="41968"/>
    <cellStyle name="Input [yellow] 2 13 10 14 5" xfId="53161"/>
    <cellStyle name="Input [yellow] 2 13 10 15" xfId="9066"/>
    <cellStyle name="Input [yellow] 2 13 10 15 2" xfId="20263"/>
    <cellStyle name="Input [yellow] 2 13 10 15 3" xfId="31431"/>
    <cellStyle name="Input [yellow] 2 13 10 15 4" xfId="42596"/>
    <cellStyle name="Input [yellow] 2 13 10 15 5" xfId="53789"/>
    <cellStyle name="Input [yellow] 2 13 10 16" xfId="9489"/>
    <cellStyle name="Input [yellow] 2 13 10 16 2" xfId="20686"/>
    <cellStyle name="Input [yellow] 2 13 10 16 3" xfId="31854"/>
    <cellStyle name="Input [yellow] 2 13 10 16 4" xfId="43019"/>
    <cellStyle name="Input [yellow] 2 13 10 16 5" xfId="54212"/>
    <cellStyle name="Input [yellow] 2 13 10 17" xfId="10114"/>
    <cellStyle name="Input [yellow] 2 13 10 17 2" xfId="21311"/>
    <cellStyle name="Input [yellow] 2 13 10 17 3" xfId="32479"/>
    <cellStyle name="Input [yellow] 2 13 10 17 4" xfId="43644"/>
    <cellStyle name="Input [yellow] 2 13 10 17 5" xfId="54837"/>
    <cellStyle name="Input [yellow] 2 13 10 18" xfId="10495"/>
    <cellStyle name="Input [yellow] 2 13 10 18 2" xfId="21692"/>
    <cellStyle name="Input [yellow] 2 13 10 18 3" xfId="32860"/>
    <cellStyle name="Input [yellow] 2 13 10 18 4" xfId="44025"/>
    <cellStyle name="Input [yellow] 2 13 10 18 5" xfId="55218"/>
    <cellStyle name="Input [yellow] 2 13 10 19" xfId="11154"/>
    <cellStyle name="Input [yellow] 2 13 10 19 2" xfId="22351"/>
    <cellStyle name="Input [yellow] 2 13 10 19 3" xfId="33519"/>
    <cellStyle name="Input [yellow] 2 13 10 19 4" xfId="44684"/>
    <cellStyle name="Input [yellow] 2 13 10 19 5" xfId="55877"/>
    <cellStyle name="Input [yellow] 2 13 10 2" xfId="1250"/>
    <cellStyle name="Input [yellow] 2 13 10 2 2" xfId="12447"/>
    <cellStyle name="Input [yellow] 2 13 10 2 3" xfId="23615"/>
    <cellStyle name="Input [yellow] 2 13 10 2 4" xfId="34780"/>
    <cellStyle name="Input [yellow] 2 13 10 2 5" xfId="45973"/>
    <cellStyle name="Input [yellow] 2 13 10 20" xfId="11801"/>
    <cellStyle name="Input [yellow] 2 13 10 21" xfId="22971"/>
    <cellStyle name="Input [yellow] 2 13 10 22" xfId="34138"/>
    <cellStyle name="Input [yellow] 2 13 10 23" xfId="45324"/>
    <cellStyle name="Input [yellow] 2 13 10 3" xfId="1792"/>
    <cellStyle name="Input [yellow] 2 13 10 3 2" xfId="12989"/>
    <cellStyle name="Input [yellow] 2 13 10 3 3" xfId="24157"/>
    <cellStyle name="Input [yellow] 2 13 10 3 4" xfId="35322"/>
    <cellStyle name="Input [yellow] 2 13 10 3 5" xfId="46515"/>
    <cellStyle name="Input [yellow] 2 13 10 4" xfId="2526"/>
    <cellStyle name="Input [yellow] 2 13 10 4 2" xfId="13723"/>
    <cellStyle name="Input [yellow] 2 13 10 4 3" xfId="24891"/>
    <cellStyle name="Input [yellow] 2 13 10 4 4" xfId="36056"/>
    <cellStyle name="Input [yellow] 2 13 10 4 5" xfId="47249"/>
    <cellStyle name="Input [yellow] 2 13 10 5" xfId="2951"/>
    <cellStyle name="Input [yellow] 2 13 10 5 2" xfId="14148"/>
    <cellStyle name="Input [yellow] 2 13 10 5 3" xfId="25316"/>
    <cellStyle name="Input [yellow] 2 13 10 5 4" xfId="36481"/>
    <cellStyle name="Input [yellow] 2 13 10 5 5" xfId="47674"/>
    <cellStyle name="Input [yellow] 2 13 10 6" xfId="3585"/>
    <cellStyle name="Input [yellow] 2 13 10 6 2" xfId="14782"/>
    <cellStyle name="Input [yellow] 2 13 10 6 3" xfId="25950"/>
    <cellStyle name="Input [yellow] 2 13 10 6 4" xfId="37115"/>
    <cellStyle name="Input [yellow] 2 13 10 6 5" xfId="48308"/>
    <cellStyle name="Input [yellow] 2 13 10 7" xfId="4219"/>
    <cellStyle name="Input [yellow] 2 13 10 7 2" xfId="15416"/>
    <cellStyle name="Input [yellow] 2 13 10 7 3" xfId="26584"/>
    <cellStyle name="Input [yellow] 2 13 10 7 4" xfId="37749"/>
    <cellStyle name="Input [yellow] 2 13 10 7 5" xfId="48942"/>
    <cellStyle name="Input [yellow] 2 13 10 8" xfId="4852"/>
    <cellStyle name="Input [yellow] 2 13 10 8 2" xfId="16049"/>
    <cellStyle name="Input [yellow] 2 13 10 8 3" xfId="27217"/>
    <cellStyle name="Input [yellow] 2 13 10 8 4" xfId="38382"/>
    <cellStyle name="Input [yellow] 2 13 10 8 5" xfId="49575"/>
    <cellStyle name="Input [yellow] 2 13 10 9" xfId="5483"/>
    <cellStyle name="Input [yellow] 2 13 10 9 2" xfId="16680"/>
    <cellStyle name="Input [yellow] 2 13 10 9 3" xfId="27848"/>
    <cellStyle name="Input [yellow] 2 13 10 9 4" xfId="39013"/>
    <cellStyle name="Input [yellow] 2 13 10 9 5" xfId="50206"/>
    <cellStyle name="Input [yellow] 2 13 11" xfId="642"/>
    <cellStyle name="Input [yellow] 2 13 11 10" xfId="6008"/>
    <cellStyle name="Input [yellow] 2 13 11 10 2" xfId="17205"/>
    <cellStyle name="Input [yellow] 2 13 11 10 3" xfId="28373"/>
    <cellStyle name="Input [yellow] 2 13 11 10 4" xfId="39538"/>
    <cellStyle name="Input [yellow] 2 13 11 10 5" xfId="50731"/>
    <cellStyle name="Input [yellow] 2 13 11 11" xfId="6578"/>
    <cellStyle name="Input [yellow] 2 13 11 11 2" xfId="17775"/>
    <cellStyle name="Input [yellow] 2 13 11 11 3" xfId="28943"/>
    <cellStyle name="Input [yellow] 2 13 11 11 4" xfId="40108"/>
    <cellStyle name="Input [yellow] 2 13 11 11 5" xfId="51301"/>
    <cellStyle name="Input [yellow] 2 13 11 12" xfId="7211"/>
    <cellStyle name="Input [yellow] 2 13 11 12 2" xfId="18408"/>
    <cellStyle name="Input [yellow] 2 13 11 12 3" xfId="29576"/>
    <cellStyle name="Input [yellow] 2 13 11 12 4" xfId="40741"/>
    <cellStyle name="Input [yellow] 2 13 11 12 5" xfId="51934"/>
    <cellStyle name="Input [yellow] 2 13 11 13" xfId="7845"/>
    <cellStyle name="Input [yellow] 2 13 11 13 2" xfId="19042"/>
    <cellStyle name="Input [yellow] 2 13 11 13 3" xfId="30210"/>
    <cellStyle name="Input [yellow] 2 13 11 13 4" xfId="41375"/>
    <cellStyle name="Input [yellow] 2 13 11 13 5" xfId="52568"/>
    <cellStyle name="Input [yellow] 2 13 11 14" xfId="8479"/>
    <cellStyle name="Input [yellow] 2 13 11 14 2" xfId="19676"/>
    <cellStyle name="Input [yellow] 2 13 11 14 3" xfId="30844"/>
    <cellStyle name="Input [yellow] 2 13 11 14 4" xfId="42009"/>
    <cellStyle name="Input [yellow] 2 13 11 14 5" xfId="53202"/>
    <cellStyle name="Input [yellow] 2 13 11 15" xfId="9107"/>
    <cellStyle name="Input [yellow] 2 13 11 15 2" xfId="20304"/>
    <cellStyle name="Input [yellow] 2 13 11 15 3" xfId="31472"/>
    <cellStyle name="Input [yellow] 2 13 11 15 4" xfId="42637"/>
    <cellStyle name="Input [yellow] 2 13 11 15 5" xfId="53830"/>
    <cellStyle name="Input [yellow] 2 13 11 16" xfId="9530"/>
    <cellStyle name="Input [yellow] 2 13 11 16 2" xfId="20727"/>
    <cellStyle name="Input [yellow] 2 13 11 16 3" xfId="31895"/>
    <cellStyle name="Input [yellow] 2 13 11 16 4" xfId="43060"/>
    <cellStyle name="Input [yellow] 2 13 11 16 5" xfId="54253"/>
    <cellStyle name="Input [yellow] 2 13 11 17" xfId="10155"/>
    <cellStyle name="Input [yellow] 2 13 11 17 2" xfId="21352"/>
    <cellStyle name="Input [yellow] 2 13 11 17 3" xfId="32520"/>
    <cellStyle name="Input [yellow] 2 13 11 17 4" xfId="43685"/>
    <cellStyle name="Input [yellow] 2 13 11 17 5" xfId="54878"/>
    <cellStyle name="Input [yellow] 2 13 11 18" xfId="10573"/>
    <cellStyle name="Input [yellow] 2 13 11 18 2" xfId="21770"/>
    <cellStyle name="Input [yellow] 2 13 11 18 3" xfId="32938"/>
    <cellStyle name="Input [yellow] 2 13 11 18 4" xfId="44103"/>
    <cellStyle name="Input [yellow] 2 13 11 18 5" xfId="55296"/>
    <cellStyle name="Input [yellow] 2 13 11 19" xfId="11195"/>
    <cellStyle name="Input [yellow] 2 13 11 19 2" xfId="22392"/>
    <cellStyle name="Input [yellow] 2 13 11 19 3" xfId="33560"/>
    <cellStyle name="Input [yellow] 2 13 11 19 4" xfId="44725"/>
    <cellStyle name="Input [yellow] 2 13 11 19 5" xfId="55918"/>
    <cellStyle name="Input [yellow] 2 13 11 2" xfId="1291"/>
    <cellStyle name="Input [yellow] 2 13 11 2 2" xfId="12488"/>
    <cellStyle name="Input [yellow] 2 13 11 2 3" xfId="23656"/>
    <cellStyle name="Input [yellow] 2 13 11 2 4" xfId="34821"/>
    <cellStyle name="Input [yellow] 2 13 11 2 5" xfId="46014"/>
    <cellStyle name="Input [yellow] 2 13 11 20" xfId="11842"/>
    <cellStyle name="Input [yellow] 2 13 11 21" xfId="23012"/>
    <cellStyle name="Input [yellow] 2 13 11 22" xfId="34179"/>
    <cellStyle name="Input [yellow] 2 13 11 23" xfId="45365"/>
    <cellStyle name="Input [yellow] 2 13 11 3" xfId="1904"/>
    <cellStyle name="Input [yellow] 2 13 11 3 2" xfId="13101"/>
    <cellStyle name="Input [yellow] 2 13 11 3 3" xfId="24269"/>
    <cellStyle name="Input [yellow] 2 13 11 3 4" xfId="35434"/>
    <cellStyle name="Input [yellow] 2 13 11 3 5" xfId="46627"/>
    <cellStyle name="Input [yellow] 2 13 11 4" xfId="2567"/>
    <cellStyle name="Input [yellow] 2 13 11 4 2" xfId="13764"/>
    <cellStyle name="Input [yellow] 2 13 11 4 3" xfId="24932"/>
    <cellStyle name="Input [yellow] 2 13 11 4 4" xfId="36097"/>
    <cellStyle name="Input [yellow] 2 13 11 4 5" xfId="47290"/>
    <cellStyle name="Input [yellow] 2 13 11 5" xfId="2992"/>
    <cellStyle name="Input [yellow] 2 13 11 5 2" xfId="14189"/>
    <cellStyle name="Input [yellow] 2 13 11 5 3" xfId="25357"/>
    <cellStyle name="Input [yellow] 2 13 11 5 4" xfId="36522"/>
    <cellStyle name="Input [yellow] 2 13 11 5 5" xfId="47715"/>
    <cellStyle name="Input [yellow] 2 13 11 6" xfId="3626"/>
    <cellStyle name="Input [yellow] 2 13 11 6 2" xfId="14823"/>
    <cellStyle name="Input [yellow] 2 13 11 6 3" xfId="25991"/>
    <cellStyle name="Input [yellow] 2 13 11 6 4" xfId="37156"/>
    <cellStyle name="Input [yellow] 2 13 11 6 5" xfId="48349"/>
    <cellStyle name="Input [yellow] 2 13 11 7" xfId="4260"/>
    <cellStyle name="Input [yellow] 2 13 11 7 2" xfId="15457"/>
    <cellStyle name="Input [yellow] 2 13 11 7 3" xfId="26625"/>
    <cellStyle name="Input [yellow] 2 13 11 7 4" xfId="37790"/>
    <cellStyle name="Input [yellow] 2 13 11 7 5" xfId="48983"/>
    <cellStyle name="Input [yellow] 2 13 11 8" xfId="4893"/>
    <cellStyle name="Input [yellow] 2 13 11 8 2" xfId="16090"/>
    <cellStyle name="Input [yellow] 2 13 11 8 3" xfId="27258"/>
    <cellStyle name="Input [yellow] 2 13 11 8 4" xfId="38423"/>
    <cellStyle name="Input [yellow] 2 13 11 8 5" xfId="49616"/>
    <cellStyle name="Input [yellow] 2 13 11 9" xfId="5524"/>
    <cellStyle name="Input [yellow] 2 13 11 9 2" xfId="16721"/>
    <cellStyle name="Input [yellow] 2 13 11 9 3" xfId="27889"/>
    <cellStyle name="Input [yellow] 2 13 11 9 4" xfId="39054"/>
    <cellStyle name="Input [yellow] 2 13 11 9 5" xfId="50247"/>
    <cellStyle name="Input [yellow] 2 13 12" xfId="734"/>
    <cellStyle name="Input [yellow] 2 13 12 2" xfId="11932"/>
    <cellStyle name="Input [yellow] 2 13 12 3" xfId="23100"/>
    <cellStyle name="Input [yellow] 2 13 12 4" xfId="34265"/>
    <cellStyle name="Input [yellow] 2 13 12 5" xfId="45457"/>
    <cellStyle name="Input [yellow] 2 13 13" xfId="1705"/>
    <cellStyle name="Input [yellow] 2 13 13 2" xfId="12902"/>
    <cellStyle name="Input [yellow] 2 13 13 3" xfId="24070"/>
    <cellStyle name="Input [yellow] 2 13 13 4" xfId="35235"/>
    <cellStyle name="Input [yellow] 2 13 13 5" xfId="46428"/>
    <cellStyle name="Input [yellow] 2 13 14" xfId="2011"/>
    <cellStyle name="Input [yellow] 2 13 14 2" xfId="13208"/>
    <cellStyle name="Input [yellow] 2 13 14 3" xfId="24376"/>
    <cellStyle name="Input [yellow] 2 13 14 4" xfId="35541"/>
    <cellStyle name="Input [yellow] 2 13 14 5" xfId="46734"/>
    <cellStyle name="Input [yellow] 2 13 15" xfId="1995"/>
    <cellStyle name="Input [yellow] 2 13 15 2" xfId="13192"/>
    <cellStyle name="Input [yellow] 2 13 15 3" xfId="24360"/>
    <cellStyle name="Input [yellow] 2 13 15 4" xfId="35525"/>
    <cellStyle name="Input [yellow] 2 13 15 5" xfId="46718"/>
    <cellStyle name="Input [yellow] 2 13 16" xfId="3069"/>
    <cellStyle name="Input [yellow] 2 13 16 2" xfId="14266"/>
    <cellStyle name="Input [yellow] 2 13 16 3" xfId="25434"/>
    <cellStyle name="Input [yellow] 2 13 16 4" xfId="36599"/>
    <cellStyle name="Input [yellow] 2 13 16 5" xfId="47792"/>
    <cellStyle name="Input [yellow] 2 13 17" xfId="3703"/>
    <cellStyle name="Input [yellow] 2 13 17 2" xfId="14900"/>
    <cellStyle name="Input [yellow] 2 13 17 3" xfId="26068"/>
    <cellStyle name="Input [yellow] 2 13 17 4" xfId="37233"/>
    <cellStyle name="Input [yellow] 2 13 17 5" xfId="48426"/>
    <cellStyle name="Input [yellow] 2 13 18" xfId="4336"/>
    <cellStyle name="Input [yellow] 2 13 18 2" xfId="15533"/>
    <cellStyle name="Input [yellow] 2 13 18 3" xfId="26701"/>
    <cellStyle name="Input [yellow] 2 13 18 4" xfId="37866"/>
    <cellStyle name="Input [yellow] 2 13 18 5" xfId="49059"/>
    <cellStyle name="Input [yellow] 2 13 19" xfId="4968"/>
    <cellStyle name="Input [yellow] 2 13 19 2" xfId="16165"/>
    <cellStyle name="Input [yellow] 2 13 19 3" xfId="27333"/>
    <cellStyle name="Input [yellow] 2 13 19 4" xfId="38498"/>
    <cellStyle name="Input [yellow] 2 13 19 5" xfId="49691"/>
    <cellStyle name="Input [yellow] 2 13 2" xfId="149"/>
    <cellStyle name="Input [yellow] 2 13 2 10" xfId="5883"/>
    <cellStyle name="Input [yellow] 2 13 2 10 2" xfId="17080"/>
    <cellStyle name="Input [yellow] 2 13 2 10 3" xfId="28248"/>
    <cellStyle name="Input [yellow] 2 13 2 10 4" xfId="39413"/>
    <cellStyle name="Input [yellow] 2 13 2 10 5" xfId="50606"/>
    <cellStyle name="Input [yellow] 2 13 2 11" xfId="5878"/>
    <cellStyle name="Input [yellow] 2 13 2 11 2" xfId="17075"/>
    <cellStyle name="Input [yellow] 2 13 2 11 3" xfId="28243"/>
    <cellStyle name="Input [yellow] 2 13 2 11 4" xfId="39408"/>
    <cellStyle name="Input [yellow] 2 13 2 11 5" xfId="50601"/>
    <cellStyle name="Input [yellow] 2 13 2 12" xfId="6718"/>
    <cellStyle name="Input [yellow] 2 13 2 12 2" xfId="17915"/>
    <cellStyle name="Input [yellow] 2 13 2 12 3" xfId="29083"/>
    <cellStyle name="Input [yellow] 2 13 2 12 4" xfId="40248"/>
    <cellStyle name="Input [yellow] 2 13 2 12 5" xfId="51441"/>
    <cellStyle name="Input [yellow] 2 13 2 13" xfId="7352"/>
    <cellStyle name="Input [yellow] 2 13 2 13 2" xfId="18549"/>
    <cellStyle name="Input [yellow] 2 13 2 13 3" xfId="29717"/>
    <cellStyle name="Input [yellow] 2 13 2 13 4" xfId="40882"/>
    <cellStyle name="Input [yellow] 2 13 2 13 5" xfId="52075"/>
    <cellStyle name="Input [yellow] 2 13 2 14" xfId="7986"/>
    <cellStyle name="Input [yellow] 2 13 2 14 2" xfId="19183"/>
    <cellStyle name="Input [yellow] 2 13 2 14 3" xfId="30351"/>
    <cellStyle name="Input [yellow] 2 13 2 14 4" xfId="41516"/>
    <cellStyle name="Input [yellow] 2 13 2 14 5" xfId="52709"/>
    <cellStyle name="Input [yellow] 2 13 2 15" xfId="8617"/>
    <cellStyle name="Input [yellow] 2 13 2 15 2" xfId="19814"/>
    <cellStyle name="Input [yellow] 2 13 2 15 3" xfId="30982"/>
    <cellStyle name="Input [yellow] 2 13 2 15 4" xfId="42147"/>
    <cellStyle name="Input [yellow] 2 13 2 15 5" xfId="53340"/>
    <cellStyle name="Input [yellow] 2 13 2 16" xfId="8641"/>
    <cellStyle name="Input [yellow] 2 13 2 16 2" xfId="19838"/>
    <cellStyle name="Input [yellow] 2 13 2 16 3" xfId="31006"/>
    <cellStyle name="Input [yellow] 2 13 2 16 4" xfId="42171"/>
    <cellStyle name="Input [yellow] 2 13 2 16 5" xfId="53364"/>
    <cellStyle name="Input [yellow] 2 13 2 17" xfId="9670"/>
    <cellStyle name="Input [yellow] 2 13 2 17 2" xfId="20867"/>
    <cellStyle name="Input [yellow] 2 13 2 17 3" xfId="32035"/>
    <cellStyle name="Input [yellow] 2 13 2 17 4" xfId="43200"/>
    <cellStyle name="Input [yellow] 2 13 2 17 5" xfId="54393"/>
    <cellStyle name="Input [yellow] 2 13 2 18" xfId="10107"/>
    <cellStyle name="Input [yellow] 2 13 2 18 2" xfId="21304"/>
    <cellStyle name="Input [yellow] 2 13 2 18 3" xfId="32472"/>
    <cellStyle name="Input [yellow] 2 13 2 18 4" xfId="43637"/>
    <cellStyle name="Input [yellow] 2 13 2 18 5" xfId="54830"/>
    <cellStyle name="Input [yellow] 2 13 2 19" xfId="10702"/>
    <cellStyle name="Input [yellow] 2 13 2 19 2" xfId="21899"/>
    <cellStyle name="Input [yellow] 2 13 2 19 3" xfId="33067"/>
    <cellStyle name="Input [yellow] 2 13 2 19 4" xfId="44232"/>
    <cellStyle name="Input [yellow] 2 13 2 19 5" xfId="55425"/>
    <cellStyle name="Input [yellow] 2 13 2 2" xfId="798"/>
    <cellStyle name="Input [yellow] 2 13 2 2 2" xfId="11995"/>
    <cellStyle name="Input [yellow] 2 13 2 2 3" xfId="23163"/>
    <cellStyle name="Input [yellow] 2 13 2 2 4" xfId="34328"/>
    <cellStyle name="Input [yellow] 2 13 2 2 5" xfId="45521"/>
    <cellStyle name="Input [yellow] 2 13 2 20" xfId="11349"/>
    <cellStyle name="Input [yellow] 2 13 2 21" xfId="22519"/>
    <cellStyle name="Input [yellow] 2 13 2 22" xfId="33686"/>
    <cellStyle name="Input [yellow] 2 13 2 23" xfId="44872"/>
    <cellStyle name="Input [yellow] 2 13 2 3" xfId="1932"/>
    <cellStyle name="Input [yellow] 2 13 2 3 2" xfId="13129"/>
    <cellStyle name="Input [yellow] 2 13 2 3 3" xfId="24297"/>
    <cellStyle name="Input [yellow] 2 13 2 3 4" xfId="35462"/>
    <cellStyle name="Input [yellow] 2 13 2 3 5" xfId="46655"/>
    <cellStyle name="Input [yellow] 2 13 2 4" xfId="2075"/>
    <cellStyle name="Input [yellow] 2 13 2 4 2" xfId="13272"/>
    <cellStyle name="Input [yellow] 2 13 2 4 3" xfId="24440"/>
    <cellStyle name="Input [yellow] 2 13 2 4 4" xfId="35605"/>
    <cellStyle name="Input [yellow] 2 13 2 4 5" xfId="46798"/>
    <cellStyle name="Input [yellow] 2 13 2 5" xfId="2532"/>
    <cellStyle name="Input [yellow] 2 13 2 5 2" xfId="13729"/>
    <cellStyle name="Input [yellow] 2 13 2 5 3" xfId="24897"/>
    <cellStyle name="Input [yellow] 2 13 2 5 4" xfId="36062"/>
    <cellStyle name="Input [yellow] 2 13 2 5 5" xfId="47255"/>
    <cellStyle name="Input [yellow] 2 13 2 6" xfId="3133"/>
    <cellStyle name="Input [yellow] 2 13 2 6 2" xfId="14330"/>
    <cellStyle name="Input [yellow] 2 13 2 6 3" xfId="25498"/>
    <cellStyle name="Input [yellow] 2 13 2 6 4" xfId="36663"/>
    <cellStyle name="Input [yellow] 2 13 2 6 5" xfId="47856"/>
    <cellStyle name="Input [yellow] 2 13 2 7" xfId="3767"/>
    <cellStyle name="Input [yellow] 2 13 2 7 2" xfId="14964"/>
    <cellStyle name="Input [yellow] 2 13 2 7 3" xfId="26132"/>
    <cellStyle name="Input [yellow] 2 13 2 7 4" xfId="37297"/>
    <cellStyle name="Input [yellow] 2 13 2 7 5" xfId="48490"/>
    <cellStyle name="Input [yellow] 2 13 2 8" xfId="4400"/>
    <cellStyle name="Input [yellow] 2 13 2 8 2" xfId="15597"/>
    <cellStyle name="Input [yellow] 2 13 2 8 3" xfId="26765"/>
    <cellStyle name="Input [yellow] 2 13 2 8 4" xfId="37930"/>
    <cellStyle name="Input [yellow] 2 13 2 8 5" xfId="49123"/>
    <cellStyle name="Input [yellow] 2 13 2 9" xfId="5031"/>
    <cellStyle name="Input [yellow] 2 13 2 9 2" xfId="16228"/>
    <cellStyle name="Input [yellow] 2 13 2 9 3" xfId="27396"/>
    <cellStyle name="Input [yellow] 2 13 2 9 4" xfId="38561"/>
    <cellStyle name="Input [yellow] 2 13 2 9 5" xfId="49754"/>
    <cellStyle name="Input [yellow] 2 13 20" xfId="5926"/>
    <cellStyle name="Input [yellow] 2 13 20 2" xfId="17123"/>
    <cellStyle name="Input [yellow] 2 13 20 3" xfId="28291"/>
    <cellStyle name="Input [yellow] 2 13 20 4" xfId="39456"/>
    <cellStyle name="Input [yellow] 2 13 20 5" xfId="50649"/>
    <cellStyle name="Input [yellow] 2 13 21" xfId="5619"/>
    <cellStyle name="Input [yellow] 2 13 21 2" xfId="16816"/>
    <cellStyle name="Input [yellow] 2 13 21 3" xfId="27984"/>
    <cellStyle name="Input [yellow] 2 13 21 4" xfId="39149"/>
    <cellStyle name="Input [yellow] 2 13 21 5" xfId="50342"/>
    <cellStyle name="Input [yellow] 2 13 22" xfId="6655"/>
    <cellStyle name="Input [yellow] 2 13 22 2" xfId="17852"/>
    <cellStyle name="Input [yellow] 2 13 22 3" xfId="29020"/>
    <cellStyle name="Input [yellow] 2 13 22 4" xfId="40185"/>
    <cellStyle name="Input [yellow] 2 13 22 5" xfId="51378"/>
    <cellStyle name="Input [yellow] 2 13 23" xfId="7288"/>
    <cellStyle name="Input [yellow] 2 13 23 2" xfId="18485"/>
    <cellStyle name="Input [yellow] 2 13 23 3" xfId="29653"/>
    <cellStyle name="Input [yellow] 2 13 23 4" xfId="40818"/>
    <cellStyle name="Input [yellow] 2 13 23 5" xfId="52011"/>
    <cellStyle name="Input [yellow] 2 13 24" xfId="7922"/>
    <cellStyle name="Input [yellow] 2 13 24 2" xfId="19119"/>
    <cellStyle name="Input [yellow] 2 13 24 3" xfId="30287"/>
    <cellStyle name="Input [yellow] 2 13 24 4" xfId="41452"/>
    <cellStyle name="Input [yellow] 2 13 24 5" xfId="52645"/>
    <cellStyle name="Input [yellow] 2 13 25" xfId="8554"/>
    <cellStyle name="Input [yellow] 2 13 25 2" xfId="19751"/>
    <cellStyle name="Input [yellow] 2 13 25 3" xfId="30919"/>
    <cellStyle name="Input [yellow] 2 13 25 4" xfId="42084"/>
    <cellStyle name="Input [yellow] 2 13 25 5" xfId="53277"/>
    <cellStyle name="Input [yellow] 2 13 26" xfId="8602"/>
    <cellStyle name="Input [yellow] 2 13 26 2" xfId="19799"/>
    <cellStyle name="Input [yellow] 2 13 26 3" xfId="30967"/>
    <cellStyle name="Input [yellow] 2 13 26 4" xfId="42132"/>
    <cellStyle name="Input [yellow] 2 13 26 5" xfId="53325"/>
    <cellStyle name="Input [yellow] 2 13 27" xfId="9606"/>
    <cellStyle name="Input [yellow] 2 13 27 2" xfId="20803"/>
    <cellStyle name="Input [yellow] 2 13 27 3" xfId="31971"/>
    <cellStyle name="Input [yellow] 2 13 27 4" xfId="43136"/>
    <cellStyle name="Input [yellow] 2 13 27 5" xfId="54329"/>
    <cellStyle name="Input [yellow] 2 13 28" xfId="10574"/>
    <cellStyle name="Input [yellow] 2 13 28 2" xfId="21771"/>
    <cellStyle name="Input [yellow] 2 13 28 3" xfId="32939"/>
    <cellStyle name="Input [yellow] 2 13 28 4" xfId="44104"/>
    <cellStyle name="Input [yellow] 2 13 28 5" xfId="55297"/>
    <cellStyle name="Input [yellow] 2 13 29" xfId="10639"/>
    <cellStyle name="Input [yellow] 2 13 29 2" xfId="21836"/>
    <cellStyle name="Input [yellow] 2 13 29 3" xfId="33004"/>
    <cellStyle name="Input [yellow] 2 13 29 4" xfId="44169"/>
    <cellStyle name="Input [yellow] 2 13 29 5" xfId="55362"/>
    <cellStyle name="Input [yellow] 2 13 3" xfId="205"/>
    <cellStyle name="Input [yellow] 2 13 3 10" xfId="5833"/>
    <cellStyle name="Input [yellow] 2 13 3 10 2" xfId="17030"/>
    <cellStyle name="Input [yellow] 2 13 3 10 3" xfId="28198"/>
    <cellStyle name="Input [yellow] 2 13 3 10 4" xfId="39363"/>
    <cellStyle name="Input [yellow] 2 13 3 10 5" xfId="50556"/>
    <cellStyle name="Input [yellow] 2 13 3 11" xfId="6023"/>
    <cellStyle name="Input [yellow] 2 13 3 11 2" xfId="17220"/>
    <cellStyle name="Input [yellow] 2 13 3 11 3" xfId="28388"/>
    <cellStyle name="Input [yellow] 2 13 3 11 4" xfId="39553"/>
    <cellStyle name="Input [yellow] 2 13 3 11 5" xfId="50746"/>
    <cellStyle name="Input [yellow] 2 13 3 12" xfId="6774"/>
    <cellStyle name="Input [yellow] 2 13 3 12 2" xfId="17971"/>
    <cellStyle name="Input [yellow] 2 13 3 12 3" xfId="29139"/>
    <cellStyle name="Input [yellow] 2 13 3 12 4" xfId="40304"/>
    <cellStyle name="Input [yellow] 2 13 3 12 5" xfId="51497"/>
    <cellStyle name="Input [yellow] 2 13 3 13" xfId="7408"/>
    <cellStyle name="Input [yellow] 2 13 3 13 2" xfId="18605"/>
    <cellStyle name="Input [yellow] 2 13 3 13 3" xfId="29773"/>
    <cellStyle name="Input [yellow] 2 13 3 13 4" xfId="40938"/>
    <cellStyle name="Input [yellow] 2 13 3 13 5" xfId="52131"/>
    <cellStyle name="Input [yellow] 2 13 3 14" xfId="8042"/>
    <cellStyle name="Input [yellow] 2 13 3 14 2" xfId="19239"/>
    <cellStyle name="Input [yellow] 2 13 3 14 3" xfId="30407"/>
    <cellStyle name="Input [yellow] 2 13 3 14 4" xfId="41572"/>
    <cellStyle name="Input [yellow] 2 13 3 14 5" xfId="52765"/>
    <cellStyle name="Input [yellow] 2 13 3 15" xfId="8673"/>
    <cellStyle name="Input [yellow] 2 13 3 15 2" xfId="19870"/>
    <cellStyle name="Input [yellow] 2 13 3 15 3" xfId="31038"/>
    <cellStyle name="Input [yellow] 2 13 3 15 4" xfId="42203"/>
    <cellStyle name="Input [yellow] 2 13 3 15 5" xfId="53396"/>
    <cellStyle name="Input [yellow] 2 13 3 16" xfId="8643"/>
    <cellStyle name="Input [yellow] 2 13 3 16 2" xfId="19840"/>
    <cellStyle name="Input [yellow] 2 13 3 16 3" xfId="31008"/>
    <cellStyle name="Input [yellow] 2 13 3 16 4" xfId="42173"/>
    <cellStyle name="Input [yellow] 2 13 3 16 5" xfId="53366"/>
    <cellStyle name="Input [yellow] 2 13 3 17" xfId="9724"/>
    <cellStyle name="Input [yellow] 2 13 3 17 2" xfId="20921"/>
    <cellStyle name="Input [yellow] 2 13 3 17 3" xfId="32089"/>
    <cellStyle name="Input [yellow] 2 13 3 17 4" xfId="43254"/>
    <cellStyle name="Input [yellow] 2 13 3 17 5" xfId="54447"/>
    <cellStyle name="Input [yellow] 2 13 3 18" xfId="10575"/>
    <cellStyle name="Input [yellow] 2 13 3 18 2" xfId="21772"/>
    <cellStyle name="Input [yellow] 2 13 3 18 3" xfId="32940"/>
    <cellStyle name="Input [yellow] 2 13 3 18 4" xfId="44105"/>
    <cellStyle name="Input [yellow] 2 13 3 18 5" xfId="55298"/>
    <cellStyle name="Input [yellow] 2 13 3 19" xfId="10758"/>
    <cellStyle name="Input [yellow] 2 13 3 19 2" xfId="21955"/>
    <cellStyle name="Input [yellow] 2 13 3 19 3" xfId="33123"/>
    <cellStyle name="Input [yellow] 2 13 3 19 4" xfId="44288"/>
    <cellStyle name="Input [yellow] 2 13 3 19 5" xfId="55481"/>
    <cellStyle name="Input [yellow] 2 13 3 2" xfId="854"/>
    <cellStyle name="Input [yellow] 2 13 3 2 2" xfId="12051"/>
    <cellStyle name="Input [yellow] 2 13 3 2 3" xfId="23219"/>
    <cellStyle name="Input [yellow] 2 13 3 2 4" xfId="34384"/>
    <cellStyle name="Input [yellow] 2 13 3 2 5" xfId="45577"/>
    <cellStyle name="Input [yellow] 2 13 3 20" xfId="11405"/>
    <cellStyle name="Input [yellow] 2 13 3 21" xfId="22575"/>
    <cellStyle name="Input [yellow] 2 13 3 22" xfId="33742"/>
    <cellStyle name="Input [yellow] 2 13 3 23" xfId="44928"/>
    <cellStyle name="Input [yellow] 2 13 3 3" xfId="1865"/>
    <cellStyle name="Input [yellow] 2 13 3 3 2" xfId="13062"/>
    <cellStyle name="Input [yellow] 2 13 3 3 3" xfId="24230"/>
    <cellStyle name="Input [yellow] 2 13 3 3 4" xfId="35395"/>
    <cellStyle name="Input [yellow] 2 13 3 3 5" xfId="46588"/>
    <cellStyle name="Input [yellow] 2 13 3 4" xfId="2131"/>
    <cellStyle name="Input [yellow] 2 13 3 4 2" xfId="13328"/>
    <cellStyle name="Input [yellow] 2 13 3 4 3" xfId="24496"/>
    <cellStyle name="Input [yellow] 2 13 3 4 4" xfId="35661"/>
    <cellStyle name="Input [yellow] 2 13 3 4 5" xfId="46854"/>
    <cellStyle name="Input [yellow] 2 13 3 5" xfId="2556"/>
    <cellStyle name="Input [yellow] 2 13 3 5 2" xfId="13753"/>
    <cellStyle name="Input [yellow] 2 13 3 5 3" xfId="24921"/>
    <cellStyle name="Input [yellow] 2 13 3 5 4" xfId="36086"/>
    <cellStyle name="Input [yellow] 2 13 3 5 5" xfId="47279"/>
    <cellStyle name="Input [yellow] 2 13 3 6" xfId="3189"/>
    <cellStyle name="Input [yellow] 2 13 3 6 2" xfId="14386"/>
    <cellStyle name="Input [yellow] 2 13 3 6 3" xfId="25554"/>
    <cellStyle name="Input [yellow] 2 13 3 6 4" xfId="36719"/>
    <cellStyle name="Input [yellow] 2 13 3 6 5" xfId="47912"/>
    <cellStyle name="Input [yellow] 2 13 3 7" xfId="3823"/>
    <cellStyle name="Input [yellow] 2 13 3 7 2" xfId="15020"/>
    <cellStyle name="Input [yellow] 2 13 3 7 3" xfId="26188"/>
    <cellStyle name="Input [yellow] 2 13 3 7 4" xfId="37353"/>
    <cellStyle name="Input [yellow] 2 13 3 7 5" xfId="48546"/>
    <cellStyle name="Input [yellow] 2 13 3 8" xfId="4456"/>
    <cellStyle name="Input [yellow] 2 13 3 8 2" xfId="15653"/>
    <cellStyle name="Input [yellow] 2 13 3 8 3" xfId="26821"/>
    <cellStyle name="Input [yellow] 2 13 3 8 4" xfId="37986"/>
    <cellStyle name="Input [yellow] 2 13 3 8 5" xfId="49179"/>
    <cellStyle name="Input [yellow] 2 13 3 9" xfId="5087"/>
    <cellStyle name="Input [yellow] 2 13 3 9 2" xfId="16284"/>
    <cellStyle name="Input [yellow] 2 13 3 9 3" xfId="27452"/>
    <cellStyle name="Input [yellow] 2 13 3 9 4" xfId="38617"/>
    <cellStyle name="Input [yellow] 2 13 3 9 5" xfId="49810"/>
    <cellStyle name="Input [yellow] 2 13 30" xfId="11286"/>
    <cellStyle name="Input [yellow] 2 13 31" xfId="22456"/>
    <cellStyle name="Input [yellow] 2 13 32" xfId="33623"/>
    <cellStyle name="Input [yellow] 2 13 33" xfId="44808"/>
    <cellStyle name="Input [yellow] 2 13 4" xfId="263"/>
    <cellStyle name="Input [yellow] 2 13 4 10" xfId="5905"/>
    <cellStyle name="Input [yellow] 2 13 4 10 2" xfId="17102"/>
    <cellStyle name="Input [yellow] 2 13 4 10 3" xfId="28270"/>
    <cellStyle name="Input [yellow] 2 13 4 10 4" xfId="39435"/>
    <cellStyle name="Input [yellow] 2 13 4 10 5" xfId="50628"/>
    <cellStyle name="Input [yellow] 2 13 4 11" xfId="6199"/>
    <cellStyle name="Input [yellow] 2 13 4 11 2" xfId="17396"/>
    <cellStyle name="Input [yellow] 2 13 4 11 3" xfId="28564"/>
    <cellStyle name="Input [yellow] 2 13 4 11 4" xfId="39729"/>
    <cellStyle name="Input [yellow] 2 13 4 11 5" xfId="50922"/>
    <cellStyle name="Input [yellow] 2 13 4 12" xfId="6832"/>
    <cellStyle name="Input [yellow] 2 13 4 12 2" xfId="18029"/>
    <cellStyle name="Input [yellow] 2 13 4 12 3" xfId="29197"/>
    <cellStyle name="Input [yellow] 2 13 4 12 4" xfId="40362"/>
    <cellStyle name="Input [yellow] 2 13 4 12 5" xfId="51555"/>
    <cellStyle name="Input [yellow] 2 13 4 13" xfId="7466"/>
    <cellStyle name="Input [yellow] 2 13 4 13 2" xfId="18663"/>
    <cellStyle name="Input [yellow] 2 13 4 13 3" xfId="29831"/>
    <cellStyle name="Input [yellow] 2 13 4 13 4" xfId="40996"/>
    <cellStyle name="Input [yellow] 2 13 4 13 5" xfId="52189"/>
    <cellStyle name="Input [yellow] 2 13 4 14" xfId="8100"/>
    <cellStyle name="Input [yellow] 2 13 4 14 2" xfId="19297"/>
    <cellStyle name="Input [yellow] 2 13 4 14 3" xfId="30465"/>
    <cellStyle name="Input [yellow] 2 13 4 14 4" xfId="41630"/>
    <cellStyle name="Input [yellow] 2 13 4 14 5" xfId="52823"/>
    <cellStyle name="Input [yellow] 2 13 4 15" xfId="8729"/>
    <cellStyle name="Input [yellow] 2 13 4 15 2" xfId="19926"/>
    <cellStyle name="Input [yellow] 2 13 4 15 3" xfId="31094"/>
    <cellStyle name="Input [yellow] 2 13 4 15 4" xfId="42259"/>
    <cellStyle name="Input [yellow] 2 13 4 15 5" xfId="53452"/>
    <cellStyle name="Input [yellow] 2 13 4 16" xfId="9151"/>
    <cellStyle name="Input [yellow] 2 13 4 16 2" xfId="20348"/>
    <cellStyle name="Input [yellow] 2 13 4 16 3" xfId="31516"/>
    <cellStyle name="Input [yellow] 2 13 4 16 4" xfId="42681"/>
    <cellStyle name="Input [yellow] 2 13 4 16 5" xfId="53874"/>
    <cellStyle name="Input [yellow] 2 13 4 17" xfId="9778"/>
    <cellStyle name="Input [yellow] 2 13 4 17 2" xfId="20975"/>
    <cellStyle name="Input [yellow] 2 13 4 17 3" xfId="32143"/>
    <cellStyle name="Input [yellow] 2 13 4 17 4" xfId="43308"/>
    <cellStyle name="Input [yellow] 2 13 4 17 5" xfId="54501"/>
    <cellStyle name="Input [yellow] 2 13 4 18" xfId="10054"/>
    <cellStyle name="Input [yellow] 2 13 4 18 2" xfId="21251"/>
    <cellStyle name="Input [yellow] 2 13 4 18 3" xfId="32419"/>
    <cellStyle name="Input [yellow] 2 13 4 18 4" xfId="43584"/>
    <cellStyle name="Input [yellow] 2 13 4 18 5" xfId="54777"/>
    <cellStyle name="Input [yellow] 2 13 4 19" xfId="10816"/>
    <cellStyle name="Input [yellow] 2 13 4 19 2" xfId="22013"/>
    <cellStyle name="Input [yellow] 2 13 4 19 3" xfId="33181"/>
    <cellStyle name="Input [yellow] 2 13 4 19 4" xfId="44346"/>
    <cellStyle name="Input [yellow] 2 13 4 19 5" xfId="55539"/>
    <cellStyle name="Input [yellow] 2 13 4 2" xfId="912"/>
    <cellStyle name="Input [yellow] 2 13 4 2 2" xfId="12109"/>
    <cellStyle name="Input [yellow] 2 13 4 2 3" xfId="23277"/>
    <cellStyle name="Input [yellow] 2 13 4 2 4" xfId="34442"/>
    <cellStyle name="Input [yellow] 2 13 4 2 5" xfId="45635"/>
    <cellStyle name="Input [yellow] 2 13 4 20" xfId="11463"/>
    <cellStyle name="Input [yellow] 2 13 4 21" xfId="22633"/>
    <cellStyle name="Input [yellow] 2 13 4 22" xfId="33800"/>
    <cellStyle name="Input [yellow] 2 13 4 23" xfId="44986"/>
    <cellStyle name="Input [yellow] 2 13 4 3" xfId="1815"/>
    <cellStyle name="Input [yellow] 2 13 4 3 2" xfId="13012"/>
    <cellStyle name="Input [yellow] 2 13 4 3 3" xfId="24180"/>
    <cellStyle name="Input [yellow] 2 13 4 3 4" xfId="35345"/>
    <cellStyle name="Input [yellow] 2 13 4 3 5" xfId="46538"/>
    <cellStyle name="Input [yellow] 2 13 4 4" xfId="2189"/>
    <cellStyle name="Input [yellow] 2 13 4 4 2" xfId="13386"/>
    <cellStyle name="Input [yellow] 2 13 4 4 3" xfId="24554"/>
    <cellStyle name="Input [yellow] 2 13 4 4 4" xfId="35719"/>
    <cellStyle name="Input [yellow] 2 13 4 4 5" xfId="46912"/>
    <cellStyle name="Input [yellow] 2 13 4 5" xfId="2613"/>
    <cellStyle name="Input [yellow] 2 13 4 5 2" xfId="13810"/>
    <cellStyle name="Input [yellow] 2 13 4 5 3" xfId="24978"/>
    <cellStyle name="Input [yellow] 2 13 4 5 4" xfId="36143"/>
    <cellStyle name="Input [yellow] 2 13 4 5 5" xfId="47336"/>
    <cellStyle name="Input [yellow] 2 13 4 6" xfId="3247"/>
    <cellStyle name="Input [yellow] 2 13 4 6 2" xfId="14444"/>
    <cellStyle name="Input [yellow] 2 13 4 6 3" xfId="25612"/>
    <cellStyle name="Input [yellow] 2 13 4 6 4" xfId="36777"/>
    <cellStyle name="Input [yellow] 2 13 4 6 5" xfId="47970"/>
    <cellStyle name="Input [yellow] 2 13 4 7" xfId="3881"/>
    <cellStyle name="Input [yellow] 2 13 4 7 2" xfId="15078"/>
    <cellStyle name="Input [yellow] 2 13 4 7 3" xfId="26246"/>
    <cellStyle name="Input [yellow] 2 13 4 7 4" xfId="37411"/>
    <cellStyle name="Input [yellow] 2 13 4 7 5" xfId="48604"/>
    <cellStyle name="Input [yellow] 2 13 4 8" xfId="4514"/>
    <cellStyle name="Input [yellow] 2 13 4 8 2" xfId="15711"/>
    <cellStyle name="Input [yellow] 2 13 4 8 3" xfId="26879"/>
    <cellStyle name="Input [yellow] 2 13 4 8 4" xfId="38044"/>
    <cellStyle name="Input [yellow] 2 13 4 8 5" xfId="49237"/>
    <cellStyle name="Input [yellow] 2 13 4 9" xfId="5145"/>
    <cellStyle name="Input [yellow] 2 13 4 9 2" xfId="16342"/>
    <cellStyle name="Input [yellow] 2 13 4 9 3" xfId="27510"/>
    <cellStyle name="Input [yellow] 2 13 4 9 4" xfId="38675"/>
    <cellStyle name="Input [yellow] 2 13 4 9 5" xfId="49868"/>
    <cellStyle name="Input [yellow] 2 13 5" xfId="334"/>
    <cellStyle name="Input [yellow] 2 13 5 10" xfId="5925"/>
    <cellStyle name="Input [yellow] 2 13 5 10 2" xfId="17122"/>
    <cellStyle name="Input [yellow] 2 13 5 10 3" xfId="28290"/>
    <cellStyle name="Input [yellow] 2 13 5 10 4" xfId="39455"/>
    <cellStyle name="Input [yellow] 2 13 5 10 5" xfId="50648"/>
    <cellStyle name="Input [yellow] 2 13 5 11" xfId="6270"/>
    <cellStyle name="Input [yellow] 2 13 5 11 2" xfId="17467"/>
    <cellStyle name="Input [yellow] 2 13 5 11 3" xfId="28635"/>
    <cellStyle name="Input [yellow] 2 13 5 11 4" xfId="39800"/>
    <cellStyle name="Input [yellow] 2 13 5 11 5" xfId="50993"/>
    <cellStyle name="Input [yellow] 2 13 5 12" xfId="6903"/>
    <cellStyle name="Input [yellow] 2 13 5 12 2" xfId="18100"/>
    <cellStyle name="Input [yellow] 2 13 5 12 3" xfId="29268"/>
    <cellStyle name="Input [yellow] 2 13 5 12 4" xfId="40433"/>
    <cellStyle name="Input [yellow] 2 13 5 12 5" xfId="51626"/>
    <cellStyle name="Input [yellow] 2 13 5 13" xfId="7537"/>
    <cellStyle name="Input [yellow] 2 13 5 13 2" xfId="18734"/>
    <cellStyle name="Input [yellow] 2 13 5 13 3" xfId="29902"/>
    <cellStyle name="Input [yellow] 2 13 5 13 4" xfId="41067"/>
    <cellStyle name="Input [yellow] 2 13 5 13 5" xfId="52260"/>
    <cellStyle name="Input [yellow] 2 13 5 14" xfId="8171"/>
    <cellStyle name="Input [yellow] 2 13 5 14 2" xfId="19368"/>
    <cellStyle name="Input [yellow] 2 13 5 14 3" xfId="30536"/>
    <cellStyle name="Input [yellow] 2 13 5 14 4" xfId="41701"/>
    <cellStyle name="Input [yellow] 2 13 5 14 5" xfId="52894"/>
    <cellStyle name="Input [yellow] 2 13 5 15" xfId="8800"/>
    <cellStyle name="Input [yellow] 2 13 5 15 2" xfId="19997"/>
    <cellStyle name="Input [yellow] 2 13 5 15 3" xfId="31165"/>
    <cellStyle name="Input [yellow] 2 13 5 15 4" xfId="42330"/>
    <cellStyle name="Input [yellow] 2 13 5 15 5" xfId="53523"/>
    <cellStyle name="Input [yellow] 2 13 5 16" xfId="9222"/>
    <cellStyle name="Input [yellow] 2 13 5 16 2" xfId="20419"/>
    <cellStyle name="Input [yellow] 2 13 5 16 3" xfId="31587"/>
    <cellStyle name="Input [yellow] 2 13 5 16 4" xfId="42752"/>
    <cellStyle name="Input [yellow] 2 13 5 16 5" xfId="53945"/>
    <cellStyle name="Input [yellow] 2 13 5 17" xfId="9849"/>
    <cellStyle name="Input [yellow] 2 13 5 17 2" xfId="21046"/>
    <cellStyle name="Input [yellow] 2 13 5 17 3" xfId="32214"/>
    <cellStyle name="Input [yellow] 2 13 5 17 4" xfId="43379"/>
    <cellStyle name="Input [yellow] 2 13 5 17 5" xfId="54572"/>
    <cellStyle name="Input [yellow] 2 13 5 18" xfId="10227"/>
    <cellStyle name="Input [yellow] 2 13 5 18 2" xfId="21424"/>
    <cellStyle name="Input [yellow] 2 13 5 18 3" xfId="32592"/>
    <cellStyle name="Input [yellow] 2 13 5 18 4" xfId="43757"/>
    <cellStyle name="Input [yellow] 2 13 5 18 5" xfId="54950"/>
    <cellStyle name="Input [yellow] 2 13 5 19" xfId="10887"/>
    <cellStyle name="Input [yellow] 2 13 5 19 2" xfId="22084"/>
    <cellStyle name="Input [yellow] 2 13 5 19 3" xfId="33252"/>
    <cellStyle name="Input [yellow] 2 13 5 19 4" xfId="44417"/>
    <cellStyle name="Input [yellow] 2 13 5 19 5" xfId="55610"/>
    <cellStyle name="Input [yellow] 2 13 5 2" xfId="983"/>
    <cellStyle name="Input [yellow] 2 13 5 2 2" xfId="12180"/>
    <cellStyle name="Input [yellow] 2 13 5 2 3" xfId="23348"/>
    <cellStyle name="Input [yellow] 2 13 5 2 4" xfId="34513"/>
    <cellStyle name="Input [yellow] 2 13 5 2 5" xfId="45706"/>
    <cellStyle name="Input [yellow] 2 13 5 20" xfId="11534"/>
    <cellStyle name="Input [yellow] 2 13 5 21" xfId="22704"/>
    <cellStyle name="Input [yellow] 2 13 5 22" xfId="33871"/>
    <cellStyle name="Input [yellow] 2 13 5 23" xfId="45057"/>
    <cellStyle name="Input [yellow] 2 13 5 3" xfId="1611"/>
    <cellStyle name="Input [yellow] 2 13 5 3 2" xfId="12808"/>
    <cellStyle name="Input [yellow] 2 13 5 3 3" xfId="23976"/>
    <cellStyle name="Input [yellow] 2 13 5 3 4" xfId="35141"/>
    <cellStyle name="Input [yellow] 2 13 5 3 5" xfId="46334"/>
    <cellStyle name="Input [yellow] 2 13 5 4" xfId="2259"/>
    <cellStyle name="Input [yellow] 2 13 5 4 2" xfId="13456"/>
    <cellStyle name="Input [yellow] 2 13 5 4 3" xfId="24624"/>
    <cellStyle name="Input [yellow] 2 13 5 4 4" xfId="35789"/>
    <cellStyle name="Input [yellow] 2 13 5 4 5" xfId="46982"/>
    <cellStyle name="Input [yellow] 2 13 5 5" xfId="2684"/>
    <cellStyle name="Input [yellow] 2 13 5 5 2" xfId="13881"/>
    <cellStyle name="Input [yellow] 2 13 5 5 3" xfId="25049"/>
    <cellStyle name="Input [yellow] 2 13 5 5 4" xfId="36214"/>
    <cellStyle name="Input [yellow] 2 13 5 5 5" xfId="47407"/>
    <cellStyle name="Input [yellow] 2 13 5 6" xfId="3318"/>
    <cellStyle name="Input [yellow] 2 13 5 6 2" xfId="14515"/>
    <cellStyle name="Input [yellow] 2 13 5 6 3" xfId="25683"/>
    <cellStyle name="Input [yellow] 2 13 5 6 4" xfId="36848"/>
    <cellStyle name="Input [yellow] 2 13 5 6 5" xfId="48041"/>
    <cellStyle name="Input [yellow] 2 13 5 7" xfId="3952"/>
    <cellStyle name="Input [yellow] 2 13 5 7 2" xfId="15149"/>
    <cellStyle name="Input [yellow] 2 13 5 7 3" xfId="26317"/>
    <cellStyle name="Input [yellow] 2 13 5 7 4" xfId="37482"/>
    <cellStyle name="Input [yellow] 2 13 5 7 5" xfId="48675"/>
    <cellStyle name="Input [yellow] 2 13 5 8" xfId="4585"/>
    <cellStyle name="Input [yellow] 2 13 5 8 2" xfId="15782"/>
    <cellStyle name="Input [yellow] 2 13 5 8 3" xfId="26950"/>
    <cellStyle name="Input [yellow] 2 13 5 8 4" xfId="38115"/>
    <cellStyle name="Input [yellow] 2 13 5 8 5" xfId="49308"/>
    <cellStyle name="Input [yellow] 2 13 5 9" xfId="5216"/>
    <cellStyle name="Input [yellow] 2 13 5 9 2" xfId="16413"/>
    <cellStyle name="Input [yellow] 2 13 5 9 3" xfId="27581"/>
    <cellStyle name="Input [yellow] 2 13 5 9 4" xfId="38746"/>
    <cellStyle name="Input [yellow] 2 13 5 9 5" xfId="49939"/>
    <cellStyle name="Input [yellow] 2 13 6" xfId="360"/>
    <cellStyle name="Input [yellow] 2 13 6 10" xfId="5794"/>
    <cellStyle name="Input [yellow] 2 13 6 10 2" xfId="16991"/>
    <cellStyle name="Input [yellow] 2 13 6 10 3" xfId="28159"/>
    <cellStyle name="Input [yellow] 2 13 6 10 4" xfId="39324"/>
    <cellStyle name="Input [yellow] 2 13 6 10 5" xfId="50517"/>
    <cellStyle name="Input [yellow] 2 13 6 11" xfId="6296"/>
    <cellStyle name="Input [yellow] 2 13 6 11 2" xfId="17493"/>
    <cellStyle name="Input [yellow] 2 13 6 11 3" xfId="28661"/>
    <cellStyle name="Input [yellow] 2 13 6 11 4" xfId="39826"/>
    <cellStyle name="Input [yellow] 2 13 6 11 5" xfId="51019"/>
    <cellStyle name="Input [yellow] 2 13 6 12" xfId="6929"/>
    <cellStyle name="Input [yellow] 2 13 6 12 2" xfId="18126"/>
    <cellStyle name="Input [yellow] 2 13 6 12 3" xfId="29294"/>
    <cellStyle name="Input [yellow] 2 13 6 12 4" xfId="40459"/>
    <cellStyle name="Input [yellow] 2 13 6 12 5" xfId="51652"/>
    <cellStyle name="Input [yellow] 2 13 6 13" xfId="7563"/>
    <cellStyle name="Input [yellow] 2 13 6 13 2" xfId="18760"/>
    <cellStyle name="Input [yellow] 2 13 6 13 3" xfId="29928"/>
    <cellStyle name="Input [yellow] 2 13 6 13 4" xfId="41093"/>
    <cellStyle name="Input [yellow] 2 13 6 13 5" xfId="52286"/>
    <cellStyle name="Input [yellow] 2 13 6 14" xfId="8197"/>
    <cellStyle name="Input [yellow] 2 13 6 14 2" xfId="19394"/>
    <cellStyle name="Input [yellow] 2 13 6 14 3" xfId="30562"/>
    <cellStyle name="Input [yellow] 2 13 6 14 4" xfId="41727"/>
    <cellStyle name="Input [yellow] 2 13 6 14 5" xfId="52920"/>
    <cellStyle name="Input [yellow] 2 13 6 15" xfId="8826"/>
    <cellStyle name="Input [yellow] 2 13 6 15 2" xfId="20023"/>
    <cellStyle name="Input [yellow] 2 13 6 15 3" xfId="31191"/>
    <cellStyle name="Input [yellow] 2 13 6 15 4" xfId="42356"/>
    <cellStyle name="Input [yellow] 2 13 6 15 5" xfId="53549"/>
    <cellStyle name="Input [yellow] 2 13 6 16" xfId="9248"/>
    <cellStyle name="Input [yellow] 2 13 6 16 2" xfId="20445"/>
    <cellStyle name="Input [yellow] 2 13 6 16 3" xfId="31613"/>
    <cellStyle name="Input [yellow] 2 13 6 16 4" xfId="42778"/>
    <cellStyle name="Input [yellow] 2 13 6 16 5" xfId="53971"/>
    <cellStyle name="Input [yellow] 2 13 6 17" xfId="9875"/>
    <cellStyle name="Input [yellow] 2 13 6 17 2" xfId="21072"/>
    <cellStyle name="Input [yellow] 2 13 6 17 3" xfId="32240"/>
    <cellStyle name="Input [yellow] 2 13 6 17 4" xfId="43405"/>
    <cellStyle name="Input [yellow] 2 13 6 17 5" xfId="54598"/>
    <cellStyle name="Input [yellow] 2 13 6 18" xfId="9627"/>
    <cellStyle name="Input [yellow] 2 13 6 18 2" xfId="20824"/>
    <cellStyle name="Input [yellow] 2 13 6 18 3" xfId="31992"/>
    <cellStyle name="Input [yellow] 2 13 6 18 4" xfId="43157"/>
    <cellStyle name="Input [yellow] 2 13 6 18 5" xfId="54350"/>
    <cellStyle name="Input [yellow] 2 13 6 19" xfId="10913"/>
    <cellStyle name="Input [yellow] 2 13 6 19 2" xfId="22110"/>
    <cellStyle name="Input [yellow] 2 13 6 19 3" xfId="33278"/>
    <cellStyle name="Input [yellow] 2 13 6 19 4" xfId="44443"/>
    <cellStyle name="Input [yellow] 2 13 6 19 5" xfId="55636"/>
    <cellStyle name="Input [yellow] 2 13 6 2" xfId="1009"/>
    <cellStyle name="Input [yellow] 2 13 6 2 2" xfId="12206"/>
    <cellStyle name="Input [yellow] 2 13 6 2 3" xfId="23374"/>
    <cellStyle name="Input [yellow] 2 13 6 2 4" xfId="34539"/>
    <cellStyle name="Input [yellow] 2 13 6 2 5" xfId="45732"/>
    <cellStyle name="Input [yellow] 2 13 6 20" xfId="11560"/>
    <cellStyle name="Input [yellow] 2 13 6 21" xfId="22730"/>
    <cellStyle name="Input [yellow] 2 13 6 22" xfId="33897"/>
    <cellStyle name="Input [yellow] 2 13 6 23" xfId="45083"/>
    <cellStyle name="Input [yellow] 2 13 6 3" xfId="1858"/>
    <cellStyle name="Input [yellow] 2 13 6 3 2" xfId="13055"/>
    <cellStyle name="Input [yellow] 2 13 6 3 3" xfId="24223"/>
    <cellStyle name="Input [yellow] 2 13 6 3 4" xfId="35388"/>
    <cellStyle name="Input [yellow] 2 13 6 3 5" xfId="46581"/>
    <cellStyle name="Input [yellow] 2 13 6 4" xfId="2285"/>
    <cellStyle name="Input [yellow] 2 13 6 4 2" xfId="13482"/>
    <cellStyle name="Input [yellow] 2 13 6 4 3" xfId="24650"/>
    <cellStyle name="Input [yellow] 2 13 6 4 4" xfId="35815"/>
    <cellStyle name="Input [yellow] 2 13 6 4 5" xfId="47008"/>
    <cellStyle name="Input [yellow] 2 13 6 5" xfId="2710"/>
    <cellStyle name="Input [yellow] 2 13 6 5 2" xfId="13907"/>
    <cellStyle name="Input [yellow] 2 13 6 5 3" xfId="25075"/>
    <cellStyle name="Input [yellow] 2 13 6 5 4" xfId="36240"/>
    <cellStyle name="Input [yellow] 2 13 6 5 5" xfId="47433"/>
    <cellStyle name="Input [yellow] 2 13 6 6" xfId="3344"/>
    <cellStyle name="Input [yellow] 2 13 6 6 2" xfId="14541"/>
    <cellStyle name="Input [yellow] 2 13 6 6 3" xfId="25709"/>
    <cellStyle name="Input [yellow] 2 13 6 6 4" xfId="36874"/>
    <cellStyle name="Input [yellow] 2 13 6 6 5" xfId="48067"/>
    <cellStyle name="Input [yellow] 2 13 6 7" xfId="3978"/>
    <cellStyle name="Input [yellow] 2 13 6 7 2" xfId="15175"/>
    <cellStyle name="Input [yellow] 2 13 6 7 3" xfId="26343"/>
    <cellStyle name="Input [yellow] 2 13 6 7 4" xfId="37508"/>
    <cellStyle name="Input [yellow] 2 13 6 7 5" xfId="48701"/>
    <cellStyle name="Input [yellow] 2 13 6 8" xfId="4611"/>
    <cellStyle name="Input [yellow] 2 13 6 8 2" xfId="15808"/>
    <cellStyle name="Input [yellow] 2 13 6 8 3" xfId="26976"/>
    <cellStyle name="Input [yellow] 2 13 6 8 4" xfId="38141"/>
    <cellStyle name="Input [yellow] 2 13 6 8 5" xfId="49334"/>
    <cellStyle name="Input [yellow] 2 13 6 9" xfId="5242"/>
    <cellStyle name="Input [yellow] 2 13 6 9 2" xfId="16439"/>
    <cellStyle name="Input [yellow] 2 13 6 9 3" xfId="27607"/>
    <cellStyle name="Input [yellow] 2 13 6 9 4" xfId="38772"/>
    <cellStyle name="Input [yellow] 2 13 6 9 5" xfId="49965"/>
    <cellStyle name="Input [yellow] 2 13 7" xfId="455"/>
    <cellStyle name="Input [yellow] 2 13 7 10" xfId="5563"/>
    <cellStyle name="Input [yellow] 2 13 7 10 2" xfId="16760"/>
    <cellStyle name="Input [yellow] 2 13 7 10 3" xfId="27928"/>
    <cellStyle name="Input [yellow] 2 13 7 10 4" xfId="39093"/>
    <cellStyle name="Input [yellow] 2 13 7 10 5" xfId="50286"/>
    <cellStyle name="Input [yellow] 2 13 7 11" xfId="6391"/>
    <cellStyle name="Input [yellow] 2 13 7 11 2" xfId="17588"/>
    <cellStyle name="Input [yellow] 2 13 7 11 3" xfId="28756"/>
    <cellStyle name="Input [yellow] 2 13 7 11 4" xfId="39921"/>
    <cellStyle name="Input [yellow] 2 13 7 11 5" xfId="51114"/>
    <cellStyle name="Input [yellow] 2 13 7 12" xfId="7024"/>
    <cellStyle name="Input [yellow] 2 13 7 12 2" xfId="18221"/>
    <cellStyle name="Input [yellow] 2 13 7 12 3" xfId="29389"/>
    <cellStyle name="Input [yellow] 2 13 7 12 4" xfId="40554"/>
    <cellStyle name="Input [yellow] 2 13 7 12 5" xfId="51747"/>
    <cellStyle name="Input [yellow] 2 13 7 13" xfId="7658"/>
    <cellStyle name="Input [yellow] 2 13 7 13 2" xfId="18855"/>
    <cellStyle name="Input [yellow] 2 13 7 13 3" xfId="30023"/>
    <cellStyle name="Input [yellow] 2 13 7 13 4" xfId="41188"/>
    <cellStyle name="Input [yellow] 2 13 7 13 5" xfId="52381"/>
    <cellStyle name="Input [yellow] 2 13 7 14" xfId="8292"/>
    <cellStyle name="Input [yellow] 2 13 7 14 2" xfId="19489"/>
    <cellStyle name="Input [yellow] 2 13 7 14 3" xfId="30657"/>
    <cellStyle name="Input [yellow] 2 13 7 14 4" xfId="41822"/>
    <cellStyle name="Input [yellow] 2 13 7 14 5" xfId="53015"/>
    <cellStyle name="Input [yellow] 2 13 7 15" xfId="8920"/>
    <cellStyle name="Input [yellow] 2 13 7 15 2" xfId="20117"/>
    <cellStyle name="Input [yellow] 2 13 7 15 3" xfId="31285"/>
    <cellStyle name="Input [yellow] 2 13 7 15 4" xfId="42450"/>
    <cellStyle name="Input [yellow] 2 13 7 15 5" xfId="53643"/>
    <cellStyle name="Input [yellow] 2 13 7 16" xfId="9343"/>
    <cellStyle name="Input [yellow] 2 13 7 16 2" xfId="20540"/>
    <cellStyle name="Input [yellow] 2 13 7 16 3" xfId="31708"/>
    <cellStyle name="Input [yellow] 2 13 7 16 4" xfId="42873"/>
    <cellStyle name="Input [yellow] 2 13 7 16 5" xfId="54066"/>
    <cellStyle name="Input [yellow] 2 13 7 17" xfId="9969"/>
    <cellStyle name="Input [yellow] 2 13 7 17 2" xfId="21166"/>
    <cellStyle name="Input [yellow] 2 13 7 17 3" xfId="32334"/>
    <cellStyle name="Input [yellow] 2 13 7 17 4" xfId="43499"/>
    <cellStyle name="Input [yellow] 2 13 7 17 5" xfId="54692"/>
    <cellStyle name="Input [yellow] 2 13 7 18" xfId="9568"/>
    <cellStyle name="Input [yellow] 2 13 7 18 2" xfId="20765"/>
    <cellStyle name="Input [yellow] 2 13 7 18 3" xfId="31933"/>
    <cellStyle name="Input [yellow] 2 13 7 18 4" xfId="43098"/>
    <cellStyle name="Input [yellow] 2 13 7 18 5" xfId="54291"/>
    <cellStyle name="Input [yellow] 2 13 7 19" xfId="11008"/>
    <cellStyle name="Input [yellow] 2 13 7 19 2" xfId="22205"/>
    <cellStyle name="Input [yellow] 2 13 7 19 3" xfId="33373"/>
    <cellStyle name="Input [yellow] 2 13 7 19 4" xfId="44538"/>
    <cellStyle name="Input [yellow] 2 13 7 19 5" xfId="55731"/>
    <cellStyle name="Input [yellow] 2 13 7 2" xfId="1104"/>
    <cellStyle name="Input [yellow] 2 13 7 2 2" xfId="12301"/>
    <cellStyle name="Input [yellow] 2 13 7 2 3" xfId="23469"/>
    <cellStyle name="Input [yellow] 2 13 7 2 4" xfId="34634"/>
    <cellStyle name="Input [yellow] 2 13 7 2 5" xfId="45827"/>
    <cellStyle name="Input [yellow] 2 13 7 20" xfId="11655"/>
    <cellStyle name="Input [yellow] 2 13 7 21" xfId="22825"/>
    <cellStyle name="Input [yellow] 2 13 7 22" xfId="33992"/>
    <cellStyle name="Input [yellow] 2 13 7 23" xfId="45178"/>
    <cellStyle name="Input [yellow] 2 13 7 3" xfId="1330"/>
    <cellStyle name="Input [yellow] 2 13 7 3 2" xfId="12527"/>
    <cellStyle name="Input [yellow] 2 13 7 3 3" xfId="23695"/>
    <cellStyle name="Input [yellow] 2 13 7 3 4" xfId="34860"/>
    <cellStyle name="Input [yellow] 2 13 7 3 5" xfId="46053"/>
    <cellStyle name="Input [yellow] 2 13 7 4" xfId="2380"/>
    <cellStyle name="Input [yellow] 2 13 7 4 2" xfId="13577"/>
    <cellStyle name="Input [yellow] 2 13 7 4 3" xfId="24745"/>
    <cellStyle name="Input [yellow] 2 13 7 4 4" xfId="35910"/>
    <cellStyle name="Input [yellow] 2 13 7 4 5" xfId="47103"/>
    <cellStyle name="Input [yellow] 2 13 7 5" xfId="2805"/>
    <cellStyle name="Input [yellow] 2 13 7 5 2" xfId="14002"/>
    <cellStyle name="Input [yellow] 2 13 7 5 3" xfId="25170"/>
    <cellStyle name="Input [yellow] 2 13 7 5 4" xfId="36335"/>
    <cellStyle name="Input [yellow] 2 13 7 5 5" xfId="47528"/>
    <cellStyle name="Input [yellow] 2 13 7 6" xfId="3439"/>
    <cellStyle name="Input [yellow] 2 13 7 6 2" xfId="14636"/>
    <cellStyle name="Input [yellow] 2 13 7 6 3" xfId="25804"/>
    <cellStyle name="Input [yellow] 2 13 7 6 4" xfId="36969"/>
    <cellStyle name="Input [yellow] 2 13 7 6 5" xfId="48162"/>
    <cellStyle name="Input [yellow] 2 13 7 7" xfId="4073"/>
    <cellStyle name="Input [yellow] 2 13 7 7 2" xfId="15270"/>
    <cellStyle name="Input [yellow] 2 13 7 7 3" xfId="26438"/>
    <cellStyle name="Input [yellow] 2 13 7 7 4" xfId="37603"/>
    <cellStyle name="Input [yellow] 2 13 7 7 5" xfId="48796"/>
    <cellStyle name="Input [yellow] 2 13 7 8" xfId="4706"/>
    <cellStyle name="Input [yellow] 2 13 7 8 2" xfId="15903"/>
    <cellStyle name="Input [yellow] 2 13 7 8 3" xfId="27071"/>
    <cellStyle name="Input [yellow] 2 13 7 8 4" xfId="38236"/>
    <cellStyle name="Input [yellow] 2 13 7 8 5" xfId="49429"/>
    <cellStyle name="Input [yellow] 2 13 7 9" xfId="5337"/>
    <cellStyle name="Input [yellow] 2 13 7 9 2" xfId="16534"/>
    <cellStyle name="Input [yellow] 2 13 7 9 3" xfId="27702"/>
    <cellStyle name="Input [yellow] 2 13 7 9 4" xfId="38867"/>
    <cellStyle name="Input [yellow] 2 13 7 9 5" xfId="50060"/>
    <cellStyle name="Input [yellow] 2 13 8" xfId="494"/>
    <cellStyle name="Input [yellow] 2 13 8 10" xfId="5895"/>
    <cellStyle name="Input [yellow] 2 13 8 10 2" xfId="17092"/>
    <cellStyle name="Input [yellow] 2 13 8 10 3" xfId="28260"/>
    <cellStyle name="Input [yellow] 2 13 8 10 4" xfId="39425"/>
    <cellStyle name="Input [yellow] 2 13 8 10 5" xfId="50618"/>
    <cellStyle name="Input [yellow] 2 13 8 11" xfId="6430"/>
    <cellStyle name="Input [yellow] 2 13 8 11 2" xfId="17627"/>
    <cellStyle name="Input [yellow] 2 13 8 11 3" xfId="28795"/>
    <cellStyle name="Input [yellow] 2 13 8 11 4" xfId="39960"/>
    <cellStyle name="Input [yellow] 2 13 8 11 5" xfId="51153"/>
    <cellStyle name="Input [yellow] 2 13 8 12" xfId="7063"/>
    <cellStyle name="Input [yellow] 2 13 8 12 2" xfId="18260"/>
    <cellStyle name="Input [yellow] 2 13 8 12 3" xfId="29428"/>
    <cellStyle name="Input [yellow] 2 13 8 12 4" xfId="40593"/>
    <cellStyle name="Input [yellow] 2 13 8 12 5" xfId="51786"/>
    <cellStyle name="Input [yellow] 2 13 8 13" xfId="7697"/>
    <cellStyle name="Input [yellow] 2 13 8 13 2" xfId="18894"/>
    <cellStyle name="Input [yellow] 2 13 8 13 3" xfId="30062"/>
    <cellStyle name="Input [yellow] 2 13 8 13 4" xfId="41227"/>
    <cellStyle name="Input [yellow] 2 13 8 13 5" xfId="52420"/>
    <cellStyle name="Input [yellow] 2 13 8 14" xfId="8331"/>
    <cellStyle name="Input [yellow] 2 13 8 14 2" xfId="19528"/>
    <cellStyle name="Input [yellow] 2 13 8 14 3" xfId="30696"/>
    <cellStyle name="Input [yellow] 2 13 8 14 4" xfId="41861"/>
    <cellStyle name="Input [yellow] 2 13 8 14 5" xfId="53054"/>
    <cellStyle name="Input [yellow] 2 13 8 15" xfId="8959"/>
    <cellStyle name="Input [yellow] 2 13 8 15 2" xfId="20156"/>
    <cellStyle name="Input [yellow] 2 13 8 15 3" xfId="31324"/>
    <cellStyle name="Input [yellow] 2 13 8 15 4" xfId="42489"/>
    <cellStyle name="Input [yellow] 2 13 8 15 5" xfId="53682"/>
    <cellStyle name="Input [yellow] 2 13 8 16" xfId="9382"/>
    <cellStyle name="Input [yellow] 2 13 8 16 2" xfId="20579"/>
    <cellStyle name="Input [yellow] 2 13 8 16 3" xfId="31747"/>
    <cellStyle name="Input [yellow] 2 13 8 16 4" xfId="42912"/>
    <cellStyle name="Input [yellow] 2 13 8 16 5" xfId="54105"/>
    <cellStyle name="Input [yellow] 2 13 8 17" xfId="10007"/>
    <cellStyle name="Input [yellow] 2 13 8 17 2" xfId="21204"/>
    <cellStyle name="Input [yellow] 2 13 8 17 3" xfId="32372"/>
    <cellStyle name="Input [yellow] 2 13 8 17 4" xfId="43537"/>
    <cellStyle name="Input [yellow] 2 13 8 17 5" xfId="54730"/>
    <cellStyle name="Input [yellow] 2 13 8 18" xfId="10254"/>
    <cellStyle name="Input [yellow] 2 13 8 18 2" xfId="21451"/>
    <cellStyle name="Input [yellow] 2 13 8 18 3" xfId="32619"/>
    <cellStyle name="Input [yellow] 2 13 8 18 4" xfId="43784"/>
    <cellStyle name="Input [yellow] 2 13 8 18 5" xfId="54977"/>
    <cellStyle name="Input [yellow] 2 13 8 19" xfId="11047"/>
    <cellStyle name="Input [yellow] 2 13 8 19 2" xfId="22244"/>
    <cellStyle name="Input [yellow] 2 13 8 19 3" xfId="33412"/>
    <cellStyle name="Input [yellow] 2 13 8 19 4" xfId="44577"/>
    <cellStyle name="Input [yellow] 2 13 8 19 5" xfId="55770"/>
    <cellStyle name="Input [yellow] 2 13 8 2" xfId="1143"/>
    <cellStyle name="Input [yellow] 2 13 8 2 2" xfId="12340"/>
    <cellStyle name="Input [yellow] 2 13 8 2 3" xfId="23508"/>
    <cellStyle name="Input [yellow] 2 13 8 2 4" xfId="34673"/>
    <cellStyle name="Input [yellow] 2 13 8 2 5" xfId="45866"/>
    <cellStyle name="Input [yellow] 2 13 8 20" xfId="11694"/>
    <cellStyle name="Input [yellow] 2 13 8 21" xfId="22864"/>
    <cellStyle name="Input [yellow] 2 13 8 22" xfId="34031"/>
    <cellStyle name="Input [yellow] 2 13 8 23" xfId="45217"/>
    <cellStyle name="Input [yellow] 2 13 8 3" xfId="1527"/>
    <cellStyle name="Input [yellow] 2 13 8 3 2" xfId="12724"/>
    <cellStyle name="Input [yellow] 2 13 8 3 3" xfId="23892"/>
    <cellStyle name="Input [yellow] 2 13 8 3 4" xfId="35057"/>
    <cellStyle name="Input [yellow] 2 13 8 3 5" xfId="46250"/>
    <cellStyle name="Input [yellow] 2 13 8 4" xfId="2419"/>
    <cellStyle name="Input [yellow] 2 13 8 4 2" xfId="13616"/>
    <cellStyle name="Input [yellow] 2 13 8 4 3" xfId="24784"/>
    <cellStyle name="Input [yellow] 2 13 8 4 4" xfId="35949"/>
    <cellStyle name="Input [yellow] 2 13 8 4 5" xfId="47142"/>
    <cellStyle name="Input [yellow] 2 13 8 5" xfId="2844"/>
    <cellStyle name="Input [yellow] 2 13 8 5 2" xfId="14041"/>
    <cellStyle name="Input [yellow] 2 13 8 5 3" xfId="25209"/>
    <cellStyle name="Input [yellow] 2 13 8 5 4" xfId="36374"/>
    <cellStyle name="Input [yellow] 2 13 8 5 5" xfId="47567"/>
    <cellStyle name="Input [yellow] 2 13 8 6" xfId="3478"/>
    <cellStyle name="Input [yellow] 2 13 8 6 2" xfId="14675"/>
    <cellStyle name="Input [yellow] 2 13 8 6 3" xfId="25843"/>
    <cellStyle name="Input [yellow] 2 13 8 6 4" xfId="37008"/>
    <cellStyle name="Input [yellow] 2 13 8 6 5" xfId="48201"/>
    <cellStyle name="Input [yellow] 2 13 8 7" xfId="4112"/>
    <cellStyle name="Input [yellow] 2 13 8 7 2" xfId="15309"/>
    <cellStyle name="Input [yellow] 2 13 8 7 3" xfId="26477"/>
    <cellStyle name="Input [yellow] 2 13 8 7 4" xfId="37642"/>
    <cellStyle name="Input [yellow] 2 13 8 7 5" xfId="48835"/>
    <cellStyle name="Input [yellow] 2 13 8 8" xfId="4745"/>
    <cellStyle name="Input [yellow] 2 13 8 8 2" xfId="15942"/>
    <cellStyle name="Input [yellow] 2 13 8 8 3" xfId="27110"/>
    <cellStyle name="Input [yellow] 2 13 8 8 4" xfId="38275"/>
    <cellStyle name="Input [yellow] 2 13 8 8 5" xfId="49468"/>
    <cellStyle name="Input [yellow] 2 13 8 9" xfId="5376"/>
    <cellStyle name="Input [yellow] 2 13 8 9 2" xfId="16573"/>
    <cellStyle name="Input [yellow] 2 13 8 9 3" xfId="27741"/>
    <cellStyle name="Input [yellow] 2 13 8 9 4" xfId="38906"/>
    <cellStyle name="Input [yellow] 2 13 8 9 5" xfId="50099"/>
    <cellStyle name="Input [yellow] 2 13 9" xfId="552"/>
    <cellStyle name="Input [yellow] 2 13 9 10" xfId="5851"/>
    <cellStyle name="Input [yellow] 2 13 9 10 2" xfId="17048"/>
    <cellStyle name="Input [yellow] 2 13 9 10 3" xfId="28216"/>
    <cellStyle name="Input [yellow] 2 13 9 10 4" xfId="39381"/>
    <cellStyle name="Input [yellow] 2 13 9 10 5" xfId="50574"/>
    <cellStyle name="Input [yellow] 2 13 9 11" xfId="6488"/>
    <cellStyle name="Input [yellow] 2 13 9 11 2" xfId="17685"/>
    <cellStyle name="Input [yellow] 2 13 9 11 3" xfId="28853"/>
    <cellStyle name="Input [yellow] 2 13 9 11 4" xfId="40018"/>
    <cellStyle name="Input [yellow] 2 13 9 11 5" xfId="51211"/>
    <cellStyle name="Input [yellow] 2 13 9 12" xfId="7121"/>
    <cellStyle name="Input [yellow] 2 13 9 12 2" xfId="18318"/>
    <cellStyle name="Input [yellow] 2 13 9 12 3" xfId="29486"/>
    <cellStyle name="Input [yellow] 2 13 9 12 4" xfId="40651"/>
    <cellStyle name="Input [yellow] 2 13 9 12 5" xfId="51844"/>
    <cellStyle name="Input [yellow] 2 13 9 13" xfId="7755"/>
    <cellStyle name="Input [yellow] 2 13 9 13 2" xfId="18952"/>
    <cellStyle name="Input [yellow] 2 13 9 13 3" xfId="30120"/>
    <cellStyle name="Input [yellow] 2 13 9 13 4" xfId="41285"/>
    <cellStyle name="Input [yellow] 2 13 9 13 5" xfId="52478"/>
    <cellStyle name="Input [yellow] 2 13 9 14" xfId="8389"/>
    <cellStyle name="Input [yellow] 2 13 9 14 2" xfId="19586"/>
    <cellStyle name="Input [yellow] 2 13 9 14 3" xfId="30754"/>
    <cellStyle name="Input [yellow] 2 13 9 14 4" xfId="41919"/>
    <cellStyle name="Input [yellow] 2 13 9 14 5" xfId="53112"/>
    <cellStyle name="Input [yellow] 2 13 9 15" xfId="9017"/>
    <cellStyle name="Input [yellow] 2 13 9 15 2" xfId="20214"/>
    <cellStyle name="Input [yellow] 2 13 9 15 3" xfId="31382"/>
    <cellStyle name="Input [yellow] 2 13 9 15 4" xfId="42547"/>
    <cellStyle name="Input [yellow] 2 13 9 15 5" xfId="53740"/>
    <cellStyle name="Input [yellow] 2 13 9 16" xfId="9440"/>
    <cellStyle name="Input [yellow] 2 13 9 16 2" xfId="20637"/>
    <cellStyle name="Input [yellow] 2 13 9 16 3" xfId="31805"/>
    <cellStyle name="Input [yellow] 2 13 9 16 4" xfId="42970"/>
    <cellStyle name="Input [yellow] 2 13 9 16 5" xfId="54163"/>
    <cellStyle name="Input [yellow] 2 13 9 17" xfId="10065"/>
    <cellStyle name="Input [yellow] 2 13 9 17 2" xfId="21262"/>
    <cellStyle name="Input [yellow] 2 13 9 17 3" xfId="32430"/>
    <cellStyle name="Input [yellow] 2 13 9 17 4" xfId="43595"/>
    <cellStyle name="Input [yellow] 2 13 9 17 5" xfId="54788"/>
    <cellStyle name="Input [yellow] 2 13 9 18" xfId="9582"/>
    <cellStyle name="Input [yellow] 2 13 9 18 2" xfId="20779"/>
    <cellStyle name="Input [yellow] 2 13 9 18 3" xfId="31947"/>
    <cellStyle name="Input [yellow] 2 13 9 18 4" xfId="43112"/>
    <cellStyle name="Input [yellow] 2 13 9 18 5" xfId="54305"/>
    <cellStyle name="Input [yellow] 2 13 9 19" xfId="11105"/>
    <cellStyle name="Input [yellow] 2 13 9 19 2" xfId="22302"/>
    <cellStyle name="Input [yellow] 2 13 9 19 3" xfId="33470"/>
    <cellStyle name="Input [yellow] 2 13 9 19 4" xfId="44635"/>
    <cellStyle name="Input [yellow] 2 13 9 19 5" xfId="55828"/>
    <cellStyle name="Input [yellow] 2 13 9 2" xfId="1201"/>
    <cellStyle name="Input [yellow] 2 13 9 2 2" xfId="12398"/>
    <cellStyle name="Input [yellow] 2 13 9 2 3" xfId="23566"/>
    <cellStyle name="Input [yellow] 2 13 9 2 4" xfId="34731"/>
    <cellStyle name="Input [yellow] 2 13 9 2 5" xfId="45924"/>
    <cellStyle name="Input [yellow] 2 13 9 20" xfId="11752"/>
    <cellStyle name="Input [yellow] 2 13 9 21" xfId="22922"/>
    <cellStyle name="Input [yellow] 2 13 9 22" xfId="34089"/>
    <cellStyle name="Input [yellow] 2 13 9 23" xfId="45275"/>
    <cellStyle name="Input [yellow] 2 13 9 3" xfId="1942"/>
    <cellStyle name="Input [yellow] 2 13 9 3 2" xfId="13139"/>
    <cellStyle name="Input [yellow] 2 13 9 3 3" xfId="24307"/>
    <cellStyle name="Input [yellow] 2 13 9 3 4" xfId="35472"/>
    <cellStyle name="Input [yellow] 2 13 9 3 5" xfId="46665"/>
    <cellStyle name="Input [yellow] 2 13 9 4" xfId="2477"/>
    <cellStyle name="Input [yellow] 2 13 9 4 2" xfId="13674"/>
    <cellStyle name="Input [yellow] 2 13 9 4 3" xfId="24842"/>
    <cellStyle name="Input [yellow] 2 13 9 4 4" xfId="36007"/>
    <cellStyle name="Input [yellow] 2 13 9 4 5" xfId="47200"/>
    <cellStyle name="Input [yellow] 2 13 9 5" xfId="2902"/>
    <cellStyle name="Input [yellow] 2 13 9 5 2" xfId="14099"/>
    <cellStyle name="Input [yellow] 2 13 9 5 3" xfId="25267"/>
    <cellStyle name="Input [yellow] 2 13 9 5 4" xfId="36432"/>
    <cellStyle name="Input [yellow] 2 13 9 5 5" xfId="47625"/>
    <cellStyle name="Input [yellow] 2 13 9 6" xfId="3536"/>
    <cellStyle name="Input [yellow] 2 13 9 6 2" xfId="14733"/>
    <cellStyle name="Input [yellow] 2 13 9 6 3" xfId="25901"/>
    <cellStyle name="Input [yellow] 2 13 9 6 4" xfId="37066"/>
    <cellStyle name="Input [yellow] 2 13 9 6 5" xfId="48259"/>
    <cellStyle name="Input [yellow] 2 13 9 7" xfId="4170"/>
    <cellStyle name="Input [yellow] 2 13 9 7 2" xfId="15367"/>
    <cellStyle name="Input [yellow] 2 13 9 7 3" xfId="26535"/>
    <cellStyle name="Input [yellow] 2 13 9 7 4" xfId="37700"/>
    <cellStyle name="Input [yellow] 2 13 9 7 5" xfId="48893"/>
    <cellStyle name="Input [yellow] 2 13 9 8" xfId="4803"/>
    <cellStyle name="Input [yellow] 2 13 9 8 2" xfId="16000"/>
    <cellStyle name="Input [yellow] 2 13 9 8 3" xfId="27168"/>
    <cellStyle name="Input [yellow] 2 13 9 8 4" xfId="38333"/>
    <cellStyle name="Input [yellow] 2 13 9 8 5" xfId="49526"/>
    <cellStyle name="Input [yellow] 2 13 9 9" xfId="5434"/>
    <cellStyle name="Input [yellow] 2 13 9 9 2" xfId="16631"/>
    <cellStyle name="Input [yellow] 2 13 9 9 3" xfId="27799"/>
    <cellStyle name="Input [yellow] 2 13 9 9 4" xfId="38964"/>
    <cellStyle name="Input [yellow] 2 13 9 9 5" xfId="50157"/>
    <cellStyle name="Input [yellow] 2 14" xfId="88"/>
    <cellStyle name="Input [yellow] 2 14 10" xfId="605"/>
    <cellStyle name="Input [yellow] 2 14 10 10" xfId="5783"/>
    <cellStyle name="Input [yellow] 2 14 10 10 2" xfId="16980"/>
    <cellStyle name="Input [yellow] 2 14 10 10 3" xfId="28148"/>
    <cellStyle name="Input [yellow] 2 14 10 10 4" xfId="39313"/>
    <cellStyle name="Input [yellow] 2 14 10 10 5" xfId="50506"/>
    <cellStyle name="Input [yellow] 2 14 10 11" xfId="6541"/>
    <cellStyle name="Input [yellow] 2 14 10 11 2" xfId="17738"/>
    <cellStyle name="Input [yellow] 2 14 10 11 3" xfId="28906"/>
    <cellStyle name="Input [yellow] 2 14 10 11 4" xfId="40071"/>
    <cellStyle name="Input [yellow] 2 14 10 11 5" xfId="51264"/>
    <cellStyle name="Input [yellow] 2 14 10 12" xfId="7174"/>
    <cellStyle name="Input [yellow] 2 14 10 12 2" xfId="18371"/>
    <cellStyle name="Input [yellow] 2 14 10 12 3" xfId="29539"/>
    <cellStyle name="Input [yellow] 2 14 10 12 4" xfId="40704"/>
    <cellStyle name="Input [yellow] 2 14 10 12 5" xfId="51897"/>
    <cellStyle name="Input [yellow] 2 14 10 13" xfId="7808"/>
    <cellStyle name="Input [yellow] 2 14 10 13 2" xfId="19005"/>
    <cellStyle name="Input [yellow] 2 14 10 13 3" xfId="30173"/>
    <cellStyle name="Input [yellow] 2 14 10 13 4" xfId="41338"/>
    <cellStyle name="Input [yellow] 2 14 10 13 5" xfId="52531"/>
    <cellStyle name="Input [yellow] 2 14 10 14" xfId="8442"/>
    <cellStyle name="Input [yellow] 2 14 10 14 2" xfId="19639"/>
    <cellStyle name="Input [yellow] 2 14 10 14 3" xfId="30807"/>
    <cellStyle name="Input [yellow] 2 14 10 14 4" xfId="41972"/>
    <cellStyle name="Input [yellow] 2 14 10 14 5" xfId="53165"/>
    <cellStyle name="Input [yellow] 2 14 10 15" xfId="9070"/>
    <cellStyle name="Input [yellow] 2 14 10 15 2" xfId="20267"/>
    <cellStyle name="Input [yellow] 2 14 10 15 3" xfId="31435"/>
    <cellStyle name="Input [yellow] 2 14 10 15 4" xfId="42600"/>
    <cellStyle name="Input [yellow] 2 14 10 15 5" xfId="53793"/>
    <cellStyle name="Input [yellow] 2 14 10 16" xfId="9493"/>
    <cellStyle name="Input [yellow] 2 14 10 16 2" xfId="20690"/>
    <cellStyle name="Input [yellow] 2 14 10 16 3" xfId="31858"/>
    <cellStyle name="Input [yellow] 2 14 10 16 4" xfId="43023"/>
    <cellStyle name="Input [yellow] 2 14 10 16 5" xfId="54216"/>
    <cellStyle name="Input [yellow] 2 14 10 17" xfId="10118"/>
    <cellStyle name="Input [yellow] 2 14 10 17 2" xfId="21315"/>
    <cellStyle name="Input [yellow] 2 14 10 17 3" xfId="32483"/>
    <cellStyle name="Input [yellow] 2 14 10 17 4" xfId="43648"/>
    <cellStyle name="Input [yellow] 2 14 10 17 5" xfId="54841"/>
    <cellStyle name="Input [yellow] 2 14 10 18" xfId="10235"/>
    <cellStyle name="Input [yellow] 2 14 10 18 2" xfId="21432"/>
    <cellStyle name="Input [yellow] 2 14 10 18 3" xfId="32600"/>
    <cellStyle name="Input [yellow] 2 14 10 18 4" xfId="43765"/>
    <cellStyle name="Input [yellow] 2 14 10 18 5" xfId="54958"/>
    <cellStyle name="Input [yellow] 2 14 10 19" xfId="11158"/>
    <cellStyle name="Input [yellow] 2 14 10 19 2" xfId="22355"/>
    <cellStyle name="Input [yellow] 2 14 10 19 3" xfId="33523"/>
    <cellStyle name="Input [yellow] 2 14 10 19 4" xfId="44688"/>
    <cellStyle name="Input [yellow] 2 14 10 19 5" xfId="55881"/>
    <cellStyle name="Input [yellow] 2 14 10 2" xfId="1254"/>
    <cellStyle name="Input [yellow] 2 14 10 2 2" xfId="12451"/>
    <cellStyle name="Input [yellow] 2 14 10 2 3" xfId="23619"/>
    <cellStyle name="Input [yellow] 2 14 10 2 4" xfId="34784"/>
    <cellStyle name="Input [yellow] 2 14 10 2 5" xfId="45977"/>
    <cellStyle name="Input [yellow] 2 14 10 20" xfId="11805"/>
    <cellStyle name="Input [yellow] 2 14 10 21" xfId="22975"/>
    <cellStyle name="Input [yellow] 2 14 10 22" xfId="34142"/>
    <cellStyle name="Input [yellow] 2 14 10 23" xfId="45328"/>
    <cellStyle name="Input [yellow] 2 14 10 3" xfId="1328"/>
    <cellStyle name="Input [yellow] 2 14 10 3 2" xfId="12525"/>
    <cellStyle name="Input [yellow] 2 14 10 3 3" xfId="23693"/>
    <cellStyle name="Input [yellow] 2 14 10 3 4" xfId="34858"/>
    <cellStyle name="Input [yellow] 2 14 10 3 5" xfId="46051"/>
    <cellStyle name="Input [yellow] 2 14 10 4" xfId="2530"/>
    <cellStyle name="Input [yellow] 2 14 10 4 2" xfId="13727"/>
    <cellStyle name="Input [yellow] 2 14 10 4 3" xfId="24895"/>
    <cellStyle name="Input [yellow] 2 14 10 4 4" xfId="36060"/>
    <cellStyle name="Input [yellow] 2 14 10 4 5" xfId="47253"/>
    <cellStyle name="Input [yellow] 2 14 10 5" xfId="2955"/>
    <cellStyle name="Input [yellow] 2 14 10 5 2" xfId="14152"/>
    <cellStyle name="Input [yellow] 2 14 10 5 3" xfId="25320"/>
    <cellStyle name="Input [yellow] 2 14 10 5 4" xfId="36485"/>
    <cellStyle name="Input [yellow] 2 14 10 5 5" xfId="47678"/>
    <cellStyle name="Input [yellow] 2 14 10 6" xfId="3589"/>
    <cellStyle name="Input [yellow] 2 14 10 6 2" xfId="14786"/>
    <cellStyle name="Input [yellow] 2 14 10 6 3" xfId="25954"/>
    <cellStyle name="Input [yellow] 2 14 10 6 4" xfId="37119"/>
    <cellStyle name="Input [yellow] 2 14 10 6 5" xfId="48312"/>
    <cellStyle name="Input [yellow] 2 14 10 7" xfId="4223"/>
    <cellStyle name="Input [yellow] 2 14 10 7 2" xfId="15420"/>
    <cellStyle name="Input [yellow] 2 14 10 7 3" xfId="26588"/>
    <cellStyle name="Input [yellow] 2 14 10 7 4" xfId="37753"/>
    <cellStyle name="Input [yellow] 2 14 10 7 5" xfId="48946"/>
    <cellStyle name="Input [yellow] 2 14 10 8" xfId="4856"/>
    <cellStyle name="Input [yellow] 2 14 10 8 2" xfId="16053"/>
    <cellStyle name="Input [yellow] 2 14 10 8 3" xfId="27221"/>
    <cellStyle name="Input [yellow] 2 14 10 8 4" xfId="38386"/>
    <cellStyle name="Input [yellow] 2 14 10 8 5" xfId="49579"/>
    <cellStyle name="Input [yellow] 2 14 10 9" xfId="5487"/>
    <cellStyle name="Input [yellow] 2 14 10 9 2" xfId="16684"/>
    <cellStyle name="Input [yellow] 2 14 10 9 3" xfId="27852"/>
    <cellStyle name="Input [yellow] 2 14 10 9 4" xfId="39017"/>
    <cellStyle name="Input [yellow] 2 14 10 9 5" xfId="50210"/>
    <cellStyle name="Input [yellow] 2 14 11" xfId="640"/>
    <cellStyle name="Input [yellow] 2 14 11 10" xfId="6007"/>
    <cellStyle name="Input [yellow] 2 14 11 10 2" xfId="17204"/>
    <cellStyle name="Input [yellow] 2 14 11 10 3" xfId="28372"/>
    <cellStyle name="Input [yellow] 2 14 11 10 4" xfId="39537"/>
    <cellStyle name="Input [yellow] 2 14 11 10 5" xfId="50730"/>
    <cellStyle name="Input [yellow] 2 14 11 11" xfId="6576"/>
    <cellStyle name="Input [yellow] 2 14 11 11 2" xfId="17773"/>
    <cellStyle name="Input [yellow] 2 14 11 11 3" xfId="28941"/>
    <cellStyle name="Input [yellow] 2 14 11 11 4" xfId="40106"/>
    <cellStyle name="Input [yellow] 2 14 11 11 5" xfId="51299"/>
    <cellStyle name="Input [yellow] 2 14 11 12" xfId="7209"/>
    <cellStyle name="Input [yellow] 2 14 11 12 2" xfId="18406"/>
    <cellStyle name="Input [yellow] 2 14 11 12 3" xfId="29574"/>
    <cellStyle name="Input [yellow] 2 14 11 12 4" xfId="40739"/>
    <cellStyle name="Input [yellow] 2 14 11 12 5" xfId="51932"/>
    <cellStyle name="Input [yellow] 2 14 11 13" xfId="7843"/>
    <cellStyle name="Input [yellow] 2 14 11 13 2" xfId="19040"/>
    <cellStyle name="Input [yellow] 2 14 11 13 3" xfId="30208"/>
    <cellStyle name="Input [yellow] 2 14 11 13 4" xfId="41373"/>
    <cellStyle name="Input [yellow] 2 14 11 13 5" xfId="52566"/>
    <cellStyle name="Input [yellow] 2 14 11 14" xfId="8477"/>
    <cellStyle name="Input [yellow] 2 14 11 14 2" xfId="19674"/>
    <cellStyle name="Input [yellow] 2 14 11 14 3" xfId="30842"/>
    <cellStyle name="Input [yellow] 2 14 11 14 4" xfId="42007"/>
    <cellStyle name="Input [yellow] 2 14 11 14 5" xfId="53200"/>
    <cellStyle name="Input [yellow] 2 14 11 15" xfId="9105"/>
    <cellStyle name="Input [yellow] 2 14 11 15 2" xfId="20302"/>
    <cellStyle name="Input [yellow] 2 14 11 15 3" xfId="31470"/>
    <cellStyle name="Input [yellow] 2 14 11 15 4" xfId="42635"/>
    <cellStyle name="Input [yellow] 2 14 11 15 5" xfId="53828"/>
    <cellStyle name="Input [yellow] 2 14 11 16" xfId="9528"/>
    <cellStyle name="Input [yellow] 2 14 11 16 2" xfId="20725"/>
    <cellStyle name="Input [yellow] 2 14 11 16 3" xfId="31893"/>
    <cellStyle name="Input [yellow] 2 14 11 16 4" xfId="43058"/>
    <cellStyle name="Input [yellow] 2 14 11 16 5" xfId="54251"/>
    <cellStyle name="Input [yellow] 2 14 11 17" xfId="10153"/>
    <cellStyle name="Input [yellow] 2 14 11 17 2" xfId="21350"/>
    <cellStyle name="Input [yellow] 2 14 11 17 3" xfId="32518"/>
    <cellStyle name="Input [yellow] 2 14 11 17 4" xfId="43683"/>
    <cellStyle name="Input [yellow] 2 14 11 17 5" xfId="54876"/>
    <cellStyle name="Input [yellow] 2 14 11 18" xfId="9677"/>
    <cellStyle name="Input [yellow] 2 14 11 18 2" xfId="20874"/>
    <cellStyle name="Input [yellow] 2 14 11 18 3" xfId="32042"/>
    <cellStyle name="Input [yellow] 2 14 11 18 4" xfId="43207"/>
    <cellStyle name="Input [yellow] 2 14 11 18 5" xfId="54400"/>
    <cellStyle name="Input [yellow] 2 14 11 19" xfId="11193"/>
    <cellStyle name="Input [yellow] 2 14 11 19 2" xfId="22390"/>
    <cellStyle name="Input [yellow] 2 14 11 19 3" xfId="33558"/>
    <cellStyle name="Input [yellow] 2 14 11 19 4" xfId="44723"/>
    <cellStyle name="Input [yellow] 2 14 11 19 5" xfId="55916"/>
    <cellStyle name="Input [yellow] 2 14 11 2" xfId="1289"/>
    <cellStyle name="Input [yellow] 2 14 11 2 2" xfId="12486"/>
    <cellStyle name="Input [yellow] 2 14 11 2 3" xfId="23654"/>
    <cellStyle name="Input [yellow] 2 14 11 2 4" xfId="34819"/>
    <cellStyle name="Input [yellow] 2 14 11 2 5" xfId="46012"/>
    <cellStyle name="Input [yellow] 2 14 11 20" xfId="11840"/>
    <cellStyle name="Input [yellow] 2 14 11 21" xfId="23010"/>
    <cellStyle name="Input [yellow] 2 14 11 22" xfId="34177"/>
    <cellStyle name="Input [yellow] 2 14 11 23" xfId="45363"/>
    <cellStyle name="Input [yellow] 2 14 11 3" xfId="1439"/>
    <cellStyle name="Input [yellow] 2 14 11 3 2" xfId="12636"/>
    <cellStyle name="Input [yellow] 2 14 11 3 3" xfId="23804"/>
    <cellStyle name="Input [yellow] 2 14 11 3 4" xfId="34969"/>
    <cellStyle name="Input [yellow] 2 14 11 3 5" xfId="46162"/>
    <cellStyle name="Input [yellow] 2 14 11 4" xfId="2565"/>
    <cellStyle name="Input [yellow] 2 14 11 4 2" xfId="13762"/>
    <cellStyle name="Input [yellow] 2 14 11 4 3" xfId="24930"/>
    <cellStyle name="Input [yellow] 2 14 11 4 4" xfId="36095"/>
    <cellStyle name="Input [yellow] 2 14 11 4 5" xfId="47288"/>
    <cellStyle name="Input [yellow] 2 14 11 5" xfId="2990"/>
    <cellStyle name="Input [yellow] 2 14 11 5 2" xfId="14187"/>
    <cellStyle name="Input [yellow] 2 14 11 5 3" xfId="25355"/>
    <cellStyle name="Input [yellow] 2 14 11 5 4" xfId="36520"/>
    <cellStyle name="Input [yellow] 2 14 11 5 5" xfId="47713"/>
    <cellStyle name="Input [yellow] 2 14 11 6" xfId="3624"/>
    <cellStyle name="Input [yellow] 2 14 11 6 2" xfId="14821"/>
    <cellStyle name="Input [yellow] 2 14 11 6 3" xfId="25989"/>
    <cellStyle name="Input [yellow] 2 14 11 6 4" xfId="37154"/>
    <cellStyle name="Input [yellow] 2 14 11 6 5" xfId="48347"/>
    <cellStyle name="Input [yellow] 2 14 11 7" xfId="4258"/>
    <cellStyle name="Input [yellow] 2 14 11 7 2" xfId="15455"/>
    <cellStyle name="Input [yellow] 2 14 11 7 3" xfId="26623"/>
    <cellStyle name="Input [yellow] 2 14 11 7 4" xfId="37788"/>
    <cellStyle name="Input [yellow] 2 14 11 7 5" xfId="48981"/>
    <cellStyle name="Input [yellow] 2 14 11 8" xfId="4891"/>
    <cellStyle name="Input [yellow] 2 14 11 8 2" xfId="16088"/>
    <cellStyle name="Input [yellow] 2 14 11 8 3" xfId="27256"/>
    <cellStyle name="Input [yellow] 2 14 11 8 4" xfId="38421"/>
    <cellStyle name="Input [yellow] 2 14 11 8 5" xfId="49614"/>
    <cellStyle name="Input [yellow] 2 14 11 9" xfId="5522"/>
    <cellStyle name="Input [yellow] 2 14 11 9 2" xfId="16719"/>
    <cellStyle name="Input [yellow] 2 14 11 9 3" xfId="27887"/>
    <cellStyle name="Input [yellow] 2 14 11 9 4" xfId="39052"/>
    <cellStyle name="Input [yellow] 2 14 11 9 5" xfId="50245"/>
    <cellStyle name="Input [yellow] 2 14 12" xfId="737"/>
    <cellStyle name="Input [yellow] 2 14 12 2" xfId="11935"/>
    <cellStyle name="Input [yellow] 2 14 12 3" xfId="23103"/>
    <cellStyle name="Input [yellow] 2 14 12 4" xfId="34268"/>
    <cellStyle name="Input [yellow] 2 14 12 5" xfId="45460"/>
    <cellStyle name="Input [yellow] 2 14 13" xfId="1752"/>
    <cellStyle name="Input [yellow] 2 14 13 2" xfId="12949"/>
    <cellStyle name="Input [yellow] 2 14 13 3" xfId="24117"/>
    <cellStyle name="Input [yellow] 2 14 13 4" xfId="35282"/>
    <cellStyle name="Input [yellow] 2 14 13 5" xfId="46475"/>
    <cellStyle name="Input [yellow] 2 14 14" xfId="2014"/>
    <cellStyle name="Input [yellow] 2 14 14 2" xfId="13211"/>
    <cellStyle name="Input [yellow] 2 14 14 3" xfId="24379"/>
    <cellStyle name="Input [yellow] 2 14 14 4" xfId="35544"/>
    <cellStyle name="Input [yellow] 2 14 14 5" xfId="46737"/>
    <cellStyle name="Input [yellow] 2 14 15" xfId="2290"/>
    <cellStyle name="Input [yellow] 2 14 15 2" xfId="13487"/>
    <cellStyle name="Input [yellow] 2 14 15 3" xfId="24655"/>
    <cellStyle name="Input [yellow] 2 14 15 4" xfId="35820"/>
    <cellStyle name="Input [yellow] 2 14 15 5" xfId="47013"/>
    <cellStyle name="Input [yellow] 2 14 16" xfId="3072"/>
    <cellStyle name="Input [yellow] 2 14 16 2" xfId="14269"/>
    <cellStyle name="Input [yellow] 2 14 16 3" xfId="25437"/>
    <cellStyle name="Input [yellow] 2 14 16 4" xfId="36602"/>
    <cellStyle name="Input [yellow] 2 14 16 5" xfId="47795"/>
    <cellStyle name="Input [yellow] 2 14 17" xfId="3706"/>
    <cellStyle name="Input [yellow] 2 14 17 2" xfId="14903"/>
    <cellStyle name="Input [yellow] 2 14 17 3" xfId="26071"/>
    <cellStyle name="Input [yellow] 2 14 17 4" xfId="37236"/>
    <cellStyle name="Input [yellow] 2 14 17 5" xfId="48429"/>
    <cellStyle name="Input [yellow] 2 14 18" xfId="4339"/>
    <cellStyle name="Input [yellow] 2 14 18 2" xfId="15536"/>
    <cellStyle name="Input [yellow] 2 14 18 3" xfId="26704"/>
    <cellStyle name="Input [yellow] 2 14 18 4" xfId="37869"/>
    <cellStyle name="Input [yellow] 2 14 18 5" xfId="49062"/>
    <cellStyle name="Input [yellow] 2 14 19" xfId="4971"/>
    <cellStyle name="Input [yellow] 2 14 19 2" xfId="16168"/>
    <cellStyle name="Input [yellow] 2 14 19 3" xfId="27336"/>
    <cellStyle name="Input [yellow] 2 14 19 4" xfId="38501"/>
    <cellStyle name="Input [yellow] 2 14 19 5" xfId="49694"/>
    <cellStyle name="Input [yellow] 2 14 2" xfId="152"/>
    <cellStyle name="Input [yellow] 2 14 2 10" xfId="5846"/>
    <cellStyle name="Input [yellow] 2 14 2 10 2" xfId="17043"/>
    <cellStyle name="Input [yellow] 2 14 2 10 3" xfId="28211"/>
    <cellStyle name="Input [yellow] 2 14 2 10 4" xfId="39376"/>
    <cellStyle name="Input [yellow] 2 14 2 10 5" xfId="50569"/>
    <cellStyle name="Input [yellow] 2 14 2 11" xfId="5656"/>
    <cellStyle name="Input [yellow] 2 14 2 11 2" xfId="16853"/>
    <cellStyle name="Input [yellow] 2 14 2 11 3" xfId="28021"/>
    <cellStyle name="Input [yellow] 2 14 2 11 4" xfId="39186"/>
    <cellStyle name="Input [yellow] 2 14 2 11 5" xfId="50379"/>
    <cellStyle name="Input [yellow] 2 14 2 12" xfId="6721"/>
    <cellStyle name="Input [yellow] 2 14 2 12 2" xfId="17918"/>
    <cellStyle name="Input [yellow] 2 14 2 12 3" xfId="29086"/>
    <cellStyle name="Input [yellow] 2 14 2 12 4" xfId="40251"/>
    <cellStyle name="Input [yellow] 2 14 2 12 5" xfId="51444"/>
    <cellStyle name="Input [yellow] 2 14 2 13" xfId="7355"/>
    <cellStyle name="Input [yellow] 2 14 2 13 2" xfId="18552"/>
    <cellStyle name="Input [yellow] 2 14 2 13 3" xfId="29720"/>
    <cellStyle name="Input [yellow] 2 14 2 13 4" xfId="40885"/>
    <cellStyle name="Input [yellow] 2 14 2 13 5" xfId="52078"/>
    <cellStyle name="Input [yellow] 2 14 2 14" xfId="7989"/>
    <cellStyle name="Input [yellow] 2 14 2 14 2" xfId="19186"/>
    <cellStyle name="Input [yellow] 2 14 2 14 3" xfId="30354"/>
    <cellStyle name="Input [yellow] 2 14 2 14 4" xfId="41519"/>
    <cellStyle name="Input [yellow] 2 14 2 14 5" xfId="52712"/>
    <cellStyle name="Input [yellow] 2 14 2 15" xfId="8620"/>
    <cellStyle name="Input [yellow] 2 14 2 15 2" xfId="19817"/>
    <cellStyle name="Input [yellow] 2 14 2 15 3" xfId="30985"/>
    <cellStyle name="Input [yellow] 2 14 2 15 4" xfId="42150"/>
    <cellStyle name="Input [yellow] 2 14 2 15 5" xfId="53343"/>
    <cellStyle name="Input [yellow] 2 14 2 16" xfId="9072"/>
    <cellStyle name="Input [yellow] 2 14 2 16 2" xfId="20269"/>
    <cellStyle name="Input [yellow] 2 14 2 16 3" xfId="31437"/>
    <cellStyle name="Input [yellow] 2 14 2 16 4" xfId="42602"/>
    <cellStyle name="Input [yellow] 2 14 2 16 5" xfId="53795"/>
    <cellStyle name="Input [yellow] 2 14 2 17" xfId="9673"/>
    <cellStyle name="Input [yellow] 2 14 2 17 2" xfId="20870"/>
    <cellStyle name="Input [yellow] 2 14 2 17 3" xfId="32038"/>
    <cellStyle name="Input [yellow] 2 14 2 17 4" xfId="43203"/>
    <cellStyle name="Input [yellow] 2 14 2 17 5" xfId="54396"/>
    <cellStyle name="Input [yellow] 2 14 2 18" xfId="9986"/>
    <cellStyle name="Input [yellow] 2 14 2 18 2" xfId="21183"/>
    <cellStyle name="Input [yellow] 2 14 2 18 3" xfId="32351"/>
    <cellStyle name="Input [yellow] 2 14 2 18 4" xfId="43516"/>
    <cellStyle name="Input [yellow] 2 14 2 18 5" xfId="54709"/>
    <cellStyle name="Input [yellow] 2 14 2 19" xfId="10705"/>
    <cellStyle name="Input [yellow] 2 14 2 19 2" xfId="21902"/>
    <cellStyle name="Input [yellow] 2 14 2 19 3" xfId="33070"/>
    <cellStyle name="Input [yellow] 2 14 2 19 4" xfId="44235"/>
    <cellStyle name="Input [yellow] 2 14 2 19 5" xfId="55428"/>
    <cellStyle name="Input [yellow] 2 14 2 2" xfId="801"/>
    <cellStyle name="Input [yellow] 2 14 2 2 2" xfId="11998"/>
    <cellStyle name="Input [yellow] 2 14 2 2 3" xfId="23166"/>
    <cellStyle name="Input [yellow] 2 14 2 2 4" xfId="34331"/>
    <cellStyle name="Input [yellow] 2 14 2 2 5" xfId="45524"/>
    <cellStyle name="Input [yellow] 2 14 2 20" xfId="11352"/>
    <cellStyle name="Input [yellow] 2 14 2 21" xfId="22522"/>
    <cellStyle name="Input [yellow] 2 14 2 22" xfId="33689"/>
    <cellStyle name="Input [yellow] 2 14 2 23" xfId="44875"/>
    <cellStyle name="Input [yellow] 2 14 2 3" xfId="1848"/>
    <cellStyle name="Input [yellow] 2 14 2 3 2" xfId="13045"/>
    <cellStyle name="Input [yellow] 2 14 2 3 3" xfId="24213"/>
    <cellStyle name="Input [yellow] 2 14 2 3 4" xfId="35378"/>
    <cellStyle name="Input [yellow] 2 14 2 3 5" xfId="46571"/>
    <cellStyle name="Input [yellow] 2 14 2 4" xfId="2078"/>
    <cellStyle name="Input [yellow] 2 14 2 4 2" xfId="13275"/>
    <cellStyle name="Input [yellow] 2 14 2 4 3" xfId="24443"/>
    <cellStyle name="Input [yellow] 2 14 2 4 4" xfId="35608"/>
    <cellStyle name="Input [yellow] 2 14 2 4 5" xfId="46801"/>
    <cellStyle name="Input [yellow] 2 14 2 5" xfId="2036"/>
    <cellStyle name="Input [yellow] 2 14 2 5 2" xfId="13233"/>
    <cellStyle name="Input [yellow] 2 14 2 5 3" xfId="24401"/>
    <cellStyle name="Input [yellow] 2 14 2 5 4" xfId="35566"/>
    <cellStyle name="Input [yellow] 2 14 2 5 5" xfId="46759"/>
    <cellStyle name="Input [yellow] 2 14 2 6" xfId="3136"/>
    <cellStyle name="Input [yellow] 2 14 2 6 2" xfId="14333"/>
    <cellStyle name="Input [yellow] 2 14 2 6 3" xfId="25501"/>
    <cellStyle name="Input [yellow] 2 14 2 6 4" xfId="36666"/>
    <cellStyle name="Input [yellow] 2 14 2 6 5" xfId="47859"/>
    <cellStyle name="Input [yellow] 2 14 2 7" xfId="3770"/>
    <cellStyle name="Input [yellow] 2 14 2 7 2" xfId="14967"/>
    <cellStyle name="Input [yellow] 2 14 2 7 3" xfId="26135"/>
    <cellStyle name="Input [yellow] 2 14 2 7 4" xfId="37300"/>
    <cellStyle name="Input [yellow] 2 14 2 7 5" xfId="48493"/>
    <cellStyle name="Input [yellow] 2 14 2 8" xfId="4403"/>
    <cellStyle name="Input [yellow] 2 14 2 8 2" xfId="15600"/>
    <cellStyle name="Input [yellow] 2 14 2 8 3" xfId="26768"/>
    <cellStyle name="Input [yellow] 2 14 2 8 4" xfId="37933"/>
    <cellStyle name="Input [yellow] 2 14 2 8 5" xfId="49126"/>
    <cellStyle name="Input [yellow] 2 14 2 9" xfId="5034"/>
    <cellStyle name="Input [yellow] 2 14 2 9 2" xfId="16231"/>
    <cellStyle name="Input [yellow] 2 14 2 9 3" xfId="27399"/>
    <cellStyle name="Input [yellow] 2 14 2 9 4" xfId="38564"/>
    <cellStyle name="Input [yellow] 2 14 2 9 5" xfId="49757"/>
    <cellStyle name="Input [yellow] 2 14 20" xfId="5752"/>
    <cellStyle name="Input [yellow] 2 14 20 2" xfId="16949"/>
    <cellStyle name="Input [yellow] 2 14 20 3" xfId="28117"/>
    <cellStyle name="Input [yellow] 2 14 20 4" xfId="39282"/>
    <cellStyle name="Input [yellow] 2 14 20 5" xfId="50475"/>
    <cellStyle name="Input [yellow] 2 14 21" xfId="5565"/>
    <cellStyle name="Input [yellow] 2 14 21 2" xfId="16762"/>
    <cellStyle name="Input [yellow] 2 14 21 3" xfId="27930"/>
    <cellStyle name="Input [yellow] 2 14 21 4" xfId="39095"/>
    <cellStyle name="Input [yellow] 2 14 21 5" xfId="50288"/>
    <cellStyle name="Input [yellow] 2 14 22" xfId="6658"/>
    <cellStyle name="Input [yellow] 2 14 22 2" xfId="17855"/>
    <cellStyle name="Input [yellow] 2 14 22 3" xfId="29023"/>
    <cellStyle name="Input [yellow] 2 14 22 4" xfId="40188"/>
    <cellStyle name="Input [yellow] 2 14 22 5" xfId="51381"/>
    <cellStyle name="Input [yellow] 2 14 23" xfId="7291"/>
    <cellStyle name="Input [yellow] 2 14 23 2" xfId="18488"/>
    <cellStyle name="Input [yellow] 2 14 23 3" xfId="29656"/>
    <cellStyle name="Input [yellow] 2 14 23 4" xfId="40821"/>
    <cellStyle name="Input [yellow] 2 14 23 5" xfId="52014"/>
    <cellStyle name="Input [yellow] 2 14 24" xfId="7925"/>
    <cellStyle name="Input [yellow] 2 14 24 2" xfId="19122"/>
    <cellStyle name="Input [yellow] 2 14 24 3" xfId="30290"/>
    <cellStyle name="Input [yellow] 2 14 24 4" xfId="41455"/>
    <cellStyle name="Input [yellow] 2 14 24 5" xfId="52648"/>
    <cellStyle name="Input [yellow] 2 14 25" xfId="8557"/>
    <cellStyle name="Input [yellow] 2 14 25 2" xfId="19754"/>
    <cellStyle name="Input [yellow] 2 14 25 3" xfId="30922"/>
    <cellStyle name="Input [yellow] 2 14 25 4" xfId="42087"/>
    <cellStyle name="Input [yellow] 2 14 25 5" xfId="53280"/>
    <cellStyle name="Input [yellow] 2 14 26" xfId="8539"/>
    <cellStyle name="Input [yellow] 2 14 26 2" xfId="19736"/>
    <cellStyle name="Input [yellow] 2 14 26 3" xfId="30904"/>
    <cellStyle name="Input [yellow] 2 14 26 4" xfId="42069"/>
    <cellStyle name="Input [yellow] 2 14 26 5" xfId="53262"/>
    <cellStyle name="Input [yellow] 2 14 27" xfId="9609"/>
    <cellStyle name="Input [yellow] 2 14 27 2" xfId="20806"/>
    <cellStyle name="Input [yellow] 2 14 27 3" xfId="31974"/>
    <cellStyle name="Input [yellow] 2 14 27 4" xfId="43139"/>
    <cellStyle name="Input [yellow] 2 14 27 5" xfId="54332"/>
    <cellStyle name="Input [yellow] 2 14 28" xfId="10456"/>
    <cellStyle name="Input [yellow] 2 14 28 2" xfId="21653"/>
    <cellStyle name="Input [yellow] 2 14 28 3" xfId="32821"/>
    <cellStyle name="Input [yellow] 2 14 28 4" xfId="43986"/>
    <cellStyle name="Input [yellow] 2 14 28 5" xfId="55179"/>
    <cellStyle name="Input [yellow] 2 14 29" xfId="10642"/>
    <cellStyle name="Input [yellow] 2 14 29 2" xfId="21839"/>
    <cellStyle name="Input [yellow] 2 14 29 3" xfId="33007"/>
    <cellStyle name="Input [yellow] 2 14 29 4" xfId="44172"/>
    <cellStyle name="Input [yellow] 2 14 29 5" xfId="55365"/>
    <cellStyle name="Input [yellow] 2 14 3" xfId="208"/>
    <cellStyle name="Input [yellow] 2 14 3 10" xfId="5693"/>
    <cellStyle name="Input [yellow] 2 14 3 10 2" xfId="16890"/>
    <cellStyle name="Input [yellow] 2 14 3 10 3" xfId="28058"/>
    <cellStyle name="Input [yellow] 2 14 3 10 4" xfId="39223"/>
    <cellStyle name="Input [yellow] 2 14 3 10 5" xfId="50416"/>
    <cellStyle name="Input [yellow] 2 14 3 11" xfId="5623"/>
    <cellStyle name="Input [yellow] 2 14 3 11 2" xfId="16820"/>
    <cellStyle name="Input [yellow] 2 14 3 11 3" xfId="27988"/>
    <cellStyle name="Input [yellow] 2 14 3 11 4" xfId="39153"/>
    <cellStyle name="Input [yellow] 2 14 3 11 5" xfId="50346"/>
    <cellStyle name="Input [yellow] 2 14 3 12" xfId="6777"/>
    <cellStyle name="Input [yellow] 2 14 3 12 2" xfId="17974"/>
    <cellStyle name="Input [yellow] 2 14 3 12 3" xfId="29142"/>
    <cellStyle name="Input [yellow] 2 14 3 12 4" xfId="40307"/>
    <cellStyle name="Input [yellow] 2 14 3 12 5" xfId="51500"/>
    <cellStyle name="Input [yellow] 2 14 3 13" xfId="7411"/>
    <cellStyle name="Input [yellow] 2 14 3 13 2" xfId="18608"/>
    <cellStyle name="Input [yellow] 2 14 3 13 3" xfId="29776"/>
    <cellStyle name="Input [yellow] 2 14 3 13 4" xfId="40941"/>
    <cellStyle name="Input [yellow] 2 14 3 13 5" xfId="52134"/>
    <cellStyle name="Input [yellow] 2 14 3 14" xfId="8045"/>
    <cellStyle name="Input [yellow] 2 14 3 14 2" xfId="19242"/>
    <cellStyle name="Input [yellow] 2 14 3 14 3" xfId="30410"/>
    <cellStyle name="Input [yellow] 2 14 3 14 4" xfId="41575"/>
    <cellStyle name="Input [yellow] 2 14 3 14 5" xfId="52768"/>
    <cellStyle name="Input [yellow] 2 14 3 15" xfId="8676"/>
    <cellStyle name="Input [yellow] 2 14 3 15 2" xfId="19873"/>
    <cellStyle name="Input [yellow] 2 14 3 15 3" xfId="31041"/>
    <cellStyle name="Input [yellow] 2 14 3 15 4" xfId="42206"/>
    <cellStyle name="Input [yellow] 2 14 3 15 5" xfId="53399"/>
    <cellStyle name="Input [yellow] 2 14 3 16" xfId="9096"/>
    <cellStyle name="Input [yellow] 2 14 3 16 2" xfId="20293"/>
    <cellStyle name="Input [yellow] 2 14 3 16 3" xfId="31461"/>
    <cellStyle name="Input [yellow] 2 14 3 16 4" xfId="42626"/>
    <cellStyle name="Input [yellow] 2 14 3 16 5" xfId="53819"/>
    <cellStyle name="Input [yellow] 2 14 3 17" xfId="9727"/>
    <cellStyle name="Input [yellow] 2 14 3 17 2" xfId="20924"/>
    <cellStyle name="Input [yellow] 2 14 3 17 3" xfId="32092"/>
    <cellStyle name="Input [yellow] 2 14 3 17 4" xfId="43257"/>
    <cellStyle name="Input [yellow] 2 14 3 17 5" xfId="54450"/>
    <cellStyle name="Input [yellow] 2 14 3 18" xfId="10478"/>
    <cellStyle name="Input [yellow] 2 14 3 18 2" xfId="21675"/>
    <cellStyle name="Input [yellow] 2 14 3 18 3" xfId="32843"/>
    <cellStyle name="Input [yellow] 2 14 3 18 4" xfId="44008"/>
    <cellStyle name="Input [yellow] 2 14 3 18 5" xfId="55201"/>
    <cellStyle name="Input [yellow] 2 14 3 19" xfId="10761"/>
    <cellStyle name="Input [yellow] 2 14 3 19 2" xfId="21958"/>
    <cellStyle name="Input [yellow] 2 14 3 19 3" xfId="33126"/>
    <cellStyle name="Input [yellow] 2 14 3 19 4" xfId="44291"/>
    <cellStyle name="Input [yellow] 2 14 3 19 5" xfId="55484"/>
    <cellStyle name="Input [yellow] 2 14 3 2" xfId="857"/>
    <cellStyle name="Input [yellow] 2 14 3 2 2" xfId="12054"/>
    <cellStyle name="Input [yellow] 2 14 3 2 3" xfId="23222"/>
    <cellStyle name="Input [yellow] 2 14 3 2 4" xfId="34387"/>
    <cellStyle name="Input [yellow] 2 14 3 2 5" xfId="45580"/>
    <cellStyle name="Input [yellow] 2 14 3 20" xfId="11408"/>
    <cellStyle name="Input [yellow] 2 14 3 21" xfId="22578"/>
    <cellStyle name="Input [yellow] 2 14 3 22" xfId="33745"/>
    <cellStyle name="Input [yellow] 2 14 3 23" xfId="44931"/>
    <cellStyle name="Input [yellow] 2 14 3 3" xfId="1775"/>
    <cellStyle name="Input [yellow] 2 14 3 3 2" xfId="12972"/>
    <cellStyle name="Input [yellow] 2 14 3 3 3" xfId="24140"/>
    <cellStyle name="Input [yellow] 2 14 3 3 4" xfId="35305"/>
    <cellStyle name="Input [yellow] 2 14 3 3 5" xfId="46498"/>
    <cellStyle name="Input [yellow] 2 14 3 4" xfId="2134"/>
    <cellStyle name="Input [yellow] 2 14 3 4 2" xfId="13331"/>
    <cellStyle name="Input [yellow] 2 14 3 4 3" xfId="24499"/>
    <cellStyle name="Input [yellow] 2 14 3 4 4" xfId="35664"/>
    <cellStyle name="Input [yellow] 2 14 3 4 5" xfId="46857"/>
    <cellStyle name="Input [yellow] 2 14 3 5" xfId="2479"/>
    <cellStyle name="Input [yellow] 2 14 3 5 2" xfId="13676"/>
    <cellStyle name="Input [yellow] 2 14 3 5 3" xfId="24844"/>
    <cellStyle name="Input [yellow] 2 14 3 5 4" xfId="36009"/>
    <cellStyle name="Input [yellow] 2 14 3 5 5" xfId="47202"/>
    <cellStyle name="Input [yellow] 2 14 3 6" xfId="3192"/>
    <cellStyle name="Input [yellow] 2 14 3 6 2" xfId="14389"/>
    <cellStyle name="Input [yellow] 2 14 3 6 3" xfId="25557"/>
    <cellStyle name="Input [yellow] 2 14 3 6 4" xfId="36722"/>
    <cellStyle name="Input [yellow] 2 14 3 6 5" xfId="47915"/>
    <cellStyle name="Input [yellow] 2 14 3 7" xfId="3826"/>
    <cellStyle name="Input [yellow] 2 14 3 7 2" xfId="15023"/>
    <cellStyle name="Input [yellow] 2 14 3 7 3" xfId="26191"/>
    <cellStyle name="Input [yellow] 2 14 3 7 4" xfId="37356"/>
    <cellStyle name="Input [yellow] 2 14 3 7 5" xfId="48549"/>
    <cellStyle name="Input [yellow] 2 14 3 8" xfId="4459"/>
    <cellStyle name="Input [yellow] 2 14 3 8 2" xfId="15656"/>
    <cellStyle name="Input [yellow] 2 14 3 8 3" xfId="26824"/>
    <cellStyle name="Input [yellow] 2 14 3 8 4" xfId="37989"/>
    <cellStyle name="Input [yellow] 2 14 3 8 5" xfId="49182"/>
    <cellStyle name="Input [yellow] 2 14 3 9" xfId="5090"/>
    <cellStyle name="Input [yellow] 2 14 3 9 2" xfId="16287"/>
    <cellStyle name="Input [yellow] 2 14 3 9 3" xfId="27455"/>
    <cellStyle name="Input [yellow] 2 14 3 9 4" xfId="38620"/>
    <cellStyle name="Input [yellow] 2 14 3 9 5" xfId="49813"/>
    <cellStyle name="Input [yellow] 2 14 30" xfId="11289"/>
    <cellStyle name="Input [yellow] 2 14 31" xfId="22459"/>
    <cellStyle name="Input [yellow] 2 14 32" xfId="33626"/>
    <cellStyle name="Input [yellow] 2 14 33" xfId="44811"/>
    <cellStyle name="Input [yellow] 2 14 4" xfId="240"/>
    <cellStyle name="Input [yellow] 2 14 4 10" xfId="5745"/>
    <cellStyle name="Input [yellow] 2 14 4 10 2" xfId="16942"/>
    <cellStyle name="Input [yellow] 2 14 4 10 3" xfId="28110"/>
    <cellStyle name="Input [yellow] 2 14 4 10 4" xfId="39275"/>
    <cellStyle name="Input [yellow] 2 14 4 10 5" xfId="50468"/>
    <cellStyle name="Input [yellow] 2 14 4 11" xfId="5695"/>
    <cellStyle name="Input [yellow] 2 14 4 11 2" xfId="16892"/>
    <cellStyle name="Input [yellow] 2 14 4 11 3" xfId="28060"/>
    <cellStyle name="Input [yellow] 2 14 4 11 4" xfId="39225"/>
    <cellStyle name="Input [yellow] 2 14 4 11 5" xfId="50418"/>
    <cellStyle name="Input [yellow] 2 14 4 12" xfId="6809"/>
    <cellStyle name="Input [yellow] 2 14 4 12 2" xfId="18006"/>
    <cellStyle name="Input [yellow] 2 14 4 12 3" xfId="29174"/>
    <cellStyle name="Input [yellow] 2 14 4 12 4" xfId="40339"/>
    <cellStyle name="Input [yellow] 2 14 4 12 5" xfId="51532"/>
    <cellStyle name="Input [yellow] 2 14 4 13" xfId="7443"/>
    <cellStyle name="Input [yellow] 2 14 4 13 2" xfId="18640"/>
    <cellStyle name="Input [yellow] 2 14 4 13 3" xfId="29808"/>
    <cellStyle name="Input [yellow] 2 14 4 13 4" xfId="40973"/>
    <cellStyle name="Input [yellow] 2 14 4 13 5" xfId="52166"/>
    <cellStyle name="Input [yellow] 2 14 4 14" xfId="8077"/>
    <cellStyle name="Input [yellow] 2 14 4 14 2" xfId="19274"/>
    <cellStyle name="Input [yellow] 2 14 4 14 3" xfId="30442"/>
    <cellStyle name="Input [yellow] 2 14 4 14 4" xfId="41607"/>
    <cellStyle name="Input [yellow] 2 14 4 14 5" xfId="52800"/>
    <cellStyle name="Input [yellow] 2 14 4 15" xfId="8707"/>
    <cellStyle name="Input [yellow] 2 14 4 15 2" xfId="19904"/>
    <cellStyle name="Input [yellow] 2 14 4 15 3" xfId="31072"/>
    <cellStyle name="Input [yellow] 2 14 4 15 4" xfId="42237"/>
    <cellStyle name="Input [yellow] 2 14 4 15 5" xfId="53430"/>
    <cellStyle name="Input [yellow] 2 14 4 16" xfId="8612"/>
    <cellStyle name="Input [yellow] 2 14 4 16 2" xfId="19809"/>
    <cellStyle name="Input [yellow] 2 14 4 16 3" xfId="30977"/>
    <cellStyle name="Input [yellow] 2 14 4 16 4" xfId="42142"/>
    <cellStyle name="Input [yellow] 2 14 4 16 5" xfId="53335"/>
    <cellStyle name="Input [yellow] 2 14 4 17" xfId="9757"/>
    <cellStyle name="Input [yellow] 2 14 4 17 2" xfId="20954"/>
    <cellStyle name="Input [yellow] 2 14 4 17 3" xfId="32122"/>
    <cellStyle name="Input [yellow] 2 14 4 17 4" xfId="43287"/>
    <cellStyle name="Input [yellow] 2 14 4 17 5" xfId="54480"/>
    <cellStyle name="Input [yellow] 2 14 4 18" xfId="10522"/>
    <cellStyle name="Input [yellow] 2 14 4 18 2" xfId="21719"/>
    <cellStyle name="Input [yellow] 2 14 4 18 3" xfId="32887"/>
    <cellStyle name="Input [yellow] 2 14 4 18 4" xfId="44052"/>
    <cellStyle name="Input [yellow] 2 14 4 18 5" xfId="55245"/>
    <cellStyle name="Input [yellow] 2 14 4 19" xfId="10793"/>
    <cellStyle name="Input [yellow] 2 14 4 19 2" xfId="21990"/>
    <cellStyle name="Input [yellow] 2 14 4 19 3" xfId="33158"/>
    <cellStyle name="Input [yellow] 2 14 4 19 4" xfId="44323"/>
    <cellStyle name="Input [yellow] 2 14 4 19 5" xfId="55516"/>
    <cellStyle name="Input [yellow] 2 14 4 2" xfId="889"/>
    <cellStyle name="Input [yellow] 2 14 4 2 2" xfId="12086"/>
    <cellStyle name="Input [yellow] 2 14 4 2 3" xfId="23254"/>
    <cellStyle name="Input [yellow] 2 14 4 2 4" xfId="34419"/>
    <cellStyle name="Input [yellow] 2 14 4 2 5" xfId="45612"/>
    <cellStyle name="Input [yellow] 2 14 4 20" xfId="11440"/>
    <cellStyle name="Input [yellow] 2 14 4 21" xfId="22610"/>
    <cellStyle name="Input [yellow] 2 14 4 22" xfId="33777"/>
    <cellStyle name="Input [yellow] 2 14 4 23" xfId="44963"/>
    <cellStyle name="Input [yellow] 2 14 4 3" xfId="1366"/>
    <cellStyle name="Input [yellow] 2 14 4 3 2" xfId="12563"/>
    <cellStyle name="Input [yellow] 2 14 4 3 3" xfId="23731"/>
    <cellStyle name="Input [yellow] 2 14 4 3 4" xfId="34896"/>
    <cellStyle name="Input [yellow] 2 14 4 3 5" xfId="46089"/>
    <cellStyle name="Input [yellow] 2 14 4 4" xfId="2166"/>
    <cellStyle name="Input [yellow] 2 14 4 4 2" xfId="13363"/>
    <cellStyle name="Input [yellow] 2 14 4 4 3" xfId="24531"/>
    <cellStyle name="Input [yellow] 2 14 4 4 4" xfId="35696"/>
    <cellStyle name="Input [yellow] 2 14 4 4 5" xfId="46889"/>
    <cellStyle name="Input [yellow] 2 14 4 5" xfId="2006"/>
    <cellStyle name="Input [yellow] 2 14 4 5 2" xfId="13203"/>
    <cellStyle name="Input [yellow] 2 14 4 5 3" xfId="24371"/>
    <cellStyle name="Input [yellow] 2 14 4 5 4" xfId="35536"/>
    <cellStyle name="Input [yellow] 2 14 4 5 5" xfId="46729"/>
    <cellStyle name="Input [yellow] 2 14 4 6" xfId="3224"/>
    <cellStyle name="Input [yellow] 2 14 4 6 2" xfId="14421"/>
    <cellStyle name="Input [yellow] 2 14 4 6 3" xfId="25589"/>
    <cellStyle name="Input [yellow] 2 14 4 6 4" xfId="36754"/>
    <cellStyle name="Input [yellow] 2 14 4 6 5" xfId="47947"/>
    <cellStyle name="Input [yellow] 2 14 4 7" xfId="3858"/>
    <cellStyle name="Input [yellow] 2 14 4 7 2" xfId="15055"/>
    <cellStyle name="Input [yellow] 2 14 4 7 3" xfId="26223"/>
    <cellStyle name="Input [yellow] 2 14 4 7 4" xfId="37388"/>
    <cellStyle name="Input [yellow] 2 14 4 7 5" xfId="48581"/>
    <cellStyle name="Input [yellow] 2 14 4 8" xfId="4491"/>
    <cellStyle name="Input [yellow] 2 14 4 8 2" xfId="15688"/>
    <cellStyle name="Input [yellow] 2 14 4 8 3" xfId="26856"/>
    <cellStyle name="Input [yellow] 2 14 4 8 4" xfId="38021"/>
    <cellStyle name="Input [yellow] 2 14 4 8 5" xfId="49214"/>
    <cellStyle name="Input [yellow] 2 14 4 9" xfId="5122"/>
    <cellStyle name="Input [yellow] 2 14 4 9 2" xfId="16319"/>
    <cellStyle name="Input [yellow] 2 14 4 9 3" xfId="27487"/>
    <cellStyle name="Input [yellow] 2 14 4 9 4" xfId="38652"/>
    <cellStyle name="Input [yellow] 2 14 4 9 5" xfId="49845"/>
    <cellStyle name="Input [yellow] 2 14 5" xfId="339"/>
    <cellStyle name="Input [yellow] 2 14 5 10" xfId="6065"/>
    <cellStyle name="Input [yellow] 2 14 5 10 2" xfId="17262"/>
    <cellStyle name="Input [yellow] 2 14 5 10 3" xfId="28430"/>
    <cellStyle name="Input [yellow] 2 14 5 10 4" xfId="39595"/>
    <cellStyle name="Input [yellow] 2 14 5 10 5" xfId="50788"/>
    <cellStyle name="Input [yellow] 2 14 5 11" xfId="6275"/>
    <cellStyle name="Input [yellow] 2 14 5 11 2" xfId="17472"/>
    <cellStyle name="Input [yellow] 2 14 5 11 3" xfId="28640"/>
    <cellStyle name="Input [yellow] 2 14 5 11 4" xfId="39805"/>
    <cellStyle name="Input [yellow] 2 14 5 11 5" xfId="50998"/>
    <cellStyle name="Input [yellow] 2 14 5 12" xfId="6908"/>
    <cellStyle name="Input [yellow] 2 14 5 12 2" xfId="18105"/>
    <cellStyle name="Input [yellow] 2 14 5 12 3" xfId="29273"/>
    <cellStyle name="Input [yellow] 2 14 5 12 4" xfId="40438"/>
    <cellStyle name="Input [yellow] 2 14 5 12 5" xfId="51631"/>
    <cellStyle name="Input [yellow] 2 14 5 13" xfId="7542"/>
    <cellStyle name="Input [yellow] 2 14 5 13 2" xfId="18739"/>
    <cellStyle name="Input [yellow] 2 14 5 13 3" xfId="29907"/>
    <cellStyle name="Input [yellow] 2 14 5 13 4" xfId="41072"/>
    <cellStyle name="Input [yellow] 2 14 5 13 5" xfId="52265"/>
    <cellStyle name="Input [yellow] 2 14 5 14" xfId="8176"/>
    <cellStyle name="Input [yellow] 2 14 5 14 2" xfId="19373"/>
    <cellStyle name="Input [yellow] 2 14 5 14 3" xfId="30541"/>
    <cellStyle name="Input [yellow] 2 14 5 14 4" xfId="41706"/>
    <cellStyle name="Input [yellow] 2 14 5 14 5" xfId="52899"/>
    <cellStyle name="Input [yellow] 2 14 5 15" xfId="8805"/>
    <cellStyle name="Input [yellow] 2 14 5 15 2" xfId="20002"/>
    <cellStyle name="Input [yellow] 2 14 5 15 3" xfId="31170"/>
    <cellStyle name="Input [yellow] 2 14 5 15 4" xfId="42335"/>
    <cellStyle name="Input [yellow] 2 14 5 15 5" xfId="53528"/>
    <cellStyle name="Input [yellow] 2 14 5 16" xfId="9227"/>
    <cellStyle name="Input [yellow] 2 14 5 16 2" xfId="20424"/>
    <cellStyle name="Input [yellow] 2 14 5 16 3" xfId="31592"/>
    <cellStyle name="Input [yellow] 2 14 5 16 4" xfId="42757"/>
    <cellStyle name="Input [yellow] 2 14 5 16 5" xfId="53950"/>
    <cellStyle name="Input [yellow] 2 14 5 17" xfId="9854"/>
    <cellStyle name="Input [yellow] 2 14 5 17 2" xfId="21051"/>
    <cellStyle name="Input [yellow] 2 14 5 17 3" xfId="32219"/>
    <cellStyle name="Input [yellow] 2 14 5 17 4" xfId="43384"/>
    <cellStyle name="Input [yellow] 2 14 5 17 5" xfId="54577"/>
    <cellStyle name="Input [yellow] 2 14 5 18" xfId="10572"/>
    <cellStyle name="Input [yellow] 2 14 5 18 2" xfId="21769"/>
    <cellStyle name="Input [yellow] 2 14 5 18 3" xfId="32937"/>
    <cellStyle name="Input [yellow] 2 14 5 18 4" xfId="44102"/>
    <cellStyle name="Input [yellow] 2 14 5 18 5" xfId="55295"/>
    <cellStyle name="Input [yellow] 2 14 5 19" xfId="10892"/>
    <cellStyle name="Input [yellow] 2 14 5 19 2" xfId="22089"/>
    <cellStyle name="Input [yellow] 2 14 5 19 3" xfId="33257"/>
    <cellStyle name="Input [yellow] 2 14 5 19 4" xfId="44422"/>
    <cellStyle name="Input [yellow] 2 14 5 19 5" xfId="55615"/>
    <cellStyle name="Input [yellow] 2 14 5 2" xfId="988"/>
    <cellStyle name="Input [yellow] 2 14 5 2 2" xfId="12185"/>
    <cellStyle name="Input [yellow] 2 14 5 2 3" xfId="23353"/>
    <cellStyle name="Input [yellow] 2 14 5 2 4" xfId="34518"/>
    <cellStyle name="Input [yellow] 2 14 5 2 5" xfId="45711"/>
    <cellStyle name="Input [yellow] 2 14 5 20" xfId="11539"/>
    <cellStyle name="Input [yellow] 2 14 5 21" xfId="22709"/>
    <cellStyle name="Input [yellow] 2 14 5 22" xfId="33876"/>
    <cellStyle name="Input [yellow] 2 14 5 23" xfId="45062"/>
    <cellStyle name="Input [yellow] 2 14 5 3" xfId="1891"/>
    <cellStyle name="Input [yellow] 2 14 5 3 2" xfId="13088"/>
    <cellStyle name="Input [yellow] 2 14 5 3 3" xfId="24256"/>
    <cellStyle name="Input [yellow] 2 14 5 3 4" xfId="35421"/>
    <cellStyle name="Input [yellow] 2 14 5 3 5" xfId="46614"/>
    <cellStyle name="Input [yellow] 2 14 5 4" xfId="2264"/>
    <cellStyle name="Input [yellow] 2 14 5 4 2" xfId="13461"/>
    <cellStyle name="Input [yellow] 2 14 5 4 3" xfId="24629"/>
    <cellStyle name="Input [yellow] 2 14 5 4 4" xfId="35794"/>
    <cellStyle name="Input [yellow] 2 14 5 4 5" xfId="46987"/>
    <cellStyle name="Input [yellow] 2 14 5 5" xfId="2689"/>
    <cellStyle name="Input [yellow] 2 14 5 5 2" xfId="13886"/>
    <cellStyle name="Input [yellow] 2 14 5 5 3" xfId="25054"/>
    <cellStyle name="Input [yellow] 2 14 5 5 4" xfId="36219"/>
    <cellStyle name="Input [yellow] 2 14 5 5 5" xfId="47412"/>
    <cellStyle name="Input [yellow] 2 14 5 6" xfId="3323"/>
    <cellStyle name="Input [yellow] 2 14 5 6 2" xfId="14520"/>
    <cellStyle name="Input [yellow] 2 14 5 6 3" xfId="25688"/>
    <cellStyle name="Input [yellow] 2 14 5 6 4" xfId="36853"/>
    <cellStyle name="Input [yellow] 2 14 5 6 5" xfId="48046"/>
    <cellStyle name="Input [yellow] 2 14 5 7" xfId="3957"/>
    <cellStyle name="Input [yellow] 2 14 5 7 2" xfId="15154"/>
    <cellStyle name="Input [yellow] 2 14 5 7 3" xfId="26322"/>
    <cellStyle name="Input [yellow] 2 14 5 7 4" xfId="37487"/>
    <cellStyle name="Input [yellow] 2 14 5 7 5" xfId="48680"/>
    <cellStyle name="Input [yellow] 2 14 5 8" xfId="4590"/>
    <cellStyle name="Input [yellow] 2 14 5 8 2" xfId="15787"/>
    <cellStyle name="Input [yellow] 2 14 5 8 3" xfId="26955"/>
    <cellStyle name="Input [yellow] 2 14 5 8 4" xfId="38120"/>
    <cellStyle name="Input [yellow] 2 14 5 8 5" xfId="49313"/>
    <cellStyle name="Input [yellow] 2 14 5 9" xfId="5221"/>
    <cellStyle name="Input [yellow] 2 14 5 9 2" xfId="16418"/>
    <cellStyle name="Input [yellow] 2 14 5 9 3" xfId="27586"/>
    <cellStyle name="Input [yellow] 2 14 5 9 4" xfId="38751"/>
    <cellStyle name="Input [yellow] 2 14 5 9 5" xfId="49944"/>
    <cellStyle name="Input [yellow] 2 14 6" xfId="348"/>
    <cellStyle name="Input [yellow] 2 14 6 10" xfId="5715"/>
    <cellStyle name="Input [yellow] 2 14 6 10 2" xfId="16912"/>
    <cellStyle name="Input [yellow] 2 14 6 10 3" xfId="28080"/>
    <cellStyle name="Input [yellow] 2 14 6 10 4" xfId="39245"/>
    <cellStyle name="Input [yellow] 2 14 6 10 5" xfId="50438"/>
    <cellStyle name="Input [yellow] 2 14 6 11" xfId="6284"/>
    <cellStyle name="Input [yellow] 2 14 6 11 2" xfId="17481"/>
    <cellStyle name="Input [yellow] 2 14 6 11 3" xfId="28649"/>
    <cellStyle name="Input [yellow] 2 14 6 11 4" xfId="39814"/>
    <cellStyle name="Input [yellow] 2 14 6 11 5" xfId="51007"/>
    <cellStyle name="Input [yellow] 2 14 6 12" xfId="6917"/>
    <cellStyle name="Input [yellow] 2 14 6 12 2" xfId="18114"/>
    <cellStyle name="Input [yellow] 2 14 6 12 3" xfId="29282"/>
    <cellStyle name="Input [yellow] 2 14 6 12 4" xfId="40447"/>
    <cellStyle name="Input [yellow] 2 14 6 12 5" xfId="51640"/>
    <cellStyle name="Input [yellow] 2 14 6 13" xfId="7551"/>
    <cellStyle name="Input [yellow] 2 14 6 13 2" xfId="18748"/>
    <cellStyle name="Input [yellow] 2 14 6 13 3" xfId="29916"/>
    <cellStyle name="Input [yellow] 2 14 6 13 4" xfId="41081"/>
    <cellStyle name="Input [yellow] 2 14 6 13 5" xfId="52274"/>
    <cellStyle name="Input [yellow] 2 14 6 14" xfId="8185"/>
    <cellStyle name="Input [yellow] 2 14 6 14 2" xfId="19382"/>
    <cellStyle name="Input [yellow] 2 14 6 14 3" xfId="30550"/>
    <cellStyle name="Input [yellow] 2 14 6 14 4" xfId="41715"/>
    <cellStyle name="Input [yellow] 2 14 6 14 5" xfId="52908"/>
    <cellStyle name="Input [yellow] 2 14 6 15" xfId="8814"/>
    <cellStyle name="Input [yellow] 2 14 6 15 2" xfId="20011"/>
    <cellStyle name="Input [yellow] 2 14 6 15 3" xfId="31179"/>
    <cellStyle name="Input [yellow] 2 14 6 15 4" xfId="42344"/>
    <cellStyle name="Input [yellow] 2 14 6 15 5" xfId="53537"/>
    <cellStyle name="Input [yellow] 2 14 6 16" xfId="9236"/>
    <cellStyle name="Input [yellow] 2 14 6 16 2" xfId="20433"/>
    <cellStyle name="Input [yellow] 2 14 6 16 3" xfId="31601"/>
    <cellStyle name="Input [yellow] 2 14 6 16 4" xfId="42766"/>
    <cellStyle name="Input [yellow] 2 14 6 16 5" xfId="53959"/>
    <cellStyle name="Input [yellow] 2 14 6 17" xfId="9863"/>
    <cellStyle name="Input [yellow] 2 14 6 17 2" xfId="21060"/>
    <cellStyle name="Input [yellow] 2 14 6 17 3" xfId="32228"/>
    <cellStyle name="Input [yellow] 2 14 6 17 4" xfId="43393"/>
    <cellStyle name="Input [yellow] 2 14 6 17 5" xfId="54586"/>
    <cellStyle name="Input [yellow] 2 14 6 18" xfId="10005"/>
    <cellStyle name="Input [yellow] 2 14 6 18 2" xfId="21202"/>
    <cellStyle name="Input [yellow] 2 14 6 18 3" xfId="32370"/>
    <cellStyle name="Input [yellow] 2 14 6 18 4" xfId="43535"/>
    <cellStyle name="Input [yellow] 2 14 6 18 5" xfId="54728"/>
    <cellStyle name="Input [yellow] 2 14 6 19" xfId="10901"/>
    <cellStyle name="Input [yellow] 2 14 6 19 2" xfId="22098"/>
    <cellStyle name="Input [yellow] 2 14 6 19 3" xfId="33266"/>
    <cellStyle name="Input [yellow] 2 14 6 19 4" xfId="44431"/>
    <cellStyle name="Input [yellow] 2 14 6 19 5" xfId="55624"/>
    <cellStyle name="Input [yellow] 2 14 6 2" xfId="997"/>
    <cellStyle name="Input [yellow] 2 14 6 2 2" xfId="12194"/>
    <cellStyle name="Input [yellow] 2 14 6 2 3" xfId="23362"/>
    <cellStyle name="Input [yellow] 2 14 6 2 4" xfId="34527"/>
    <cellStyle name="Input [yellow] 2 14 6 2 5" xfId="45720"/>
    <cellStyle name="Input [yellow] 2 14 6 20" xfId="11548"/>
    <cellStyle name="Input [yellow] 2 14 6 21" xfId="22718"/>
    <cellStyle name="Input [yellow] 2 14 6 22" xfId="33885"/>
    <cellStyle name="Input [yellow] 2 14 6 23" xfId="45071"/>
    <cellStyle name="Input [yellow] 2 14 6 3" xfId="1455"/>
    <cellStyle name="Input [yellow] 2 14 6 3 2" xfId="12652"/>
    <cellStyle name="Input [yellow] 2 14 6 3 3" xfId="23820"/>
    <cellStyle name="Input [yellow] 2 14 6 3 4" xfId="34985"/>
    <cellStyle name="Input [yellow] 2 14 6 3 5" xfId="46178"/>
    <cellStyle name="Input [yellow] 2 14 6 4" xfId="2273"/>
    <cellStyle name="Input [yellow] 2 14 6 4 2" xfId="13470"/>
    <cellStyle name="Input [yellow] 2 14 6 4 3" xfId="24638"/>
    <cellStyle name="Input [yellow] 2 14 6 4 4" xfId="35803"/>
    <cellStyle name="Input [yellow] 2 14 6 4 5" xfId="46996"/>
    <cellStyle name="Input [yellow] 2 14 6 5" xfId="2698"/>
    <cellStyle name="Input [yellow] 2 14 6 5 2" xfId="13895"/>
    <cellStyle name="Input [yellow] 2 14 6 5 3" xfId="25063"/>
    <cellStyle name="Input [yellow] 2 14 6 5 4" xfId="36228"/>
    <cellStyle name="Input [yellow] 2 14 6 5 5" xfId="47421"/>
    <cellStyle name="Input [yellow] 2 14 6 6" xfId="3332"/>
    <cellStyle name="Input [yellow] 2 14 6 6 2" xfId="14529"/>
    <cellStyle name="Input [yellow] 2 14 6 6 3" xfId="25697"/>
    <cellStyle name="Input [yellow] 2 14 6 6 4" xfId="36862"/>
    <cellStyle name="Input [yellow] 2 14 6 6 5" xfId="48055"/>
    <cellStyle name="Input [yellow] 2 14 6 7" xfId="3966"/>
    <cellStyle name="Input [yellow] 2 14 6 7 2" xfId="15163"/>
    <cellStyle name="Input [yellow] 2 14 6 7 3" xfId="26331"/>
    <cellStyle name="Input [yellow] 2 14 6 7 4" xfId="37496"/>
    <cellStyle name="Input [yellow] 2 14 6 7 5" xfId="48689"/>
    <cellStyle name="Input [yellow] 2 14 6 8" xfId="4599"/>
    <cellStyle name="Input [yellow] 2 14 6 8 2" xfId="15796"/>
    <cellStyle name="Input [yellow] 2 14 6 8 3" xfId="26964"/>
    <cellStyle name="Input [yellow] 2 14 6 8 4" xfId="38129"/>
    <cellStyle name="Input [yellow] 2 14 6 8 5" xfId="49322"/>
    <cellStyle name="Input [yellow] 2 14 6 9" xfId="5230"/>
    <cellStyle name="Input [yellow] 2 14 6 9 2" xfId="16427"/>
    <cellStyle name="Input [yellow] 2 14 6 9 3" xfId="27595"/>
    <cellStyle name="Input [yellow] 2 14 6 9 4" xfId="38760"/>
    <cellStyle name="Input [yellow] 2 14 6 9 5" xfId="49953"/>
    <cellStyle name="Input [yellow] 2 14 7" xfId="458"/>
    <cellStyle name="Input [yellow] 2 14 7 10" xfId="6051"/>
    <cellStyle name="Input [yellow] 2 14 7 10 2" xfId="17248"/>
    <cellStyle name="Input [yellow] 2 14 7 10 3" xfId="28416"/>
    <cellStyle name="Input [yellow] 2 14 7 10 4" xfId="39581"/>
    <cellStyle name="Input [yellow] 2 14 7 10 5" xfId="50774"/>
    <cellStyle name="Input [yellow] 2 14 7 11" xfId="6394"/>
    <cellStyle name="Input [yellow] 2 14 7 11 2" xfId="17591"/>
    <cellStyle name="Input [yellow] 2 14 7 11 3" xfId="28759"/>
    <cellStyle name="Input [yellow] 2 14 7 11 4" xfId="39924"/>
    <cellStyle name="Input [yellow] 2 14 7 11 5" xfId="51117"/>
    <cellStyle name="Input [yellow] 2 14 7 12" xfId="7027"/>
    <cellStyle name="Input [yellow] 2 14 7 12 2" xfId="18224"/>
    <cellStyle name="Input [yellow] 2 14 7 12 3" xfId="29392"/>
    <cellStyle name="Input [yellow] 2 14 7 12 4" xfId="40557"/>
    <cellStyle name="Input [yellow] 2 14 7 12 5" xfId="51750"/>
    <cellStyle name="Input [yellow] 2 14 7 13" xfId="7661"/>
    <cellStyle name="Input [yellow] 2 14 7 13 2" xfId="18858"/>
    <cellStyle name="Input [yellow] 2 14 7 13 3" xfId="30026"/>
    <cellStyle name="Input [yellow] 2 14 7 13 4" xfId="41191"/>
    <cellStyle name="Input [yellow] 2 14 7 13 5" xfId="52384"/>
    <cellStyle name="Input [yellow] 2 14 7 14" xfId="8295"/>
    <cellStyle name="Input [yellow] 2 14 7 14 2" xfId="19492"/>
    <cellStyle name="Input [yellow] 2 14 7 14 3" xfId="30660"/>
    <cellStyle name="Input [yellow] 2 14 7 14 4" xfId="41825"/>
    <cellStyle name="Input [yellow] 2 14 7 14 5" xfId="53018"/>
    <cellStyle name="Input [yellow] 2 14 7 15" xfId="8923"/>
    <cellStyle name="Input [yellow] 2 14 7 15 2" xfId="20120"/>
    <cellStyle name="Input [yellow] 2 14 7 15 3" xfId="31288"/>
    <cellStyle name="Input [yellow] 2 14 7 15 4" xfId="42453"/>
    <cellStyle name="Input [yellow] 2 14 7 15 5" xfId="53646"/>
    <cellStyle name="Input [yellow] 2 14 7 16" xfId="9346"/>
    <cellStyle name="Input [yellow] 2 14 7 16 2" xfId="20543"/>
    <cellStyle name="Input [yellow] 2 14 7 16 3" xfId="31711"/>
    <cellStyle name="Input [yellow] 2 14 7 16 4" xfId="42876"/>
    <cellStyle name="Input [yellow] 2 14 7 16 5" xfId="54069"/>
    <cellStyle name="Input [yellow] 2 14 7 17" xfId="9972"/>
    <cellStyle name="Input [yellow] 2 14 7 17 2" xfId="21169"/>
    <cellStyle name="Input [yellow] 2 14 7 17 3" xfId="32337"/>
    <cellStyle name="Input [yellow] 2 14 7 17 4" xfId="43502"/>
    <cellStyle name="Input [yellow] 2 14 7 17 5" xfId="54695"/>
    <cellStyle name="Input [yellow] 2 14 7 18" xfId="10429"/>
    <cellStyle name="Input [yellow] 2 14 7 18 2" xfId="21626"/>
    <cellStyle name="Input [yellow] 2 14 7 18 3" xfId="32794"/>
    <cellStyle name="Input [yellow] 2 14 7 18 4" xfId="43959"/>
    <cellStyle name="Input [yellow] 2 14 7 18 5" xfId="55152"/>
    <cellStyle name="Input [yellow] 2 14 7 19" xfId="11011"/>
    <cellStyle name="Input [yellow] 2 14 7 19 2" xfId="22208"/>
    <cellStyle name="Input [yellow] 2 14 7 19 3" xfId="33376"/>
    <cellStyle name="Input [yellow] 2 14 7 19 4" xfId="44541"/>
    <cellStyle name="Input [yellow] 2 14 7 19 5" xfId="55734"/>
    <cellStyle name="Input [yellow] 2 14 7 2" xfId="1107"/>
    <cellStyle name="Input [yellow] 2 14 7 2 2" xfId="12304"/>
    <cellStyle name="Input [yellow] 2 14 7 2 3" xfId="23472"/>
    <cellStyle name="Input [yellow] 2 14 7 2 4" xfId="34637"/>
    <cellStyle name="Input [yellow] 2 14 7 2 5" xfId="45830"/>
    <cellStyle name="Input [yellow] 2 14 7 20" xfId="11658"/>
    <cellStyle name="Input [yellow] 2 14 7 21" xfId="22828"/>
    <cellStyle name="Input [yellow] 2 14 7 22" xfId="33995"/>
    <cellStyle name="Input [yellow] 2 14 7 23" xfId="45181"/>
    <cellStyle name="Input [yellow] 2 14 7 3" xfId="1707"/>
    <cellStyle name="Input [yellow] 2 14 7 3 2" xfId="12904"/>
    <cellStyle name="Input [yellow] 2 14 7 3 3" xfId="24072"/>
    <cellStyle name="Input [yellow] 2 14 7 3 4" xfId="35237"/>
    <cellStyle name="Input [yellow] 2 14 7 3 5" xfId="46430"/>
    <cellStyle name="Input [yellow] 2 14 7 4" xfId="2383"/>
    <cellStyle name="Input [yellow] 2 14 7 4 2" xfId="13580"/>
    <cellStyle name="Input [yellow] 2 14 7 4 3" xfId="24748"/>
    <cellStyle name="Input [yellow] 2 14 7 4 4" xfId="35913"/>
    <cellStyle name="Input [yellow] 2 14 7 4 5" xfId="47106"/>
    <cellStyle name="Input [yellow] 2 14 7 5" xfId="2808"/>
    <cellStyle name="Input [yellow] 2 14 7 5 2" xfId="14005"/>
    <cellStyle name="Input [yellow] 2 14 7 5 3" xfId="25173"/>
    <cellStyle name="Input [yellow] 2 14 7 5 4" xfId="36338"/>
    <cellStyle name="Input [yellow] 2 14 7 5 5" xfId="47531"/>
    <cellStyle name="Input [yellow] 2 14 7 6" xfId="3442"/>
    <cellStyle name="Input [yellow] 2 14 7 6 2" xfId="14639"/>
    <cellStyle name="Input [yellow] 2 14 7 6 3" xfId="25807"/>
    <cellStyle name="Input [yellow] 2 14 7 6 4" xfId="36972"/>
    <cellStyle name="Input [yellow] 2 14 7 6 5" xfId="48165"/>
    <cellStyle name="Input [yellow] 2 14 7 7" xfId="4076"/>
    <cellStyle name="Input [yellow] 2 14 7 7 2" xfId="15273"/>
    <cellStyle name="Input [yellow] 2 14 7 7 3" xfId="26441"/>
    <cellStyle name="Input [yellow] 2 14 7 7 4" xfId="37606"/>
    <cellStyle name="Input [yellow] 2 14 7 7 5" xfId="48799"/>
    <cellStyle name="Input [yellow] 2 14 7 8" xfId="4709"/>
    <cellStyle name="Input [yellow] 2 14 7 8 2" xfId="15906"/>
    <cellStyle name="Input [yellow] 2 14 7 8 3" xfId="27074"/>
    <cellStyle name="Input [yellow] 2 14 7 8 4" xfId="38239"/>
    <cellStyle name="Input [yellow] 2 14 7 8 5" xfId="49432"/>
    <cellStyle name="Input [yellow] 2 14 7 9" xfId="5340"/>
    <cellStyle name="Input [yellow] 2 14 7 9 2" xfId="16537"/>
    <cellStyle name="Input [yellow] 2 14 7 9 3" xfId="27705"/>
    <cellStyle name="Input [yellow] 2 14 7 9 4" xfId="38870"/>
    <cellStyle name="Input [yellow] 2 14 7 9 5" xfId="50063"/>
    <cellStyle name="Input [yellow] 2 14 8" xfId="497"/>
    <cellStyle name="Input [yellow] 2 14 8 10" xfId="6141"/>
    <cellStyle name="Input [yellow] 2 14 8 10 2" xfId="17338"/>
    <cellStyle name="Input [yellow] 2 14 8 10 3" xfId="28506"/>
    <cellStyle name="Input [yellow] 2 14 8 10 4" xfId="39671"/>
    <cellStyle name="Input [yellow] 2 14 8 10 5" xfId="50864"/>
    <cellStyle name="Input [yellow] 2 14 8 11" xfId="6433"/>
    <cellStyle name="Input [yellow] 2 14 8 11 2" xfId="17630"/>
    <cellStyle name="Input [yellow] 2 14 8 11 3" xfId="28798"/>
    <cellStyle name="Input [yellow] 2 14 8 11 4" xfId="39963"/>
    <cellStyle name="Input [yellow] 2 14 8 11 5" xfId="51156"/>
    <cellStyle name="Input [yellow] 2 14 8 12" xfId="7066"/>
    <cellStyle name="Input [yellow] 2 14 8 12 2" xfId="18263"/>
    <cellStyle name="Input [yellow] 2 14 8 12 3" xfId="29431"/>
    <cellStyle name="Input [yellow] 2 14 8 12 4" xfId="40596"/>
    <cellStyle name="Input [yellow] 2 14 8 12 5" xfId="51789"/>
    <cellStyle name="Input [yellow] 2 14 8 13" xfId="7700"/>
    <cellStyle name="Input [yellow] 2 14 8 13 2" xfId="18897"/>
    <cellStyle name="Input [yellow] 2 14 8 13 3" xfId="30065"/>
    <cellStyle name="Input [yellow] 2 14 8 13 4" xfId="41230"/>
    <cellStyle name="Input [yellow] 2 14 8 13 5" xfId="52423"/>
    <cellStyle name="Input [yellow] 2 14 8 14" xfId="8334"/>
    <cellStyle name="Input [yellow] 2 14 8 14 2" xfId="19531"/>
    <cellStyle name="Input [yellow] 2 14 8 14 3" xfId="30699"/>
    <cellStyle name="Input [yellow] 2 14 8 14 4" xfId="41864"/>
    <cellStyle name="Input [yellow] 2 14 8 14 5" xfId="53057"/>
    <cellStyle name="Input [yellow] 2 14 8 15" xfId="8962"/>
    <cellStyle name="Input [yellow] 2 14 8 15 2" xfId="20159"/>
    <cellStyle name="Input [yellow] 2 14 8 15 3" xfId="31327"/>
    <cellStyle name="Input [yellow] 2 14 8 15 4" xfId="42492"/>
    <cellStyle name="Input [yellow] 2 14 8 15 5" xfId="53685"/>
    <cellStyle name="Input [yellow] 2 14 8 16" xfId="9385"/>
    <cellStyle name="Input [yellow] 2 14 8 16 2" xfId="20582"/>
    <cellStyle name="Input [yellow] 2 14 8 16 3" xfId="31750"/>
    <cellStyle name="Input [yellow] 2 14 8 16 4" xfId="42915"/>
    <cellStyle name="Input [yellow] 2 14 8 16 5" xfId="54108"/>
    <cellStyle name="Input [yellow] 2 14 8 17" xfId="10010"/>
    <cellStyle name="Input [yellow] 2 14 8 17 2" xfId="21207"/>
    <cellStyle name="Input [yellow] 2 14 8 17 3" xfId="32375"/>
    <cellStyle name="Input [yellow] 2 14 8 17 4" xfId="43540"/>
    <cellStyle name="Input [yellow] 2 14 8 17 5" xfId="54733"/>
    <cellStyle name="Input [yellow] 2 14 8 18" xfId="9904"/>
    <cellStyle name="Input [yellow] 2 14 8 18 2" xfId="21101"/>
    <cellStyle name="Input [yellow] 2 14 8 18 3" xfId="32269"/>
    <cellStyle name="Input [yellow] 2 14 8 18 4" xfId="43434"/>
    <cellStyle name="Input [yellow] 2 14 8 18 5" xfId="54627"/>
    <cellStyle name="Input [yellow] 2 14 8 19" xfId="11050"/>
    <cellStyle name="Input [yellow] 2 14 8 19 2" xfId="22247"/>
    <cellStyle name="Input [yellow] 2 14 8 19 3" xfId="33415"/>
    <cellStyle name="Input [yellow] 2 14 8 19 4" xfId="44580"/>
    <cellStyle name="Input [yellow] 2 14 8 19 5" xfId="55773"/>
    <cellStyle name="Input [yellow] 2 14 8 2" xfId="1146"/>
    <cellStyle name="Input [yellow] 2 14 8 2 2" xfId="12343"/>
    <cellStyle name="Input [yellow] 2 14 8 2 3" xfId="23511"/>
    <cellStyle name="Input [yellow] 2 14 8 2 4" xfId="34676"/>
    <cellStyle name="Input [yellow] 2 14 8 2 5" xfId="45869"/>
    <cellStyle name="Input [yellow] 2 14 8 20" xfId="11697"/>
    <cellStyle name="Input [yellow] 2 14 8 21" xfId="22867"/>
    <cellStyle name="Input [yellow] 2 14 8 22" xfId="34034"/>
    <cellStyle name="Input [yellow] 2 14 8 23" xfId="45220"/>
    <cellStyle name="Input [yellow] 2 14 8 3" xfId="1947"/>
    <cellStyle name="Input [yellow] 2 14 8 3 2" xfId="13144"/>
    <cellStyle name="Input [yellow] 2 14 8 3 3" xfId="24312"/>
    <cellStyle name="Input [yellow] 2 14 8 3 4" xfId="35477"/>
    <cellStyle name="Input [yellow] 2 14 8 3 5" xfId="46670"/>
    <cellStyle name="Input [yellow] 2 14 8 4" xfId="2422"/>
    <cellStyle name="Input [yellow] 2 14 8 4 2" xfId="13619"/>
    <cellStyle name="Input [yellow] 2 14 8 4 3" xfId="24787"/>
    <cellStyle name="Input [yellow] 2 14 8 4 4" xfId="35952"/>
    <cellStyle name="Input [yellow] 2 14 8 4 5" xfId="47145"/>
    <cellStyle name="Input [yellow] 2 14 8 5" xfId="2847"/>
    <cellStyle name="Input [yellow] 2 14 8 5 2" xfId="14044"/>
    <cellStyle name="Input [yellow] 2 14 8 5 3" xfId="25212"/>
    <cellStyle name="Input [yellow] 2 14 8 5 4" xfId="36377"/>
    <cellStyle name="Input [yellow] 2 14 8 5 5" xfId="47570"/>
    <cellStyle name="Input [yellow] 2 14 8 6" xfId="3481"/>
    <cellStyle name="Input [yellow] 2 14 8 6 2" xfId="14678"/>
    <cellStyle name="Input [yellow] 2 14 8 6 3" xfId="25846"/>
    <cellStyle name="Input [yellow] 2 14 8 6 4" xfId="37011"/>
    <cellStyle name="Input [yellow] 2 14 8 6 5" xfId="48204"/>
    <cellStyle name="Input [yellow] 2 14 8 7" xfId="4115"/>
    <cellStyle name="Input [yellow] 2 14 8 7 2" xfId="15312"/>
    <cellStyle name="Input [yellow] 2 14 8 7 3" xfId="26480"/>
    <cellStyle name="Input [yellow] 2 14 8 7 4" xfId="37645"/>
    <cellStyle name="Input [yellow] 2 14 8 7 5" xfId="48838"/>
    <cellStyle name="Input [yellow] 2 14 8 8" xfId="4748"/>
    <cellStyle name="Input [yellow] 2 14 8 8 2" xfId="15945"/>
    <cellStyle name="Input [yellow] 2 14 8 8 3" xfId="27113"/>
    <cellStyle name="Input [yellow] 2 14 8 8 4" xfId="38278"/>
    <cellStyle name="Input [yellow] 2 14 8 8 5" xfId="49471"/>
    <cellStyle name="Input [yellow] 2 14 8 9" xfId="5379"/>
    <cellStyle name="Input [yellow] 2 14 8 9 2" xfId="16576"/>
    <cellStyle name="Input [yellow] 2 14 8 9 3" xfId="27744"/>
    <cellStyle name="Input [yellow] 2 14 8 9 4" xfId="38909"/>
    <cellStyle name="Input [yellow] 2 14 8 9 5" xfId="50102"/>
    <cellStyle name="Input [yellow] 2 14 9" xfId="555"/>
    <cellStyle name="Input [yellow] 2 14 9 10" xfId="5857"/>
    <cellStyle name="Input [yellow] 2 14 9 10 2" xfId="17054"/>
    <cellStyle name="Input [yellow] 2 14 9 10 3" xfId="28222"/>
    <cellStyle name="Input [yellow] 2 14 9 10 4" xfId="39387"/>
    <cellStyle name="Input [yellow] 2 14 9 10 5" xfId="50580"/>
    <cellStyle name="Input [yellow] 2 14 9 11" xfId="6491"/>
    <cellStyle name="Input [yellow] 2 14 9 11 2" xfId="17688"/>
    <cellStyle name="Input [yellow] 2 14 9 11 3" xfId="28856"/>
    <cellStyle name="Input [yellow] 2 14 9 11 4" xfId="40021"/>
    <cellStyle name="Input [yellow] 2 14 9 11 5" xfId="51214"/>
    <cellStyle name="Input [yellow] 2 14 9 12" xfId="7124"/>
    <cellStyle name="Input [yellow] 2 14 9 12 2" xfId="18321"/>
    <cellStyle name="Input [yellow] 2 14 9 12 3" xfId="29489"/>
    <cellStyle name="Input [yellow] 2 14 9 12 4" xfId="40654"/>
    <cellStyle name="Input [yellow] 2 14 9 12 5" xfId="51847"/>
    <cellStyle name="Input [yellow] 2 14 9 13" xfId="7758"/>
    <cellStyle name="Input [yellow] 2 14 9 13 2" xfId="18955"/>
    <cellStyle name="Input [yellow] 2 14 9 13 3" xfId="30123"/>
    <cellStyle name="Input [yellow] 2 14 9 13 4" xfId="41288"/>
    <cellStyle name="Input [yellow] 2 14 9 13 5" xfId="52481"/>
    <cellStyle name="Input [yellow] 2 14 9 14" xfId="8392"/>
    <cellStyle name="Input [yellow] 2 14 9 14 2" xfId="19589"/>
    <cellStyle name="Input [yellow] 2 14 9 14 3" xfId="30757"/>
    <cellStyle name="Input [yellow] 2 14 9 14 4" xfId="41922"/>
    <cellStyle name="Input [yellow] 2 14 9 14 5" xfId="53115"/>
    <cellStyle name="Input [yellow] 2 14 9 15" xfId="9020"/>
    <cellStyle name="Input [yellow] 2 14 9 15 2" xfId="20217"/>
    <cellStyle name="Input [yellow] 2 14 9 15 3" xfId="31385"/>
    <cellStyle name="Input [yellow] 2 14 9 15 4" xfId="42550"/>
    <cellStyle name="Input [yellow] 2 14 9 15 5" xfId="53743"/>
    <cellStyle name="Input [yellow] 2 14 9 16" xfId="9443"/>
    <cellStyle name="Input [yellow] 2 14 9 16 2" xfId="20640"/>
    <cellStyle name="Input [yellow] 2 14 9 16 3" xfId="31808"/>
    <cellStyle name="Input [yellow] 2 14 9 16 4" xfId="42973"/>
    <cellStyle name="Input [yellow] 2 14 9 16 5" xfId="54166"/>
    <cellStyle name="Input [yellow] 2 14 9 17" xfId="10068"/>
    <cellStyle name="Input [yellow] 2 14 9 17 2" xfId="21265"/>
    <cellStyle name="Input [yellow] 2 14 9 17 3" xfId="32433"/>
    <cellStyle name="Input [yellow] 2 14 9 17 4" xfId="43598"/>
    <cellStyle name="Input [yellow] 2 14 9 17 5" xfId="54791"/>
    <cellStyle name="Input [yellow] 2 14 9 18" xfId="10057"/>
    <cellStyle name="Input [yellow] 2 14 9 18 2" xfId="21254"/>
    <cellStyle name="Input [yellow] 2 14 9 18 3" xfId="32422"/>
    <cellStyle name="Input [yellow] 2 14 9 18 4" xfId="43587"/>
    <cellStyle name="Input [yellow] 2 14 9 18 5" xfId="54780"/>
    <cellStyle name="Input [yellow] 2 14 9 19" xfId="11108"/>
    <cellStyle name="Input [yellow] 2 14 9 19 2" xfId="22305"/>
    <cellStyle name="Input [yellow] 2 14 9 19 3" xfId="33473"/>
    <cellStyle name="Input [yellow] 2 14 9 19 4" xfId="44638"/>
    <cellStyle name="Input [yellow] 2 14 9 19 5" xfId="55831"/>
    <cellStyle name="Input [yellow] 2 14 9 2" xfId="1204"/>
    <cellStyle name="Input [yellow] 2 14 9 2 2" xfId="12401"/>
    <cellStyle name="Input [yellow] 2 14 9 2 3" xfId="23569"/>
    <cellStyle name="Input [yellow] 2 14 9 2 4" xfId="34734"/>
    <cellStyle name="Input [yellow] 2 14 9 2 5" xfId="45927"/>
    <cellStyle name="Input [yellow] 2 14 9 20" xfId="11755"/>
    <cellStyle name="Input [yellow] 2 14 9 21" xfId="22925"/>
    <cellStyle name="Input [yellow] 2 14 9 22" xfId="34092"/>
    <cellStyle name="Input [yellow] 2 14 9 23" xfId="45278"/>
    <cellStyle name="Input [yellow] 2 14 9 3" xfId="1879"/>
    <cellStyle name="Input [yellow] 2 14 9 3 2" xfId="13076"/>
    <cellStyle name="Input [yellow] 2 14 9 3 3" xfId="24244"/>
    <cellStyle name="Input [yellow] 2 14 9 3 4" xfId="35409"/>
    <cellStyle name="Input [yellow] 2 14 9 3 5" xfId="46602"/>
    <cellStyle name="Input [yellow] 2 14 9 4" xfId="2480"/>
    <cellStyle name="Input [yellow] 2 14 9 4 2" xfId="13677"/>
    <cellStyle name="Input [yellow] 2 14 9 4 3" xfId="24845"/>
    <cellStyle name="Input [yellow] 2 14 9 4 4" xfId="36010"/>
    <cellStyle name="Input [yellow] 2 14 9 4 5" xfId="47203"/>
    <cellStyle name="Input [yellow] 2 14 9 5" xfId="2905"/>
    <cellStyle name="Input [yellow] 2 14 9 5 2" xfId="14102"/>
    <cellStyle name="Input [yellow] 2 14 9 5 3" xfId="25270"/>
    <cellStyle name="Input [yellow] 2 14 9 5 4" xfId="36435"/>
    <cellStyle name="Input [yellow] 2 14 9 5 5" xfId="47628"/>
    <cellStyle name="Input [yellow] 2 14 9 6" xfId="3539"/>
    <cellStyle name="Input [yellow] 2 14 9 6 2" xfId="14736"/>
    <cellStyle name="Input [yellow] 2 14 9 6 3" xfId="25904"/>
    <cellStyle name="Input [yellow] 2 14 9 6 4" xfId="37069"/>
    <cellStyle name="Input [yellow] 2 14 9 6 5" xfId="48262"/>
    <cellStyle name="Input [yellow] 2 14 9 7" xfId="4173"/>
    <cellStyle name="Input [yellow] 2 14 9 7 2" xfId="15370"/>
    <cellStyle name="Input [yellow] 2 14 9 7 3" xfId="26538"/>
    <cellStyle name="Input [yellow] 2 14 9 7 4" xfId="37703"/>
    <cellStyle name="Input [yellow] 2 14 9 7 5" xfId="48896"/>
    <cellStyle name="Input [yellow] 2 14 9 8" xfId="4806"/>
    <cellStyle name="Input [yellow] 2 14 9 8 2" xfId="16003"/>
    <cellStyle name="Input [yellow] 2 14 9 8 3" xfId="27171"/>
    <cellStyle name="Input [yellow] 2 14 9 8 4" xfId="38336"/>
    <cellStyle name="Input [yellow] 2 14 9 8 5" xfId="49529"/>
    <cellStyle name="Input [yellow] 2 14 9 9" xfId="5437"/>
    <cellStyle name="Input [yellow] 2 14 9 9 2" xfId="16634"/>
    <cellStyle name="Input [yellow] 2 14 9 9 3" xfId="27802"/>
    <cellStyle name="Input [yellow] 2 14 9 9 4" xfId="38967"/>
    <cellStyle name="Input [yellow] 2 14 9 9 5" xfId="50160"/>
    <cellStyle name="Input [yellow] 2 15" xfId="94"/>
    <cellStyle name="Input [yellow] 2 15 10" xfId="558"/>
    <cellStyle name="Input [yellow] 2 15 10 10" xfId="5909"/>
    <cellStyle name="Input [yellow] 2 15 10 10 2" xfId="17106"/>
    <cellStyle name="Input [yellow] 2 15 10 10 3" xfId="28274"/>
    <cellStyle name="Input [yellow] 2 15 10 10 4" xfId="39439"/>
    <cellStyle name="Input [yellow] 2 15 10 10 5" xfId="50632"/>
    <cellStyle name="Input [yellow] 2 15 10 11" xfId="6494"/>
    <cellStyle name="Input [yellow] 2 15 10 11 2" xfId="17691"/>
    <cellStyle name="Input [yellow] 2 15 10 11 3" xfId="28859"/>
    <cellStyle name="Input [yellow] 2 15 10 11 4" xfId="40024"/>
    <cellStyle name="Input [yellow] 2 15 10 11 5" xfId="51217"/>
    <cellStyle name="Input [yellow] 2 15 10 12" xfId="7127"/>
    <cellStyle name="Input [yellow] 2 15 10 12 2" xfId="18324"/>
    <cellStyle name="Input [yellow] 2 15 10 12 3" xfId="29492"/>
    <cellStyle name="Input [yellow] 2 15 10 12 4" xfId="40657"/>
    <cellStyle name="Input [yellow] 2 15 10 12 5" xfId="51850"/>
    <cellStyle name="Input [yellow] 2 15 10 13" xfId="7761"/>
    <cellStyle name="Input [yellow] 2 15 10 13 2" xfId="18958"/>
    <cellStyle name="Input [yellow] 2 15 10 13 3" xfId="30126"/>
    <cellStyle name="Input [yellow] 2 15 10 13 4" xfId="41291"/>
    <cellStyle name="Input [yellow] 2 15 10 13 5" xfId="52484"/>
    <cellStyle name="Input [yellow] 2 15 10 14" xfId="8395"/>
    <cellStyle name="Input [yellow] 2 15 10 14 2" xfId="19592"/>
    <cellStyle name="Input [yellow] 2 15 10 14 3" xfId="30760"/>
    <cellStyle name="Input [yellow] 2 15 10 14 4" xfId="41925"/>
    <cellStyle name="Input [yellow] 2 15 10 14 5" xfId="53118"/>
    <cellStyle name="Input [yellow] 2 15 10 15" xfId="9023"/>
    <cellStyle name="Input [yellow] 2 15 10 15 2" xfId="20220"/>
    <cellStyle name="Input [yellow] 2 15 10 15 3" xfId="31388"/>
    <cellStyle name="Input [yellow] 2 15 10 15 4" xfId="42553"/>
    <cellStyle name="Input [yellow] 2 15 10 15 5" xfId="53746"/>
    <cellStyle name="Input [yellow] 2 15 10 16" xfId="9446"/>
    <cellStyle name="Input [yellow] 2 15 10 16 2" xfId="20643"/>
    <cellStyle name="Input [yellow] 2 15 10 16 3" xfId="31811"/>
    <cellStyle name="Input [yellow] 2 15 10 16 4" xfId="42976"/>
    <cellStyle name="Input [yellow] 2 15 10 16 5" xfId="54169"/>
    <cellStyle name="Input [yellow] 2 15 10 17" xfId="10071"/>
    <cellStyle name="Input [yellow] 2 15 10 17 2" xfId="21268"/>
    <cellStyle name="Input [yellow] 2 15 10 17 3" xfId="32436"/>
    <cellStyle name="Input [yellow] 2 15 10 17 4" xfId="43601"/>
    <cellStyle name="Input [yellow] 2 15 10 17 5" xfId="54794"/>
    <cellStyle name="Input [yellow] 2 15 10 18" xfId="10520"/>
    <cellStyle name="Input [yellow] 2 15 10 18 2" xfId="21717"/>
    <cellStyle name="Input [yellow] 2 15 10 18 3" xfId="32885"/>
    <cellStyle name="Input [yellow] 2 15 10 18 4" xfId="44050"/>
    <cellStyle name="Input [yellow] 2 15 10 18 5" xfId="55243"/>
    <cellStyle name="Input [yellow] 2 15 10 19" xfId="11111"/>
    <cellStyle name="Input [yellow] 2 15 10 19 2" xfId="22308"/>
    <cellStyle name="Input [yellow] 2 15 10 19 3" xfId="33476"/>
    <cellStyle name="Input [yellow] 2 15 10 19 4" xfId="44641"/>
    <cellStyle name="Input [yellow] 2 15 10 19 5" xfId="55834"/>
    <cellStyle name="Input [yellow] 2 15 10 2" xfId="1207"/>
    <cellStyle name="Input [yellow] 2 15 10 2 2" xfId="12404"/>
    <cellStyle name="Input [yellow] 2 15 10 2 3" xfId="23572"/>
    <cellStyle name="Input [yellow] 2 15 10 2 4" xfId="34737"/>
    <cellStyle name="Input [yellow] 2 15 10 2 5" xfId="45930"/>
    <cellStyle name="Input [yellow] 2 15 10 20" xfId="11758"/>
    <cellStyle name="Input [yellow] 2 15 10 21" xfId="22928"/>
    <cellStyle name="Input [yellow] 2 15 10 22" xfId="34095"/>
    <cellStyle name="Input [yellow] 2 15 10 23" xfId="45281"/>
    <cellStyle name="Input [yellow] 2 15 10 3" xfId="1716"/>
    <cellStyle name="Input [yellow] 2 15 10 3 2" xfId="12913"/>
    <cellStyle name="Input [yellow] 2 15 10 3 3" xfId="24081"/>
    <cellStyle name="Input [yellow] 2 15 10 3 4" xfId="35246"/>
    <cellStyle name="Input [yellow] 2 15 10 3 5" xfId="46439"/>
    <cellStyle name="Input [yellow] 2 15 10 4" xfId="2483"/>
    <cellStyle name="Input [yellow] 2 15 10 4 2" xfId="13680"/>
    <cellStyle name="Input [yellow] 2 15 10 4 3" xfId="24848"/>
    <cellStyle name="Input [yellow] 2 15 10 4 4" xfId="36013"/>
    <cellStyle name="Input [yellow] 2 15 10 4 5" xfId="47206"/>
    <cellStyle name="Input [yellow] 2 15 10 5" xfId="2908"/>
    <cellStyle name="Input [yellow] 2 15 10 5 2" xfId="14105"/>
    <cellStyle name="Input [yellow] 2 15 10 5 3" xfId="25273"/>
    <cellStyle name="Input [yellow] 2 15 10 5 4" xfId="36438"/>
    <cellStyle name="Input [yellow] 2 15 10 5 5" xfId="47631"/>
    <cellStyle name="Input [yellow] 2 15 10 6" xfId="3542"/>
    <cellStyle name="Input [yellow] 2 15 10 6 2" xfId="14739"/>
    <cellStyle name="Input [yellow] 2 15 10 6 3" xfId="25907"/>
    <cellStyle name="Input [yellow] 2 15 10 6 4" xfId="37072"/>
    <cellStyle name="Input [yellow] 2 15 10 6 5" xfId="48265"/>
    <cellStyle name="Input [yellow] 2 15 10 7" xfId="4176"/>
    <cellStyle name="Input [yellow] 2 15 10 7 2" xfId="15373"/>
    <cellStyle name="Input [yellow] 2 15 10 7 3" xfId="26541"/>
    <cellStyle name="Input [yellow] 2 15 10 7 4" xfId="37706"/>
    <cellStyle name="Input [yellow] 2 15 10 7 5" xfId="48899"/>
    <cellStyle name="Input [yellow] 2 15 10 8" xfId="4809"/>
    <cellStyle name="Input [yellow] 2 15 10 8 2" xfId="16006"/>
    <cellStyle name="Input [yellow] 2 15 10 8 3" xfId="27174"/>
    <cellStyle name="Input [yellow] 2 15 10 8 4" xfId="38339"/>
    <cellStyle name="Input [yellow] 2 15 10 8 5" xfId="49532"/>
    <cellStyle name="Input [yellow] 2 15 10 9" xfId="5440"/>
    <cellStyle name="Input [yellow] 2 15 10 9 2" xfId="16637"/>
    <cellStyle name="Input [yellow] 2 15 10 9 3" xfId="27805"/>
    <cellStyle name="Input [yellow] 2 15 10 9 4" xfId="38970"/>
    <cellStyle name="Input [yellow] 2 15 10 9 5" xfId="50163"/>
    <cellStyle name="Input [yellow] 2 15 11" xfId="671"/>
    <cellStyle name="Input [yellow] 2 15 11 10" xfId="5564"/>
    <cellStyle name="Input [yellow] 2 15 11 10 2" xfId="16761"/>
    <cellStyle name="Input [yellow] 2 15 11 10 3" xfId="27929"/>
    <cellStyle name="Input [yellow] 2 15 11 10 4" xfId="39094"/>
    <cellStyle name="Input [yellow] 2 15 11 10 5" xfId="50287"/>
    <cellStyle name="Input [yellow] 2 15 11 11" xfId="6607"/>
    <cellStyle name="Input [yellow] 2 15 11 11 2" xfId="17804"/>
    <cellStyle name="Input [yellow] 2 15 11 11 3" xfId="28972"/>
    <cellStyle name="Input [yellow] 2 15 11 11 4" xfId="40137"/>
    <cellStyle name="Input [yellow] 2 15 11 11 5" xfId="51330"/>
    <cellStyle name="Input [yellow] 2 15 11 12" xfId="7240"/>
    <cellStyle name="Input [yellow] 2 15 11 12 2" xfId="18437"/>
    <cellStyle name="Input [yellow] 2 15 11 12 3" xfId="29605"/>
    <cellStyle name="Input [yellow] 2 15 11 12 4" xfId="40770"/>
    <cellStyle name="Input [yellow] 2 15 11 12 5" xfId="51963"/>
    <cellStyle name="Input [yellow] 2 15 11 13" xfId="7874"/>
    <cellStyle name="Input [yellow] 2 15 11 13 2" xfId="19071"/>
    <cellStyle name="Input [yellow] 2 15 11 13 3" xfId="30239"/>
    <cellStyle name="Input [yellow] 2 15 11 13 4" xfId="41404"/>
    <cellStyle name="Input [yellow] 2 15 11 13 5" xfId="52597"/>
    <cellStyle name="Input [yellow] 2 15 11 14" xfId="8508"/>
    <cellStyle name="Input [yellow] 2 15 11 14 2" xfId="19705"/>
    <cellStyle name="Input [yellow] 2 15 11 14 3" xfId="30873"/>
    <cellStyle name="Input [yellow] 2 15 11 14 4" xfId="42038"/>
    <cellStyle name="Input [yellow] 2 15 11 14 5" xfId="53231"/>
    <cellStyle name="Input [yellow] 2 15 11 15" xfId="9136"/>
    <cellStyle name="Input [yellow] 2 15 11 15 2" xfId="20333"/>
    <cellStyle name="Input [yellow] 2 15 11 15 3" xfId="31501"/>
    <cellStyle name="Input [yellow] 2 15 11 15 4" xfId="42666"/>
    <cellStyle name="Input [yellow] 2 15 11 15 5" xfId="53859"/>
    <cellStyle name="Input [yellow] 2 15 11 16" xfId="9559"/>
    <cellStyle name="Input [yellow] 2 15 11 16 2" xfId="20756"/>
    <cellStyle name="Input [yellow] 2 15 11 16 3" xfId="31924"/>
    <cellStyle name="Input [yellow] 2 15 11 16 4" xfId="43089"/>
    <cellStyle name="Input [yellow] 2 15 11 16 5" xfId="54282"/>
    <cellStyle name="Input [yellow] 2 15 11 17" xfId="10183"/>
    <cellStyle name="Input [yellow] 2 15 11 17 2" xfId="21380"/>
    <cellStyle name="Input [yellow] 2 15 11 17 3" xfId="32548"/>
    <cellStyle name="Input [yellow] 2 15 11 17 4" xfId="43713"/>
    <cellStyle name="Input [yellow] 2 15 11 17 5" xfId="54906"/>
    <cellStyle name="Input [yellow] 2 15 11 18" xfId="9569"/>
    <cellStyle name="Input [yellow] 2 15 11 18 2" xfId="20766"/>
    <cellStyle name="Input [yellow] 2 15 11 18 3" xfId="31934"/>
    <cellStyle name="Input [yellow] 2 15 11 18 4" xfId="43099"/>
    <cellStyle name="Input [yellow] 2 15 11 18 5" xfId="54292"/>
    <cellStyle name="Input [yellow] 2 15 11 19" xfId="11224"/>
    <cellStyle name="Input [yellow] 2 15 11 19 2" xfId="22421"/>
    <cellStyle name="Input [yellow] 2 15 11 19 3" xfId="33589"/>
    <cellStyle name="Input [yellow] 2 15 11 19 4" xfId="44754"/>
    <cellStyle name="Input [yellow] 2 15 11 19 5" xfId="55947"/>
    <cellStyle name="Input [yellow] 2 15 11 2" xfId="1320"/>
    <cellStyle name="Input [yellow] 2 15 11 2 2" xfId="12517"/>
    <cellStyle name="Input [yellow] 2 15 11 2 3" xfId="23685"/>
    <cellStyle name="Input [yellow] 2 15 11 2 4" xfId="34850"/>
    <cellStyle name="Input [yellow] 2 15 11 2 5" xfId="46043"/>
    <cellStyle name="Input [yellow] 2 15 11 20" xfId="11871"/>
    <cellStyle name="Input [yellow] 2 15 11 21" xfId="23041"/>
    <cellStyle name="Input [yellow] 2 15 11 22" xfId="34208"/>
    <cellStyle name="Input [yellow] 2 15 11 23" xfId="45394"/>
    <cellStyle name="Input [yellow] 2 15 11 3" xfId="680"/>
    <cellStyle name="Input [yellow] 2 15 11 3 2" xfId="11880"/>
    <cellStyle name="Input [yellow] 2 15 11 3 3" xfId="23050"/>
    <cellStyle name="Input [yellow] 2 15 11 3 4" xfId="34217"/>
    <cellStyle name="Input [yellow] 2 15 11 3 5" xfId="45403"/>
    <cellStyle name="Input [yellow] 2 15 11 4" xfId="2595"/>
    <cellStyle name="Input [yellow] 2 15 11 4 2" xfId="13792"/>
    <cellStyle name="Input [yellow] 2 15 11 4 3" xfId="24960"/>
    <cellStyle name="Input [yellow] 2 15 11 4 4" xfId="36125"/>
    <cellStyle name="Input [yellow] 2 15 11 4 5" xfId="47318"/>
    <cellStyle name="Input [yellow] 2 15 11 5" xfId="3021"/>
    <cellStyle name="Input [yellow] 2 15 11 5 2" xfId="14218"/>
    <cellStyle name="Input [yellow] 2 15 11 5 3" xfId="25386"/>
    <cellStyle name="Input [yellow] 2 15 11 5 4" xfId="36551"/>
    <cellStyle name="Input [yellow] 2 15 11 5 5" xfId="47744"/>
    <cellStyle name="Input [yellow] 2 15 11 6" xfId="3655"/>
    <cellStyle name="Input [yellow] 2 15 11 6 2" xfId="14852"/>
    <cellStyle name="Input [yellow] 2 15 11 6 3" xfId="26020"/>
    <cellStyle name="Input [yellow] 2 15 11 6 4" xfId="37185"/>
    <cellStyle name="Input [yellow] 2 15 11 6 5" xfId="48378"/>
    <cellStyle name="Input [yellow] 2 15 11 7" xfId="4289"/>
    <cellStyle name="Input [yellow] 2 15 11 7 2" xfId="15486"/>
    <cellStyle name="Input [yellow] 2 15 11 7 3" xfId="26654"/>
    <cellStyle name="Input [yellow] 2 15 11 7 4" xfId="37819"/>
    <cellStyle name="Input [yellow] 2 15 11 7 5" xfId="49012"/>
    <cellStyle name="Input [yellow] 2 15 11 8" xfId="4922"/>
    <cellStyle name="Input [yellow] 2 15 11 8 2" xfId="16119"/>
    <cellStyle name="Input [yellow] 2 15 11 8 3" xfId="27287"/>
    <cellStyle name="Input [yellow] 2 15 11 8 4" xfId="38452"/>
    <cellStyle name="Input [yellow] 2 15 11 8 5" xfId="49645"/>
    <cellStyle name="Input [yellow] 2 15 11 9" xfId="5553"/>
    <cellStyle name="Input [yellow] 2 15 11 9 2" xfId="16750"/>
    <cellStyle name="Input [yellow] 2 15 11 9 3" xfId="27918"/>
    <cellStyle name="Input [yellow] 2 15 11 9 4" xfId="39083"/>
    <cellStyle name="Input [yellow] 2 15 11 9 5" xfId="50276"/>
    <cellStyle name="Input [yellow] 2 15 12" xfId="743"/>
    <cellStyle name="Input [yellow] 2 15 12 2" xfId="11940"/>
    <cellStyle name="Input [yellow] 2 15 12 3" xfId="23108"/>
    <cellStyle name="Input [yellow] 2 15 12 4" xfId="34273"/>
    <cellStyle name="Input [yellow] 2 15 12 5" xfId="45466"/>
    <cellStyle name="Input [yellow] 2 15 13" xfId="1414"/>
    <cellStyle name="Input [yellow] 2 15 13 2" xfId="12611"/>
    <cellStyle name="Input [yellow] 2 15 13 3" xfId="23779"/>
    <cellStyle name="Input [yellow] 2 15 13 4" xfId="34944"/>
    <cellStyle name="Input [yellow] 2 15 13 5" xfId="46137"/>
    <cellStyle name="Input [yellow] 2 15 14" xfId="2020"/>
    <cellStyle name="Input [yellow] 2 15 14 2" xfId="13217"/>
    <cellStyle name="Input [yellow] 2 15 14 3" xfId="24385"/>
    <cellStyle name="Input [yellow] 2 15 14 4" xfId="35550"/>
    <cellStyle name="Input [yellow] 2 15 14 5" xfId="46743"/>
    <cellStyle name="Input [yellow] 2 15 15" xfId="2560"/>
    <cellStyle name="Input [yellow] 2 15 15 2" xfId="13757"/>
    <cellStyle name="Input [yellow] 2 15 15 3" xfId="24925"/>
    <cellStyle name="Input [yellow] 2 15 15 4" xfId="36090"/>
    <cellStyle name="Input [yellow] 2 15 15 5" xfId="47283"/>
    <cellStyle name="Input [yellow] 2 15 16" xfId="3078"/>
    <cellStyle name="Input [yellow] 2 15 16 2" xfId="14275"/>
    <cellStyle name="Input [yellow] 2 15 16 3" xfId="25443"/>
    <cellStyle name="Input [yellow] 2 15 16 4" xfId="36608"/>
    <cellStyle name="Input [yellow] 2 15 16 5" xfId="47801"/>
    <cellStyle name="Input [yellow] 2 15 17" xfId="3712"/>
    <cellStyle name="Input [yellow] 2 15 17 2" xfId="14909"/>
    <cellStyle name="Input [yellow] 2 15 17 3" xfId="26077"/>
    <cellStyle name="Input [yellow] 2 15 17 4" xfId="37242"/>
    <cellStyle name="Input [yellow] 2 15 17 5" xfId="48435"/>
    <cellStyle name="Input [yellow] 2 15 18" xfId="4345"/>
    <cellStyle name="Input [yellow] 2 15 18 2" xfId="15542"/>
    <cellStyle name="Input [yellow] 2 15 18 3" xfId="26710"/>
    <cellStyle name="Input [yellow] 2 15 18 4" xfId="37875"/>
    <cellStyle name="Input [yellow] 2 15 18 5" xfId="49068"/>
    <cellStyle name="Input [yellow] 2 15 19" xfId="4976"/>
    <cellStyle name="Input [yellow] 2 15 19 2" xfId="16173"/>
    <cellStyle name="Input [yellow] 2 15 19 3" xfId="27341"/>
    <cellStyle name="Input [yellow] 2 15 19 4" xfId="38506"/>
    <cellStyle name="Input [yellow] 2 15 19 5" xfId="49699"/>
    <cellStyle name="Input [yellow] 2 15 2" xfId="157"/>
    <cellStyle name="Input [yellow] 2 15 2 10" xfId="5628"/>
    <cellStyle name="Input [yellow] 2 15 2 10 2" xfId="16825"/>
    <cellStyle name="Input [yellow] 2 15 2 10 3" xfId="27993"/>
    <cellStyle name="Input [yellow] 2 15 2 10 4" xfId="39158"/>
    <cellStyle name="Input [yellow] 2 15 2 10 5" xfId="50351"/>
    <cellStyle name="Input [yellow] 2 15 2 11" xfId="5675"/>
    <cellStyle name="Input [yellow] 2 15 2 11 2" xfId="16872"/>
    <cellStyle name="Input [yellow] 2 15 2 11 3" xfId="28040"/>
    <cellStyle name="Input [yellow] 2 15 2 11 4" xfId="39205"/>
    <cellStyle name="Input [yellow] 2 15 2 11 5" xfId="50398"/>
    <cellStyle name="Input [yellow] 2 15 2 12" xfId="6726"/>
    <cellStyle name="Input [yellow] 2 15 2 12 2" xfId="17923"/>
    <cellStyle name="Input [yellow] 2 15 2 12 3" xfId="29091"/>
    <cellStyle name="Input [yellow] 2 15 2 12 4" xfId="40256"/>
    <cellStyle name="Input [yellow] 2 15 2 12 5" xfId="51449"/>
    <cellStyle name="Input [yellow] 2 15 2 13" xfId="7360"/>
    <cellStyle name="Input [yellow] 2 15 2 13 2" xfId="18557"/>
    <cellStyle name="Input [yellow] 2 15 2 13 3" xfId="29725"/>
    <cellStyle name="Input [yellow] 2 15 2 13 4" xfId="40890"/>
    <cellStyle name="Input [yellow] 2 15 2 13 5" xfId="52083"/>
    <cellStyle name="Input [yellow] 2 15 2 14" xfId="7994"/>
    <cellStyle name="Input [yellow] 2 15 2 14 2" xfId="19191"/>
    <cellStyle name="Input [yellow] 2 15 2 14 3" xfId="30359"/>
    <cellStyle name="Input [yellow] 2 15 2 14 4" xfId="41524"/>
    <cellStyle name="Input [yellow] 2 15 2 14 5" xfId="52717"/>
    <cellStyle name="Input [yellow] 2 15 2 15" xfId="8625"/>
    <cellStyle name="Input [yellow] 2 15 2 15 2" xfId="19822"/>
    <cellStyle name="Input [yellow] 2 15 2 15 3" xfId="30990"/>
    <cellStyle name="Input [yellow] 2 15 2 15 4" xfId="42155"/>
    <cellStyle name="Input [yellow] 2 15 2 15 5" xfId="53348"/>
    <cellStyle name="Input [yellow] 2 15 2 16" xfId="8980"/>
    <cellStyle name="Input [yellow] 2 15 2 16 2" xfId="20177"/>
    <cellStyle name="Input [yellow] 2 15 2 16 3" xfId="31345"/>
    <cellStyle name="Input [yellow] 2 15 2 16 4" xfId="42510"/>
    <cellStyle name="Input [yellow] 2 15 2 16 5" xfId="53703"/>
    <cellStyle name="Input [yellow] 2 15 2 17" xfId="9678"/>
    <cellStyle name="Input [yellow] 2 15 2 17 2" xfId="20875"/>
    <cellStyle name="Input [yellow] 2 15 2 17 3" xfId="32043"/>
    <cellStyle name="Input [yellow] 2 15 2 17 4" xfId="43208"/>
    <cellStyle name="Input [yellow] 2 15 2 17 5" xfId="54401"/>
    <cellStyle name="Input [yellow] 2 15 2 18" xfId="10270"/>
    <cellStyle name="Input [yellow] 2 15 2 18 2" xfId="21467"/>
    <cellStyle name="Input [yellow] 2 15 2 18 3" xfId="32635"/>
    <cellStyle name="Input [yellow] 2 15 2 18 4" xfId="43800"/>
    <cellStyle name="Input [yellow] 2 15 2 18 5" xfId="54993"/>
    <cellStyle name="Input [yellow] 2 15 2 19" xfId="10710"/>
    <cellStyle name="Input [yellow] 2 15 2 19 2" xfId="21907"/>
    <cellStyle name="Input [yellow] 2 15 2 19 3" xfId="33075"/>
    <cellStyle name="Input [yellow] 2 15 2 19 4" xfId="44240"/>
    <cellStyle name="Input [yellow] 2 15 2 19 5" xfId="55433"/>
    <cellStyle name="Input [yellow] 2 15 2 2" xfId="806"/>
    <cellStyle name="Input [yellow] 2 15 2 2 2" xfId="12003"/>
    <cellStyle name="Input [yellow] 2 15 2 2 3" xfId="23171"/>
    <cellStyle name="Input [yellow] 2 15 2 2 4" xfId="34336"/>
    <cellStyle name="Input [yellow] 2 15 2 2 5" xfId="45529"/>
    <cellStyle name="Input [yellow] 2 15 2 20" xfId="11357"/>
    <cellStyle name="Input [yellow] 2 15 2 21" xfId="22527"/>
    <cellStyle name="Input [yellow] 2 15 2 22" xfId="33694"/>
    <cellStyle name="Input [yellow] 2 15 2 23" xfId="44880"/>
    <cellStyle name="Input [yellow] 2 15 2 3" xfId="1542"/>
    <cellStyle name="Input [yellow] 2 15 2 3 2" xfId="12739"/>
    <cellStyle name="Input [yellow] 2 15 2 3 3" xfId="23907"/>
    <cellStyle name="Input [yellow] 2 15 2 3 4" xfId="35072"/>
    <cellStyle name="Input [yellow] 2 15 2 3 5" xfId="46265"/>
    <cellStyle name="Input [yellow] 2 15 2 4" xfId="2083"/>
    <cellStyle name="Input [yellow] 2 15 2 4 2" xfId="13280"/>
    <cellStyle name="Input [yellow] 2 15 2 4 3" xfId="24448"/>
    <cellStyle name="Input [yellow] 2 15 2 4 4" xfId="35613"/>
    <cellStyle name="Input [yellow] 2 15 2 4 5" xfId="46806"/>
    <cellStyle name="Input [yellow] 2 15 2 5" xfId="2221"/>
    <cellStyle name="Input [yellow] 2 15 2 5 2" xfId="13418"/>
    <cellStyle name="Input [yellow] 2 15 2 5 3" xfId="24586"/>
    <cellStyle name="Input [yellow] 2 15 2 5 4" xfId="35751"/>
    <cellStyle name="Input [yellow] 2 15 2 5 5" xfId="46944"/>
    <cellStyle name="Input [yellow] 2 15 2 6" xfId="3141"/>
    <cellStyle name="Input [yellow] 2 15 2 6 2" xfId="14338"/>
    <cellStyle name="Input [yellow] 2 15 2 6 3" xfId="25506"/>
    <cellStyle name="Input [yellow] 2 15 2 6 4" xfId="36671"/>
    <cellStyle name="Input [yellow] 2 15 2 6 5" xfId="47864"/>
    <cellStyle name="Input [yellow] 2 15 2 7" xfId="3775"/>
    <cellStyle name="Input [yellow] 2 15 2 7 2" xfId="14972"/>
    <cellStyle name="Input [yellow] 2 15 2 7 3" xfId="26140"/>
    <cellStyle name="Input [yellow] 2 15 2 7 4" xfId="37305"/>
    <cellStyle name="Input [yellow] 2 15 2 7 5" xfId="48498"/>
    <cellStyle name="Input [yellow] 2 15 2 8" xfId="4408"/>
    <cellStyle name="Input [yellow] 2 15 2 8 2" xfId="15605"/>
    <cellStyle name="Input [yellow] 2 15 2 8 3" xfId="26773"/>
    <cellStyle name="Input [yellow] 2 15 2 8 4" xfId="37938"/>
    <cellStyle name="Input [yellow] 2 15 2 8 5" xfId="49131"/>
    <cellStyle name="Input [yellow] 2 15 2 9" xfId="5039"/>
    <cellStyle name="Input [yellow] 2 15 2 9 2" xfId="16236"/>
    <cellStyle name="Input [yellow] 2 15 2 9 3" xfId="27404"/>
    <cellStyle name="Input [yellow] 2 15 2 9 4" xfId="38569"/>
    <cellStyle name="Input [yellow] 2 15 2 9 5" xfId="49762"/>
    <cellStyle name="Input [yellow] 2 15 20" xfId="5671"/>
    <cellStyle name="Input [yellow] 2 15 20 2" xfId="16868"/>
    <cellStyle name="Input [yellow] 2 15 20 3" xfId="28036"/>
    <cellStyle name="Input [yellow] 2 15 20 4" xfId="39201"/>
    <cellStyle name="Input [yellow] 2 15 20 5" xfId="50394"/>
    <cellStyle name="Input [yellow] 2 15 21" xfId="5562"/>
    <cellStyle name="Input [yellow] 2 15 21 2" xfId="16759"/>
    <cellStyle name="Input [yellow] 2 15 21 3" xfId="27927"/>
    <cellStyle name="Input [yellow] 2 15 21 4" xfId="39092"/>
    <cellStyle name="Input [yellow] 2 15 21 5" xfId="50285"/>
    <cellStyle name="Input [yellow] 2 15 22" xfId="6663"/>
    <cellStyle name="Input [yellow] 2 15 22 2" xfId="17860"/>
    <cellStyle name="Input [yellow] 2 15 22 3" xfId="29028"/>
    <cellStyle name="Input [yellow] 2 15 22 4" xfId="40193"/>
    <cellStyle name="Input [yellow] 2 15 22 5" xfId="51386"/>
    <cellStyle name="Input [yellow] 2 15 23" xfId="7297"/>
    <cellStyle name="Input [yellow] 2 15 23 2" xfId="18494"/>
    <cellStyle name="Input [yellow] 2 15 23 3" xfId="29662"/>
    <cellStyle name="Input [yellow] 2 15 23 4" xfId="40827"/>
    <cellStyle name="Input [yellow] 2 15 23 5" xfId="52020"/>
    <cellStyle name="Input [yellow] 2 15 24" xfId="7931"/>
    <cellStyle name="Input [yellow] 2 15 24 2" xfId="19128"/>
    <cellStyle name="Input [yellow] 2 15 24 3" xfId="30296"/>
    <cellStyle name="Input [yellow] 2 15 24 4" xfId="41461"/>
    <cellStyle name="Input [yellow] 2 15 24 5" xfId="52654"/>
    <cellStyle name="Input [yellow] 2 15 25" xfId="8562"/>
    <cellStyle name="Input [yellow] 2 15 25 2" xfId="19759"/>
    <cellStyle name="Input [yellow] 2 15 25 3" xfId="30927"/>
    <cellStyle name="Input [yellow] 2 15 25 4" xfId="42092"/>
    <cellStyle name="Input [yellow] 2 15 25 5" xfId="53285"/>
    <cellStyle name="Input [yellow] 2 15 26" xfId="8736"/>
    <cellStyle name="Input [yellow] 2 15 26 2" xfId="19933"/>
    <cellStyle name="Input [yellow] 2 15 26 3" xfId="31101"/>
    <cellStyle name="Input [yellow] 2 15 26 4" xfId="42266"/>
    <cellStyle name="Input [yellow] 2 15 26 5" xfId="53459"/>
    <cellStyle name="Input [yellow] 2 15 27" xfId="9615"/>
    <cellStyle name="Input [yellow] 2 15 27 2" xfId="20812"/>
    <cellStyle name="Input [yellow] 2 15 27 3" xfId="31980"/>
    <cellStyle name="Input [yellow] 2 15 27 4" xfId="43145"/>
    <cellStyle name="Input [yellow] 2 15 27 5" xfId="54338"/>
    <cellStyle name="Input [yellow] 2 15 28" xfId="9941"/>
    <cellStyle name="Input [yellow] 2 15 28 2" xfId="21138"/>
    <cellStyle name="Input [yellow] 2 15 28 3" xfId="32306"/>
    <cellStyle name="Input [yellow] 2 15 28 4" xfId="43471"/>
    <cellStyle name="Input [yellow] 2 15 28 5" xfId="54664"/>
    <cellStyle name="Input [yellow] 2 15 29" xfId="10647"/>
    <cellStyle name="Input [yellow] 2 15 29 2" xfId="21844"/>
    <cellStyle name="Input [yellow] 2 15 29 3" xfId="33012"/>
    <cellStyle name="Input [yellow] 2 15 29 4" xfId="44177"/>
    <cellStyle name="Input [yellow] 2 15 29 5" xfId="55370"/>
    <cellStyle name="Input [yellow] 2 15 3" xfId="213"/>
    <cellStyle name="Input [yellow] 2 15 3 10" xfId="5973"/>
    <cellStyle name="Input [yellow] 2 15 3 10 2" xfId="17170"/>
    <cellStyle name="Input [yellow] 2 15 3 10 3" xfId="28338"/>
    <cellStyle name="Input [yellow] 2 15 3 10 4" xfId="39503"/>
    <cellStyle name="Input [yellow] 2 15 3 10 5" xfId="50696"/>
    <cellStyle name="Input [yellow] 2 15 3 11" xfId="5826"/>
    <cellStyle name="Input [yellow] 2 15 3 11 2" xfId="17023"/>
    <cellStyle name="Input [yellow] 2 15 3 11 3" xfId="28191"/>
    <cellStyle name="Input [yellow] 2 15 3 11 4" xfId="39356"/>
    <cellStyle name="Input [yellow] 2 15 3 11 5" xfId="50549"/>
    <cellStyle name="Input [yellow] 2 15 3 12" xfId="6782"/>
    <cellStyle name="Input [yellow] 2 15 3 12 2" xfId="17979"/>
    <cellStyle name="Input [yellow] 2 15 3 12 3" xfId="29147"/>
    <cellStyle name="Input [yellow] 2 15 3 12 4" xfId="40312"/>
    <cellStyle name="Input [yellow] 2 15 3 12 5" xfId="51505"/>
    <cellStyle name="Input [yellow] 2 15 3 13" xfId="7416"/>
    <cellStyle name="Input [yellow] 2 15 3 13 2" xfId="18613"/>
    <cellStyle name="Input [yellow] 2 15 3 13 3" xfId="29781"/>
    <cellStyle name="Input [yellow] 2 15 3 13 4" xfId="40946"/>
    <cellStyle name="Input [yellow] 2 15 3 13 5" xfId="52139"/>
    <cellStyle name="Input [yellow] 2 15 3 14" xfId="8050"/>
    <cellStyle name="Input [yellow] 2 15 3 14 2" xfId="19247"/>
    <cellStyle name="Input [yellow] 2 15 3 14 3" xfId="30415"/>
    <cellStyle name="Input [yellow] 2 15 3 14 4" xfId="41580"/>
    <cellStyle name="Input [yellow] 2 15 3 14 5" xfId="52773"/>
    <cellStyle name="Input [yellow] 2 15 3 15" xfId="8681"/>
    <cellStyle name="Input [yellow] 2 15 3 15 2" xfId="19878"/>
    <cellStyle name="Input [yellow] 2 15 3 15 3" xfId="31046"/>
    <cellStyle name="Input [yellow] 2 15 3 15 4" xfId="42211"/>
    <cellStyle name="Input [yellow] 2 15 3 15 5" xfId="53404"/>
    <cellStyle name="Input [yellow] 2 15 3 16" xfId="8914"/>
    <cellStyle name="Input [yellow] 2 15 3 16 2" xfId="20111"/>
    <cellStyle name="Input [yellow] 2 15 3 16 3" xfId="31279"/>
    <cellStyle name="Input [yellow] 2 15 3 16 4" xfId="42444"/>
    <cellStyle name="Input [yellow] 2 15 3 16 5" xfId="53637"/>
    <cellStyle name="Input [yellow] 2 15 3 17" xfId="9732"/>
    <cellStyle name="Input [yellow] 2 15 3 17 2" xfId="20929"/>
    <cellStyle name="Input [yellow] 2 15 3 17 3" xfId="32097"/>
    <cellStyle name="Input [yellow] 2 15 3 17 4" xfId="43262"/>
    <cellStyle name="Input [yellow] 2 15 3 17 5" xfId="54455"/>
    <cellStyle name="Input [yellow] 2 15 3 18" xfId="10135"/>
    <cellStyle name="Input [yellow] 2 15 3 18 2" xfId="21332"/>
    <cellStyle name="Input [yellow] 2 15 3 18 3" xfId="32500"/>
    <cellStyle name="Input [yellow] 2 15 3 18 4" xfId="43665"/>
    <cellStyle name="Input [yellow] 2 15 3 18 5" xfId="54858"/>
    <cellStyle name="Input [yellow] 2 15 3 19" xfId="10766"/>
    <cellStyle name="Input [yellow] 2 15 3 19 2" xfId="21963"/>
    <cellStyle name="Input [yellow] 2 15 3 19 3" xfId="33131"/>
    <cellStyle name="Input [yellow] 2 15 3 19 4" xfId="44296"/>
    <cellStyle name="Input [yellow] 2 15 3 19 5" xfId="55489"/>
    <cellStyle name="Input [yellow] 2 15 3 2" xfId="862"/>
    <cellStyle name="Input [yellow] 2 15 3 2 2" xfId="12059"/>
    <cellStyle name="Input [yellow] 2 15 3 2 3" xfId="23227"/>
    <cellStyle name="Input [yellow] 2 15 3 2 4" xfId="34392"/>
    <cellStyle name="Input [yellow] 2 15 3 2 5" xfId="45585"/>
    <cellStyle name="Input [yellow] 2 15 3 20" xfId="11413"/>
    <cellStyle name="Input [yellow] 2 15 3 21" xfId="22583"/>
    <cellStyle name="Input [yellow] 2 15 3 22" xfId="33750"/>
    <cellStyle name="Input [yellow] 2 15 3 23" xfId="44936"/>
    <cellStyle name="Input [yellow] 2 15 3 3" xfId="1490"/>
    <cellStyle name="Input [yellow] 2 15 3 3 2" xfId="12687"/>
    <cellStyle name="Input [yellow] 2 15 3 3 3" xfId="23855"/>
    <cellStyle name="Input [yellow] 2 15 3 3 4" xfId="35020"/>
    <cellStyle name="Input [yellow] 2 15 3 3 5" xfId="46213"/>
    <cellStyle name="Input [yellow] 2 15 3 4" xfId="2139"/>
    <cellStyle name="Input [yellow] 2 15 3 4 2" xfId="13336"/>
    <cellStyle name="Input [yellow] 2 15 3 4 3" xfId="24504"/>
    <cellStyle name="Input [yellow] 2 15 3 4 4" xfId="35669"/>
    <cellStyle name="Input [yellow] 2 15 3 4 5" xfId="46862"/>
    <cellStyle name="Input [yellow] 2 15 3 5" xfId="2206"/>
    <cellStyle name="Input [yellow] 2 15 3 5 2" xfId="13403"/>
    <cellStyle name="Input [yellow] 2 15 3 5 3" xfId="24571"/>
    <cellStyle name="Input [yellow] 2 15 3 5 4" xfId="35736"/>
    <cellStyle name="Input [yellow] 2 15 3 5 5" xfId="46929"/>
    <cellStyle name="Input [yellow] 2 15 3 6" xfId="3197"/>
    <cellStyle name="Input [yellow] 2 15 3 6 2" xfId="14394"/>
    <cellStyle name="Input [yellow] 2 15 3 6 3" xfId="25562"/>
    <cellStyle name="Input [yellow] 2 15 3 6 4" xfId="36727"/>
    <cellStyle name="Input [yellow] 2 15 3 6 5" xfId="47920"/>
    <cellStyle name="Input [yellow] 2 15 3 7" xfId="3831"/>
    <cellStyle name="Input [yellow] 2 15 3 7 2" xfId="15028"/>
    <cellStyle name="Input [yellow] 2 15 3 7 3" xfId="26196"/>
    <cellStyle name="Input [yellow] 2 15 3 7 4" xfId="37361"/>
    <cellStyle name="Input [yellow] 2 15 3 7 5" xfId="48554"/>
    <cellStyle name="Input [yellow] 2 15 3 8" xfId="4464"/>
    <cellStyle name="Input [yellow] 2 15 3 8 2" xfId="15661"/>
    <cellStyle name="Input [yellow] 2 15 3 8 3" xfId="26829"/>
    <cellStyle name="Input [yellow] 2 15 3 8 4" xfId="37994"/>
    <cellStyle name="Input [yellow] 2 15 3 8 5" xfId="49187"/>
    <cellStyle name="Input [yellow] 2 15 3 9" xfId="5095"/>
    <cellStyle name="Input [yellow] 2 15 3 9 2" xfId="16292"/>
    <cellStyle name="Input [yellow] 2 15 3 9 3" xfId="27460"/>
    <cellStyle name="Input [yellow] 2 15 3 9 4" xfId="38625"/>
    <cellStyle name="Input [yellow] 2 15 3 9 5" xfId="49818"/>
    <cellStyle name="Input [yellow] 2 15 30" xfId="11294"/>
    <cellStyle name="Input [yellow] 2 15 31" xfId="22464"/>
    <cellStyle name="Input [yellow] 2 15 32" xfId="33631"/>
    <cellStyle name="Input [yellow] 2 15 33" xfId="44817"/>
    <cellStyle name="Input [yellow] 2 15 4" xfId="113"/>
    <cellStyle name="Input [yellow] 2 15 4 10" xfId="5779"/>
    <cellStyle name="Input [yellow] 2 15 4 10 2" xfId="16976"/>
    <cellStyle name="Input [yellow] 2 15 4 10 3" xfId="28144"/>
    <cellStyle name="Input [yellow] 2 15 4 10 4" xfId="39309"/>
    <cellStyle name="Input [yellow] 2 15 4 10 5" xfId="50502"/>
    <cellStyle name="Input [yellow] 2 15 4 11" xfId="6156"/>
    <cellStyle name="Input [yellow] 2 15 4 11 2" xfId="17353"/>
    <cellStyle name="Input [yellow] 2 15 4 11 3" xfId="28521"/>
    <cellStyle name="Input [yellow] 2 15 4 11 4" xfId="39686"/>
    <cellStyle name="Input [yellow] 2 15 4 11 5" xfId="50879"/>
    <cellStyle name="Input [yellow] 2 15 4 12" xfId="6682"/>
    <cellStyle name="Input [yellow] 2 15 4 12 2" xfId="17879"/>
    <cellStyle name="Input [yellow] 2 15 4 12 3" xfId="29047"/>
    <cellStyle name="Input [yellow] 2 15 4 12 4" xfId="40212"/>
    <cellStyle name="Input [yellow] 2 15 4 12 5" xfId="51405"/>
    <cellStyle name="Input [yellow] 2 15 4 13" xfId="7316"/>
    <cellStyle name="Input [yellow] 2 15 4 13 2" xfId="18513"/>
    <cellStyle name="Input [yellow] 2 15 4 13 3" xfId="29681"/>
    <cellStyle name="Input [yellow] 2 15 4 13 4" xfId="40846"/>
    <cellStyle name="Input [yellow] 2 15 4 13 5" xfId="52039"/>
    <cellStyle name="Input [yellow] 2 15 4 14" xfId="7950"/>
    <cellStyle name="Input [yellow] 2 15 4 14 2" xfId="19147"/>
    <cellStyle name="Input [yellow] 2 15 4 14 3" xfId="30315"/>
    <cellStyle name="Input [yellow] 2 15 4 14 4" xfId="41480"/>
    <cellStyle name="Input [yellow] 2 15 4 14 5" xfId="52673"/>
    <cellStyle name="Input [yellow] 2 15 4 15" xfId="8581"/>
    <cellStyle name="Input [yellow] 2 15 4 15 2" xfId="19778"/>
    <cellStyle name="Input [yellow] 2 15 4 15 3" xfId="30946"/>
    <cellStyle name="Input [yellow] 2 15 4 15 4" xfId="42111"/>
    <cellStyle name="Input [yellow] 2 15 4 15 5" xfId="53304"/>
    <cellStyle name="Input [yellow] 2 15 4 16" xfId="8899"/>
    <cellStyle name="Input [yellow] 2 15 4 16 2" xfId="20096"/>
    <cellStyle name="Input [yellow] 2 15 4 16 3" xfId="31264"/>
    <cellStyle name="Input [yellow] 2 15 4 16 4" xfId="42429"/>
    <cellStyle name="Input [yellow] 2 15 4 16 5" xfId="53622"/>
    <cellStyle name="Input [yellow] 2 15 4 17" xfId="9634"/>
    <cellStyle name="Input [yellow] 2 15 4 17 2" xfId="20831"/>
    <cellStyle name="Input [yellow] 2 15 4 17 3" xfId="31999"/>
    <cellStyle name="Input [yellow] 2 15 4 17 4" xfId="43164"/>
    <cellStyle name="Input [yellow] 2 15 4 17 5" xfId="54357"/>
    <cellStyle name="Input [yellow] 2 15 4 18" xfId="10342"/>
    <cellStyle name="Input [yellow] 2 15 4 18 2" xfId="21539"/>
    <cellStyle name="Input [yellow] 2 15 4 18 3" xfId="32707"/>
    <cellStyle name="Input [yellow] 2 15 4 18 4" xfId="43872"/>
    <cellStyle name="Input [yellow] 2 15 4 18 5" xfId="55065"/>
    <cellStyle name="Input [yellow] 2 15 4 19" xfId="10666"/>
    <cellStyle name="Input [yellow] 2 15 4 19 2" xfId="21863"/>
    <cellStyle name="Input [yellow] 2 15 4 19 3" xfId="33031"/>
    <cellStyle name="Input [yellow] 2 15 4 19 4" xfId="44196"/>
    <cellStyle name="Input [yellow] 2 15 4 19 5" xfId="55389"/>
    <cellStyle name="Input [yellow] 2 15 4 2" xfId="762"/>
    <cellStyle name="Input [yellow] 2 15 4 2 2" xfId="11959"/>
    <cellStyle name="Input [yellow] 2 15 4 2 3" xfId="23127"/>
    <cellStyle name="Input [yellow] 2 15 4 2 4" xfId="34292"/>
    <cellStyle name="Input [yellow] 2 15 4 2 5" xfId="45485"/>
    <cellStyle name="Input [yellow] 2 15 4 20" xfId="11313"/>
    <cellStyle name="Input [yellow] 2 15 4 21" xfId="22483"/>
    <cellStyle name="Input [yellow] 2 15 4 22" xfId="33650"/>
    <cellStyle name="Input [yellow] 2 15 4 23" xfId="44836"/>
    <cellStyle name="Input [yellow] 2 15 4 3" xfId="1689"/>
    <cellStyle name="Input [yellow] 2 15 4 3 2" xfId="12886"/>
    <cellStyle name="Input [yellow] 2 15 4 3 3" xfId="24054"/>
    <cellStyle name="Input [yellow] 2 15 4 3 4" xfId="35219"/>
    <cellStyle name="Input [yellow] 2 15 4 3 5" xfId="46412"/>
    <cellStyle name="Input [yellow] 2 15 4 4" xfId="2039"/>
    <cellStyle name="Input [yellow] 2 15 4 4 2" xfId="13236"/>
    <cellStyle name="Input [yellow] 2 15 4 4 3" xfId="24404"/>
    <cellStyle name="Input [yellow] 2 15 4 4 4" xfId="35569"/>
    <cellStyle name="Input [yellow] 2 15 4 4 5" xfId="46762"/>
    <cellStyle name="Input [yellow] 2 15 4 5" xfId="2188"/>
    <cellStyle name="Input [yellow] 2 15 4 5 2" xfId="13385"/>
    <cellStyle name="Input [yellow] 2 15 4 5 3" xfId="24553"/>
    <cellStyle name="Input [yellow] 2 15 4 5 4" xfId="35718"/>
    <cellStyle name="Input [yellow] 2 15 4 5 5" xfId="46911"/>
    <cellStyle name="Input [yellow] 2 15 4 6" xfId="3097"/>
    <cellStyle name="Input [yellow] 2 15 4 6 2" xfId="14294"/>
    <cellStyle name="Input [yellow] 2 15 4 6 3" xfId="25462"/>
    <cellStyle name="Input [yellow] 2 15 4 6 4" xfId="36627"/>
    <cellStyle name="Input [yellow] 2 15 4 6 5" xfId="47820"/>
    <cellStyle name="Input [yellow] 2 15 4 7" xfId="3731"/>
    <cellStyle name="Input [yellow] 2 15 4 7 2" xfId="14928"/>
    <cellStyle name="Input [yellow] 2 15 4 7 3" xfId="26096"/>
    <cellStyle name="Input [yellow] 2 15 4 7 4" xfId="37261"/>
    <cellStyle name="Input [yellow] 2 15 4 7 5" xfId="48454"/>
    <cellStyle name="Input [yellow] 2 15 4 8" xfId="4364"/>
    <cellStyle name="Input [yellow] 2 15 4 8 2" xfId="15561"/>
    <cellStyle name="Input [yellow] 2 15 4 8 3" xfId="26729"/>
    <cellStyle name="Input [yellow] 2 15 4 8 4" xfId="37894"/>
    <cellStyle name="Input [yellow] 2 15 4 8 5" xfId="49087"/>
    <cellStyle name="Input [yellow] 2 15 4 9" xfId="4995"/>
    <cellStyle name="Input [yellow] 2 15 4 9 2" xfId="16192"/>
    <cellStyle name="Input [yellow] 2 15 4 9 3" xfId="27360"/>
    <cellStyle name="Input [yellow] 2 15 4 9 4" xfId="38525"/>
    <cellStyle name="Input [yellow] 2 15 4 9 5" xfId="49718"/>
    <cellStyle name="Input [yellow] 2 15 5" xfId="345"/>
    <cellStyle name="Input [yellow] 2 15 5 10" xfId="5861"/>
    <cellStyle name="Input [yellow] 2 15 5 10 2" xfId="17058"/>
    <cellStyle name="Input [yellow] 2 15 5 10 3" xfId="28226"/>
    <cellStyle name="Input [yellow] 2 15 5 10 4" xfId="39391"/>
    <cellStyle name="Input [yellow] 2 15 5 10 5" xfId="50584"/>
    <cellStyle name="Input [yellow] 2 15 5 11" xfId="6281"/>
    <cellStyle name="Input [yellow] 2 15 5 11 2" xfId="17478"/>
    <cellStyle name="Input [yellow] 2 15 5 11 3" xfId="28646"/>
    <cellStyle name="Input [yellow] 2 15 5 11 4" xfId="39811"/>
    <cellStyle name="Input [yellow] 2 15 5 11 5" xfId="51004"/>
    <cellStyle name="Input [yellow] 2 15 5 12" xfId="6914"/>
    <cellStyle name="Input [yellow] 2 15 5 12 2" xfId="18111"/>
    <cellStyle name="Input [yellow] 2 15 5 12 3" xfId="29279"/>
    <cellStyle name="Input [yellow] 2 15 5 12 4" xfId="40444"/>
    <cellStyle name="Input [yellow] 2 15 5 12 5" xfId="51637"/>
    <cellStyle name="Input [yellow] 2 15 5 13" xfId="7548"/>
    <cellStyle name="Input [yellow] 2 15 5 13 2" xfId="18745"/>
    <cellStyle name="Input [yellow] 2 15 5 13 3" xfId="29913"/>
    <cellStyle name="Input [yellow] 2 15 5 13 4" xfId="41078"/>
    <cellStyle name="Input [yellow] 2 15 5 13 5" xfId="52271"/>
    <cellStyle name="Input [yellow] 2 15 5 14" xfId="8182"/>
    <cellStyle name="Input [yellow] 2 15 5 14 2" xfId="19379"/>
    <cellStyle name="Input [yellow] 2 15 5 14 3" xfId="30547"/>
    <cellStyle name="Input [yellow] 2 15 5 14 4" xfId="41712"/>
    <cellStyle name="Input [yellow] 2 15 5 14 5" xfId="52905"/>
    <cellStyle name="Input [yellow] 2 15 5 15" xfId="8811"/>
    <cellStyle name="Input [yellow] 2 15 5 15 2" xfId="20008"/>
    <cellStyle name="Input [yellow] 2 15 5 15 3" xfId="31176"/>
    <cellStyle name="Input [yellow] 2 15 5 15 4" xfId="42341"/>
    <cellStyle name="Input [yellow] 2 15 5 15 5" xfId="53534"/>
    <cellStyle name="Input [yellow] 2 15 5 16" xfId="9233"/>
    <cellStyle name="Input [yellow] 2 15 5 16 2" xfId="20430"/>
    <cellStyle name="Input [yellow] 2 15 5 16 3" xfId="31598"/>
    <cellStyle name="Input [yellow] 2 15 5 16 4" xfId="42763"/>
    <cellStyle name="Input [yellow] 2 15 5 16 5" xfId="53956"/>
    <cellStyle name="Input [yellow] 2 15 5 17" xfId="9860"/>
    <cellStyle name="Input [yellow] 2 15 5 17 2" xfId="21057"/>
    <cellStyle name="Input [yellow] 2 15 5 17 3" xfId="32225"/>
    <cellStyle name="Input [yellow] 2 15 5 17 4" xfId="43390"/>
    <cellStyle name="Input [yellow] 2 15 5 17 5" xfId="54583"/>
    <cellStyle name="Input [yellow] 2 15 5 18" xfId="10319"/>
    <cellStyle name="Input [yellow] 2 15 5 18 2" xfId="21516"/>
    <cellStyle name="Input [yellow] 2 15 5 18 3" xfId="32684"/>
    <cellStyle name="Input [yellow] 2 15 5 18 4" xfId="43849"/>
    <cellStyle name="Input [yellow] 2 15 5 18 5" xfId="55042"/>
    <cellStyle name="Input [yellow] 2 15 5 19" xfId="10898"/>
    <cellStyle name="Input [yellow] 2 15 5 19 2" xfId="22095"/>
    <cellStyle name="Input [yellow] 2 15 5 19 3" xfId="33263"/>
    <cellStyle name="Input [yellow] 2 15 5 19 4" xfId="44428"/>
    <cellStyle name="Input [yellow] 2 15 5 19 5" xfId="55621"/>
    <cellStyle name="Input [yellow] 2 15 5 2" xfId="994"/>
    <cellStyle name="Input [yellow] 2 15 5 2 2" xfId="12191"/>
    <cellStyle name="Input [yellow] 2 15 5 2 3" xfId="23359"/>
    <cellStyle name="Input [yellow] 2 15 5 2 4" xfId="34524"/>
    <cellStyle name="Input [yellow] 2 15 5 2 5" xfId="45717"/>
    <cellStyle name="Input [yellow] 2 15 5 20" xfId="11545"/>
    <cellStyle name="Input [yellow] 2 15 5 21" xfId="22715"/>
    <cellStyle name="Input [yellow] 2 15 5 22" xfId="33882"/>
    <cellStyle name="Input [yellow] 2 15 5 23" xfId="45068"/>
    <cellStyle name="Input [yellow] 2 15 5 3" xfId="1574"/>
    <cellStyle name="Input [yellow] 2 15 5 3 2" xfId="12771"/>
    <cellStyle name="Input [yellow] 2 15 5 3 3" xfId="23939"/>
    <cellStyle name="Input [yellow] 2 15 5 3 4" xfId="35104"/>
    <cellStyle name="Input [yellow] 2 15 5 3 5" xfId="46297"/>
    <cellStyle name="Input [yellow] 2 15 5 4" xfId="2270"/>
    <cellStyle name="Input [yellow] 2 15 5 4 2" xfId="13467"/>
    <cellStyle name="Input [yellow] 2 15 5 4 3" xfId="24635"/>
    <cellStyle name="Input [yellow] 2 15 5 4 4" xfId="35800"/>
    <cellStyle name="Input [yellow] 2 15 5 4 5" xfId="46993"/>
    <cellStyle name="Input [yellow] 2 15 5 5" xfId="2695"/>
    <cellStyle name="Input [yellow] 2 15 5 5 2" xfId="13892"/>
    <cellStyle name="Input [yellow] 2 15 5 5 3" xfId="25060"/>
    <cellStyle name="Input [yellow] 2 15 5 5 4" xfId="36225"/>
    <cellStyle name="Input [yellow] 2 15 5 5 5" xfId="47418"/>
    <cellStyle name="Input [yellow] 2 15 5 6" xfId="3329"/>
    <cellStyle name="Input [yellow] 2 15 5 6 2" xfId="14526"/>
    <cellStyle name="Input [yellow] 2 15 5 6 3" xfId="25694"/>
    <cellStyle name="Input [yellow] 2 15 5 6 4" xfId="36859"/>
    <cellStyle name="Input [yellow] 2 15 5 6 5" xfId="48052"/>
    <cellStyle name="Input [yellow] 2 15 5 7" xfId="3963"/>
    <cellStyle name="Input [yellow] 2 15 5 7 2" xfId="15160"/>
    <cellStyle name="Input [yellow] 2 15 5 7 3" xfId="26328"/>
    <cellStyle name="Input [yellow] 2 15 5 7 4" xfId="37493"/>
    <cellStyle name="Input [yellow] 2 15 5 7 5" xfId="48686"/>
    <cellStyle name="Input [yellow] 2 15 5 8" xfId="4596"/>
    <cellStyle name="Input [yellow] 2 15 5 8 2" xfId="15793"/>
    <cellStyle name="Input [yellow] 2 15 5 8 3" xfId="26961"/>
    <cellStyle name="Input [yellow] 2 15 5 8 4" xfId="38126"/>
    <cellStyle name="Input [yellow] 2 15 5 8 5" xfId="49319"/>
    <cellStyle name="Input [yellow] 2 15 5 9" xfId="5227"/>
    <cellStyle name="Input [yellow] 2 15 5 9 2" xfId="16424"/>
    <cellStyle name="Input [yellow] 2 15 5 9 3" xfId="27592"/>
    <cellStyle name="Input [yellow] 2 15 5 9 4" xfId="38757"/>
    <cellStyle name="Input [yellow] 2 15 5 9 5" xfId="49950"/>
    <cellStyle name="Input [yellow] 2 15 6" xfId="291"/>
    <cellStyle name="Input [yellow] 2 15 6 10" xfId="5983"/>
    <cellStyle name="Input [yellow] 2 15 6 10 2" xfId="17180"/>
    <cellStyle name="Input [yellow] 2 15 6 10 3" xfId="28348"/>
    <cellStyle name="Input [yellow] 2 15 6 10 4" xfId="39513"/>
    <cellStyle name="Input [yellow] 2 15 6 10 5" xfId="50706"/>
    <cellStyle name="Input [yellow] 2 15 6 11" xfId="6227"/>
    <cellStyle name="Input [yellow] 2 15 6 11 2" xfId="17424"/>
    <cellStyle name="Input [yellow] 2 15 6 11 3" xfId="28592"/>
    <cellStyle name="Input [yellow] 2 15 6 11 4" xfId="39757"/>
    <cellStyle name="Input [yellow] 2 15 6 11 5" xfId="50950"/>
    <cellStyle name="Input [yellow] 2 15 6 12" xfId="6860"/>
    <cellStyle name="Input [yellow] 2 15 6 12 2" xfId="18057"/>
    <cellStyle name="Input [yellow] 2 15 6 12 3" xfId="29225"/>
    <cellStyle name="Input [yellow] 2 15 6 12 4" xfId="40390"/>
    <cellStyle name="Input [yellow] 2 15 6 12 5" xfId="51583"/>
    <cellStyle name="Input [yellow] 2 15 6 13" xfId="7494"/>
    <cellStyle name="Input [yellow] 2 15 6 13 2" xfId="18691"/>
    <cellStyle name="Input [yellow] 2 15 6 13 3" xfId="29859"/>
    <cellStyle name="Input [yellow] 2 15 6 13 4" xfId="41024"/>
    <cellStyle name="Input [yellow] 2 15 6 13 5" xfId="52217"/>
    <cellStyle name="Input [yellow] 2 15 6 14" xfId="8128"/>
    <cellStyle name="Input [yellow] 2 15 6 14 2" xfId="19325"/>
    <cellStyle name="Input [yellow] 2 15 6 14 3" xfId="30493"/>
    <cellStyle name="Input [yellow] 2 15 6 14 4" xfId="41658"/>
    <cellStyle name="Input [yellow] 2 15 6 14 5" xfId="52851"/>
    <cellStyle name="Input [yellow] 2 15 6 15" xfId="8757"/>
    <cellStyle name="Input [yellow] 2 15 6 15 2" xfId="19954"/>
    <cellStyle name="Input [yellow] 2 15 6 15 3" xfId="31122"/>
    <cellStyle name="Input [yellow] 2 15 6 15 4" xfId="42287"/>
    <cellStyle name="Input [yellow] 2 15 6 15 5" xfId="53480"/>
    <cellStyle name="Input [yellow] 2 15 6 16" xfId="9179"/>
    <cellStyle name="Input [yellow] 2 15 6 16 2" xfId="20376"/>
    <cellStyle name="Input [yellow] 2 15 6 16 3" xfId="31544"/>
    <cellStyle name="Input [yellow] 2 15 6 16 4" xfId="42709"/>
    <cellStyle name="Input [yellow] 2 15 6 16 5" xfId="53902"/>
    <cellStyle name="Input [yellow] 2 15 6 17" xfId="9806"/>
    <cellStyle name="Input [yellow] 2 15 6 17 2" xfId="21003"/>
    <cellStyle name="Input [yellow] 2 15 6 17 3" xfId="32171"/>
    <cellStyle name="Input [yellow] 2 15 6 17 4" xfId="43336"/>
    <cellStyle name="Input [yellow] 2 15 6 17 5" xfId="54529"/>
    <cellStyle name="Input [yellow] 2 15 6 18" xfId="8816"/>
    <cellStyle name="Input [yellow] 2 15 6 18 2" xfId="20013"/>
    <cellStyle name="Input [yellow] 2 15 6 18 3" xfId="31181"/>
    <cellStyle name="Input [yellow] 2 15 6 18 4" xfId="42346"/>
    <cellStyle name="Input [yellow] 2 15 6 18 5" xfId="53539"/>
    <cellStyle name="Input [yellow] 2 15 6 19" xfId="10844"/>
    <cellStyle name="Input [yellow] 2 15 6 19 2" xfId="22041"/>
    <cellStyle name="Input [yellow] 2 15 6 19 3" xfId="33209"/>
    <cellStyle name="Input [yellow] 2 15 6 19 4" xfId="44374"/>
    <cellStyle name="Input [yellow] 2 15 6 19 5" xfId="55567"/>
    <cellStyle name="Input [yellow] 2 15 6 2" xfId="940"/>
    <cellStyle name="Input [yellow] 2 15 6 2 2" xfId="12137"/>
    <cellStyle name="Input [yellow] 2 15 6 2 3" xfId="23305"/>
    <cellStyle name="Input [yellow] 2 15 6 2 4" xfId="34470"/>
    <cellStyle name="Input [yellow] 2 15 6 2 5" xfId="45663"/>
    <cellStyle name="Input [yellow] 2 15 6 20" xfId="11491"/>
    <cellStyle name="Input [yellow] 2 15 6 21" xfId="22661"/>
    <cellStyle name="Input [yellow] 2 15 6 22" xfId="33828"/>
    <cellStyle name="Input [yellow] 2 15 6 23" xfId="45014"/>
    <cellStyle name="Input [yellow] 2 15 6 3" xfId="1466"/>
    <cellStyle name="Input [yellow] 2 15 6 3 2" xfId="12663"/>
    <cellStyle name="Input [yellow] 2 15 6 3 3" xfId="23831"/>
    <cellStyle name="Input [yellow] 2 15 6 3 4" xfId="34996"/>
    <cellStyle name="Input [yellow] 2 15 6 3 5" xfId="46189"/>
    <cellStyle name="Input [yellow] 2 15 6 4" xfId="2216"/>
    <cellStyle name="Input [yellow] 2 15 6 4 2" xfId="13413"/>
    <cellStyle name="Input [yellow] 2 15 6 4 3" xfId="24581"/>
    <cellStyle name="Input [yellow] 2 15 6 4 4" xfId="35746"/>
    <cellStyle name="Input [yellow] 2 15 6 4 5" xfId="46939"/>
    <cellStyle name="Input [yellow] 2 15 6 5" xfId="2641"/>
    <cellStyle name="Input [yellow] 2 15 6 5 2" xfId="13838"/>
    <cellStyle name="Input [yellow] 2 15 6 5 3" xfId="25006"/>
    <cellStyle name="Input [yellow] 2 15 6 5 4" xfId="36171"/>
    <cellStyle name="Input [yellow] 2 15 6 5 5" xfId="47364"/>
    <cellStyle name="Input [yellow] 2 15 6 6" xfId="3275"/>
    <cellStyle name="Input [yellow] 2 15 6 6 2" xfId="14472"/>
    <cellStyle name="Input [yellow] 2 15 6 6 3" xfId="25640"/>
    <cellStyle name="Input [yellow] 2 15 6 6 4" xfId="36805"/>
    <cellStyle name="Input [yellow] 2 15 6 6 5" xfId="47998"/>
    <cellStyle name="Input [yellow] 2 15 6 7" xfId="3909"/>
    <cellStyle name="Input [yellow] 2 15 6 7 2" xfId="15106"/>
    <cellStyle name="Input [yellow] 2 15 6 7 3" xfId="26274"/>
    <cellStyle name="Input [yellow] 2 15 6 7 4" xfId="37439"/>
    <cellStyle name="Input [yellow] 2 15 6 7 5" xfId="48632"/>
    <cellStyle name="Input [yellow] 2 15 6 8" xfId="4542"/>
    <cellStyle name="Input [yellow] 2 15 6 8 2" xfId="15739"/>
    <cellStyle name="Input [yellow] 2 15 6 8 3" xfId="26907"/>
    <cellStyle name="Input [yellow] 2 15 6 8 4" xfId="38072"/>
    <cellStyle name="Input [yellow] 2 15 6 8 5" xfId="49265"/>
    <cellStyle name="Input [yellow] 2 15 6 9" xfId="5173"/>
    <cellStyle name="Input [yellow] 2 15 6 9 2" xfId="16370"/>
    <cellStyle name="Input [yellow] 2 15 6 9 3" xfId="27538"/>
    <cellStyle name="Input [yellow] 2 15 6 9 4" xfId="38703"/>
    <cellStyle name="Input [yellow] 2 15 6 9 5" xfId="49896"/>
    <cellStyle name="Input [yellow] 2 15 7" xfId="396"/>
    <cellStyle name="Input [yellow] 2 15 7 10" xfId="6164"/>
    <cellStyle name="Input [yellow] 2 15 7 10 2" xfId="17361"/>
    <cellStyle name="Input [yellow] 2 15 7 10 3" xfId="28529"/>
    <cellStyle name="Input [yellow] 2 15 7 10 4" xfId="39694"/>
    <cellStyle name="Input [yellow] 2 15 7 10 5" xfId="50887"/>
    <cellStyle name="Input [yellow] 2 15 7 11" xfId="6332"/>
    <cellStyle name="Input [yellow] 2 15 7 11 2" xfId="17529"/>
    <cellStyle name="Input [yellow] 2 15 7 11 3" xfId="28697"/>
    <cellStyle name="Input [yellow] 2 15 7 11 4" xfId="39862"/>
    <cellStyle name="Input [yellow] 2 15 7 11 5" xfId="51055"/>
    <cellStyle name="Input [yellow] 2 15 7 12" xfId="6965"/>
    <cellStyle name="Input [yellow] 2 15 7 12 2" xfId="18162"/>
    <cellStyle name="Input [yellow] 2 15 7 12 3" xfId="29330"/>
    <cellStyle name="Input [yellow] 2 15 7 12 4" xfId="40495"/>
    <cellStyle name="Input [yellow] 2 15 7 12 5" xfId="51688"/>
    <cellStyle name="Input [yellow] 2 15 7 13" xfId="7599"/>
    <cellStyle name="Input [yellow] 2 15 7 13 2" xfId="18796"/>
    <cellStyle name="Input [yellow] 2 15 7 13 3" xfId="29964"/>
    <cellStyle name="Input [yellow] 2 15 7 13 4" xfId="41129"/>
    <cellStyle name="Input [yellow] 2 15 7 13 5" xfId="52322"/>
    <cellStyle name="Input [yellow] 2 15 7 14" xfId="8233"/>
    <cellStyle name="Input [yellow] 2 15 7 14 2" xfId="19430"/>
    <cellStyle name="Input [yellow] 2 15 7 14 3" xfId="30598"/>
    <cellStyle name="Input [yellow] 2 15 7 14 4" xfId="41763"/>
    <cellStyle name="Input [yellow] 2 15 7 14 5" xfId="52956"/>
    <cellStyle name="Input [yellow] 2 15 7 15" xfId="8861"/>
    <cellStyle name="Input [yellow] 2 15 7 15 2" xfId="20058"/>
    <cellStyle name="Input [yellow] 2 15 7 15 3" xfId="31226"/>
    <cellStyle name="Input [yellow] 2 15 7 15 4" xfId="42391"/>
    <cellStyle name="Input [yellow] 2 15 7 15 5" xfId="53584"/>
    <cellStyle name="Input [yellow] 2 15 7 16" xfId="9284"/>
    <cellStyle name="Input [yellow] 2 15 7 16 2" xfId="20481"/>
    <cellStyle name="Input [yellow] 2 15 7 16 3" xfId="31649"/>
    <cellStyle name="Input [yellow] 2 15 7 16 4" xfId="42814"/>
    <cellStyle name="Input [yellow] 2 15 7 16 5" xfId="54007"/>
    <cellStyle name="Input [yellow] 2 15 7 17" xfId="9910"/>
    <cellStyle name="Input [yellow] 2 15 7 17 2" xfId="21107"/>
    <cellStyle name="Input [yellow] 2 15 7 17 3" xfId="32275"/>
    <cellStyle name="Input [yellow] 2 15 7 17 4" xfId="43440"/>
    <cellStyle name="Input [yellow] 2 15 7 17 5" xfId="54633"/>
    <cellStyle name="Input [yellow] 2 15 7 18" xfId="9785"/>
    <cellStyle name="Input [yellow] 2 15 7 18 2" xfId="20982"/>
    <cellStyle name="Input [yellow] 2 15 7 18 3" xfId="32150"/>
    <cellStyle name="Input [yellow] 2 15 7 18 4" xfId="43315"/>
    <cellStyle name="Input [yellow] 2 15 7 18 5" xfId="54508"/>
    <cellStyle name="Input [yellow] 2 15 7 19" xfId="10949"/>
    <cellStyle name="Input [yellow] 2 15 7 19 2" xfId="22146"/>
    <cellStyle name="Input [yellow] 2 15 7 19 3" xfId="33314"/>
    <cellStyle name="Input [yellow] 2 15 7 19 4" xfId="44479"/>
    <cellStyle name="Input [yellow] 2 15 7 19 5" xfId="55672"/>
    <cellStyle name="Input [yellow] 2 15 7 2" xfId="1045"/>
    <cellStyle name="Input [yellow] 2 15 7 2 2" xfId="12242"/>
    <cellStyle name="Input [yellow] 2 15 7 2 3" xfId="23410"/>
    <cellStyle name="Input [yellow] 2 15 7 2 4" xfId="34575"/>
    <cellStyle name="Input [yellow] 2 15 7 2 5" xfId="45768"/>
    <cellStyle name="Input [yellow] 2 15 7 20" xfId="11596"/>
    <cellStyle name="Input [yellow] 2 15 7 21" xfId="22766"/>
    <cellStyle name="Input [yellow] 2 15 7 22" xfId="33933"/>
    <cellStyle name="Input [yellow] 2 15 7 23" xfId="45119"/>
    <cellStyle name="Input [yellow] 2 15 7 3" xfId="1838"/>
    <cellStyle name="Input [yellow] 2 15 7 3 2" xfId="13035"/>
    <cellStyle name="Input [yellow] 2 15 7 3 3" xfId="24203"/>
    <cellStyle name="Input [yellow] 2 15 7 3 4" xfId="35368"/>
    <cellStyle name="Input [yellow] 2 15 7 3 5" xfId="46561"/>
    <cellStyle name="Input [yellow] 2 15 7 4" xfId="2321"/>
    <cellStyle name="Input [yellow] 2 15 7 4 2" xfId="13518"/>
    <cellStyle name="Input [yellow] 2 15 7 4 3" xfId="24686"/>
    <cellStyle name="Input [yellow] 2 15 7 4 4" xfId="35851"/>
    <cellStyle name="Input [yellow] 2 15 7 4 5" xfId="47044"/>
    <cellStyle name="Input [yellow] 2 15 7 5" xfId="2746"/>
    <cellStyle name="Input [yellow] 2 15 7 5 2" xfId="13943"/>
    <cellStyle name="Input [yellow] 2 15 7 5 3" xfId="25111"/>
    <cellStyle name="Input [yellow] 2 15 7 5 4" xfId="36276"/>
    <cellStyle name="Input [yellow] 2 15 7 5 5" xfId="47469"/>
    <cellStyle name="Input [yellow] 2 15 7 6" xfId="3380"/>
    <cellStyle name="Input [yellow] 2 15 7 6 2" xfId="14577"/>
    <cellStyle name="Input [yellow] 2 15 7 6 3" xfId="25745"/>
    <cellStyle name="Input [yellow] 2 15 7 6 4" xfId="36910"/>
    <cellStyle name="Input [yellow] 2 15 7 6 5" xfId="48103"/>
    <cellStyle name="Input [yellow] 2 15 7 7" xfId="4014"/>
    <cellStyle name="Input [yellow] 2 15 7 7 2" xfId="15211"/>
    <cellStyle name="Input [yellow] 2 15 7 7 3" xfId="26379"/>
    <cellStyle name="Input [yellow] 2 15 7 7 4" xfId="37544"/>
    <cellStyle name="Input [yellow] 2 15 7 7 5" xfId="48737"/>
    <cellStyle name="Input [yellow] 2 15 7 8" xfId="4647"/>
    <cellStyle name="Input [yellow] 2 15 7 8 2" xfId="15844"/>
    <cellStyle name="Input [yellow] 2 15 7 8 3" xfId="27012"/>
    <cellStyle name="Input [yellow] 2 15 7 8 4" xfId="38177"/>
    <cellStyle name="Input [yellow] 2 15 7 8 5" xfId="49370"/>
    <cellStyle name="Input [yellow] 2 15 7 9" xfId="5278"/>
    <cellStyle name="Input [yellow] 2 15 7 9 2" xfId="16475"/>
    <cellStyle name="Input [yellow] 2 15 7 9 3" xfId="27643"/>
    <cellStyle name="Input [yellow] 2 15 7 9 4" xfId="38808"/>
    <cellStyle name="Input [yellow] 2 15 7 9 5" xfId="50001"/>
    <cellStyle name="Input [yellow] 2 15 8" xfId="503"/>
    <cellStyle name="Input [yellow] 2 15 8 10" xfId="5864"/>
    <cellStyle name="Input [yellow] 2 15 8 10 2" xfId="17061"/>
    <cellStyle name="Input [yellow] 2 15 8 10 3" xfId="28229"/>
    <cellStyle name="Input [yellow] 2 15 8 10 4" xfId="39394"/>
    <cellStyle name="Input [yellow] 2 15 8 10 5" xfId="50587"/>
    <cellStyle name="Input [yellow] 2 15 8 11" xfId="6439"/>
    <cellStyle name="Input [yellow] 2 15 8 11 2" xfId="17636"/>
    <cellStyle name="Input [yellow] 2 15 8 11 3" xfId="28804"/>
    <cellStyle name="Input [yellow] 2 15 8 11 4" xfId="39969"/>
    <cellStyle name="Input [yellow] 2 15 8 11 5" xfId="51162"/>
    <cellStyle name="Input [yellow] 2 15 8 12" xfId="7072"/>
    <cellStyle name="Input [yellow] 2 15 8 12 2" xfId="18269"/>
    <cellStyle name="Input [yellow] 2 15 8 12 3" xfId="29437"/>
    <cellStyle name="Input [yellow] 2 15 8 12 4" xfId="40602"/>
    <cellStyle name="Input [yellow] 2 15 8 12 5" xfId="51795"/>
    <cellStyle name="Input [yellow] 2 15 8 13" xfId="7706"/>
    <cellStyle name="Input [yellow] 2 15 8 13 2" xfId="18903"/>
    <cellStyle name="Input [yellow] 2 15 8 13 3" xfId="30071"/>
    <cellStyle name="Input [yellow] 2 15 8 13 4" xfId="41236"/>
    <cellStyle name="Input [yellow] 2 15 8 13 5" xfId="52429"/>
    <cellStyle name="Input [yellow] 2 15 8 14" xfId="8340"/>
    <cellStyle name="Input [yellow] 2 15 8 14 2" xfId="19537"/>
    <cellStyle name="Input [yellow] 2 15 8 14 3" xfId="30705"/>
    <cellStyle name="Input [yellow] 2 15 8 14 4" xfId="41870"/>
    <cellStyle name="Input [yellow] 2 15 8 14 5" xfId="53063"/>
    <cellStyle name="Input [yellow] 2 15 8 15" xfId="8968"/>
    <cellStyle name="Input [yellow] 2 15 8 15 2" xfId="20165"/>
    <cellStyle name="Input [yellow] 2 15 8 15 3" xfId="31333"/>
    <cellStyle name="Input [yellow] 2 15 8 15 4" xfId="42498"/>
    <cellStyle name="Input [yellow] 2 15 8 15 5" xfId="53691"/>
    <cellStyle name="Input [yellow] 2 15 8 16" xfId="9391"/>
    <cellStyle name="Input [yellow] 2 15 8 16 2" xfId="20588"/>
    <cellStyle name="Input [yellow] 2 15 8 16 3" xfId="31756"/>
    <cellStyle name="Input [yellow] 2 15 8 16 4" xfId="42921"/>
    <cellStyle name="Input [yellow] 2 15 8 16 5" xfId="54114"/>
    <cellStyle name="Input [yellow] 2 15 8 17" xfId="10016"/>
    <cellStyle name="Input [yellow] 2 15 8 17 2" xfId="21213"/>
    <cellStyle name="Input [yellow] 2 15 8 17 3" xfId="32381"/>
    <cellStyle name="Input [yellow] 2 15 8 17 4" xfId="43546"/>
    <cellStyle name="Input [yellow] 2 15 8 17 5" xfId="54739"/>
    <cellStyle name="Input [yellow] 2 15 8 18" xfId="10329"/>
    <cellStyle name="Input [yellow] 2 15 8 18 2" xfId="21526"/>
    <cellStyle name="Input [yellow] 2 15 8 18 3" xfId="32694"/>
    <cellStyle name="Input [yellow] 2 15 8 18 4" xfId="43859"/>
    <cellStyle name="Input [yellow] 2 15 8 18 5" xfId="55052"/>
    <cellStyle name="Input [yellow] 2 15 8 19" xfId="11056"/>
    <cellStyle name="Input [yellow] 2 15 8 19 2" xfId="22253"/>
    <cellStyle name="Input [yellow] 2 15 8 19 3" xfId="33421"/>
    <cellStyle name="Input [yellow] 2 15 8 19 4" xfId="44586"/>
    <cellStyle name="Input [yellow] 2 15 8 19 5" xfId="55779"/>
    <cellStyle name="Input [yellow] 2 15 8 2" xfId="1152"/>
    <cellStyle name="Input [yellow] 2 15 8 2 2" xfId="12349"/>
    <cellStyle name="Input [yellow] 2 15 8 2 3" xfId="23517"/>
    <cellStyle name="Input [yellow] 2 15 8 2 4" xfId="34682"/>
    <cellStyle name="Input [yellow] 2 15 8 2 5" xfId="45875"/>
    <cellStyle name="Input [yellow] 2 15 8 20" xfId="11703"/>
    <cellStyle name="Input [yellow] 2 15 8 21" xfId="22873"/>
    <cellStyle name="Input [yellow] 2 15 8 22" xfId="34040"/>
    <cellStyle name="Input [yellow] 2 15 8 23" xfId="45226"/>
    <cellStyle name="Input [yellow] 2 15 8 3" xfId="1566"/>
    <cellStyle name="Input [yellow] 2 15 8 3 2" xfId="12763"/>
    <cellStyle name="Input [yellow] 2 15 8 3 3" xfId="23931"/>
    <cellStyle name="Input [yellow] 2 15 8 3 4" xfId="35096"/>
    <cellStyle name="Input [yellow] 2 15 8 3 5" xfId="46289"/>
    <cellStyle name="Input [yellow] 2 15 8 4" xfId="2428"/>
    <cellStyle name="Input [yellow] 2 15 8 4 2" xfId="13625"/>
    <cellStyle name="Input [yellow] 2 15 8 4 3" xfId="24793"/>
    <cellStyle name="Input [yellow] 2 15 8 4 4" xfId="35958"/>
    <cellStyle name="Input [yellow] 2 15 8 4 5" xfId="47151"/>
    <cellStyle name="Input [yellow] 2 15 8 5" xfId="2853"/>
    <cellStyle name="Input [yellow] 2 15 8 5 2" xfId="14050"/>
    <cellStyle name="Input [yellow] 2 15 8 5 3" xfId="25218"/>
    <cellStyle name="Input [yellow] 2 15 8 5 4" xfId="36383"/>
    <cellStyle name="Input [yellow] 2 15 8 5 5" xfId="47576"/>
    <cellStyle name="Input [yellow] 2 15 8 6" xfId="3487"/>
    <cellStyle name="Input [yellow] 2 15 8 6 2" xfId="14684"/>
    <cellStyle name="Input [yellow] 2 15 8 6 3" xfId="25852"/>
    <cellStyle name="Input [yellow] 2 15 8 6 4" xfId="37017"/>
    <cellStyle name="Input [yellow] 2 15 8 6 5" xfId="48210"/>
    <cellStyle name="Input [yellow] 2 15 8 7" xfId="4121"/>
    <cellStyle name="Input [yellow] 2 15 8 7 2" xfId="15318"/>
    <cellStyle name="Input [yellow] 2 15 8 7 3" xfId="26486"/>
    <cellStyle name="Input [yellow] 2 15 8 7 4" xfId="37651"/>
    <cellStyle name="Input [yellow] 2 15 8 7 5" xfId="48844"/>
    <cellStyle name="Input [yellow] 2 15 8 8" xfId="4754"/>
    <cellStyle name="Input [yellow] 2 15 8 8 2" xfId="15951"/>
    <cellStyle name="Input [yellow] 2 15 8 8 3" xfId="27119"/>
    <cellStyle name="Input [yellow] 2 15 8 8 4" xfId="38284"/>
    <cellStyle name="Input [yellow] 2 15 8 8 5" xfId="49477"/>
    <cellStyle name="Input [yellow] 2 15 8 9" xfId="5385"/>
    <cellStyle name="Input [yellow] 2 15 8 9 2" xfId="16582"/>
    <cellStyle name="Input [yellow] 2 15 8 9 3" xfId="27750"/>
    <cellStyle name="Input [yellow] 2 15 8 9 4" xfId="38915"/>
    <cellStyle name="Input [yellow] 2 15 8 9 5" xfId="50108"/>
    <cellStyle name="Input [yellow] 2 15 9" xfId="561"/>
    <cellStyle name="Input [yellow] 2 15 9 10" xfId="5729"/>
    <cellStyle name="Input [yellow] 2 15 9 10 2" xfId="16926"/>
    <cellStyle name="Input [yellow] 2 15 9 10 3" xfId="28094"/>
    <cellStyle name="Input [yellow] 2 15 9 10 4" xfId="39259"/>
    <cellStyle name="Input [yellow] 2 15 9 10 5" xfId="50452"/>
    <cellStyle name="Input [yellow] 2 15 9 11" xfId="6497"/>
    <cellStyle name="Input [yellow] 2 15 9 11 2" xfId="17694"/>
    <cellStyle name="Input [yellow] 2 15 9 11 3" xfId="28862"/>
    <cellStyle name="Input [yellow] 2 15 9 11 4" xfId="40027"/>
    <cellStyle name="Input [yellow] 2 15 9 11 5" xfId="51220"/>
    <cellStyle name="Input [yellow] 2 15 9 12" xfId="7130"/>
    <cellStyle name="Input [yellow] 2 15 9 12 2" xfId="18327"/>
    <cellStyle name="Input [yellow] 2 15 9 12 3" xfId="29495"/>
    <cellStyle name="Input [yellow] 2 15 9 12 4" xfId="40660"/>
    <cellStyle name="Input [yellow] 2 15 9 12 5" xfId="51853"/>
    <cellStyle name="Input [yellow] 2 15 9 13" xfId="7764"/>
    <cellStyle name="Input [yellow] 2 15 9 13 2" xfId="18961"/>
    <cellStyle name="Input [yellow] 2 15 9 13 3" xfId="30129"/>
    <cellStyle name="Input [yellow] 2 15 9 13 4" xfId="41294"/>
    <cellStyle name="Input [yellow] 2 15 9 13 5" xfId="52487"/>
    <cellStyle name="Input [yellow] 2 15 9 14" xfId="8398"/>
    <cellStyle name="Input [yellow] 2 15 9 14 2" xfId="19595"/>
    <cellStyle name="Input [yellow] 2 15 9 14 3" xfId="30763"/>
    <cellStyle name="Input [yellow] 2 15 9 14 4" xfId="41928"/>
    <cellStyle name="Input [yellow] 2 15 9 14 5" xfId="53121"/>
    <cellStyle name="Input [yellow] 2 15 9 15" xfId="9026"/>
    <cellStyle name="Input [yellow] 2 15 9 15 2" xfId="20223"/>
    <cellStyle name="Input [yellow] 2 15 9 15 3" xfId="31391"/>
    <cellStyle name="Input [yellow] 2 15 9 15 4" xfId="42556"/>
    <cellStyle name="Input [yellow] 2 15 9 15 5" xfId="53749"/>
    <cellStyle name="Input [yellow] 2 15 9 16" xfId="9449"/>
    <cellStyle name="Input [yellow] 2 15 9 16 2" xfId="20646"/>
    <cellStyle name="Input [yellow] 2 15 9 16 3" xfId="31814"/>
    <cellStyle name="Input [yellow] 2 15 9 16 4" xfId="42979"/>
    <cellStyle name="Input [yellow] 2 15 9 16 5" xfId="54172"/>
    <cellStyle name="Input [yellow] 2 15 9 17" xfId="10074"/>
    <cellStyle name="Input [yellow] 2 15 9 17 2" xfId="21271"/>
    <cellStyle name="Input [yellow] 2 15 9 17 3" xfId="32439"/>
    <cellStyle name="Input [yellow] 2 15 9 17 4" xfId="43604"/>
    <cellStyle name="Input [yellow] 2 15 9 17 5" xfId="54797"/>
    <cellStyle name="Input [yellow] 2 15 9 18" xfId="10321"/>
    <cellStyle name="Input [yellow] 2 15 9 18 2" xfId="21518"/>
    <cellStyle name="Input [yellow] 2 15 9 18 3" xfId="32686"/>
    <cellStyle name="Input [yellow] 2 15 9 18 4" xfId="43851"/>
    <cellStyle name="Input [yellow] 2 15 9 18 5" xfId="55044"/>
    <cellStyle name="Input [yellow] 2 15 9 19" xfId="11114"/>
    <cellStyle name="Input [yellow] 2 15 9 19 2" xfId="22311"/>
    <cellStyle name="Input [yellow] 2 15 9 19 3" xfId="33479"/>
    <cellStyle name="Input [yellow] 2 15 9 19 4" xfId="44644"/>
    <cellStyle name="Input [yellow] 2 15 9 19 5" xfId="55837"/>
    <cellStyle name="Input [yellow] 2 15 9 2" xfId="1210"/>
    <cellStyle name="Input [yellow] 2 15 9 2 2" xfId="12407"/>
    <cellStyle name="Input [yellow] 2 15 9 2 3" xfId="23575"/>
    <cellStyle name="Input [yellow] 2 15 9 2 4" xfId="34740"/>
    <cellStyle name="Input [yellow] 2 15 9 2 5" xfId="45933"/>
    <cellStyle name="Input [yellow] 2 15 9 20" xfId="11761"/>
    <cellStyle name="Input [yellow] 2 15 9 21" xfId="22931"/>
    <cellStyle name="Input [yellow] 2 15 9 22" xfId="34098"/>
    <cellStyle name="Input [yellow] 2 15 9 23" xfId="45284"/>
    <cellStyle name="Input [yellow] 2 15 9 3" xfId="1634"/>
    <cellStyle name="Input [yellow] 2 15 9 3 2" xfId="12831"/>
    <cellStyle name="Input [yellow] 2 15 9 3 3" xfId="23999"/>
    <cellStyle name="Input [yellow] 2 15 9 3 4" xfId="35164"/>
    <cellStyle name="Input [yellow] 2 15 9 3 5" xfId="46357"/>
    <cellStyle name="Input [yellow] 2 15 9 4" xfId="2486"/>
    <cellStyle name="Input [yellow] 2 15 9 4 2" xfId="13683"/>
    <cellStyle name="Input [yellow] 2 15 9 4 3" xfId="24851"/>
    <cellStyle name="Input [yellow] 2 15 9 4 4" xfId="36016"/>
    <cellStyle name="Input [yellow] 2 15 9 4 5" xfId="47209"/>
    <cellStyle name="Input [yellow] 2 15 9 5" xfId="2911"/>
    <cellStyle name="Input [yellow] 2 15 9 5 2" xfId="14108"/>
    <cellStyle name="Input [yellow] 2 15 9 5 3" xfId="25276"/>
    <cellStyle name="Input [yellow] 2 15 9 5 4" xfId="36441"/>
    <cellStyle name="Input [yellow] 2 15 9 5 5" xfId="47634"/>
    <cellStyle name="Input [yellow] 2 15 9 6" xfId="3545"/>
    <cellStyle name="Input [yellow] 2 15 9 6 2" xfId="14742"/>
    <cellStyle name="Input [yellow] 2 15 9 6 3" xfId="25910"/>
    <cellStyle name="Input [yellow] 2 15 9 6 4" xfId="37075"/>
    <cellStyle name="Input [yellow] 2 15 9 6 5" xfId="48268"/>
    <cellStyle name="Input [yellow] 2 15 9 7" xfId="4179"/>
    <cellStyle name="Input [yellow] 2 15 9 7 2" xfId="15376"/>
    <cellStyle name="Input [yellow] 2 15 9 7 3" xfId="26544"/>
    <cellStyle name="Input [yellow] 2 15 9 7 4" xfId="37709"/>
    <cellStyle name="Input [yellow] 2 15 9 7 5" xfId="48902"/>
    <cellStyle name="Input [yellow] 2 15 9 8" xfId="4812"/>
    <cellStyle name="Input [yellow] 2 15 9 8 2" xfId="16009"/>
    <cellStyle name="Input [yellow] 2 15 9 8 3" xfId="27177"/>
    <cellStyle name="Input [yellow] 2 15 9 8 4" xfId="38342"/>
    <cellStyle name="Input [yellow] 2 15 9 8 5" xfId="49535"/>
    <cellStyle name="Input [yellow] 2 15 9 9" xfId="5443"/>
    <cellStyle name="Input [yellow] 2 15 9 9 2" xfId="16640"/>
    <cellStyle name="Input [yellow] 2 15 9 9 3" xfId="27808"/>
    <cellStyle name="Input [yellow] 2 15 9 9 4" xfId="38973"/>
    <cellStyle name="Input [yellow] 2 15 9 9 5" xfId="50166"/>
    <cellStyle name="Input [yellow] 2 16" xfId="97"/>
    <cellStyle name="Input [yellow] 2 16 10" xfId="580"/>
    <cellStyle name="Input [yellow] 2 16 10 10" xfId="5786"/>
    <cellStyle name="Input [yellow] 2 16 10 10 2" xfId="16983"/>
    <cellStyle name="Input [yellow] 2 16 10 10 3" xfId="28151"/>
    <cellStyle name="Input [yellow] 2 16 10 10 4" xfId="39316"/>
    <cellStyle name="Input [yellow] 2 16 10 10 5" xfId="50509"/>
    <cellStyle name="Input [yellow] 2 16 10 11" xfId="6516"/>
    <cellStyle name="Input [yellow] 2 16 10 11 2" xfId="17713"/>
    <cellStyle name="Input [yellow] 2 16 10 11 3" xfId="28881"/>
    <cellStyle name="Input [yellow] 2 16 10 11 4" xfId="40046"/>
    <cellStyle name="Input [yellow] 2 16 10 11 5" xfId="51239"/>
    <cellStyle name="Input [yellow] 2 16 10 12" xfId="7149"/>
    <cellStyle name="Input [yellow] 2 16 10 12 2" xfId="18346"/>
    <cellStyle name="Input [yellow] 2 16 10 12 3" xfId="29514"/>
    <cellStyle name="Input [yellow] 2 16 10 12 4" xfId="40679"/>
    <cellStyle name="Input [yellow] 2 16 10 12 5" xfId="51872"/>
    <cellStyle name="Input [yellow] 2 16 10 13" xfId="7783"/>
    <cellStyle name="Input [yellow] 2 16 10 13 2" xfId="18980"/>
    <cellStyle name="Input [yellow] 2 16 10 13 3" xfId="30148"/>
    <cellStyle name="Input [yellow] 2 16 10 13 4" xfId="41313"/>
    <cellStyle name="Input [yellow] 2 16 10 13 5" xfId="52506"/>
    <cellStyle name="Input [yellow] 2 16 10 14" xfId="8417"/>
    <cellStyle name="Input [yellow] 2 16 10 14 2" xfId="19614"/>
    <cellStyle name="Input [yellow] 2 16 10 14 3" xfId="30782"/>
    <cellStyle name="Input [yellow] 2 16 10 14 4" xfId="41947"/>
    <cellStyle name="Input [yellow] 2 16 10 14 5" xfId="53140"/>
    <cellStyle name="Input [yellow] 2 16 10 15" xfId="9045"/>
    <cellStyle name="Input [yellow] 2 16 10 15 2" xfId="20242"/>
    <cellStyle name="Input [yellow] 2 16 10 15 3" xfId="31410"/>
    <cellStyle name="Input [yellow] 2 16 10 15 4" xfId="42575"/>
    <cellStyle name="Input [yellow] 2 16 10 15 5" xfId="53768"/>
    <cellStyle name="Input [yellow] 2 16 10 16" xfId="9468"/>
    <cellStyle name="Input [yellow] 2 16 10 16 2" xfId="20665"/>
    <cellStyle name="Input [yellow] 2 16 10 16 3" xfId="31833"/>
    <cellStyle name="Input [yellow] 2 16 10 16 4" xfId="42998"/>
    <cellStyle name="Input [yellow] 2 16 10 16 5" xfId="54191"/>
    <cellStyle name="Input [yellow] 2 16 10 17" xfId="10093"/>
    <cellStyle name="Input [yellow] 2 16 10 17 2" xfId="21290"/>
    <cellStyle name="Input [yellow] 2 16 10 17 3" xfId="32458"/>
    <cellStyle name="Input [yellow] 2 16 10 17 4" xfId="43623"/>
    <cellStyle name="Input [yellow] 2 16 10 17 5" xfId="54816"/>
    <cellStyle name="Input [yellow] 2 16 10 18" xfId="10445"/>
    <cellStyle name="Input [yellow] 2 16 10 18 2" xfId="21642"/>
    <cellStyle name="Input [yellow] 2 16 10 18 3" xfId="32810"/>
    <cellStyle name="Input [yellow] 2 16 10 18 4" xfId="43975"/>
    <cellStyle name="Input [yellow] 2 16 10 18 5" xfId="55168"/>
    <cellStyle name="Input [yellow] 2 16 10 19" xfId="11133"/>
    <cellStyle name="Input [yellow] 2 16 10 19 2" xfId="22330"/>
    <cellStyle name="Input [yellow] 2 16 10 19 3" xfId="33498"/>
    <cellStyle name="Input [yellow] 2 16 10 19 4" xfId="44663"/>
    <cellStyle name="Input [yellow] 2 16 10 19 5" xfId="55856"/>
    <cellStyle name="Input [yellow] 2 16 10 2" xfId="1229"/>
    <cellStyle name="Input [yellow] 2 16 10 2 2" xfId="12426"/>
    <cellStyle name="Input [yellow] 2 16 10 2 3" xfId="23594"/>
    <cellStyle name="Input [yellow] 2 16 10 2 4" xfId="34759"/>
    <cellStyle name="Input [yellow] 2 16 10 2 5" xfId="45952"/>
    <cellStyle name="Input [yellow] 2 16 10 20" xfId="11780"/>
    <cellStyle name="Input [yellow] 2 16 10 21" xfId="22950"/>
    <cellStyle name="Input [yellow] 2 16 10 22" xfId="34117"/>
    <cellStyle name="Input [yellow] 2 16 10 23" xfId="45303"/>
    <cellStyle name="Input [yellow] 2 16 10 3" xfId="1655"/>
    <cellStyle name="Input [yellow] 2 16 10 3 2" xfId="12852"/>
    <cellStyle name="Input [yellow] 2 16 10 3 3" xfId="24020"/>
    <cellStyle name="Input [yellow] 2 16 10 3 4" xfId="35185"/>
    <cellStyle name="Input [yellow] 2 16 10 3 5" xfId="46378"/>
    <cellStyle name="Input [yellow] 2 16 10 4" xfId="2505"/>
    <cellStyle name="Input [yellow] 2 16 10 4 2" xfId="13702"/>
    <cellStyle name="Input [yellow] 2 16 10 4 3" xfId="24870"/>
    <cellStyle name="Input [yellow] 2 16 10 4 4" xfId="36035"/>
    <cellStyle name="Input [yellow] 2 16 10 4 5" xfId="47228"/>
    <cellStyle name="Input [yellow] 2 16 10 5" xfId="2930"/>
    <cellStyle name="Input [yellow] 2 16 10 5 2" xfId="14127"/>
    <cellStyle name="Input [yellow] 2 16 10 5 3" xfId="25295"/>
    <cellStyle name="Input [yellow] 2 16 10 5 4" xfId="36460"/>
    <cellStyle name="Input [yellow] 2 16 10 5 5" xfId="47653"/>
    <cellStyle name="Input [yellow] 2 16 10 6" xfId="3564"/>
    <cellStyle name="Input [yellow] 2 16 10 6 2" xfId="14761"/>
    <cellStyle name="Input [yellow] 2 16 10 6 3" xfId="25929"/>
    <cellStyle name="Input [yellow] 2 16 10 6 4" xfId="37094"/>
    <cellStyle name="Input [yellow] 2 16 10 6 5" xfId="48287"/>
    <cellStyle name="Input [yellow] 2 16 10 7" xfId="4198"/>
    <cellStyle name="Input [yellow] 2 16 10 7 2" xfId="15395"/>
    <cellStyle name="Input [yellow] 2 16 10 7 3" xfId="26563"/>
    <cellStyle name="Input [yellow] 2 16 10 7 4" xfId="37728"/>
    <cellStyle name="Input [yellow] 2 16 10 7 5" xfId="48921"/>
    <cellStyle name="Input [yellow] 2 16 10 8" xfId="4831"/>
    <cellStyle name="Input [yellow] 2 16 10 8 2" xfId="16028"/>
    <cellStyle name="Input [yellow] 2 16 10 8 3" xfId="27196"/>
    <cellStyle name="Input [yellow] 2 16 10 8 4" xfId="38361"/>
    <cellStyle name="Input [yellow] 2 16 10 8 5" xfId="49554"/>
    <cellStyle name="Input [yellow] 2 16 10 9" xfId="5462"/>
    <cellStyle name="Input [yellow] 2 16 10 9 2" xfId="16659"/>
    <cellStyle name="Input [yellow] 2 16 10 9 3" xfId="27827"/>
    <cellStyle name="Input [yellow] 2 16 10 9 4" xfId="38992"/>
    <cellStyle name="Input [yellow] 2 16 10 9 5" xfId="50185"/>
    <cellStyle name="Input [yellow] 2 16 11" xfId="663"/>
    <cellStyle name="Input [yellow] 2 16 11 10" xfId="5766"/>
    <cellStyle name="Input [yellow] 2 16 11 10 2" xfId="16963"/>
    <cellStyle name="Input [yellow] 2 16 11 10 3" xfId="28131"/>
    <cellStyle name="Input [yellow] 2 16 11 10 4" xfId="39296"/>
    <cellStyle name="Input [yellow] 2 16 11 10 5" xfId="50489"/>
    <cellStyle name="Input [yellow] 2 16 11 11" xfId="6599"/>
    <cellStyle name="Input [yellow] 2 16 11 11 2" xfId="17796"/>
    <cellStyle name="Input [yellow] 2 16 11 11 3" xfId="28964"/>
    <cellStyle name="Input [yellow] 2 16 11 11 4" xfId="40129"/>
    <cellStyle name="Input [yellow] 2 16 11 11 5" xfId="51322"/>
    <cellStyle name="Input [yellow] 2 16 11 12" xfId="7232"/>
    <cellStyle name="Input [yellow] 2 16 11 12 2" xfId="18429"/>
    <cellStyle name="Input [yellow] 2 16 11 12 3" xfId="29597"/>
    <cellStyle name="Input [yellow] 2 16 11 12 4" xfId="40762"/>
    <cellStyle name="Input [yellow] 2 16 11 12 5" xfId="51955"/>
    <cellStyle name="Input [yellow] 2 16 11 13" xfId="7866"/>
    <cellStyle name="Input [yellow] 2 16 11 13 2" xfId="19063"/>
    <cellStyle name="Input [yellow] 2 16 11 13 3" xfId="30231"/>
    <cellStyle name="Input [yellow] 2 16 11 13 4" xfId="41396"/>
    <cellStyle name="Input [yellow] 2 16 11 13 5" xfId="52589"/>
    <cellStyle name="Input [yellow] 2 16 11 14" xfId="8500"/>
    <cellStyle name="Input [yellow] 2 16 11 14 2" xfId="19697"/>
    <cellStyle name="Input [yellow] 2 16 11 14 3" xfId="30865"/>
    <cellStyle name="Input [yellow] 2 16 11 14 4" xfId="42030"/>
    <cellStyle name="Input [yellow] 2 16 11 14 5" xfId="53223"/>
    <cellStyle name="Input [yellow] 2 16 11 15" xfId="9128"/>
    <cellStyle name="Input [yellow] 2 16 11 15 2" xfId="20325"/>
    <cellStyle name="Input [yellow] 2 16 11 15 3" xfId="31493"/>
    <cellStyle name="Input [yellow] 2 16 11 15 4" xfId="42658"/>
    <cellStyle name="Input [yellow] 2 16 11 15 5" xfId="53851"/>
    <cellStyle name="Input [yellow] 2 16 11 16" xfId="9551"/>
    <cellStyle name="Input [yellow] 2 16 11 16 2" xfId="20748"/>
    <cellStyle name="Input [yellow] 2 16 11 16 3" xfId="31916"/>
    <cellStyle name="Input [yellow] 2 16 11 16 4" xfId="43081"/>
    <cellStyle name="Input [yellow] 2 16 11 16 5" xfId="54274"/>
    <cellStyle name="Input [yellow] 2 16 11 17" xfId="10175"/>
    <cellStyle name="Input [yellow] 2 16 11 17 2" xfId="21372"/>
    <cellStyle name="Input [yellow] 2 16 11 17 3" xfId="32540"/>
    <cellStyle name="Input [yellow] 2 16 11 17 4" xfId="43705"/>
    <cellStyle name="Input [yellow] 2 16 11 17 5" xfId="54898"/>
    <cellStyle name="Input [yellow] 2 16 11 18" xfId="9975"/>
    <cellStyle name="Input [yellow] 2 16 11 18 2" xfId="21172"/>
    <cellStyle name="Input [yellow] 2 16 11 18 3" xfId="32340"/>
    <cellStyle name="Input [yellow] 2 16 11 18 4" xfId="43505"/>
    <cellStyle name="Input [yellow] 2 16 11 18 5" xfId="54698"/>
    <cellStyle name="Input [yellow] 2 16 11 19" xfId="11216"/>
    <cellStyle name="Input [yellow] 2 16 11 19 2" xfId="22413"/>
    <cellStyle name="Input [yellow] 2 16 11 19 3" xfId="33581"/>
    <cellStyle name="Input [yellow] 2 16 11 19 4" xfId="44746"/>
    <cellStyle name="Input [yellow] 2 16 11 19 5" xfId="55939"/>
    <cellStyle name="Input [yellow] 2 16 11 2" xfId="1312"/>
    <cellStyle name="Input [yellow] 2 16 11 2 2" xfId="12509"/>
    <cellStyle name="Input [yellow] 2 16 11 2 3" xfId="23677"/>
    <cellStyle name="Input [yellow] 2 16 11 2 4" xfId="34842"/>
    <cellStyle name="Input [yellow] 2 16 11 2 5" xfId="46035"/>
    <cellStyle name="Input [yellow] 2 16 11 20" xfId="11863"/>
    <cellStyle name="Input [yellow] 2 16 11 21" xfId="23033"/>
    <cellStyle name="Input [yellow] 2 16 11 22" xfId="34200"/>
    <cellStyle name="Input [yellow] 2 16 11 23" xfId="45386"/>
    <cellStyle name="Input [yellow] 2 16 11 3" xfId="1930"/>
    <cellStyle name="Input [yellow] 2 16 11 3 2" xfId="13127"/>
    <cellStyle name="Input [yellow] 2 16 11 3 3" xfId="24295"/>
    <cellStyle name="Input [yellow] 2 16 11 3 4" xfId="35460"/>
    <cellStyle name="Input [yellow] 2 16 11 3 5" xfId="46653"/>
    <cellStyle name="Input [yellow] 2 16 11 4" xfId="2588"/>
    <cellStyle name="Input [yellow] 2 16 11 4 2" xfId="13785"/>
    <cellStyle name="Input [yellow] 2 16 11 4 3" xfId="24953"/>
    <cellStyle name="Input [yellow] 2 16 11 4 4" xfId="36118"/>
    <cellStyle name="Input [yellow] 2 16 11 4 5" xfId="47311"/>
    <cellStyle name="Input [yellow] 2 16 11 5" xfId="3013"/>
    <cellStyle name="Input [yellow] 2 16 11 5 2" xfId="14210"/>
    <cellStyle name="Input [yellow] 2 16 11 5 3" xfId="25378"/>
    <cellStyle name="Input [yellow] 2 16 11 5 4" xfId="36543"/>
    <cellStyle name="Input [yellow] 2 16 11 5 5" xfId="47736"/>
    <cellStyle name="Input [yellow] 2 16 11 6" xfId="3647"/>
    <cellStyle name="Input [yellow] 2 16 11 6 2" xfId="14844"/>
    <cellStyle name="Input [yellow] 2 16 11 6 3" xfId="26012"/>
    <cellStyle name="Input [yellow] 2 16 11 6 4" xfId="37177"/>
    <cellStyle name="Input [yellow] 2 16 11 6 5" xfId="48370"/>
    <cellStyle name="Input [yellow] 2 16 11 7" xfId="4281"/>
    <cellStyle name="Input [yellow] 2 16 11 7 2" xfId="15478"/>
    <cellStyle name="Input [yellow] 2 16 11 7 3" xfId="26646"/>
    <cellStyle name="Input [yellow] 2 16 11 7 4" xfId="37811"/>
    <cellStyle name="Input [yellow] 2 16 11 7 5" xfId="49004"/>
    <cellStyle name="Input [yellow] 2 16 11 8" xfId="4914"/>
    <cellStyle name="Input [yellow] 2 16 11 8 2" xfId="16111"/>
    <cellStyle name="Input [yellow] 2 16 11 8 3" xfId="27279"/>
    <cellStyle name="Input [yellow] 2 16 11 8 4" xfId="38444"/>
    <cellStyle name="Input [yellow] 2 16 11 8 5" xfId="49637"/>
    <cellStyle name="Input [yellow] 2 16 11 9" xfId="5545"/>
    <cellStyle name="Input [yellow] 2 16 11 9 2" xfId="16742"/>
    <cellStyle name="Input [yellow] 2 16 11 9 3" xfId="27910"/>
    <cellStyle name="Input [yellow] 2 16 11 9 4" xfId="39075"/>
    <cellStyle name="Input [yellow] 2 16 11 9 5" xfId="50268"/>
    <cellStyle name="Input [yellow] 2 16 12" xfId="746"/>
    <cellStyle name="Input [yellow] 2 16 12 2" xfId="11943"/>
    <cellStyle name="Input [yellow] 2 16 12 3" xfId="23111"/>
    <cellStyle name="Input [yellow] 2 16 12 4" xfId="34276"/>
    <cellStyle name="Input [yellow] 2 16 12 5" xfId="45469"/>
    <cellStyle name="Input [yellow] 2 16 13" xfId="1350"/>
    <cellStyle name="Input [yellow] 2 16 13 2" xfId="12547"/>
    <cellStyle name="Input [yellow] 2 16 13 3" xfId="23715"/>
    <cellStyle name="Input [yellow] 2 16 13 4" xfId="34880"/>
    <cellStyle name="Input [yellow] 2 16 13 5" xfId="46073"/>
    <cellStyle name="Input [yellow] 2 16 14" xfId="2023"/>
    <cellStyle name="Input [yellow] 2 16 14 2" xfId="13220"/>
    <cellStyle name="Input [yellow] 2 16 14 3" xfId="24388"/>
    <cellStyle name="Input [yellow] 2 16 14 4" xfId="35553"/>
    <cellStyle name="Input [yellow] 2 16 14 5" xfId="46746"/>
    <cellStyle name="Input [yellow] 2 16 15" xfId="2455"/>
    <cellStyle name="Input [yellow] 2 16 15 2" xfId="13652"/>
    <cellStyle name="Input [yellow] 2 16 15 3" xfId="24820"/>
    <cellStyle name="Input [yellow] 2 16 15 4" xfId="35985"/>
    <cellStyle name="Input [yellow] 2 16 15 5" xfId="47178"/>
    <cellStyle name="Input [yellow] 2 16 16" xfId="3081"/>
    <cellStyle name="Input [yellow] 2 16 16 2" xfId="14278"/>
    <cellStyle name="Input [yellow] 2 16 16 3" xfId="25446"/>
    <cellStyle name="Input [yellow] 2 16 16 4" xfId="36611"/>
    <cellStyle name="Input [yellow] 2 16 16 5" xfId="47804"/>
    <cellStyle name="Input [yellow] 2 16 17" xfId="3715"/>
    <cellStyle name="Input [yellow] 2 16 17 2" xfId="14912"/>
    <cellStyle name="Input [yellow] 2 16 17 3" xfId="26080"/>
    <cellStyle name="Input [yellow] 2 16 17 4" xfId="37245"/>
    <cellStyle name="Input [yellow] 2 16 17 5" xfId="48438"/>
    <cellStyle name="Input [yellow] 2 16 18" xfId="4348"/>
    <cellStyle name="Input [yellow] 2 16 18 2" xfId="15545"/>
    <cellStyle name="Input [yellow] 2 16 18 3" xfId="26713"/>
    <cellStyle name="Input [yellow] 2 16 18 4" xfId="37878"/>
    <cellStyle name="Input [yellow] 2 16 18 5" xfId="49071"/>
    <cellStyle name="Input [yellow] 2 16 19" xfId="4979"/>
    <cellStyle name="Input [yellow] 2 16 19 2" xfId="16176"/>
    <cellStyle name="Input [yellow] 2 16 19 3" xfId="27344"/>
    <cellStyle name="Input [yellow] 2 16 19 4" xfId="38509"/>
    <cellStyle name="Input [yellow] 2 16 19 5" xfId="49702"/>
    <cellStyle name="Input [yellow] 2 16 2" xfId="160"/>
    <cellStyle name="Input [yellow] 2 16 2 10" xfId="5614"/>
    <cellStyle name="Input [yellow] 2 16 2 10 2" xfId="16811"/>
    <cellStyle name="Input [yellow] 2 16 2 10 3" xfId="27979"/>
    <cellStyle name="Input [yellow] 2 16 2 10 4" xfId="39144"/>
    <cellStyle name="Input [yellow] 2 16 2 10 5" xfId="50337"/>
    <cellStyle name="Input [yellow] 2 16 2 11" xfId="5842"/>
    <cellStyle name="Input [yellow] 2 16 2 11 2" xfId="17039"/>
    <cellStyle name="Input [yellow] 2 16 2 11 3" xfId="28207"/>
    <cellStyle name="Input [yellow] 2 16 2 11 4" xfId="39372"/>
    <cellStyle name="Input [yellow] 2 16 2 11 5" xfId="50565"/>
    <cellStyle name="Input [yellow] 2 16 2 12" xfId="6729"/>
    <cellStyle name="Input [yellow] 2 16 2 12 2" xfId="17926"/>
    <cellStyle name="Input [yellow] 2 16 2 12 3" xfId="29094"/>
    <cellStyle name="Input [yellow] 2 16 2 12 4" xfId="40259"/>
    <cellStyle name="Input [yellow] 2 16 2 12 5" xfId="51452"/>
    <cellStyle name="Input [yellow] 2 16 2 13" xfId="7363"/>
    <cellStyle name="Input [yellow] 2 16 2 13 2" xfId="18560"/>
    <cellStyle name="Input [yellow] 2 16 2 13 3" xfId="29728"/>
    <cellStyle name="Input [yellow] 2 16 2 13 4" xfId="40893"/>
    <cellStyle name="Input [yellow] 2 16 2 13 5" xfId="52086"/>
    <cellStyle name="Input [yellow] 2 16 2 14" xfId="7997"/>
    <cellStyle name="Input [yellow] 2 16 2 14 2" xfId="19194"/>
    <cellStyle name="Input [yellow] 2 16 2 14 3" xfId="30362"/>
    <cellStyle name="Input [yellow] 2 16 2 14 4" xfId="41527"/>
    <cellStyle name="Input [yellow] 2 16 2 14 5" xfId="52720"/>
    <cellStyle name="Input [yellow] 2 16 2 15" xfId="8628"/>
    <cellStyle name="Input [yellow] 2 16 2 15 2" xfId="19825"/>
    <cellStyle name="Input [yellow] 2 16 2 15 3" xfId="30993"/>
    <cellStyle name="Input [yellow] 2 16 2 15 4" xfId="42158"/>
    <cellStyle name="Input [yellow] 2 16 2 15 5" xfId="53351"/>
    <cellStyle name="Input [yellow] 2 16 2 16" xfId="8762"/>
    <cellStyle name="Input [yellow] 2 16 2 16 2" xfId="19959"/>
    <cellStyle name="Input [yellow] 2 16 2 16 3" xfId="31127"/>
    <cellStyle name="Input [yellow] 2 16 2 16 4" xfId="42292"/>
    <cellStyle name="Input [yellow] 2 16 2 16 5" xfId="53485"/>
    <cellStyle name="Input [yellow] 2 16 2 17" xfId="9680"/>
    <cellStyle name="Input [yellow] 2 16 2 17 2" xfId="20877"/>
    <cellStyle name="Input [yellow] 2 16 2 17 3" xfId="32045"/>
    <cellStyle name="Input [yellow] 2 16 2 17 4" xfId="43210"/>
    <cellStyle name="Input [yellow] 2 16 2 17 5" xfId="54403"/>
    <cellStyle name="Input [yellow] 2 16 2 18" xfId="9800"/>
    <cellStyle name="Input [yellow] 2 16 2 18 2" xfId="20997"/>
    <cellStyle name="Input [yellow] 2 16 2 18 3" xfId="32165"/>
    <cellStyle name="Input [yellow] 2 16 2 18 4" xfId="43330"/>
    <cellStyle name="Input [yellow] 2 16 2 18 5" xfId="54523"/>
    <cellStyle name="Input [yellow] 2 16 2 19" xfId="10713"/>
    <cellStyle name="Input [yellow] 2 16 2 19 2" xfId="21910"/>
    <cellStyle name="Input [yellow] 2 16 2 19 3" xfId="33078"/>
    <cellStyle name="Input [yellow] 2 16 2 19 4" xfId="44243"/>
    <cellStyle name="Input [yellow] 2 16 2 19 5" xfId="55436"/>
    <cellStyle name="Input [yellow] 2 16 2 2" xfId="809"/>
    <cellStyle name="Input [yellow] 2 16 2 2 2" xfId="12006"/>
    <cellStyle name="Input [yellow] 2 16 2 2 3" xfId="23174"/>
    <cellStyle name="Input [yellow] 2 16 2 2 4" xfId="34339"/>
    <cellStyle name="Input [yellow] 2 16 2 2 5" xfId="45532"/>
    <cellStyle name="Input [yellow] 2 16 2 20" xfId="11360"/>
    <cellStyle name="Input [yellow] 2 16 2 21" xfId="22530"/>
    <cellStyle name="Input [yellow] 2 16 2 22" xfId="33697"/>
    <cellStyle name="Input [yellow] 2 16 2 23" xfId="44883"/>
    <cellStyle name="Input [yellow] 2 16 2 3" xfId="1943"/>
    <cellStyle name="Input [yellow] 2 16 2 3 2" xfId="13140"/>
    <cellStyle name="Input [yellow] 2 16 2 3 3" xfId="24308"/>
    <cellStyle name="Input [yellow] 2 16 2 3 4" xfId="35473"/>
    <cellStyle name="Input [yellow] 2 16 2 3 5" xfId="46666"/>
    <cellStyle name="Input [yellow] 2 16 2 4" xfId="2086"/>
    <cellStyle name="Input [yellow] 2 16 2 4 2" xfId="13283"/>
    <cellStyle name="Input [yellow] 2 16 2 4 3" xfId="24451"/>
    <cellStyle name="Input [yellow] 2 16 2 4 4" xfId="35616"/>
    <cellStyle name="Input [yellow] 2 16 2 4 5" xfId="46809"/>
    <cellStyle name="Input [yellow] 2 16 2 5" xfId="2095"/>
    <cellStyle name="Input [yellow] 2 16 2 5 2" xfId="13292"/>
    <cellStyle name="Input [yellow] 2 16 2 5 3" xfId="24460"/>
    <cellStyle name="Input [yellow] 2 16 2 5 4" xfId="35625"/>
    <cellStyle name="Input [yellow] 2 16 2 5 5" xfId="46818"/>
    <cellStyle name="Input [yellow] 2 16 2 6" xfId="3144"/>
    <cellStyle name="Input [yellow] 2 16 2 6 2" xfId="14341"/>
    <cellStyle name="Input [yellow] 2 16 2 6 3" xfId="25509"/>
    <cellStyle name="Input [yellow] 2 16 2 6 4" xfId="36674"/>
    <cellStyle name="Input [yellow] 2 16 2 6 5" xfId="47867"/>
    <cellStyle name="Input [yellow] 2 16 2 7" xfId="3778"/>
    <cellStyle name="Input [yellow] 2 16 2 7 2" xfId="14975"/>
    <cellStyle name="Input [yellow] 2 16 2 7 3" xfId="26143"/>
    <cellStyle name="Input [yellow] 2 16 2 7 4" xfId="37308"/>
    <cellStyle name="Input [yellow] 2 16 2 7 5" xfId="48501"/>
    <cellStyle name="Input [yellow] 2 16 2 8" xfId="4411"/>
    <cellStyle name="Input [yellow] 2 16 2 8 2" xfId="15608"/>
    <cellStyle name="Input [yellow] 2 16 2 8 3" xfId="26776"/>
    <cellStyle name="Input [yellow] 2 16 2 8 4" xfId="37941"/>
    <cellStyle name="Input [yellow] 2 16 2 8 5" xfId="49134"/>
    <cellStyle name="Input [yellow] 2 16 2 9" xfId="5042"/>
    <cellStyle name="Input [yellow] 2 16 2 9 2" xfId="16239"/>
    <cellStyle name="Input [yellow] 2 16 2 9 3" xfId="27407"/>
    <cellStyle name="Input [yellow] 2 16 2 9 4" xfId="38572"/>
    <cellStyle name="Input [yellow] 2 16 2 9 5" xfId="49765"/>
    <cellStyle name="Input [yellow] 2 16 20" xfId="6036"/>
    <cellStyle name="Input [yellow] 2 16 20 2" xfId="17233"/>
    <cellStyle name="Input [yellow] 2 16 20 3" xfId="28401"/>
    <cellStyle name="Input [yellow] 2 16 20 4" xfId="39566"/>
    <cellStyle name="Input [yellow] 2 16 20 5" xfId="50759"/>
    <cellStyle name="Input [yellow] 2 16 21" xfId="5590"/>
    <cellStyle name="Input [yellow] 2 16 21 2" xfId="16787"/>
    <cellStyle name="Input [yellow] 2 16 21 3" xfId="27955"/>
    <cellStyle name="Input [yellow] 2 16 21 4" xfId="39120"/>
    <cellStyle name="Input [yellow] 2 16 21 5" xfId="50313"/>
    <cellStyle name="Input [yellow] 2 16 22" xfId="6666"/>
    <cellStyle name="Input [yellow] 2 16 22 2" xfId="17863"/>
    <cellStyle name="Input [yellow] 2 16 22 3" xfId="29031"/>
    <cellStyle name="Input [yellow] 2 16 22 4" xfId="40196"/>
    <cellStyle name="Input [yellow] 2 16 22 5" xfId="51389"/>
    <cellStyle name="Input [yellow] 2 16 23" xfId="7300"/>
    <cellStyle name="Input [yellow] 2 16 23 2" xfId="18497"/>
    <cellStyle name="Input [yellow] 2 16 23 3" xfId="29665"/>
    <cellStyle name="Input [yellow] 2 16 23 4" xfId="40830"/>
    <cellStyle name="Input [yellow] 2 16 23 5" xfId="52023"/>
    <cellStyle name="Input [yellow] 2 16 24" xfId="7934"/>
    <cellStyle name="Input [yellow] 2 16 24 2" xfId="19131"/>
    <cellStyle name="Input [yellow] 2 16 24 3" xfId="30299"/>
    <cellStyle name="Input [yellow] 2 16 24 4" xfId="41464"/>
    <cellStyle name="Input [yellow] 2 16 24 5" xfId="52657"/>
    <cellStyle name="Input [yellow] 2 16 25" xfId="8565"/>
    <cellStyle name="Input [yellow] 2 16 25 2" xfId="19762"/>
    <cellStyle name="Input [yellow] 2 16 25 3" xfId="30930"/>
    <cellStyle name="Input [yellow] 2 16 25 4" xfId="42095"/>
    <cellStyle name="Input [yellow] 2 16 25 5" xfId="53288"/>
    <cellStyle name="Input [yellow] 2 16 26" xfId="9100"/>
    <cellStyle name="Input [yellow] 2 16 26 2" xfId="20297"/>
    <cellStyle name="Input [yellow] 2 16 26 3" xfId="31465"/>
    <cellStyle name="Input [yellow] 2 16 26 4" xfId="42630"/>
    <cellStyle name="Input [yellow] 2 16 26 5" xfId="53823"/>
    <cellStyle name="Input [yellow] 2 16 27" xfId="9618"/>
    <cellStyle name="Input [yellow] 2 16 27 2" xfId="20815"/>
    <cellStyle name="Input [yellow] 2 16 27 3" xfId="31983"/>
    <cellStyle name="Input [yellow] 2 16 27 4" xfId="43148"/>
    <cellStyle name="Input [yellow] 2 16 27 5" xfId="54341"/>
    <cellStyle name="Input [yellow] 2 16 28" xfId="10548"/>
    <cellStyle name="Input [yellow] 2 16 28 2" xfId="21745"/>
    <cellStyle name="Input [yellow] 2 16 28 3" xfId="32913"/>
    <cellStyle name="Input [yellow] 2 16 28 4" xfId="44078"/>
    <cellStyle name="Input [yellow] 2 16 28 5" xfId="55271"/>
    <cellStyle name="Input [yellow] 2 16 29" xfId="10650"/>
    <cellStyle name="Input [yellow] 2 16 29 2" xfId="21847"/>
    <cellStyle name="Input [yellow] 2 16 29 3" xfId="33015"/>
    <cellStyle name="Input [yellow] 2 16 29 4" xfId="44180"/>
    <cellStyle name="Input [yellow] 2 16 29 5" xfId="55373"/>
    <cellStyle name="Input [yellow] 2 16 3" xfId="216"/>
    <cellStyle name="Input [yellow] 2 16 3 10" xfId="6084"/>
    <cellStyle name="Input [yellow] 2 16 3 10 2" xfId="17281"/>
    <cellStyle name="Input [yellow] 2 16 3 10 3" xfId="28449"/>
    <cellStyle name="Input [yellow] 2 16 3 10 4" xfId="39614"/>
    <cellStyle name="Input [yellow] 2 16 3 10 5" xfId="50807"/>
    <cellStyle name="Input [yellow] 2 16 3 11" xfId="5890"/>
    <cellStyle name="Input [yellow] 2 16 3 11 2" xfId="17087"/>
    <cellStyle name="Input [yellow] 2 16 3 11 3" xfId="28255"/>
    <cellStyle name="Input [yellow] 2 16 3 11 4" xfId="39420"/>
    <cellStyle name="Input [yellow] 2 16 3 11 5" xfId="50613"/>
    <cellStyle name="Input [yellow] 2 16 3 12" xfId="6785"/>
    <cellStyle name="Input [yellow] 2 16 3 12 2" xfId="17982"/>
    <cellStyle name="Input [yellow] 2 16 3 12 3" xfId="29150"/>
    <cellStyle name="Input [yellow] 2 16 3 12 4" xfId="40315"/>
    <cellStyle name="Input [yellow] 2 16 3 12 5" xfId="51508"/>
    <cellStyle name="Input [yellow] 2 16 3 13" xfId="7419"/>
    <cellStyle name="Input [yellow] 2 16 3 13 2" xfId="18616"/>
    <cellStyle name="Input [yellow] 2 16 3 13 3" xfId="29784"/>
    <cellStyle name="Input [yellow] 2 16 3 13 4" xfId="40949"/>
    <cellStyle name="Input [yellow] 2 16 3 13 5" xfId="52142"/>
    <cellStyle name="Input [yellow] 2 16 3 14" xfId="8053"/>
    <cellStyle name="Input [yellow] 2 16 3 14 2" xfId="19250"/>
    <cellStyle name="Input [yellow] 2 16 3 14 3" xfId="30418"/>
    <cellStyle name="Input [yellow] 2 16 3 14 4" xfId="41583"/>
    <cellStyle name="Input [yellow] 2 16 3 14 5" xfId="52776"/>
    <cellStyle name="Input [yellow] 2 16 3 15" xfId="8684"/>
    <cellStyle name="Input [yellow] 2 16 3 15 2" xfId="19881"/>
    <cellStyle name="Input [yellow] 2 16 3 15 3" xfId="31049"/>
    <cellStyle name="Input [yellow] 2 16 3 15 4" xfId="42214"/>
    <cellStyle name="Input [yellow] 2 16 3 15 5" xfId="53407"/>
    <cellStyle name="Input [yellow] 2 16 3 16" xfId="8747"/>
    <cellStyle name="Input [yellow] 2 16 3 16 2" xfId="19944"/>
    <cellStyle name="Input [yellow] 2 16 3 16 3" xfId="31112"/>
    <cellStyle name="Input [yellow] 2 16 3 16 4" xfId="42277"/>
    <cellStyle name="Input [yellow] 2 16 3 16 5" xfId="53470"/>
    <cellStyle name="Input [yellow] 2 16 3 17" xfId="9735"/>
    <cellStyle name="Input [yellow] 2 16 3 17 2" xfId="20932"/>
    <cellStyle name="Input [yellow] 2 16 3 17 3" xfId="32100"/>
    <cellStyle name="Input [yellow] 2 16 3 17 4" xfId="43265"/>
    <cellStyle name="Input [yellow] 2 16 3 17 5" xfId="54458"/>
    <cellStyle name="Input [yellow] 2 16 3 18" xfId="10517"/>
    <cellStyle name="Input [yellow] 2 16 3 18 2" xfId="21714"/>
    <cellStyle name="Input [yellow] 2 16 3 18 3" xfId="32882"/>
    <cellStyle name="Input [yellow] 2 16 3 18 4" xfId="44047"/>
    <cellStyle name="Input [yellow] 2 16 3 18 5" xfId="55240"/>
    <cellStyle name="Input [yellow] 2 16 3 19" xfId="10769"/>
    <cellStyle name="Input [yellow] 2 16 3 19 2" xfId="21966"/>
    <cellStyle name="Input [yellow] 2 16 3 19 3" xfId="33134"/>
    <cellStyle name="Input [yellow] 2 16 3 19 4" xfId="44299"/>
    <cellStyle name="Input [yellow] 2 16 3 19 5" xfId="55492"/>
    <cellStyle name="Input [yellow] 2 16 3 2" xfId="865"/>
    <cellStyle name="Input [yellow] 2 16 3 2 2" xfId="12062"/>
    <cellStyle name="Input [yellow] 2 16 3 2 3" xfId="23230"/>
    <cellStyle name="Input [yellow] 2 16 3 2 4" xfId="34395"/>
    <cellStyle name="Input [yellow] 2 16 3 2 5" xfId="45588"/>
    <cellStyle name="Input [yellow] 2 16 3 20" xfId="11416"/>
    <cellStyle name="Input [yellow] 2 16 3 21" xfId="22586"/>
    <cellStyle name="Input [yellow] 2 16 3 22" xfId="33753"/>
    <cellStyle name="Input [yellow] 2 16 3 23" xfId="44939"/>
    <cellStyle name="Input [yellow] 2 16 3 3" xfId="1765"/>
    <cellStyle name="Input [yellow] 2 16 3 3 2" xfId="12962"/>
    <cellStyle name="Input [yellow] 2 16 3 3 3" xfId="24130"/>
    <cellStyle name="Input [yellow] 2 16 3 3 4" xfId="35295"/>
    <cellStyle name="Input [yellow] 2 16 3 3 5" xfId="46488"/>
    <cellStyle name="Input [yellow] 2 16 3 4" xfId="2142"/>
    <cellStyle name="Input [yellow] 2 16 3 4 2" xfId="13339"/>
    <cellStyle name="Input [yellow] 2 16 3 4 3" xfId="24507"/>
    <cellStyle name="Input [yellow] 2 16 3 4 4" xfId="35672"/>
    <cellStyle name="Input [yellow] 2 16 3 4 5" xfId="46865"/>
    <cellStyle name="Input [yellow] 2 16 3 5" xfId="2569"/>
    <cellStyle name="Input [yellow] 2 16 3 5 2" xfId="13766"/>
    <cellStyle name="Input [yellow] 2 16 3 5 3" xfId="24934"/>
    <cellStyle name="Input [yellow] 2 16 3 5 4" xfId="36099"/>
    <cellStyle name="Input [yellow] 2 16 3 5 5" xfId="47292"/>
    <cellStyle name="Input [yellow] 2 16 3 6" xfId="3200"/>
    <cellStyle name="Input [yellow] 2 16 3 6 2" xfId="14397"/>
    <cellStyle name="Input [yellow] 2 16 3 6 3" xfId="25565"/>
    <cellStyle name="Input [yellow] 2 16 3 6 4" xfId="36730"/>
    <cellStyle name="Input [yellow] 2 16 3 6 5" xfId="47923"/>
    <cellStyle name="Input [yellow] 2 16 3 7" xfId="3834"/>
    <cellStyle name="Input [yellow] 2 16 3 7 2" xfId="15031"/>
    <cellStyle name="Input [yellow] 2 16 3 7 3" xfId="26199"/>
    <cellStyle name="Input [yellow] 2 16 3 7 4" xfId="37364"/>
    <cellStyle name="Input [yellow] 2 16 3 7 5" xfId="48557"/>
    <cellStyle name="Input [yellow] 2 16 3 8" xfId="4467"/>
    <cellStyle name="Input [yellow] 2 16 3 8 2" xfId="15664"/>
    <cellStyle name="Input [yellow] 2 16 3 8 3" xfId="26832"/>
    <cellStyle name="Input [yellow] 2 16 3 8 4" xfId="37997"/>
    <cellStyle name="Input [yellow] 2 16 3 8 5" xfId="49190"/>
    <cellStyle name="Input [yellow] 2 16 3 9" xfId="5098"/>
    <cellStyle name="Input [yellow] 2 16 3 9 2" xfId="16295"/>
    <cellStyle name="Input [yellow] 2 16 3 9 3" xfId="27463"/>
    <cellStyle name="Input [yellow] 2 16 3 9 4" xfId="38628"/>
    <cellStyle name="Input [yellow] 2 16 3 9 5" xfId="49821"/>
    <cellStyle name="Input [yellow] 2 16 30" xfId="11297"/>
    <cellStyle name="Input [yellow] 2 16 31" xfId="22467"/>
    <cellStyle name="Input [yellow] 2 16 32" xfId="33634"/>
    <cellStyle name="Input [yellow] 2 16 33" xfId="44820"/>
    <cellStyle name="Input [yellow] 2 16 4" xfId="242"/>
    <cellStyle name="Input [yellow] 2 16 4 10" xfId="5778"/>
    <cellStyle name="Input [yellow] 2 16 4 10 2" xfId="16975"/>
    <cellStyle name="Input [yellow] 2 16 4 10 3" xfId="28143"/>
    <cellStyle name="Input [yellow] 2 16 4 10 4" xfId="39308"/>
    <cellStyle name="Input [yellow] 2 16 4 10 5" xfId="50501"/>
    <cellStyle name="Input [yellow] 2 16 4 11" xfId="5819"/>
    <cellStyle name="Input [yellow] 2 16 4 11 2" xfId="17016"/>
    <cellStyle name="Input [yellow] 2 16 4 11 3" xfId="28184"/>
    <cellStyle name="Input [yellow] 2 16 4 11 4" xfId="39349"/>
    <cellStyle name="Input [yellow] 2 16 4 11 5" xfId="50542"/>
    <cellStyle name="Input [yellow] 2 16 4 12" xfId="6811"/>
    <cellStyle name="Input [yellow] 2 16 4 12 2" xfId="18008"/>
    <cellStyle name="Input [yellow] 2 16 4 12 3" xfId="29176"/>
    <cellStyle name="Input [yellow] 2 16 4 12 4" xfId="40341"/>
    <cellStyle name="Input [yellow] 2 16 4 12 5" xfId="51534"/>
    <cellStyle name="Input [yellow] 2 16 4 13" xfId="7445"/>
    <cellStyle name="Input [yellow] 2 16 4 13 2" xfId="18642"/>
    <cellStyle name="Input [yellow] 2 16 4 13 3" xfId="29810"/>
    <cellStyle name="Input [yellow] 2 16 4 13 4" xfId="40975"/>
    <cellStyle name="Input [yellow] 2 16 4 13 5" xfId="52168"/>
    <cellStyle name="Input [yellow] 2 16 4 14" xfId="8079"/>
    <cellStyle name="Input [yellow] 2 16 4 14 2" xfId="19276"/>
    <cellStyle name="Input [yellow] 2 16 4 14 3" xfId="30444"/>
    <cellStyle name="Input [yellow] 2 16 4 14 4" xfId="41609"/>
    <cellStyle name="Input [yellow] 2 16 4 14 5" xfId="52802"/>
    <cellStyle name="Input [yellow] 2 16 4 15" xfId="8709"/>
    <cellStyle name="Input [yellow] 2 16 4 15 2" xfId="19906"/>
    <cellStyle name="Input [yellow] 2 16 4 15 3" xfId="31074"/>
    <cellStyle name="Input [yellow] 2 16 4 15 4" xfId="42239"/>
    <cellStyle name="Input [yellow] 2 16 4 15 5" xfId="53432"/>
    <cellStyle name="Input [yellow] 2 16 4 16" xfId="9046"/>
    <cellStyle name="Input [yellow] 2 16 4 16 2" xfId="20243"/>
    <cellStyle name="Input [yellow] 2 16 4 16 3" xfId="31411"/>
    <cellStyle name="Input [yellow] 2 16 4 16 4" xfId="42576"/>
    <cellStyle name="Input [yellow] 2 16 4 16 5" xfId="53769"/>
    <cellStyle name="Input [yellow] 2 16 4 17" xfId="9759"/>
    <cellStyle name="Input [yellow] 2 16 4 17 2" xfId="20956"/>
    <cellStyle name="Input [yellow] 2 16 4 17 3" xfId="32124"/>
    <cellStyle name="Input [yellow] 2 16 4 17 4" xfId="43289"/>
    <cellStyle name="Input [yellow] 2 16 4 17 5" xfId="54482"/>
    <cellStyle name="Input [yellow] 2 16 4 18" xfId="10467"/>
    <cellStyle name="Input [yellow] 2 16 4 18 2" xfId="21664"/>
    <cellStyle name="Input [yellow] 2 16 4 18 3" xfId="32832"/>
    <cellStyle name="Input [yellow] 2 16 4 18 4" xfId="43997"/>
    <cellStyle name="Input [yellow] 2 16 4 18 5" xfId="55190"/>
    <cellStyle name="Input [yellow] 2 16 4 19" xfId="10795"/>
    <cellStyle name="Input [yellow] 2 16 4 19 2" xfId="21992"/>
    <cellStyle name="Input [yellow] 2 16 4 19 3" xfId="33160"/>
    <cellStyle name="Input [yellow] 2 16 4 19 4" xfId="44325"/>
    <cellStyle name="Input [yellow] 2 16 4 19 5" xfId="55518"/>
    <cellStyle name="Input [yellow] 2 16 4 2" xfId="891"/>
    <cellStyle name="Input [yellow] 2 16 4 2 2" xfId="12088"/>
    <cellStyle name="Input [yellow] 2 16 4 2 3" xfId="23256"/>
    <cellStyle name="Input [yellow] 2 16 4 2 4" xfId="34421"/>
    <cellStyle name="Input [yellow] 2 16 4 2 5" xfId="45614"/>
    <cellStyle name="Input [yellow] 2 16 4 20" xfId="11442"/>
    <cellStyle name="Input [yellow] 2 16 4 21" xfId="22612"/>
    <cellStyle name="Input [yellow] 2 16 4 22" xfId="33779"/>
    <cellStyle name="Input [yellow] 2 16 4 23" xfId="44965"/>
    <cellStyle name="Input [yellow] 2 16 4 3" xfId="1763"/>
    <cellStyle name="Input [yellow] 2 16 4 3 2" xfId="12960"/>
    <cellStyle name="Input [yellow] 2 16 4 3 3" xfId="24128"/>
    <cellStyle name="Input [yellow] 2 16 4 3 4" xfId="35293"/>
    <cellStyle name="Input [yellow] 2 16 4 3 5" xfId="46486"/>
    <cellStyle name="Input [yellow] 2 16 4 4" xfId="2168"/>
    <cellStyle name="Input [yellow] 2 16 4 4 2" xfId="13365"/>
    <cellStyle name="Input [yellow] 2 16 4 4 3" xfId="24533"/>
    <cellStyle name="Input [yellow] 2 16 4 4 4" xfId="35698"/>
    <cellStyle name="Input [yellow] 2 16 4 4 5" xfId="46891"/>
    <cellStyle name="Input [yellow] 2 16 4 5" xfId="1325"/>
    <cellStyle name="Input [yellow] 2 16 4 5 2" xfId="12522"/>
    <cellStyle name="Input [yellow] 2 16 4 5 3" xfId="23690"/>
    <cellStyle name="Input [yellow] 2 16 4 5 4" xfId="34855"/>
    <cellStyle name="Input [yellow] 2 16 4 5 5" xfId="46048"/>
    <cellStyle name="Input [yellow] 2 16 4 6" xfId="3226"/>
    <cellStyle name="Input [yellow] 2 16 4 6 2" xfId="14423"/>
    <cellStyle name="Input [yellow] 2 16 4 6 3" xfId="25591"/>
    <cellStyle name="Input [yellow] 2 16 4 6 4" xfId="36756"/>
    <cellStyle name="Input [yellow] 2 16 4 6 5" xfId="47949"/>
    <cellStyle name="Input [yellow] 2 16 4 7" xfId="3860"/>
    <cellStyle name="Input [yellow] 2 16 4 7 2" xfId="15057"/>
    <cellStyle name="Input [yellow] 2 16 4 7 3" xfId="26225"/>
    <cellStyle name="Input [yellow] 2 16 4 7 4" xfId="37390"/>
    <cellStyle name="Input [yellow] 2 16 4 7 5" xfId="48583"/>
    <cellStyle name="Input [yellow] 2 16 4 8" xfId="4493"/>
    <cellStyle name="Input [yellow] 2 16 4 8 2" xfId="15690"/>
    <cellStyle name="Input [yellow] 2 16 4 8 3" xfId="26858"/>
    <cellStyle name="Input [yellow] 2 16 4 8 4" xfId="38023"/>
    <cellStyle name="Input [yellow] 2 16 4 8 5" xfId="49216"/>
    <cellStyle name="Input [yellow] 2 16 4 9" xfId="5124"/>
    <cellStyle name="Input [yellow] 2 16 4 9 2" xfId="16321"/>
    <cellStyle name="Input [yellow] 2 16 4 9 3" xfId="27489"/>
    <cellStyle name="Input [yellow] 2 16 4 9 4" xfId="38654"/>
    <cellStyle name="Input [yellow] 2 16 4 9 5" xfId="49847"/>
    <cellStyle name="Input [yellow] 2 16 5" xfId="324"/>
    <cellStyle name="Input [yellow] 2 16 5 10" xfId="6000"/>
    <cellStyle name="Input [yellow] 2 16 5 10 2" xfId="17197"/>
    <cellStyle name="Input [yellow] 2 16 5 10 3" xfId="28365"/>
    <cellStyle name="Input [yellow] 2 16 5 10 4" xfId="39530"/>
    <cellStyle name="Input [yellow] 2 16 5 10 5" xfId="50723"/>
    <cellStyle name="Input [yellow] 2 16 5 11" xfId="6260"/>
    <cellStyle name="Input [yellow] 2 16 5 11 2" xfId="17457"/>
    <cellStyle name="Input [yellow] 2 16 5 11 3" xfId="28625"/>
    <cellStyle name="Input [yellow] 2 16 5 11 4" xfId="39790"/>
    <cellStyle name="Input [yellow] 2 16 5 11 5" xfId="50983"/>
    <cellStyle name="Input [yellow] 2 16 5 12" xfId="6893"/>
    <cellStyle name="Input [yellow] 2 16 5 12 2" xfId="18090"/>
    <cellStyle name="Input [yellow] 2 16 5 12 3" xfId="29258"/>
    <cellStyle name="Input [yellow] 2 16 5 12 4" xfId="40423"/>
    <cellStyle name="Input [yellow] 2 16 5 12 5" xfId="51616"/>
    <cellStyle name="Input [yellow] 2 16 5 13" xfId="7527"/>
    <cellStyle name="Input [yellow] 2 16 5 13 2" xfId="18724"/>
    <cellStyle name="Input [yellow] 2 16 5 13 3" xfId="29892"/>
    <cellStyle name="Input [yellow] 2 16 5 13 4" xfId="41057"/>
    <cellStyle name="Input [yellow] 2 16 5 13 5" xfId="52250"/>
    <cellStyle name="Input [yellow] 2 16 5 14" xfId="8161"/>
    <cellStyle name="Input [yellow] 2 16 5 14 2" xfId="19358"/>
    <cellStyle name="Input [yellow] 2 16 5 14 3" xfId="30526"/>
    <cellStyle name="Input [yellow] 2 16 5 14 4" xfId="41691"/>
    <cellStyle name="Input [yellow] 2 16 5 14 5" xfId="52884"/>
    <cellStyle name="Input [yellow] 2 16 5 15" xfId="8790"/>
    <cellStyle name="Input [yellow] 2 16 5 15 2" xfId="19987"/>
    <cellStyle name="Input [yellow] 2 16 5 15 3" xfId="31155"/>
    <cellStyle name="Input [yellow] 2 16 5 15 4" xfId="42320"/>
    <cellStyle name="Input [yellow] 2 16 5 15 5" xfId="53513"/>
    <cellStyle name="Input [yellow] 2 16 5 16" xfId="9212"/>
    <cellStyle name="Input [yellow] 2 16 5 16 2" xfId="20409"/>
    <cellStyle name="Input [yellow] 2 16 5 16 3" xfId="31577"/>
    <cellStyle name="Input [yellow] 2 16 5 16 4" xfId="42742"/>
    <cellStyle name="Input [yellow] 2 16 5 16 5" xfId="53935"/>
    <cellStyle name="Input [yellow] 2 16 5 17" xfId="9839"/>
    <cellStyle name="Input [yellow] 2 16 5 17 2" xfId="21036"/>
    <cellStyle name="Input [yellow] 2 16 5 17 3" xfId="32204"/>
    <cellStyle name="Input [yellow] 2 16 5 17 4" xfId="43369"/>
    <cellStyle name="Input [yellow] 2 16 5 17 5" xfId="54562"/>
    <cellStyle name="Input [yellow] 2 16 5 18" xfId="9973"/>
    <cellStyle name="Input [yellow] 2 16 5 18 2" xfId="21170"/>
    <cellStyle name="Input [yellow] 2 16 5 18 3" xfId="32338"/>
    <cellStyle name="Input [yellow] 2 16 5 18 4" xfId="43503"/>
    <cellStyle name="Input [yellow] 2 16 5 18 5" xfId="54696"/>
    <cellStyle name="Input [yellow] 2 16 5 19" xfId="10877"/>
    <cellStyle name="Input [yellow] 2 16 5 19 2" xfId="22074"/>
    <cellStyle name="Input [yellow] 2 16 5 19 3" xfId="33242"/>
    <cellStyle name="Input [yellow] 2 16 5 19 4" xfId="44407"/>
    <cellStyle name="Input [yellow] 2 16 5 19 5" xfId="55600"/>
    <cellStyle name="Input [yellow] 2 16 5 2" xfId="973"/>
    <cellStyle name="Input [yellow] 2 16 5 2 2" xfId="12170"/>
    <cellStyle name="Input [yellow] 2 16 5 2 3" xfId="23338"/>
    <cellStyle name="Input [yellow] 2 16 5 2 4" xfId="34503"/>
    <cellStyle name="Input [yellow] 2 16 5 2 5" xfId="45696"/>
    <cellStyle name="Input [yellow] 2 16 5 20" xfId="11524"/>
    <cellStyle name="Input [yellow] 2 16 5 21" xfId="22694"/>
    <cellStyle name="Input [yellow] 2 16 5 22" xfId="33861"/>
    <cellStyle name="Input [yellow] 2 16 5 23" xfId="45047"/>
    <cellStyle name="Input [yellow] 2 16 5 3" xfId="1572"/>
    <cellStyle name="Input [yellow] 2 16 5 3 2" xfId="12769"/>
    <cellStyle name="Input [yellow] 2 16 5 3 3" xfId="23937"/>
    <cellStyle name="Input [yellow] 2 16 5 3 4" xfId="35102"/>
    <cellStyle name="Input [yellow] 2 16 5 3 5" xfId="46295"/>
    <cellStyle name="Input [yellow] 2 16 5 4" xfId="2249"/>
    <cellStyle name="Input [yellow] 2 16 5 4 2" xfId="13446"/>
    <cellStyle name="Input [yellow] 2 16 5 4 3" xfId="24614"/>
    <cellStyle name="Input [yellow] 2 16 5 4 4" xfId="35779"/>
    <cellStyle name="Input [yellow] 2 16 5 4 5" xfId="46972"/>
    <cellStyle name="Input [yellow] 2 16 5 5" xfId="2674"/>
    <cellStyle name="Input [yellow] 2 16 5 5 2" xfId="13871"/>
    <cellStyle name="Input [yellow] 2 16 5 5 3" xfId="25039"/>
    <cellStyle name="Input [yellow] 2 16 5 5 4" xfId="36204"/>
    <cellStyle name="Input [yellow] 2 16 5 5 5" xfId="47397"/>
    <cellStyle name="Input [yellow] 2 16 5 6" xfId="3308"/>
    <cellStyle name="Input [yellow] 2 16 5 6 2" xfId="14505"/>
    <cellStyle name="Input [yellow] 2 16 5 6 3" xfId="25673"/>
    <cellStyle name="Input [yellow] 2 16 5 6 4" xfId="36838"/>
    <cellStyle name="Input [yellow] 2 16 5 6 5" xfId="48031"/>
    <cellStyle name="Input [yellow] 2 16 5 7" xfId="3942"/>
    <cellStyle name="Input [yellow] 2 16 5 7 2" xfId="15139"/>
    <cellStyle name="Input [yellow] 2 16 5 7 3" xfId="26307"/>
    <cellStyle name="Input [yellow] 2 16 5 7 4" xfId="37472"/>
    <cellStyle name="Input [yellow] 2 16 5 7 5" xfId="48665"/>
    <cellStyle name="Input [yellow] 2 16 5 8" xfId="4575"/>
    <cellStyle name="Input [yellow] 2 16 5 8 2" xfId="15772"/>
    <cellStyle name="Input [yellow] 2 16 5 8 3" xfId="26940"/>
    <cellStyle name="Input [yellow] 2 16 5 8 4" xfId="38105"/>
    <cellStyle name="Input [yellow] 2 16 5 8 5" xfId="49298"/>
    <cellStyle name="Input [yellow] 2 16 5 9" xfId="5206"/>
    <cellStyle name="Input [yellow] 2 16 5 9 2" xfId="16403"/>
    <cellStyle name="Input [yellow] 2 16 5 9 3" xfId="27571"/>
    <cellStyle name="Input [yellow] 2 16 5 9 4" xfId="38736"/>
    <cellStyle name="Input [yellow] 2 16 5 9 5" xfId="49929"/>
    <cellStyle name="Input [yellow] 2 16 6" xfId="362"/>
    <cellStyle name="Input [yellow] 2 16 6 10" xfId="5848"/>
    <cellStyle name="Input [yellow] 2 16 6 10 2" xfId="17045"/>
    <cellStyle name="Input [yellow] 2 16 6 10 3" xfId="28213"/>
    <cellStyle name="Input [yellow] 2 16 6 10 4" xfId="39378"/>
    <cellStyle name="Input [yellow] 2 16 6 10 5" xfId="50571"/>
    <cellStyle name="Input [yellow] 2 16 6 11" xfId="6298"/>
    <cellStyle name="Input [yellow] 2 16 6 11 2" xfId="17495"/>
    <cellStyle name="Input [yellow] 2 16 6 11 3" xfId="28663"/>
    <cellStyle name="Input [yellow] 2 16 6 11 4" xfId="39828"/>
    <cellStyle name="Input [yellow] 2 16 6 11 5" xfId="51021"/>
    <cellStyle name="Input [yellow] 2 16 6 12" xfId="6931"/>
    <cellStyle name="Input [yellow] 2 16 6 12 2" xfId="18128"/>
    <cellStyle name="Input [yellow] 2 16 6 12 3" xfId="29296"/>
    <cellStyle name="Input [yellow] 2 16 6 12 4" xfId="40461"/>
    <cellStyle name="Input [yellow] 2 16 6 12 5" xfId="51654"/>
    <cellStyle name="Input [yellow] 2 16 6 13" xfId="7565"/>
    <cellStyle name="Input [yellow] 2 16 6 13 2" xfId="18762"/>
    <cellStyle name="Input [yellow] 2 16 6 13 3" xfId="29930"/>
    <cellStyle name="Input [yellow] 2 16 6 13 4" xfId="41095"/>
    <cellStyle name="Input [yellow] 2 16 6 13 5" xfId="52288"/>
    <cellStyle name="Input [yellow] 2 16 6 14" xfId="8199"/>
    <cellStyle name="Input [yellow] 2 16 6 14 2" xfId="19396"/>
    <cellStyle name="Input [yellow] 2 16 6 14 3" xfId="30564"/>
    <cellStyle name="Input [yellow] 2 16 6 14 4" xfId="41729"/>
    <cellStyle name="Input [yellow] 2 16 6 14 5" xfId="52922"/>
    <cellStyle name="Input [yellow] 2 16 6 15" xfId="8828"/>
    <cellStyle name="Input [yellow] 2 16 6 15 2" xfId="20025"/>
    <cellStyle name="Input [yellow] 2 16 6 15 3" xfId="31193"/>
    <cellStyle name="Input [yellow] 2 16 6 15 4" xfId="42358"/>
    <cellStyle name="Input [yellow] 2 16 6 15 5" xfId="53551"/>
    <cellStyle name="Input [yellow] 2 16 6 16" xfId="9250"/>
    <cellStyle name="Input [yellow] 2 16 6 16 2" xfId="20447"/>
    <cellStyle name="Input [yellow] 2 16 6 16 3" xfId="31615"/>
    <cellStyle name="Input [yellow] 2 16 6 16 4" xfId="42780"/>
    <cellStyle name="Input [yellow] 2 16 6 16 5" xfId="53973"/>
    <cellStyle name="Input [yellow] 2 16 6 17" xfId="9877"/>
    <cellStyle name="Input [yellow] 2 16 6 17 2" xfId="21074"/>
    <cellStyle name="Input [yellow] 2 16 6 17 3" xfId="32242"/>
    <cellStyle name="Input [yellow] 2 16 6 17 4" xfId="43407"/>
    <cellStyle name="Input [yellow] 2 16 6 17 5" xfId="54600"/>
    <cellStyle name="Input [yellow] 2 16 6 18" xfId="10554"/>
    <cellStyle name="Input [yellow] 2 16 6 18 2" xfId="21751"/>
    <cellStyle name="Input [yellow] 2 16 6 18 3" xfId="32919"/>
    <cellStyle name="Input [yellow] 2 16 6 18 4" xfId="44084"/>
    <cellStyle name="Input [yellow] 2 16 6 18 5" xfId="55277"/>
    <cellStyle name="Input [yellow] 2 16 6 19" xfId="10915"/>
    <cellStyle name="Input [yellow] 2 16 6 19 2" xfId="22112"/>
    <cellStyle name="Input [yellow] 2 16 6 19 3" xfId="33280"/>
    <cellStyle name="Input [yellow] 2 16 6 19 4" xfId="44445"/>
    <cellStyle name="Input [yellow] 2 16 6 19 5" xfId="55638"/>
    <cellStyle name="Input [yellow] 2 16 6 2" xfId="1011"/>
    <cellStyle name="Input [yellow] 2 16 6 2 2" xfId="12208"/>
    <cellStyle name="Input [yellow] 2 16 6 2 3" xfId="23376"/>
    <cellStyle name="Input [yellow] 2 16 6 2 4" xfId="34541"/>
    <cellStyle name="Input [yellow] 2 16 6 2 5" xfId="45734"/>
    <cellStyle name="Input [yellow] 2 16 6 20" xfId="11562"/>
    <cellStyle name="Input [yellow] 2 16 6 21" xfId="22732"/>
    <cellStyle name="Input [yellow] 2 16 6 22" xfId="33899"/>
    <cellStyle name="Input [yellow] 2 16 6 23" xfId="45085"/>
    <cellStyle name="Input [yellow] 2 16 6 3" xfId="1393"/>
    <cellStyle name="Input [yellow] 2 16 6 3 2" xfId="12590"/>
    <cellStyle name="Input [yellow] 2 16 6 3 3" xfId="23758"/>
    <cellStyle name="Input [yellow] 2 16 6 3 4" xfId="34923"/>
    <cellStyle name="Input [yellow] 2 16 6 3 5" xfId="46116"/>
    <cellStyle name="Input [yellow] 2 16 6 4" xfId="2287"/>
    <cellStyle name="Input [yellow] 2 16 6 4 2" xfId="13484"/>
    <cellStyle name="Input [yellow] 2 16 6 4 3" xfId="24652"/>
    <cellStyle name="Input [yellow] 2 16 6 4 4" xfId="35817"/>
    <cellStyle name="Input [yellow] 2 16 6 4 5" xfId="47010"/>
    <cellStyle name="Input [yellow] 2 16 6 5" xfId="2712"/>
    <cellStyle name="Input [yellow] 2 16 6 5 2" xfId="13909"/>
    <cellStyle name="Input [yellow] 2 16 6 5 3" xfId="25077"/>
    <cellStyle name="Input [yellow] 2 16 6 5 4" xfId="36242"/>
    <cellStyle name="Input [yellow] 2 16 6 5 5" xfId="47435"/>
    <cellStyle name="Input [yellow] 2 16 6 6" xfId="3346"/>
    <cellStyle name="Input [yellow] 2 16 6 6 2" xfId="14543"/>
    <cellStyle name="Input [yellow] 2 16 6 6 3" xfId="25711"/>
    <cellStyle name="Input [yellow] 2 16 6 6 4" xfId="36876"/>
    <cellStyle name="Input [yellow] 2 16 6 6 5" xfId="48069"/>
    <cellStyle name="Input [yellow] 2 16 6 7" xfId="3980"/>
    <cellStyle name="Input [yellow] 2 16 6 7 2" xfId="15177"/>
    <cellStyle name="Input [yellow] 2 16 6 7 3" xfId="26345"/>
    <cellStyle name="Input [yellow] 2 16 6 7 4" xfId="37510"/>
    <cellStyle name="Input [yellow] 2 16 6 7 5" xfId="48703"/>
    <cellStyle name="Input [yellow] 2 16 6 8" xfId="4613"/>
    <cellStyle name="Input [yellow] 2 16 6 8 2" xfId="15810"/>
    <cellStyle name="Input [yellow] 2 16 6 8 3" xfId="26978"/>
    <cellStyle name="Input [yellow] 2 16 6 8 4" xfId="38143"/>
    <cellStyle name="Input [yellow] 2 16 6 8 5" xfId="49336"/>
    <cellStyle name="Input [yellow] 2 16 6 9" xfId="5244"/>
    <cellStyle name="Input [yellow] 2 16 6 9 2" xfId="16441"/>
    <cellStyle name="Input [yellow] 2 16 6 9 3" xfId="27609"/>
    <cellStyle name="Input [yellow] 2 16 6 9 4" xfId="38774"/>
    <cellStyle name="Input [yellow] 2 16 6 9 5" xfId="49967"/>
    <cellStyle name="Input [yellow] 2 16 7" xfId="451"/>
    <cellStyle name="Input [yellow] 2 16 7 10" xfId="5879"/>
    <cellStyle name="Input [yellow] 2 16 7 10 2" xfId="17076"/>
    <cellStyle name="Input [yellow] 2 16 7 10 3" xfId="28244"/>
    <cellStyle name="Input [yellow] 2 16 7 10 4" xfId="39409"/>
    <cellStyle name="Input [yellow] 2 16 7 10 5" xfId="50602"/>
    <cellStyle name="Input [yellow] 2 16 7 11" xfId="6387"/>
    <cellStyle name="Input [yellow] 2 16 7 11 2" xfId="17584"/>
    <cellStyle name="Input [yellow] 2 16 7 11 3" xfId="28752"/>
    <cellStyle name="Input [yellow] 2 16 7 11 4" xfId="39917"/>
    <cellStyle name="Input [yellow] 2 16 7 11 5" xfId="51110"/>
    <cellStyle name="Input [yellow] 2 16 7 12" xfId="7020"/>
    <cellStyle name="Input [yellow] 2 16 7 12 2" xfId="18217"/>
    <cellStyle name="Input [yellow] 2 16 7 12 3" xfId="29385"/>
    <cellStyle name="Input [yellow] 2 16 7 12 4" xfId="40550"/>
    <cellStyle name="Input [yellow] 2 16 7 12 5" xfId="51743"/>
    <cellStyle name="Input [yellow] 2 16 7 13" xfId="7654"/>
    <cellStyle name="Input [yellow] 2 16 7 13 2" xfId="18851"/>
    <cellStyle name="Input [yellow] 2 16 7 13 3" xfId="30019"/>
    <cellStyle name="Input [yellow] 2 16 7 13 4" xfId="41184"/>
    <cellStyle name="Input [yellow] 2 16 7 13 5" xfId="52377"/>
    <cellStyle name="Input [yellow] 2 16 7 14" xfId="8288"/>
    <cellStyle name="Input [yellow] 2 16 7 14 2" xfId="19485"/>
    <cellStyle name="Input [yellow] 2 16 7 14 3" xfId="30653"/>
    <cellStyle name="Input [yellow] 2 16 7 14 4" xfId="41818"/>
    <cellStyle name="Input [yellow] 2 16 7 14 5" xfId="53011"/>
    <cellStyle name="Input [yellow] 2 16 7 15" xfId="8916"/>
    <cellStyle name="Input [yellow] 2 16 7 15 2" xfId="20113"/>
    <cellStyle name="Input [yellow] 2 16 7 15 3" xfId="31281"/>
    <cellStyle name="Input [yellow] 2 16 7 15 4" xfId="42446"/>
    <cellStyle name="Input [yellow] 2 16 7 15 5" xfId="53639"/>
    <cellStyle name="Input [yellow] 2 16 7 16" xfId="9339"/>
    <cellStyle name="Input [yellow] 2 16 7 16 2" xfId="20536"/>
    <cellStyle name="Input [yellow] 2 16 7 16 3" xfId="31704"/>
    <cellStyle name="Input [yellow] 2 16 7 16 4" xfId="42869"/>
    <cellStyle name="Input [yellow] 2 16 7 16 5" xfId="54062"/>
    <cellStyle name="Input [yellow] 2 16 7 17" xfId="9965"/>
    <cellStyle name="Input [yellow] 2 16 7 17 2" xfId="21162"/>
    <cellStyle name="Input [yellow] 2 16 7 17 3" xfId="32330"/>
    <cellStyle name="Input [yellow] 2 16 7 17 4" xfId="43495"/>
    <cellStyle name="Input [yellow] 2 16 7 17 5" xfId="54688"/>
    <cellStyle name="Input [yellow] 2 16 7 18" xfId="10049"/>
    <cellStyle name="Input [yellow] 2 16 7 18 2" xfId="21246"/>
    <cellStyle name="Input [yellow] 2 16 7 18 3" xfId="32414"/>
    <cellStyle name="Input [yellow] 2 16 7 18 4" xfId="43579"/>
    <cellStyle name="Input [yellow] 2 16 7 18 5" xfId="54772"/>
    <cellStyle name="Input [yellow] 2 16 7 19" xfId="11004"/>
    <cellStyle name="Input [yellow] 2 16 7 19 2" xfId="22201"/>
    <cellStyle name="Input [yellow] 2 16 7 19 3" xfId="33369"/>
    <cellStyle name="Input [yellow] 2 16 7 19 4" xfId="44534"/>
    <cellStyle name="Input [yellow] 2 16 7 19 5" xfId="55727"/>
    <cellStyle name="Input [yellow] 2 16 7 2" xfId="1100"/>
    <cellStyle name="Input [yellow] 2 16 7 2 2" xfId="12297"/>
    <cellStyle name="Input [yellow] 2 16 7 2 3" xfId="23465"/>
    <cellStyle name="Input [yellow] 2 16 7 2 4" xfId="34630"/>
    <cellStyle name="Input [yellow] 2 16 7 2 5" xfId="45823"/>
    <cellStyle name="Input [yellow] 2 16 7 20" xfId="11651"/>
    <cellStyle name="Input [yellow] 2 16 7 21" xfId="22821"/>
    <cellStyle name="Input [yellow] 2 16 7 22" xfId="33988"/>
    <cellStyle name="Input [yellow] 2 16 7 23" xfId="45174"/>
    <cellStyle name="Input [yellow] 2 16 7 3" xfId="1340"/>
    <cellStyle name="Input [yellow] 2 16 7 3 2" xfId="12537"/>
    <cellStyle name="Input [yellow] 2 16 7 3 3" xfId="23705"/>
    <cellStyle name="Input [yellow] 2 16 7 3 4" xfId="34870"/>
    <cellStyle name="Input [yellow] 2 16 7 3 5" xfId="46063"/>
    <cellStyle name="Input [yellow] 2 16 7 4" xfId="2376"/>
    <cellStyle name="Input [yellow] 2 16 7 4 2" xfId="13573"/>
    <cellStyle name="Input [yellow] 2 16 7 4 3" xfId="24741"/>
    <cellStyle name="Input [yellow] 2 16 7 4 4" xfId="35906"/>
    <cellStyle name="Input [yellow] 2 16 7 4 5" xfId="47099"/>
    <cellStyle name="Input [yellow] 2 16 7 5" xfId="2801"/>
    <cellStyle name="Input [yellow] 2 16 7 5 2" xfId="13998"/>
    <cellStyle name="Input [yellow] 2 16 7 5 3" xfId="25166"/>
    <cellStyle name="Input [yellow] 2 16 7 5 4" xfId="36331"/>
    <cellStyle name="Input [yellow] 2 16 7 5 5" xfId="47524"/>
    <cellStyle name="Input [yellow] 2 16 7 6" xfId="3435"/>
    <cellStyle name="Input [yellow] 2 16 7 6 2" xfId="14632"/>
    <cellStyle name="Input [yellow] 2 16 7 6 3" xfId="25800"/>
    <cellStyle name="Input [yellow] 2 16 7 6 4" xfId="36965"/>
    <cellStyle name="Input [yellow] 2 16 7 6 5" xfId="48158"/>
    <cellStyle name="Input [yellow] 2 16 7 7" xfId="4069"/>
    <cellStyle name="Input [yellow] 2 16 7 7 2" xfId="15266"/>
    <cellStyle name="Input [yellow] 2 16 7 7 3" xfId="26434"/>
    <cellStyle name="Input [yellow] 2 16 7 7 4" xfId="37599"/>
    <cellStyle name="Input [yellow] 2 16 7 7 5" xfId="48792"/>
    <cellStyle name="Input [yellow] 2 16 7 8" xfId="4702"/>
    <cellStyle name="Input [yellow] 2 16 7 8 2" xfId="15899"/>
    <cellStyle name="Input [yellow] 2 16 7 8 3" xfId="27067"/>
    <cellStyle name="Input [yellow] 2 16 7 8 4" xfId="38232"/>
    <cellStyle name="Input [yellow] 2 16 7 8 5" xfId="49425"/>
    <cellStyle name="Input [yellow] 2 16 7 9" xfId="5333"/>
    <cellStyle name="Input [yellow] 2 16 7 9 2" xfId="16530"/>
    <cellStyle name="Input [yellow] 2 16 7 9 3" xfId="27698"/>
    <cellStyle name="Input [yellow] 2 16 7 9 4" xfId="38863"/>
    <cellStyle name="Input [yellow] 2 16 7 9 5" xfId="50056"/>
    <cellStyle name="Input [yellow] 2 16 8" xfId="506"/>
    <cellStyle name="Input [yellow] 2 16 8 10" xfId="5768"/>
    <cellStyle name="Input [yellow] 2 16 8 10 2" xfId="16965"/>
    <cellStyle name="Input [yellow] 2 16 8 10 3" xfId="28133"/>
    <cellStyle name="Input [yellow] 2 16 8 10 4" xfId="39298"/>
    <cellStyle name="Input [yellow] 2 16 8 10 5" xfId="50491"/>
    <cellStyle name="Input [yellow] 2 16 8 11" xfId="6442"/>
    <cellStyle name="Input [yellow] 2 16 8 11 2" xfId="17639"/>
    <cellStyle name="Input [yellow] 2 16 8 11 3" xfId="28807"/>
    <cellStyle name="Input [yellow] 2 16 8 11 4" xfId="39972"/>
    <cellStyle name="Input [yellow] 2 16 8 11 5" xfId="51165"/>
    <cellStyle name="Input [yellow] 2 16 8 12" xfId="7075"/>
    <cellStyle name="Input [yellow] 2 16 8 12 2" xfId="18272"/>
    <cellStyle name="Input [yellow] 2 16 8 12 3" xfId="29440"/>
    <cellStyle name="Input [yellow] 2 16 8 12 4" xfId="40605"/>
    <cellStyle name="Input [yellow] 2 16 8 12 5" xfId="51798"/>
    <cellStyle name="Input [yellow] 2 16 8 13" xfId="7709"/>
    <cellStyle name="Input [yellow] 2 16 8 13 2" xfId="18906"/>
    <cellStyle name="Input [yellow] 2 16 8 13 3" xfId="30074"/>
    <cellStyle name="Input [yellow] 2 16 8 13 4" xfId="41239"/>
    <cellStyle name="Input [yellow] 2 16 8 13 5" xfId="52432"/>
    <cellStyle name="Input [yellow] 2 16 8 14" xfId="8343"/>
    <cellStyle name="Input [yellow] 2 16 8 14 2" xfId="19540"/>
    <cellStyle name="Input [yellow] 2 16 8 14 3" xfId="30708"/>
    <cellStyle name="Input [yellow] 2 16 8 14 4" xfId="41873"/>
    <cellStyle name="Input [yellow] 2 16 8 14 5" xfId="53066"/>
    <cellStyle name="Input [yellow] 2 16 8 15" xfId="8971"/>
    <cellStyle name="Input [yellow] 2 16 8 15 2" xfId="20168"/>
    <cellStyle name="Input [yellow] 2 16 8 15 3" xfId="31336"/>
    <cellStyle name="Input [yellow] 2 16 8 15 4" xfId="42501"/>
    <cellStyle name="Input [yellow] 2 16 8 15 5" xfId="53694"/>
    <cellStyle name="Input [yellow] 2 16 8 16" xfId="9394"/>
    <cellStyle name="Input [yellow] 2 16 8 16 2" xfId="20591"/>
    <cellStyle name="Input [yellow] 2 16 8 16 3" xfId="31759"/>
    <cellStyle name="Input [yellow] 2 16 8 16 4" xfId="42924"/>
    <cellStyle name="Input [yellow] 2 16 8 16 5" xfId="54117"/>
    <cellStyle name="Input [yellow] 2 16 8 17" xfId="10019"/>
    <cellStyle name="Input [yellow] 2 16 8 17 2" xfId="21216"/>
    <cellStyle name="Input [yellow] 2 16 8 17 3" xfId="32384"/>
    <cellStyle name="Input [yellow] 2 16 8 17 4" xfId="43549"/>
    <cellStyle name="Input [yellow] 2 16 8 17 5" xfId="54742"/>
    <cellStyle name="Input [yellow] 2 16 8 18" xfId="9937"/>
    <cellStyle name="Input [yellow] 2 16 8 18 2" xfId="21134"/>
    <cellStyle name="Input [yellow] 2 16 8 18 3" xfId="32302"/>
    <cellStyle name="Input [yellow] 2 16 8 18 4" xfId="43467"/>
    <cellStyle name="Input [yellow] 2 16 8 18 5" xfId="54660"/>
    <cellStyle name="Input [yellow] 2 16 8 19" xfId="11059"/>
    <cellStyle name="Input [yellow] 2 16 8 19 2" xfId="22256"/>
    <cellStyle name="Input [yellow] 2 16 8 19 3" xfId="33424"/>
    <cellStyle name="Input [yellow] 2 16 8 19 4" xfId="44589"/>
    <cellStyle name="Input [yellow] 2 16 8 19 5" xfId="55782"/>
    <cellStyle name="Input [yellow] 2 16 8 2" xfId="1155"/>
    <cellStyle name="Input [yellow] 2 16 8 2 2" xfId="12352"/>
    <cellStyle name="Input [yellow] 2 16 8 2 3" xfId="23520"/>
    <cellStyle name="Input [yellow] 2 16 8 2 4" xfId="34685"/>
    <cellStyle name="Input [yellow] 2 16 8 2 5" xfId="45878"/>
    <cellStyle name="Input [yellow] 2 16 8 20" xfId="11706"/>
    <cellStyle name="Input [yellow] 2 16 8 21" xfId="22876"/>
    <cellStyle name="Input [yellow] 2 16 8 22" xfId="34043"/>
    <cellStyle name="Input [yellow] 2 16 8 23" xfId="45229"/>
    <cellStyle name="Input [yellow] 2 16 8 3" xfId="1478"/>
    <cellStyle name="Input [yellow] 2 16 8 3 2" xfId="12675"/>
    <cellStyle name="Input [yellow] 2 16 8 3 3" xfId="23843"/>
    <cellStyle name="Input [yellow] 2 16 8 3 4" xfId="35008"/>
    <cellStyle name="Input [yellow] 2 16 8 3 5" xfId="46201"/>
    <cellStyle name="Input [yellow] 2 16 8 4" xfId="2431"/>
    <cellStyle name="Input [yellow] 2 16 8 4 2" xfId="13628"/>
    <cellStyle name="Input [yellow] 2 16 8 4 3" xfId="24796"/>
    <cellStyle name="Input [yellow] 2 16 8 4 4" xfId="35961"/>
    <cellStyle name="Input [yellow] 2 16 8 4 5" xfId="47154"/>
    <cellStyle name="Input [yellow] 2 16 8 5" xfId="2856"/>
    <cellStyle name="Input [yellow] 2 16 8 5 2" xfId="14053"/>
    <cellStyle name="Input [yellow] 2 16 8 5 3" xfId="25221"/>
    <cellStyle name="Input [yellow] 2 16 8 5 4" xfId="36386"/>
    <cellStyle name="Input [yellow] 2 16 8 5 5" xfId="47579"/>
    <cellStyle name="Input [yellow] 2 16 8 6" xfId="3490"/>
    <cellStyle name="Input [yellow] 2 16 8 6 2" xfId="14687"/>
    <cellStyle name="Input [yellow] 2 16 8 6 3" xfId="25855"/>
    <cellStyle name="Input [yellow] 2 16 8 6 4" xfId="37020"/>
    <cellStyle name="Input [yellow] 2 16 8 6 5" xfId="48213"/>
    <cellStyle name="Input [yellow] 2 16 8 7" xfId="4124"/>
    <cellStyle name="Input [yellow] 2 16 8 7 2" xfId="15321"/>
    <cellStyle name="Input [yellow] 2 16 8 7 3" xfId="26489"/>
    <cellStyle name="Input [yellow] 2 16 8 7 4" xfId="37654"/>
    <cellStyle name="Input [yellow] 2 16 8 7 5" xfId="48847"/>
    <cellStyle name="Input [yellow] 2 16 8 8" xfId="4757"/>
    <cellStyle name="Input [yellow] 2 16 8 8 2" xfId="15954"/>
    <cellStyle name="Input [yellow] 2 16 8 8 3" xfId="27122"/>
    <cellStyle name="Input [yellow] 2 16 8 8 4" xfId="38287"/>
    <cellStyle name="Input [yellow] 2 16 8 8 5" xfId="49480"/>
    <cellStyle name="Input [yellow] 2 16 8 9" xfId="5388"/>
    <cellStyle name="Input [yellow] 2 16 8 9 2" xfId="16585"/>
    <cellStyle name="Input [yellow] 2 16 8 9 3" xfId="27753"/>
    <cellStyle name="Input [yellow] 2 16 8 9 4" xfId="38918"/>
    <cellStyle name="Input [yellow] 2 16 8 9 5" xfId="50111"/>
    <cellStyle name="Input [yellow] 2 16 9" xfId="564"/>
    <cellStyle name="Input [yellow] 2 16 9 10" xfId="5945"/>
    <cellStyle name="Input [yellow] 2 16 9 10 2" xfId="17142"/>
    <cellStyle name="Input [yellow] 2 16 9 10 3" xfId="28310"/>
    <cellStyle name="Input [yellow] 2 16 9 10 4" xfId="39475"/>
    <cellStyle name="Input [yellow] 2 16 9 10 5" xfId="50668"/>
    <cellStyle name="Input [yellow] 2 16 9 11" xfId="6500"/>
    <cellStyle name="Input [yellow] 2 16 9 11 2" xfId="17697"/>
    <cellStyle name="Input [yellow] 2 16 9 11 3" xfId="28865"/>
    <cellStyle name="Input [yellow] 2 16 9 11 4" xfId="40030"/>
    <cellStyle name="Input [yellow] 2 16 9 11 5" xfId="51223"/>
    <cellStyle name="Input [yellow] 2 16 9 12" xfId="7133"/>
    <cellStyle name="Input [yellow] 2 16 9 12 2" xfId="18330"/>
    <cellStyle name="Input [yellow] 2 16 9 12 3" xfId="29498"/>
    <cellStyle name="Input [yellow] 2 16 9 12 4" xfId="40663"/>
    <cellStyle name="Input [yellow] 2 16 9 12 5" xfId="51856"/>
    <cellStyle name="Input [yellow] 2 16 9 13" xfId="7767"/>
    <cellStyle name="Input [yellow] 2 16 9 13 2" xfId="18964"/>
    <cellStyle name="Input [yellow] 2 16 9 13 3" xfId="30132"/>
    <cellStyle name="Input [yellow] 2 16 9 13 4" xfId="41297"/>
    <cellStyle name="Input [yellow] 2 16 9 13 5" xfId="52490"/>
    <cellStyle name="Input [yellow] 2 16 9 14" xfId="8401"/>
    <cellStyle name="Input [yellow] 2 16 9 14 2" xfId="19598"/>
    <cellStyle name="Input [yellow] 2 16 9 14 3" xfId="30766"/>
    <cellStyle name="Input [yellow] 2 16 9 14 4" xfId="41931"/>
    <cellStyle name="Input [yellow] 2 16 9 14 5" xfId="53124"/>
    <cellStyle name="Input [yellow] 2 16 9 15" xfId="9029"/>
    <cellStyle name="Input [yellow] 2 16 9 15 2" xfId="20226"/>
    <cellStyle name="Input [yellow] 2 16 9 15 3" xfId="31394"/>
    <cellStyle name="Input [yellow] 2 16 9 15 4" xfId="42559"/>
    <cellStyle name="Input [yellow] 2 16 9 15 5" xfId="53752"/>
    <cellStyle name="Input [yellow] 2 16 9 16" xfId="9452"/>
    <cellStyle name="Input [yellow] 2 16 9 16 2" xfId="20649"/>
    <cellStyle name="Input [yellow] 2 16 9 16 3" xfId="31817"/>
    <cellStyle name="Input [yellow] 2 16 9 16 4" xfId="42982"/>
    <cellStyle name="Input [yellow] 2 16 9 16 5" xfId="54175"/>
    <cellStyle name="Input [yellow] 2 16 9 17" xfId="10077"/>
    <cellStyle name="Input [yellow] 2 16 9 17 2" xfId="21274"/>
    <cellStyle name="Input [yellow] 2 16 9 17 3" xfId="32442"/>
    <cellStyle name="Input [yellow] 2 16 9 17 4" xfId="43607"/>
    <cellStyle name="Input [yellow] 2 16 9 17 5" xfId="54800"/>
    <cellStyle name="Input [yellow] 2 16 9 18" xfId="10243"/>
    <cellStyle name="Input [yellow] 2 16 9 18 2" xfId="21440"/>
    <cellStyle name="Input [yellow] 2 16 9 18 3" xfId="32608"/>
    <cellStyle name="Input [yellow] 2 16 9 18 4" xfId="43773"/>
    <cellStyle name="Input [yellow] 2 16 9 18 5" xfId="54966"/>
    <cellStyle name="Input [yellow] 2 16 9 19" xfId="11117"/>
    <cellStyle name="Input [yellow] 2 16 9 19 2" xfId="22314"/>
    <cellStyle name="Input [yellow] 2 16 9 19 3" xfId="33482"/>
    <cellStyle name="Input [yellow] 2 16 9 19 4" xfId="44647"/>
    <cellStyle name="Input [yellow] 2 16 9 19 5" xfId="55840"/>
    <cellStyle name="Input [yellow] 2 16 9 2" xfId="1213"/>
    <cellStyle name="Input [yellow] 2 16 9 2 2" xfId="12410"/>
    <cellStyle name="Input [yellow] 2 16 9 2 3" xfId="23578"/>
    <cellStyle name="Input [yellow] 2 16 9 2 4" xfId="34743"/>
    <cellStyle name="Input [yellow] 2 16 9 2 5" xfId="45936"/>
    <cellStyle name="Input [yellow] 2 16 9 20" xfId="11764"/>
    <cellStyle name="Input [yellow] 2 16 9 21" xfId="22934"/>
    <cellStyle name="Input [yellow] 2 16 9 22" xfId="34101"/>
    <cellStyle name="Input [yellow] 2 16 9 23" xfId="45287"/>
    <cellStyle name="Input [yellow] 2 16 9 3" xfId="1546"/>
    <cellStyle name="Input [yellow] 2 16 9 3 2" xfId="12743"/>
    <cellStyle name="Input [yellow] 2 16 9 3 3" xfId="23911"/>
    <cellStyle name="Input [yellow] 2 16 9 3 4" xfId="35076"/>
    <cellStyle name="Input [yellow] 2 16 9 3 5" xfId="46269"/>
    <cellStyle name="Input [yellow] 2 16 9 4" xfId="2489"/>
    <cellStyle name="Input [yellow] 2 16 9 4 2" xfId="13686"/>
    <cellStyle name="Input [yellow] 2 16 9 4 3" xfId="24854"/>
    <cellStyle name="Input [yellow] 2 16 9 4 4" xfId="36019"/>
    <cellStyle name="Input [yellow] 2 16 9 4 5" xfId="47212"/>
    <cellStyle name="Input [yellow] 2 16 9 5" xfId="2914"/>
    <cellStyle name="Input [yellow] 2 16 9 5 2" xfId="14111"/>
    <cellStyle name="Input [yellow] 2 16 9 5 3" xfId="25279"/>
    <cellStyle name="Input [yellow] 2 16 9 5 4" xfId="36444"/>
    <cellStyle name="Input [yellow] 2 16 9 5 5" xfId="47637"/>
    <cellStyle name="Input [yellow] 2 16 9 6" xfId="3548"/>
    <cellStyle name="Input [yellow] 2 16 9 6 2" xfId="14745"/>
    <cellStyle name="Input [yellow] 2 16 9 6 3" xfId="25913"/>
    <cellStyle name="Input [yellow] 2 16 9 6 4" xfId="37078"/>
    <cellStyle name="Input [yellow] 2 16 9 6 5" xfId="48271"/>
    <cellStyle name="Input [yellow] 2 16 9 7" xfId="4182"/>
    <cellStyle name="Input [yellow] 2 16 9 7 2" xfId="15379"/>
    <cellStyle name="Input [yellow] 2 16 9 7 3" xfId="26547"/>
    <cellStyle name="Input [yellow] 2 16 9 7 4" xfId="37712"/>
    <cellStyle name="Input [yellow] 2 16 9 7 5" xfId="48905"/>
    <cellStyle name="Input [yellow] 2 16 9 8" xfId="4815"/>
    <cellStyle name="Input [yellow] 2 16 9 8 2" xfId="16012"/>
    <cellStyle name="Input [yellow] 2 16 9 8 3" xfId="27180"/>
    <cellStyle name="Input [yellow] 2 16 9 8 4" xfId="38345"/>
    <cellStyle name="Input [yellow] 2 16 9 8 5" xfId="49538"/>
    <cellStyle name="Input [yellow] 2 16 9 9" xfId="5446"/>
    <cellStyle name="Input [yellow] 2 16 9 9 2" xfId="16643"/>
    <cellStyle name="Input [yellow] 2 16 9 9 3" xfId="27811"/>
    <cellStyle name="Input [yellow] 2 16 9 9 4" xfId="38976"/>
    <cellStyle name="Input [yellow] 2 16 9 9 5" xfId="50169"/>
    <cellStyle name="Input [yellow] 2 17" xfId="100"/>
    <cellStyle name="Input [yellow] 2 17 10" xfId="599"/>
    <cellStyle name="Input [yellow] 2 17 10 10" xfId="6112"/>
    <cellStyle name="Input [yellow] 2 17 10 10 2" xfId="17309"/>
    <cellStyle name="Input [yellow] 2 17 10 10 3" xfId="28477"/>
    <cellStyle name="Input [yellow] 2 17 10 10 4" xfId="39642"/>
    <cellStyle name="Input [yellow] 2 17 10 10 5" xfId="50835"/>
    <cellStyle name="Input [yellow] 2 17 10 11" xfId="6535"/>
    <cellStyle name="Input [yellow] 2 17 10 11 2" xfId="17732"/>
    <cellStyle name="Input [yellow] 2 17 10 11 3" xfId="28900"/>
    <cellStyle name="Input [yellow] 2 17 10 11 4" xfId="40065"/>
    <cellStyle name="Input [yellow] 2 17 10 11 5" xfId="51258"/>
    <cellStyle name="Input [yellow] 2 17 10 12" xfId="7168"/>
    <cellStyle name="Input [yellow] 2 17 10 12 2" xfId="18365"/>
    <cellStyle name="Input [yellow] 2 17 10 12 3" xfId="29533"/>
    <cellStyle name="Input [yellow] 2 17 10 12 4" xfId="40698"/>
    <cellStyle name="Input [yellow] 2 17 10 12 5" xfId="51891"/>
    <cellStyle name="Input [yellow] 2 17 10 13" xfId="7802"/>
    <cellStyle name="Input [yellow] 2 17 10 13 2" xfId="18999"/>
    <cellStyle name="Input [yellow] 2 17 10 13 3" xfId="30167"/>
    <cellStyle name="Input [yellow] 2 17 10 13 4" xfId="41332"/>
    <cellStyle name="Input [yellow] 2 17 10 13 5" xfId="52525"/>
    <cellStyle name="Input [yellow] 2 17 10 14" xfId="8436"/>
    <cellStyle name="Input [yellow] 2 17 10 14 2" xfId="19633"/>
    <cellStyle name="Input [yellow] 2 17 10 14 3" xfId="30801"/>
    <cellStyle name="Input [yellow] 2 17 10 14 4" xfId="41966"/>
    <cellStyle name="Input [yellow] 2 17 10 14 5" xfId="53159"/>
    <cellStyle name="Input [yellow] 2 17 10 15" xfId="9064"/>
    <cellStyle name="Input [yellow] 2 17 10 15 2" xfId="20261"/>
    <cellStyle name="Input [yellow] 2 17 10 15 3" xfId="31429"/>
    <cellStyle name="Input [yellow] 2 17 10 15 4" xfId="42594"/>
    <cellStyle name="Input [yellow] 2 17 10 15 5" xfId="53787"/>
    <cellStyle name="Input [yellow] 2 17 10 16" xfId="9487"/>
    <cellStyle name="Input [yellow] 2 17 10 16 2" xfId="20684"/>
    <cellStyle name="Input [yellow] 2 17 10 16 3" xfId="31852"/>
    <cellStyle name="Input [yellow] 2 17 10 16 4" xfId="43017"/>
    <cellStyle name="Input [yellow] 2 17 10 16 5" xfId="54210"/>
    <cellStyle name="Input [yellow] 2 17 10 17" xfId="10112"/>
    <cellStyle name="Input [yellow] 2 17 10 17 2" xfId="21309"/>
    <cellStyle name="Input [yellow] 2 17 10 17 3" xfId="32477"/>
    <cellStyle name="Input [yellow] 2 17 10 17 4" xfId="43642"/>
    <cellStyle name="Input [yellow] 2 17 10 17 5" xfId="54835"/>
    <cellStyle name="Input [yellow] 2 17 10 18" xfId="10526"/>
    <cellStyle name="Input [yellow] 2 17 10 18 2" xfId="21723"/>
    <cellStyle name="Input [yellow] 2 17 10 18 3" xfId="32891"/>
    <cellStyle name="Input [yellow] 2 17 10 18 4" xfId="44056"/>
    <cellStyle name="Input [yellow] 2 17 10 18 5" xfId="55249"/>
    <cellStyle name="Input [yellow] 2 17 10 19" xfId="11152"/>
    <cellStyle name="Input [yellow] 2 17 10 19 2" xfId="22349"/>
    <cellStyle name="Input [yellow] 2 17 10 19 3" xfId="33517"/>
    <cellStyle name="Input [yellow] 2 17 10 19 4" xfId="44682"/>
    <cellStyle name="Input [yellow] 2 17 10 19 5" xfId="55875"/>
    <cellStyle name="Input [yellow] 2 17 10 2" xfId="1248"/>
    <cellStyle name="Input [yellow] 2 17 10 2 2" xfId="12445"/>
    <cellStyle name="Input [yellow] 2 17 10 2 3" xfId="23613"/>
    <cellStyle name="Input [yellow] 2 17 10 2 4" xfId="34778"/>
    <cellStyle name="Input [yellow] 2 17 10 2 5" xfId="45971"/>
    <cellStyle name="Input [yellow] 2 17 10 20" xfId="11799"/>
    <cellStyle name="Input [yellow] 2 17 10 21" xfId="22969"/>
    <cellStyle name="Input [yellow] 2 17 10 22" xfId="34136"/>
    <cellStyle name="Input [yellow] 2 17 10 23" xfId="45322"/>
    <cellStyle name="Input [yellow] 2 17 10 3" xfId="1392"/>
    <cellStyle name="Input [yellow] 2 17 10 3 2" xfId="12589"/>
    <cellStyle name="Input [yellow] 2 17 10 3 3" xfId="23757"/>
    <cellStyle name="Input [yellow] 2 17 10 3 4" xfId="34922"/>
    <cellStyle name="Input [yellow] 2 17 10 3 5" xfId="46115"/>
    <cellStyle name="Input [yellow] 2 17 10 4" xfId="2524"/>
    <cellStyle name="Input [yellow] 2 17 10 4 2" xfId="13721"/>
    <cellStyle name="Input [yellow] 2 17 10 4 3" xfId="24889"/>
    <cellStyle name="Input [yellow] 2 17 10 4 4" xfId="36054"/>
    <cellStyle name="Input [yellow] 2 17 10 4 5" xfId="47247"/>
    <cellStyle name="Input [yellow] 2 17 10 5" xfId="2949"/>
    <cellStyle name="Input [yellow] 2 17 10 5 2" xfId="14146"/>
    <cellStyle name="Input [yellow] 2 17 10 5 3" xfId="25314"/>
    <cellStyle name="Input [yellow] 2 17 10 5 4" xfId="36479"/>
    <cellStyle name="Input [yellow] 2 17 10 5 5" xfId="47672"/>
    <cellStyle name="Input [yellow] 2 17 10 6" xfId="3583"/>
    <cellStyle name="Input [yellow] 2 17 10 6 2" xfId="14780"/>
    <cellStyle name="Input [yellow] 2 17 10 6 3" xfId="25948"/>
    <cellStyle name="Input [yellow] 2 17 10 6 4" xfId="37113"/>
    <cellStyle name="Input [yellow] 2 17 10 6 5" xfId="48306"/>
    <cellStyle name="Input [yellow] 2 17 10 7" xfId="4217"/>
    <cellStyle name="Input [yellow] 2 17 10 7 2" xfId="15414"/>
    <cellStyle name="Input [yellow] 2 17 10 7 3" xfId="26582"/>
    <cellStyle name="Input [yellow] 2 17 10 7 4" xfId="37747"/>
    <cellStyle name="Input [yellow] 2 17 10 7 5" xfId="48940"/>
    <cellStyle name="Input [yellow] 2 17 10 8" xfId="4850"/>
    <cellStyle name="Input [yellow] 2 17 10 8 2" xfId="16047"/>
    <cellStyle name="Input [yellow] 2 17 10 8 3" xfId="27215"/>
    <cellStyle name="Input [yellow] 2 17 10 8 4" xfId="38380"/>
    <cellStyle name="Input [yellow] 2 17 10 8 5" xfId="49573"/>
    <cellStyle name="Input [yellow] 2 17 10 9" xfId="5481"/>
    <cellStyle name="Input [yellow] 2 17 10 9 2" xfId="16678"/>
    <cellStyle name="Input [yellow] 2 17 10 9 3" xfId="27846"/>
    <cellStyle name="Input [yellow] 2 17 10 9 4" xfId="39011"/>
    <cellStyle name="Input [yellow] 2 17 10 9 5" xfId="50204"/>
    <cellStyle name="Input [yellow] 2 17 11" xfId="652"/>
    <cellStyle name="Input [yellow] 2 17 11 10" xfId="5680"/>
    <cellStyle name="Input [yellow] 2 17 11 10 2" xfId="16877"/>
    <cellStyle name="Input [yellow] 2 17 11 10 3" xfId="28045"/>
    <cellStyle name="Input [yellow] 2 17 11 10 4" xfId="39210"/>
    <cellStyle name="Input [yellow] 2 17 11 10 5" xfId="50403"/>
    <cellStyle name="Input [yellow] 2 17 11 11" xfId="6588"/>
    <cellStyle name="Input [yellow] 2 17 11 11 2" xfId="17785"/>
    <cellStyle name="Input [yellow] 2 17 11 11 3" xfId="28953"/>
    <cellStyle name="Input [yellow] 2 17 11 11 4" xfId="40118"/>
    <cellStyle name="Input [yellow] 2 17 11 11 5" xfId="51311"/>
    <cellStyle name="Input [yellow] 2 17 11 12" xfId="7221"/>
    <cellStyle name="Input [yellow] 2 17 11 12 2" xfId="18418"/>
    <cellStyle name="Input [yellow] 2 17 11 12 3" xfId="29586"/>
    <cellStyle name="Input [yellow] 2 17 11 12 4" xfId="40751"/>
    <cellStyle name="Input [yellow] 2 17 11 12 5" xfId="51944"/>
    <cellStyle name="Input [yellow] 2 17 11 13" xfId="7855"/>
    <cellStyle name="Input [yellow] 2 17 11 13 2" xfId="19052"/>
    <cellStyle name="Input [yellow] 2 17 11 13 3" xfId="30220"/>
    <cellStyle name="Input [yellow] 2 17 11 13 4" xfId="41385"/>
    <cellStyle name="Input [yellow] 2 17 11 13 5" xfId="52578"/>
    <cellStyle name="Input [yellow] 2 17 11 14" xfId="8489"/>
    <cellStyle name="Input [yellow] 2 17 11 14 2" xfId="19686"/>
    <cellStyle name="Input [yellow] 2 17 11 14 3" xfId="30854"/>
    <cellStyle name="Input [yellow] 2 17 11 14 4" xfId="42019"/>
    <cellStyle name="Input [yellow] 2 17 11 14 5" xfId="53212"/>
    <cellStyle name="Input [yellow] 2 17 11 15" xfId="9117"/>
    <cellStyle name="Input [yellow] 2 17 11 15 2" xfId="20314"/>
    <cellStyle name="Input [yellow] 2 17 11 15 3" xfId="31482"/>
    <cellStyle name="Input [yellow] 2 17 11 15 4" xfId="42647"/>
    <cellStyle name="Input [yellow] 2 17 11 15 5" xfId="53840"/>
    <cellStyle name="Input [yellow] 2 17 11 16" xfId="9540"/>
    <cellStyle name="Input [yellow] 2 17 11 16 2" xfId="20737"/>
    <cellStyle name="Input [yellow] 2 17 11 16 3" xfId="31905"/>
    <cellStyle name="Input [yellow] 2 17 11 16 4" xfId="43070"/>
    <cellStyle name="Input [yellow] 2 17 11 16 5" xfId="54263"/>
    <cellStyle name="Input [yellow] 2 17 11 17" xfId="10165"/>
    <cellStyle name="Input [yellow] 2 17 11 17 2" xfId="21362"/>
    <cellStyle name="Input [yellow] 2 17 11 17 3" xfId="32530"/>
    <cellStyle name="Input [yellow] 2 17 11 17 4" xfId="43695"/>
    <cellStyle name="Input [yellow] 2 17 11 17 5" xfId="54888"/>
    <cellStyle name="Input [yellow] 2 17 11 18" xfId="9859"/>
    <cellStyle name="Input [yellow] 2 17 11 18 2" xfId="21056"/>
    <cellStyle name="Input [yellow] 2 17 11 18 3" xfId="32224"/>
    <cellStyle name="Input [yellow] 2 17 11 18 4" xfId="43389"/>
    <cellStyle name="Input [yellow] 2 17 11 18 5" xfId="54582"/>
    <cellStyle name="Input [yellow] 2 17 11 19" xfId="11205"/>
    <cellStyle name="Input [yellow] 2 17 11 19 2" xfId="22402"/>
    <cellStyle name="Input [yellow] 2 17 11 19 3" xfId="33570"/>
    <cellStyle name="Input [yellow] 2 17 11 19 4" xfId="44735"/>
    <cellStyle name="Input [yellow] 2 17 11 19 5" xfId="55928"/>
    <cellStyle name="Input [yellow] 2 17 11 2" xfId="1301"/>
    <cellStyle name="Input [yellow] 2 17 11 2 2" xfId="12498"/>
    <cellStyle name="Input [yellow] 2 17 11 2 3" xfId="23666"/>
    <cellStyle name="Input [yellow] 2 17 11 2 4" xfId="34831"/>
    <cellStyle name="Input [yellow] 2 17 11 2 5" xfId="46024"/>
    <cellStyle name="Input [yellow] 2 17 11 20" xfId="11852"/>
    <cellStyle name="Input [yellow] 2 17 11 21" xfId="23022"/>
    <cellStyle name="Input [yellow] 2 17 11 22" xfId="34189"/>
    <cellStyle name="Input [yellow] 2 17 11 23" xfId="45375"/>
    <cellStyle name="Input [yellow] 2 17 11 3" xfId="1743"/>
    <cellStyle name="Input [yellow] 2 17 11 3 2" xfId="12940"/>
    <cellStyle name="Input [yellow] 2 17 11 3 3" xfId="24108"/>
    <cellStyle name="Input [yellow] 2 17 11 3 4" xfId="35273"/>
    <cellStyle name="Input [yellow] 2 17 11 3 5" xfId="46466"/>
    <cellStyle name="Input [yellow] 2 17 11 4" xfId="2577"/>
    <cellStyle name="Input [yellow] 2 17 11 4 2" xfId="13774"/>
    <cellStyle name="Input [yellow] 2 17 11 4 3" xfId="24942"/>
    <cellStyle name="Input [yellow] 2 17 11 4 4" xfId="36107"/>
    <cellStyle name="Input [yellow] 2 17 11 4 5" xfId="47300"/>
    <cellStyle name="Input [yellow] 2 17 11 5" xfId="3002"/>
    <cellStyle name="Input [yellow] 2 17 11 5 2" xfId="14199"/>
    <cellStyle name="Input [yellow] 2 17 11 5 3" xfId="25367"/>
    <cellStyle name="Input [yellow] 2 17 11 5 4" xfId="36532"/>
    <cellStyle name="Input [yellow] 2 17 11 5 5" xfId="47725"/>
    <cellStyle name="Input [yellow] 2 17 11 6" xfId="3636"/>
    <cellStyle name="Input [yellow] 2 17 11 6 2" xfId="14833"/>
    <cellStyle name="Input [yellow] 2 17 11 6 3" xfId="26001"/>
    <cellStyle name="Input [yellow] 2 17 11 6 4" xfId="37166"/>
    <cellStyle name="Input [yellow] 2 17 11 6 5" xfId="48359"/>
    <cellStyle name="Input [yellow] 2 17 11 7" xfId="4270"/>
    <cellStyle name="Input [yellow] 2 17 11 7 2" xfId="15467"/>
    <cellStyle name="Input [yellow] 2 17 11 7 3" xfId="26635"/>
    <cellStyle name="Input [yellow] 2 17 11 7 4" xfId="37800"/>
    <cellStyle name="Input [yellow] 2 17 11 7 5" xfId="48993"/>
    <cellStyle name="Input [yellow] 2 17 11 8" xfId="4903"/>
    <cellStyle name="Input [yellow] 2 17 11 8 2" xfId="16100"/>
    <cellStyle name="Input [yellow] 2 17 11 8 3" xfId="27268"/>
    <cellStyle name="Input [yellow] 2 17 11 8 4" xfId="38433"/>
    <cellStyle name="Input [yellow] 2 17 11 8 5" xfId="49626"/>
    <cellStyle name="Input [yellow] 2 17 11 9" xfId="5534"/>
    <cellStyle name="Input [yellow] 2 17 11 9 2" xfId="16731"/>
    <cellStyle name="Input [yellow] 2 17 11 9 3" xfId="27899"/>
    <cellStyle name="Input [yellow] 2 17 11 9 4" xfId="39064"/>
    <cellStyle name="Input [yellow] 2 17 11 9 5" xfId="50257"/>
    <cellStyle name="Input [yellow] 2 17 12" xfId="749"/>
    <cellStyle name="Input [yellow] 2 17 12 2" xfId="11946"/>
    <cellStyle name="Input [yellow] 2 17 12 3" xfId="23114"/>
    <cellStyle name="Input [yellow] 2 17 12 4" xfId="34279"/>
    <cellStyle name="Input [yellow] 2 17 12 5" xfId="45472"/>
    <cellStyle name="Input [yellow] 2 17 13" xfId="1738"/>
    <cellStyle name="Input [yellow] 2 17 13 2" xfId="12935"/>
    <cellStyle name="Input [yellow] 2 17 13 3" xfId="24103"/>
    <cellStyle name="Input [yellow] 2 17 13 4" xfId="35268"/>
    <cellStyle name="Input [yellow] 2 17 13 5" xfId="46461"/>
    <cellStyle name="Input [yellow] 2 17 14" xfId="2026"/>
    <cellStyle name="Input [yellow] 2 17 14 2" xfId="13223"/>
    <cellStyle name="Input [yellow] 2 17 14 3" xfId="24391"/>
    <cellStyle name="Input [yellow] 2 17 14 4" xfId="35556"/>
    <cellStyle name="Input [yellow] 2 17 14 5" xfId="46749"/>
    <cellStyle name="Input [yellow] 2 17 15" xfId="2284"/>
    <cellStyle name="Input [yellow] 2 17 15 2" xfId="13481"/>
    <cellStyle name="Input [yellow] 2 17 15 3" xfId="24649"/>
    <cellStyle name="Input [yellow] 2 17 15 4" xfId="35814"/>
    <cellStyle name="Input [yellow] 2 17 15 5" xfId="47007"/>
    <cellStyle name="Input [yellow] 2 17 16" xfId="3084"/>
    <cellStyle name="Input [yellow] 2 17 16 2" xfId="14281"/>
    <cellStyle name="Input [yellow] 2 17 16 3" xfId="25449"/>
    <cellStyle name="Input [yellow] 2 17 16 4" xfId="36614"/>
    <cellStyle name="Input [yellow] 2 17 16 5" xfId="47807"/>
    <cellStyle name="Input [yellow] 2 17 17" xfId="3718"/>
    <cellStyle name="Input [yellow] 2 17 17 2" xfId="14915"/>
    <cellStyle name="Input [yellow] 2 17 17 3" xfId="26083"/>
    <cellStyle name="Input [yellow] 2 17 17 4" xfId="37248"/>
    <cellStyle name="Input [yellow] 2 17 17 5" xfId="48441"/>
    <cellStyle name="Input [yellow] 2 17 18" xfId="4351"/>
    <cellStyle name="Input [yellow] 2 17 18 2" xfId="15548"/>
    <cellStyle name="Input [yellow] 2 17 18 3" xfId="26716"/>
    <cellStyle name="Input [yellow] 2 17 18 4" xfId="37881"/>
    <cellStyle name="Input [yellow] 2 17 18 5" xfId="49074"/>
    <cellStyle name="Input [yellow] 2 17 19" xfId="4982"/>
    <cellStyle name="Input [yellow] 2 17 19 2" xfId="16179"/>
    <cellStyle name="Input [yellow] 2 17 19 3" xfId="27347"/>
    <cellStyle name="Input [yellow] 2 17 19 4" xfId="38512"/>
    <cellStyle name="Input [yellow] 2 17 19 5" xfId="49705"/>
    <cellStyle name="Input [yellow] 2 17 2" xfId="163"/>
    <cellStyle name="Input [yellow] 2 17 2 10" xfId="5980"/>
    <cellStyle name="Input [yellow] 2 17 2 10 2" xfId="17177"/>
    <cellStyle name="Input [yellow] 2 17 2 10 3" xfId="28345"/>
    <cellStyle name="Input [yellow] 2 17 2 10 4" xfId="39510"/>
    <cellStyle name="Input [yellow] 2 17 2 10 5" xfId="50703"/>
    <cellStyle name="Input [yellow] 2 17 2 11" xfId="6146"/>
    <cellStyle name="Input [yellow] 2 17 2 11 2" xfId="17343"/>
    <cellStyle name="Input [yellow] 2 17 2 11 3" xfId="28511"/>
    <cellStyle name="Input [yellow] 2 17 2 11 4" xfId="39676"/>
    <cellStyle name="Input [yellow] 2 17 2 11 5" xfId="50869"/>
    <cellStyle name="Input [yellow] 2 17 2 12" xfId="6732"/>
    <cellStyle name="Input [yellow] 2 17 2 12 2" xfId="17929"/>
    <cellStyle name="Input [yellow] 2 17 2 12 3" xfId="29097"/>
    <cellStyle name="Input [yellow] 2 17 2 12 4" xfId="40262"/>
    <cellStyle name="Input [yellow] 2 17 2 12 5" xfId="51455"/>
    <cellStyle name="Input [yellow] 2 17 2 13" xfId="7366"/>
    <cellStyle name="Input [yellow] 2 17 2 13 2" xfId="18563"/>
    <cellStyle name="Input [yellow] 2 17 2 13 3" xfId="29731"/>
    <cellStyle name="Input [yellow] 2 17 2 13 4" xfId="40896"/>
    <cellStyle name="Input [yellow] 2 17 2 13 5" xfId="52089"/>
    <cellStyle name="Input [yellow] 2 17 2 14" xfId="8000"/>
    <cellStyle name="Input [yellow] 2 17 2 14 2" xfId="19197"/>
    <cellStyle name="Input [yellow] 2 17 2 14 3" xfId="30365"/>
    <cellStyle name="Input [yellow] 2 17 2 14 4" xfId="41530"/>
    <cellStyle name="Input [yellow] 2 17 2 14 5" xfId="52723"/>
    <cellStyle name="Input [yellow] 2 17 2 15" xfId="8631"/>
    <cellStyle name="Input [yellow] 2 17 2 15 2" xfId="19828"/>
    <cellStyle name="Input [yellow] 2 17 2 15 3" xfId="30996"/>
    <cellStyle name="Input [yellow] 2 17 2 15 4" xfId="42161"/>
    <cellStyle name="Input [yellow] 2 17 2 15 5" xfId="53354"/>
    <cellStyle name="Input [yellow] 2 17 2 16" xfId="8637"/>
    <cellStyle name="Input [yellow] 2 17 2 16 2" xfId="19834"/>
    <cellStyle name="Input [yellow] 2 17 2 16 3" xfId="31002"/>
    <cellStyle name="Input [yellow] 2 17 2 16 4" xfId="42167"/>
    <cellStyle name="Input [yellow] 2 17 2 16 5" xfId="53360"/>
    <cellStyle name="Input [yellow] 2 17 2 17" xfId="9683"/>
    <cellStyle name="Input [yellow] 2 17 2 17 2" xfId="20880"/>
    <cellStyle name="Input [yellow] 2 17 2 17 3" xfId="32048"/>
    <cellStyle name="Input [yellow] 2 17 2 17 4" xfId="43213"/>
    <cellStyle name="Input [yellow] 2 17 2 17 5" xfId="54406"/>
    <cellStyle name="Input [yellow] 2 17 2 18" xfId="10137"/>
    <cellStyle name="Input [yellow] 2 17 2 18 2" xfId="21334"/>
    <cellStyle name="Input [yellow] 2 17 2 18 3" xfId="32502"/>
    <cellStyle name="Input [yellow] 2 17 2 18 4" xfId="43667"/>
    <cellStyle name="Input [yellow] 2 17 2 18 5" xfId="54860"/>
    <cellStyle name="Input [yellow] 2 17 2 19" xfId="10716"/>
    <cellStyle name="Input [yellow] 2 17 2 19 2" xfId="21913"/>
    <cellStyle name="Input [yellow] 2 17 2 19 3" xfId="33081"/>
    <cellStyle name="Input [yellow] 2 17 2 19 4" xfId="44246"/>
    <cellStyle name="Input [yellow] 2 17 2 19 5" xfId="55439"/>
    <cellStyle name="Input [yellow] 2 17 2 2" xfId="812"/>
    <cellStyle name="Input [yellow] 2 17 2 2 2" xfId="12009"/>
    <cellStyle name="Input [yellow] 2 17 2 2 3" xfId="23177"/>
    <cellStyle name="Input [yellow] 2 17 2 2 4" xfId="34342"/>
    <cellStyle name="Input [yellow] 2 17 2 2 5" xfId="45535"/>
    <cellStyle name="Input [yellow] 2 17 2 20" xfId="11363"/>
    <cellStyle name="Input [yellow] 2 17 2 21" xfId="22533"/>
    <cellStyle name="Input [yellow] 2 17 2 22" xfId="33700"/>
    <cellStyle name="Input [yellow] 2 17 2 23" xfId="44886"/>
    <cellStyle name="Input [yellow] 2 17 2 3" xfId="1845"/>
    <cellStyle name="Input [yellow] 2 17 2 3 2" xfId="13042"/>
    <cellStyle name="Input [yellow] 2 17 2 3 3" xfId="24210"/>
    <cellStyle name="Input [yellow] 2 17 2 3 4" xfId="35375"/>
    <cellStyle name="Input [yellow] 2 17 2 3 5" xfId="46568"/>
    <cellStyle name="Input [yellow] 2 17 2 4" xfId="2089"/>
    <cellStyle name="Input [yellow] 2 17 2 4 2" xfId="13286"/>
    <cellStyle name="Input [yellow] 2 17 2 4 3" xfId="24454"/>
    <cellStyle name="Input [yellow] 2 17 2 4 4" xfId="35619"/>
    <cellStyle name="Input [yellow] 2 17 2 4 5" xfId="46812"/>
    <cellStyle name="Input [yellow] 2 17 2 5" xfId="2032"/>
    <cellStyle name="Input [yellow] 2 17 2 5 2" xfId="13229"/>
    <cellStyle name="Input [yellow] 2 17 2 5 3" xfId="24397"/>
    <cellStyle name="Input [yellow] 2 17 2 5 4" xfId="35562"/>
    <cellStyle name="Input [yellow] 2 17 2 5 5" xfId="46755"/>
    <cellStyle name="Input [yellow] 2 17 2 6" xfId="3147"/>
    <cellStyle name="Input [yellow] 2 17 2 6 2" xfId="14344"/>
    <cellStyle name="Input [yellow] 2 17 2 6 3" xfId="25512"/>
    <cellStyle name="Input [yellow] 2 17 2 6 4" xfId="36677"/>
    <cellStyle name="Input [yellow] 2 17 2 6 5" xfId="47870"/>
    <cellStyle name="Input [yellow] 2 17 2 7" xfId="3781"/>
    <cellStyle name="Input [yellow] 2 17 2 7 2" xfId="14978"/>
    <cellStyle name="Input [yellow] 2 17 2 7 3" xfId="26146"/>
    <cellStyle name="Input [yellow] 2 17 2 7 4" xfId="37311"/>
    <cellStyle name="Input [yellow] 2 17 2 7 5" xfId="48504"/>
    <cellStyle name="Input [yellow] 2 17 2 8" xfId="4414"/>
    <cellStyle name="Input [yellow] 2 17 2 8 2" xfId="15611"/>
    <cellStyle name="Input [yellow] 2 17 2 8 3" xfId="26779"/>
    <cellStyle name="Input [yellow] 2 17 2 8 4" xfId="37944"/>
    <cellStyle name="Input [yellow] 2 17 2 8 5" xfId="49137"/>
    <cellStyle name="Input [yellow] 2 17 2 9" xfId="5045"/>
    <cellStyle name="Input [yellow] 2 17 2 9 2" xfId="16242"/>
    <cellStyle name="Input [yellow] 2 17 2 9 3" xfId="27410"/>
    <cellStyle name="Input [yellow] 2 17 2 9 4" xfId="38575"/>
    <cellStyle name="Input [yellow] 2 17 2 9 5" xfId="49768"/>
    <cellStyle name="Input [yellow] 2 17 20" xfId="6137"/>
    <cellStyle name="Input [yellow] 2 17 20 2" xfId="17334"/>
    <cellStyle name="Input [yellow] 2 17 20 3" xfId="28502"/>
    <cellStyle name="Input [yellow] 2 17 20 4" xfId="39667"/>
    <cellStyle name="Input [yellow] 2 17 20 5" xfId="50860"/>
    <cellStyle name="Input [yellow] 2 17 21" xfId="5796"/>
    <cellStyle name="Input [yellow] 2 17 21 2" xfId="16993"/>
    <cellStyle name="Input [yellow] 2 17 21 3" xfId="28161"/>
    <cellStyle name="Input [yellow] 2 17 21 4" xfId="39326"/>
    <cellStyle name="Input [yellow] 2 17 21 5" xfId="50519"/>
    <cellStyle name="Input [yellow] 2 17 22" xfId="6669"/>
    <cellStyle name="Input [yellow] 2 17 22 2" xfId="17866"/>
    <cellStyle name="Input [yellow] 2 17 22 3" xfId="29034"/>
    <cellStyle name="Input [yellow] 2 17 22 4" xfId="40199"/>
    <cellStyle name="Input [yellow] 2 17 22 5" xfId="51392"/>
    <cellStyle name="Input [yellow] 2 17 23" xfId="7303"/>
    <cellStyle name="Input [yellow] 2 17 23 2" xfId="18500"/>
    <cellStyle name="Input [yellow] 2 17 23 3" xfId="29668"/>
    <cellStyle name="Input [yellow] 2 17 23 4" xfId="40833"/>
    <cellStyle name="Input [yellow] 2 17 23 5" xfId="52026"/>
    <cellStyle name="Input [yellow] 2 17 24" xfId="7937"/>
    <cellStyle name="Input [yellow] 2 17 24 2" xfId="19134"/>
    <cellStyle name="Input [yellow] 2 17 24 3" xfId="30302"/>
    <cellStyle name="Input [yellow] 2 17 24 4" xfId="41467"/>
    <cellStyle name="Input [yellow] 2 17 24 5" xfId="52660"/>
    <cellStyle name="Input [yellow] 2 17 25" xfId="8568"/>
    <cellStyle name="Input [yellow] 2 17 25 2" xfId="19765"/>
    <cellStyle name="Input [yellow] 2 17 25 3" xfId="30933"/>
    <cellStyle name="Input [yellow] 2 17 25 4" xfId="42098"/>
    <cellStyle name="Input [yellow] 2 17 25 5" xfId="53291"/>
    <cellStyle name="Input [yellow] 2 17 26" xfId="8995"/>
    <cellStyle name="Input [yellow] 2 17 26 2" xfId="20192"/>
    <cellStyle name="Input [yellow] 2 17 26 3" xfId="31360"/>
    <cellStyle name="Input [yellow] 2 17 26 4" xfId="42525"/>
    <cellStyle name="Input [yellow] 2 17 26 5" xfId="53718"/>
    <cellStyle name="Input [yellow] 2 17 27" xfId="9621"/>
    <cellStyle name="Input [yellow] 2 17 27 2" xfId="20818"/>
    <cellStyle name="Input [yellow] 2 17 27 3" xfId="31986"/>
    <cellStyle name="Input [yellow] 2 17 27 4" xfId="43151"/>
    <cellStyle name="Input [yellow] 2 17 27 5" xfId="54344"/>
    <cellStyle name="Input [yellow] 2 17 28" xfId="10394"/>
    <cellStyle name="Input [yellow] 2 17 28 2" xfId="21591"/>
    <cellStyle name="Input [yellow] 2 17 28 3" xfId="32759"/>
    <cellStyle name="Input [yellow] 2 17 28 4" xfId="43924"/>
    <cellStyle name="Input [yellow] 2 17 28 5" xfId="55117"/>
    <cellStyle name="Input [yellow] 2 17 29" xfId="10653"/>
    <cellStyle name="Input [yellow] 2 17 29 2" xfId="21850"/>
    <cellStyle name="Input [yellow] 2 17 29 3" xfId="33018"/>
    <cellStyle name="Input [yellow] 2 17 29 4" xfId="44183"/>
    <cellStyle name="Input [yellow] 2 17 29 5" xfId="55376"/>
    <cellStyle name="Input [yellow] 2 17 3" xfId="219"/>
    <cellStyle name="Input [yellow] 2 17 3 10" xfId="5858"/>
    <cellStyle name="Input [yellow] 2 17 3 10 2" xfId="17055"/>
    <cellStyle name="Input [yellow] 2 17 3 10 3" xfId="28223"/>
    <cellStyle name="Input [yellow] 2 17 3 10 4" xfId="39388"/>
    <cellStyle name="Input [yellow] 2 17 3 10 5" xfId="50581"/>
    <cellStyle name="Input [yellow] 2 17 3 11" xfId="6041"/>
    <cellStyle name="Input [yellow] 2 17 3 11 2" xfId="17238"/>
    <cellStyle name="Input [yellow] 2 17 3 11 3" xfId="28406"/>
    <cellStyle name="Input [yellow] 2 17 3 11 4" xfId="39571"/>
    <cellStyle name="Input [yellow] 2 17 3 11 5" xfId="50764"/>
    <cellStyle name="Input [yellow] 2 17 3 12" xfId="6788"/>
    <cellStyle name="Input [yellow] 2 17 3 12 2" xfId="17985"/>
    <cellStyle name="Input [yellow] 2 17 3 12 3" xfId="29153"/>
    <cellStyle name="Input [yellow] 2 17 3 12 4" xfId="40318"/>
    <cellStyle name="Input [yellow] 2 17 3 12 5" xfId="51511"/>
    <cellStyle name="Input [yellow] 2 17 3 13" xfId="7422"/>
    <cellStyle name="Input [yellow] 2 17 3 13 2" xfId="18619"/>
    <cellStyle name="Input [yellow] 2 17 3 13 3" xfId="29787"/>
    <cellStyle name="Input [yellow] 2 17 3 13 4" xfId="40952"/>
    <cellStyle name="Input [yellow] 2 17 3 13 5" xfId="52145"/>
    <cellStyle name="Input [yellow] 2 17 3 14" xfId="8056"/>
    <cellStyle name="Input [yellow] 2 17 3 14 2" xfId="19253"/>
    <cellStyle name="Input [yellow] 2 17 3 14 3" xfId="30421"/>
    <cellStyle name="Input [yellow] 2 17 3 14 4" xfId="41586"/>
    <cellStyle name="Input [yellow] 2 17 3 14 5" xfId="52779"/>
    <cellStyle name="Input [yellow] 2 17 3 15" xfId="8687"/>
    <cellStyle name="Input [yellow] 2 17 3 15 2" xfId="19884"/>
    <cellStyle name="Input [yellow] 2 17 3 15 3" xfId="31052"/>
    <cellStyle name="Input [yellow] 2 17 3 15 4" xfId="42217"/>
    <cellStyle name="Input [yellow] 2 17 3 15 5" xfId="53410"/>
    <cellStyle name="Input [yellow] 2 17 3 16" xfId="9109"/>
    <cellStyle name="Input [yellow] 2 17 3 16 2" xfId="20306"/>
    <cellStyle name="Input [yellow] 2 17 3 16 3" xfId="31474"/>
    <cellStyle name="Input [yellow] 2 17 3 16 4" xfId="42639"/>
    <cellStyle name="Input [yellow] 2 17 3 16 5" xfId="53832"/>
    <cellStyle name="Input [yellow] 2 17 3 17" xfId="9738"/>
    <cellStyle name="Input [yellow] 2 17 3 17 2" xfId="20935"/>
    <cellStyle name="Input [yellow] 2 17 3 17 3" xfId="32103"/>
    <cellStyle name="Input [yellow] 2 17 3 17 4" xfId="43268"/>
    <cellStyle name="Input [yellow] 2 17 3 17 5" xfId="54461"/>
    <cellStyle name="Input [yellow] 2 17 3 18" xfId="10475"/>
    <cellStyle name="Input [yellow] 2 17 3 18 2" xfId="21672"/>
    <cellStyle name="Input [yellow] 2 17 3 18 3" xfId="32840"/>
    <cellStyle name="Input [yellow] 2 17 3 18 4" xfId="44005"/>
    <cellStyle name="Input [yellow] 2 17 3 18 5" xfId="55198"/>
    <cellStyle name="Input [yellow] 2 17 3 19" xfId="10772"/>
    <cellStyle name="Input [yellow] 2 17 3 19 2" xfId="21969"/>
    <cellStyle name="Input [yellow] 2 17 3 19 3" xfId="33137"/>
    <cellStyle name="Input [yellow] 2 17 3 19 4" xfId="44302"/>
    <cellStyle name="Input [yellow] 2 17 3 19 5" xfId="55495"/>
    <cellStyle name="Input [yellow] 2 17 3 2" xfId="868"/>
    <cellStyle name="Input [yellow] 2 17 3 2 2" xfId="12065"/>
    <cellStyle name="Input [yellow] 2 17 3 2 3" xfId="23233"/>
    <cellStyle name="Input [yellow] 2 17 3 2 4" xfId="34398"/>
    <cellStyle name="Input [yellow] 2 17 3 2 5" xfId="45591"/>
    <cellStyle name="Input [yellow] 2 17 3 20" xfId="11419"/>
    <cellStyle name="Input [yellow] 2 17 3 21" xfId="22589"/>
    <cellStyle name="Input [yellow] 2 17 3 22" xfId="33756"/>
    <cellStyle name="Input [yellow] 2 17 3 23" xfId="44942"/>
    <cellStyle name="Input [yellow] 2 17 3 3" xfId="1772"/>
    <cellStyle name="Input [yellow] 2 17 3 3 2" xfId="12969"/>
    <cellStyle name="Input [yellow] 2 17 3 3 3" xfId="24137"/>
    <cellStyle name="Input [yellow] 2 17 3 3 4" xfId="35302"/>
    <cellStyle name="Input [yellow] 2 17 3 3 5" xfId="46495"/>
    <cellStyle name="Input [yellow] 2 17 3 4" xfId="2145"/>
    <cellStyle name="Input [yellow] 2 17 3 4 2" xfId="13342"/>
    <cellStyle name="Input [yellow] 2 17 3 4 3" xfId="24510"/>
    <cellStyle name="Input [yellow] 2 17 3 4 4" xfId="35675"/>
    <cellStyle name="Input [yellow] 2 17 3 4 5" xfId="46868"/>
    <cellStyle name="Input [yellow] 2 17 3 5" xfId="2475"/>
    <cellStyle name="Input [yellow] 2 17 3 5 2" xfId="13672"/>
    <cellStyle name="Input [yellow] 2 17 3 5 3" xfId="24840"/>
    <cellStyle name="Input [yellow] 2 17 3 5 4" xfId="36005"/>
    <cellStyle name="Input [yellow] 2 17 3 5 5" xfId="47198"/>
    <cellStyle name="Input [yellow] 2 17 3 6" xfId="3203"/>
    <cellStyle name="Input [yellow] 2 17 3 6 2" xfId="14400"/>
    <cellStyle name="Input [yellow] 2 17 3 6 3" xfId="25568"/>
    <cellStyle name="Input [yellow] 2 17 3 6 4" xfId="36733"/>
    <cellStyle name="Input [yellow] 2 17 3 6 5" xfId="47926"/>
    <cellStyle name="Input [yellow] 2 17 3 7" xfId="3837"/>
    <cellStyle name="Input [yellow] 2 17 3 7 2" xfId="15034"/>
    <cellStyle name="Input [yellow] 2 17 3 7 3" xfId="26202"/>
    <cellStyle name="Input [yellow] 2 17 3 7 4" xfId="37367"/>
    <cellStyle name="Input [yellow] 2 17 3 7 5" xfId="48560"/>
    <cellStyle name="Input [yellow] 2 17 3 8" xfId="4470"/>
    <cellStyle name="Input [yellow] 2 17 3 8 2" xfId="15667"/>
    <cellStyle name="Input [yellow] 2 17 3 8 3" xfId="26835"/>
    <cellStyle name="Input [yellow] 2 17 3 8 4" xfId="38000"/>
    <cellStyle name="Input [yellow] 2 17 3 8 5" xfId="49193"/>
    <cellStyle name="Input [yellow] 2 17 3 9" xfId="5101"/>
    <cellStyle name="Input [yellow] 2 17 3 9 2" xfId="16298"/>
    <cellStyle name="Input [yellow] 2 17 3 9 3" xfId="27466"/>
    <cellStyle name="Input [yellow] 2 17 3 9 4" xfId="38631"/>
    <cellStyle name="Input [yellow] 2 17 3 9 5" xfId="49824"/>
    <cellStyle name="Input [yellow] 2 17 30" xfId="11300"/>
    <cellStyle name="Input [yellow] 2 17 31" xfId="22470"/>
    <cellStyle name="Input [yellow] 2 17 32" xfId="33637"/>
    <cellStyle name="Input [yellow] 2 17 33" xfId="44823"/>
    <cellStyle name="Input [yellow] 2 17 4" xfId="251"/>
    <cellStyle name="Input [yellow] 2 17 4 10" xfId="5996"/>
    <cellStyle name="Input [yellow] 2 17 4 10 2" xfId="17193"/>
    <cellStyle name="Input [yellow] 2 17 4 10 3" xfId="28361"/>
    <cellStyle name="Input [yellow] 2 17 4 10 4" xfId="39526"/>
    <cellStyle name="Input [yellow] 2 17 4 10 5" xfId="50719"/>
    <cellStyle name="Input [yellow] 2 17 4 11" xfId="5607"/>
    <cellStyle name="Input [yellow] 2 17 4 11 2" xfId="16804"/>
    <cellStyle name="Input [yellow] 2 17 4 11 3" xfId="27972"/>
    <cellStyle name="Input [yellow] 2 17 4 11 4" xfId="39137"/>
    <cellStyle name="Input [yellow] 2 17 4 11 5" xfId="50330"/>
    <cellStyle name="Input [yellow] 2 17 4 12" xfId="6820"/>
    <cellStyle name="Input [yellow] 2 17 4 12 2" xfId="18017"/>
    <cellStyle name="Input [yellow] 2 17 4 12 3" xfId="29185"/>
    <cellStyle name="Input [yellow] 2 17 4 12 4" xfId="40350"/>
    <cellStyle name="Input [yellow] 2 17 4 12 5" xfId="51543"/>
    <cellStyle name="Input [yellow] 2 17 4 13" xfId="7454"/>
    <cellStyle name="Input [yellow] 2 17 4 13 2" xfId="18651"/>
    <cellStyle name="Input [yellow] 2 17 4 13 3" xfId="29819"/>
    <cellStyle name="Input [yellow] 2 17 4 13 4" xfId="40984"/>
    <cellStyle name="Input [yellow] 2 17 4 13 5" xfId="52177"/>
    <cellStyle name="Input [yellow] 2 17 4 14" xfId="8088"/>
    <cellStyle name="Input [yellow] 2 17 4 14 2" xfId="19285"/>
    <cellStyle name="Input [yellow] 2 17 4 14 3" xfId="30453"/>
    <cellStyle name="Input [yellow] 2 17 4 14 4" xfId="41618"/>
    <cellStyle name="Input [yellow] 2 17 4 14 5" xfId="52811"/>
    <cellStyle name="Input [yellow] 2 17 4 15" xfId="8718"/>
    <cellStyle name="Input [yellow] 2 17 4 15 2" xfId="19915"/>
    <cellStyle name="Input [yellow] 2 17 4 15 3" xfId="31083"/>
    <cellStyle name="Input [yellow] 2 17 4 15 4" xfId="42248"/>
    <cellStyle name="Input [yellow] 2 17 4 15 5" xfId="53441"/>
    <cellStyle name="Input [yellow] 2 17 4 16" xfId="9139"/>
    <cellStyle name="Input [yellow] 2 17 4 16 2" xfId="20336"/>
    <cellStyle name="Input [yellow] 2 17 4 16 3" xfId="31504"/>
    <cellStyle name="Input [yellow] 2 17 4 16 4" xfId="42669"/>
    <cellStyle name="Input [yellow] 2 17 4 16 5" xfId="53862"/>
    <cellStyle name="Input [yellow] 2 17 4 17" xfId="9768"/>
    <cellStyle name="Input [yellow] 2 17 4 17 2" xfId="20965"/>
    <cellStyle name="Input [yellow] 2 17 4 17 3" xfId="32133"/>
    <cellStyle name="Input [yellow] 2 17 4 17 4" xfId="43298"/>
    <cellStyle name="Input [yellow] 2 17 4 17 5" xfId="54491"/>
    <cellStyle name="Input [yellow] 2 17 4 18" xfId="10397"/>
    <cellStyle name="Input [yellow] 2 17 4 18 2" xfId="21594"/>
    <cellStyle name="Input [yellow] 2 17 4 18 3" xfId="32762"/>
    <cellStyle name="Input [yellow] 2 17 4 18 4" xfId="43927"/>
    <cellStyle name="Input [yellow] 2 17 4 18 5" xfId="55120"/>
    <cellStyle name="Input [yellow] 2 17 4 19" xfId="10804"/>
    <cellStyle name="Input [yellow] 2 17 4 19 2" xfId="22001"/>
    <cellStyle name="Input [yellow] 2 17 4 19 3" xfId="33169"/>
    <cellStyle name="Input [yellow] 2 17 4 19 4" xfId="44334"/>
    <cellStyle name="Input [yellow] 2 17 4 19 5" xfId="55527"/>
    <cellStyle name="Input [yellow] 2 17 4 2" xfId="900"/>
    <cellStyle name="Input [yellow] 2 17 4 2 2" xfId="12097"/>
    <cellStyle name="Input [yellow] 2 17 4 2 3" xfId="23265"/>
    <cellStyle name="Input [yellow] 2 17 4 2 4" xfId="34430"/>
    <cellStyle name="Input [yellow] 2 17 4 2 5" xfId="45623"/>
    <cellStyle name="Input [yellow] 2 17 4 20" xfId="11451"/>
    <cellStyle name="Input [yellow] 2 17 4 21" xfId="22621"/>
    <cellStyle name="Input [yellow] 2 17 4 22" xfId="33788"/>
    <cellStyle name="Input [yellow] 2 17 4 23" xfId="44974"/>
    <cellStyle name="Input [yellow] 2 17 4 3" xfId="1361"/>
    <cellStyle name="Input [yellow] 2 17 4 3 2" xfId="12558"/>
    <cellStyle name="Input [yellow] 2 17 4 3 3" xfId="23726"/>
    <cellStyle name="Input [yellow] 2 17 4 3 4" xfId="34891"/>
    <cellStyle name="Input [yellow] 2 17 4 3 5" xfId="46084"/>
    <cellStyle name="Input [yellow] 2 17 4 4" xfId="2177"/>
    <cellStyle name="Input [yellow] 2 17 4 4 2" xfId="13374"/>
    <cellStyle name="Input [yellow] 2 17 4 4 3" xfId="24542"/>
    <cellStyle name="Input [yellow] 2 17 4 4 4" xfId="35707"/>
    <cellStyle name="Input [yellow] 2 17 4 4 5" xfId="46900"/>
    <cellStyle name="Input [yellow] 2 17 4 5" xfId="2601"/>
    <cellStyle name="Input [yellow] 2 17 4 5 2" xfId="13798"/>
    <cellStyle name="Input [yellow] 2 17 4 5 3" xfId="24966"/>
    <cellStyle name="Input [yellow] 2 17 4 5 4" xfId="36131"/>
    <cellStyle name="Input [yellow] 2 17 4 5 5" xfId="47324"/>
    <cellStyle name="Input [yellow] 2 17 4 6" xfId="3235"/>
    <cellStyle name="Input [yellow] 2 17 4 6 2" xfId="14432"/>
    <cellStyle name="Input [yellow] 2 17 4 6 3" xfId="25600"/>
    <cellStyle name="Input [yellow] 2 17 4 6 4" xfId="36765"/>
    <cellStyle name="Input [yellow] 2 17 4 6 5" xfId="47958"/>
    <cellStyle name="Input [yellow] 2 17 4 7" xfId="3869"/>
    <cellStyle name="Input [yellow] 2 17 4 7 2" xfId="15066"/>
    <cellStyle name="Input [yellow] 2 17 4 7 3" xfId="26234"/>
    <cellStyle name="Input [yellow] 2 17 4 7 4" xfId="37399"/>
    <cellStyle name="Input [yellow] 2 17 4 7 5" xfId="48592"/>
    <cellStyle name="Input [yellow] 2 17 4 8" xfId="4502"/>
    <cellStyle name="Input [yellow] 2 17 4 8 2" xfId="15699"/>
    <cellStyle name="Input [yellow] 2 17 4 8 3" xfId="26867"/>
    <cellStyle name="Input [yellow] 2 17 4 8 4" xfId="38032"/>
    <cellStyle name="Input [yellow] 2 17 4 8 5" xfId="49225"/>
    <cellStyle name="Input [yellow] 2 17 4 9" xfId="5133"/>
    <cellStyle name="Input [yellow] 2 17 4 9 2" xfId="16330"/>
    <cellStyle name="Input [yellow] 2 17 4 9 3" xfId="27498"/>
    <cellStyle name="Input [yellow] 2 17 4 9 4" xfId="38663"/>
    <cellStyle name="Input [yellow] 2 17 4 9 5" xfId="49856"/>
    <cellStyle name="Input [yellow] 2 17 5" xfId="314"/>
    <cellStyle name="Input [yellow] 2 17 5 10" xfId="5756"/>
    <cellStyle name="Input [yellow] 2 17 5 10 2" xfId="16953"/>
    <cellStyle name="Input [yellow] 2 17 5 10 3" xfId="28121"/>
    <cellStyle name="Input [yellow] 2 17 5 10 4" xfId="39286"/>
    <cellStyle name="Input [yellow] 2 17 5 10 5" xfId="50479"/>
    <cellStyle name="Input [yellow] 2 17 5 11" xfId="6250"/>
    <cellStyle name="Input [yellow] 2 17 5 11 2" xfId="17447"/>
    <cellStyle name="Input [yellow] 2 17 5 11 3" xfId="28615"/>
    <cellStyle name="Input [yellow] 2 17 5 11 4" xfId="39780"/>
    <cellStyle name="Input [yellow] 2 17 5 11 5" xfId="50973"/>
    <cellStyle name="Input [yellow] 2 17 5 12" xfId="6883"/>
    <cellStyle name="Input [yellow] 2 17 5 12 2" xfId="18080"/>
    <cellStyle name="Input [yellow] 2 17 5 12 3" xfId="29248"/>
    <cellStyle name="Input [yellow] 2 17 5 12 4" xfId="40413"/>
    <cellStyle name="Input [yellow] 2 17 5 12 5" xfId="51606"/>
    <cellStyle name="Input [yellow] 2 17 5 13" xfId="7517"/>
    <cellStyle name="Input [yellow] 2 17 5 13 2" xfId="18714"/>
    <cellStyle name="Input [yellow] 2 17 5 13 3" xfId="29882"/>
    <cellStyle name="Input [yellow] 2 17 5 13 4" xfId="41047"/>
    <cellStyle name="Input [yellow] 2 17 5 13 5" xfId="52240"/>
    <cellStyle name="Input [yellow] 2 17 5 14" xfId="8151"/>
    <cellStyle name="Input [yellow] 2 17 5 14 2" xfId="19348"/>
    <cellStyle name="Input [yellow] 2 17 5 14 3" xfId="30516"/>
    <cellStyle name="Input [yellow] 2 17 5 14 4" xfId="41681"/>
    <cellStyle name="Input [yellow] 2 17 5 14 5" xfId="52874"/>
    <cellStyle name="Input [yellow] 2 17 5 15" xfId="8780"/>
    <cellStyle name="Input [yellow] 2 17 5 15 2" xfId="19977"/>
    <cellStyle name="Input [yellow] 2 17 5 15 3" xfId="31145"/>
    <cellStyle name="Input [yellow] 2 17 5 15 4" xfId="42310"/>
    <cellStyle name="Input [yellow] 2 17 5 15 5" xfId="53503"/>
    <cellStyle name="Input [yellow] 2 17 5 16" xfId="9202"/>
    <cellStyle name="Input [yellow] 2 17 5 16 2" xfId="20399"/>
    <cellStyle name="Input [yellow] 2 17 5 16 3" xfId="31567"/>
    <cellStyle name="Input [yellow] 2 17 5 16 4" xfId="42732"/>
    <cellStyle name="Input [yellow] 2 17 5 16 5" xfId="53925"/>
    <cellStyle name="Input [yellow] 2 17 5 17" xfId="9829"/>
    <cellStyle name="Input [yellow] 2 17 5 17 2" xfId="21026"/>
    <cellStyle name="Input [yellow] 2 17 5 17 3" xfId="32194"/>
    <cellStyle name="Input [yellow] 2 17 5 17 4" xfId="43359"/>
    <cellStyle name="Input [yellow] 2 17 5 17 5" xfId="54552"/>
    <cellStyle name="Input [yellow] 2 17 5 18" xfId="10331"/>
    <cellStyle name="Input [yellow] 2 17 5 18 2" xfId="21528"/>
    <cellStyle name="Input [yellow] 2 17 5 18 3" xfId="32696"/>
    <cellStyle name="Input [yellow] 2 17 5 18 4" xfId="43861"/>
    <cellStyle name="Input [yellow] 2 17 5 18 5" xfId="55054"/>
    <cellStyle name="Input [yellow] 2 17 5 19" xfId="10867"/>
    <cellStyle name="Input [yellow] 2 17 5 19 2" xfId="22064"/>
    <cellStyle name="Input [yellow] 2 17 5 19 3" xfId="33232"/>
    <cellStyle name="Input [yellow] 2 17 5 19 4" xfId="44397"/>
    <cellStyle name="Input [yellow] 2 17 5 19 5" xfId="55590"/>
    <cellStyle name="Input [yellow] 2 17 5 2" xfId="963"/>
    <cellStyle name="Input [yellow] 2 17 5 2 2" xfId="12160"/>
    <cellStyle name="Input [yellow] 2 17 5 2 3" xfId="23328"/>
    <cellStyle name="Input [yellow] 2 17 5 2 4" xfId="34493"/>
    <cellStyle name="Input [yellow] 2 17 5 2 5" xfId="45686"/>
    <cellStyle name="Input [yellow] 2 17 5 20" xfId="11514"/>
    <cellStyle name="Input [yellow] 2 17 5 21" xfId="22684"/>
    <cellStyle name="Input [yellow] 2 17 5 22" xfId="33851"/>
    <cellStyle name="Input [yellow] 2 17 5 23" xfId="45037"/>
    <cellStyle name="Input [yellow] 2 17 5 3" xfId="1668"/>
    <cellStyle name="Input [yellow] 2 17 5 3 2" xfId="12865"/>
    <cellStyle name="Input [yellow] 2 17 5 3 3" xfId="24033"/>
    <cellStyle name="Input [yellow] 2 17 5 3 4" xfId="35198"/>
    <cellStyle name="Input [yellow] 2 17 5 3 5" xfId="46391"/>
    <cellStyle name="Input [yellow] 2 17 5 4" xfId="2239"/>
    <cellStyle name="Input [yellow] 2 17 5 4 2" xfId="13436"/>
    <cellStyle name="Input [yellow] 2 17 5 4 3" xfId="24604"/>
    <cellStyle name="Input [yellow] 2 17 5 4 4" xfId="35769"/>
    <cellStyle name="Input [yellow] 2 17 5 4 5" xfId="46962"/>
    <cellStyle name="Input [yellow] 2 17 5 5" xfId="2664"/>
    <cellStyle name="Input [yellow] 2 17 5 5 2" xfId="13861"/>
    <cellStyle name="Input [yellow] 2 17 5 5 3" xfId="25029"/>
    <cellStyle name="Input [yellow] 2 17 5 5 4" xfId="36194"/>
    <cellStyle name="Input [yellow] 2 17 5 5 5" xfId="47387"/>
    <cellStyle name="Input [yellow] 2 17 5 6" xfId="3298"/>
    <cellStyle name="Input [yellow] 2 17 5 6 2" xfId="14495"/>
    <cellStyle name="Input [yellow] 2 17 5 6 3" xfId="25663"/>
    <cellStyle name="Input [yellow] 2 17 5 6 4" xfId="36828"/>
    <cellStyle name="Input [yellow] 2 17 5 6 5" xfId="48021"/>
    <cellStyle name="Input [yellow] 2 17 5 7" xfId="3932"/>
    <cellStyle name="Input [yellow] 2 17 5 7 2" xfId="15129"/>
    <cellStyle name="Input [yellow] 2 17 5 7 3" xfId="26297"/>
    <cellStyle name="Input [yellow] 2 17 5 7 4" xfId="37462"/>
    <cellStyle name="Input [yellow] 2 17 5 7 5" xfId="48655"/>
    <cellStyle name="Input [yellow] 2 17 5 8" xfId="4565"/>
    <cellStyle name="Input [yellow] 2 17 5 8 2" xfId="15762"/>
    <cellStyle name="Input [yellow] 2 17 5 8 3" xfId="26930"/>
    <cellStyle name="Input [yellow] 2 17 5 8 4" xfId="38095"/>
    <cellStyle name="Input [yellow] 2 17 5 8 5" xfId="49288"/>
    <cellStyle name="Input [yellow] 2 17 5 9" xfId="5196"/>
    <cellStyle name="Input [yellow] 2 17 5 9 2" xfId="16393"/>
    <cellStyle name="Input [yellow] 2 17 5 9 3" xfId="27561"/>
    <cellStyle name="Input [yellow] 2 17 5 9 4" xfId="38726"/>
    <cellStyle name="Input [yellow] 2 17 5 9 5" xfId="49919"/>
    <cellStyle name="Input [yellow] 2 17 6" xfId="383"/>
    <cellStyle name="Input [yellow] 2 17 6 10" xfId="6096"/>
    <cellStyle name="Input [yellow] 2 17 6 10 2" xfId="17293"/>
    <cellStyle name="Input [yellow] 2 17 6 10 3" xfId="28461"/>
    <cellStyle name="Input [yellow] 2 17 6 10 4" xfId="39626"/>
    <cellStyle name="Input [yellow] 2 17 6 10 5" xfId="50819"/>
    <cellStyle name="Input [yellow] 2 17 6 11" xfId="6319"/>
    <cellStyle name="Input [yellow] 2 17 6 11 2" xfId="17516"/>
    <cellStyle name="Input [yellow] 2 17 6 11 3" xfId="28684"/>
    <cellStyle name="Input [yellow] 2 17 6 11 4" xfId="39849"/>
    <cellStyle name="Input [yellow] 2 17 6 11 5" xfId="51042"/>
    <cellStyle name="Input [yellow] 2 17 6 12" xfId="6952"/>
    <cellStyle name="Input [yellow] 2 17 6 12 2" xfId="18149"/>
    <cellStyle name="Input [yellow] 2 17 6 12 3" xfId="29317"/>
    <cellStyle name="Input [yellow] 2 17 6 12 4" xfId="40482"/>
    <cellStyle name="Input [yellow] 2 17 6 12 5" xfId="51675"/>
    <cellStyle name="Input [yellow] 2 17 6 13" xfId="7586"/>
    <cellStyle name="Input [yellow] 2 17 6 13 2" xfId="18783"/>
    <cellStyle name="Input [yellow] 2 17 6 13 3" xfId="29951"/>
    <cellStyle name="Input [yellow] 2 17 6 13 4" xfId="41116"/>
    <cellStyle name="Input [yellow] 2 17 6 13 5" xfId="52309"/>
    <cellStyle name="Input [yellow] 2 17 6 14" xfId="8220"/>
    <cellStyle name="Input [yellow] 2 17 6 14 2" xfId="19417"/>
    <cellStyle name="Input [yellow] 2 17 6 14 3" xfId="30585"/>
    <cellStyle name="Input [yellow] 2 17 6 14 4" xfId="41750"/>
    <cellStyle name="Input [yellow] 2 17 6 14 5" xfId="52943"/>
    <cellStyle name="Input [yellow] 2 17 6 15" xfId="8848"/>
    <cellStyle name="Input [yellow] 2 17 6 15 2" xfId="20045"/>
    <cellStyle name="Input [yellow] 2 17 6 15 3" xfId="31213"/>
    <cellStyle name="Input [yellow] 2 17 6 15 4" xfId="42378"/>
    <cellStyle name="Input [yellow] 2 17 6 15 5" xfId="53571"/>
    <cellStyle name="Input [yellow] 2 17 6 16" xfId="9271"/>
    <cellStyle name="Input [yellow] 2 17 6 16 2" xfId="20468"/>
    <cellStyle name="Input [yellow] 2 17 6 16 3" xfId="31636"/>
    <cellStyle name="Input [yellow] 2 17 6 16 4" xfId="42801"/>
    <cellStyle name="Input [yellow] 2 17 6 16 5" xfId="53994"/>
    <cellStyle name="Input [yellow] 2 17 6 17" xfId="9897"/>
    <cellStyle name="Input [yellow] 2 17 6 17 2" xfId="21094"/>
    <cellStyle name="Input [yellow] 2 17 6 17 3" xfId="32262"/>
    <cellStyle name="Input [yellow] 2 17 6 17 4" xfId="43427"/>
    <cellStyle name="Input [yellow] 2 17 6 17 5" xfId="54620"/>
    <cellStyle name="Input [yellow] 2 17 6 18" xfId="10592"/>
    <cellStyle name="Input [yellow] 2 17 6 18 2" xfId="21789"/>
    <cellStyle name="Input [yellow] 2 17 6 18 3" xfId="32957"/>
    <cellStyle name="Input [yellow] 2 17 6 18 4" xfId="44122"/>
    <cellStyle name="Input [yellow] 2 17 6 18 5" xfId="55315"/>
    <cellStyle name="Input [yellow] 2 17 6 19" xfId="10936"/>
    <cellStyle name="Input [yellow] 2 17 6 19 2" xfId="22133"/>
    <cellStyle name="Input [yellow] 2 17 6 19 3" xfId="33301"/>
    <cellStyle name="Input [yellow] 2 17 6 19 4" xfId="44466"/>
    <cellStyle name="Input [yellow] 2 17 6 19 5" xfId="55659"/>
    <cellStyle name="Input [yellow] 2 17 6 2" xfId="1032"/>
    <cellStyle name="Input [yellow] 2 17 6 2 2" xfId="12229"/>
    <cellStyle name="Input [yellow] 2 17 6 2 3" xfId="23397"/>
    <cellStyle name="Input [yellow] 2 17 6 2 4" xfId="34562"/>
    <cellStyle name="Input [yellow] 2 17 6 2 5" xfId="45755"/>
    <cellStyle name="Input [yellow] 2 17 6 20" xfId="11583"/>
    <cellStyle name="Input [yellow] 2 17 6 21" xfId="22753"/>
    <cellStyle name="Input [yellow] 2 17 6 22" xfId="33920"/>
    <cellStyle name="Input [yellow] 2 17 6 23" xfId="45106"/>
    <cellStyle name="Input [yellow] 2 17 6 3" xfId="1863"/>
    <cellStyle name="Input [yellow] 2 17 6 3 2" xfId="13060"/>
    <cellStyle name="Input [yellow] 2 17 6 3 3" xfId="24228"/>
    <cellStyle name="Input [yellow] 2 17 6 3 4" xfId="35393"/>
    <cellStyle name="Input [yellow] 2 17 6 3 5" xfId="46586"/>
    <cellStyle name="Input [yellow] 2 17 6 4" xfId="2308"/>
    <cellStyle name="Input [yellow] 2 17 6 4 2" xfId="13505"/>
    <cellStyle name="Input [yellow] 2 17 6 4 3" xfId="24673"/>
    <cellStyle name="Input [yellow] 2 17 6 4 4" xfId="35838"/>
    <cellStyle name="Input [yellow] 2 17 6 4 5" xfId="47031"/>
    <cellStyle name="Input [yellow] 2 17 6 5" xfId="2733"/>
    <cellStyle name="Input [yellow] 2 17 6 5 2" xfId="13930"/>
    <cellStyle name="Input [yellow] 2 17 6 5 3" xfId="25098"/>
    <cellStyle name="Input [yellow] 2 17 6 5 4" xfId="36263"/>
    <cellStyle name="Input [yellow] 2 17 6 5 5" xfId="47456"/>
    <cellStyle name="Input [yellow] 2 17 6 6" xfId="3367"/>
    <cellStyle name="Input [yellow] 2 17 6 6 2" xfId="14564"/>
    <cellStyle name="Input [yellow] 2 17 6 6 3" xfId="25732"/>
    <cellStyle name="Input [yellow] 2 17 6 6 4" xfId="36897"/>
    <cellStyle name="Input [yellow] 2 17 6 6 5" xfId="48090"/>
    <cellStyle name="Input [yellow] 2 17 6 7" xfId="4001"/>
    <cellStyle name="Input [yellow] 2 17 6 7 2" xfId="15198"/>
    <cellStyle name="Input [yellow] 2 17 6 7 3" xfId="26366"/>
    <cellStyle name="Input [yellow] 2 17 6 7 4" xfId="37531"/>
    <cellStyle name="Input [yellow] 2 17 6 7 5" xfId="48724"/>
    <cellStyle name="Input [yellow] 2 17 6 8" xfId="4634"/>
    <cellStyle name="Input [yellow] 2 17 6 8 2" xfId="15831"/>
    <cellStyle name="Input [yellow] 2 17 6 8 3" xfId="26999"/>
    <cellStyle name="Input [yellow] 2 17 6 8 4" xfId="38164"/>
    <cellStyle name="Input [yellow] 2 17 6 8 5" xfId="49357"/>
    <cellStyle name="Input [yellow] 2 17 6 9" xfId="5265"/>
    <cellStyle name="Input [yellow] 2 17 6 9 2" xfId="16462"/>
    <cellStyle name="Input [yellow] 2 17 6 9 3" xfId="27630"/>
    <cellStyle name="Input [yellow] 2 17 6 9 4" xfId="38795"/>
    <cellStyle name="Input [yellow] 2 17 6 9 5" xfId="49988"/>
    <cellStyle name="Input [yellow] 2 17 7" xfId="369"/>
    <cellStyle name="Input [yellow] 2 17 7 10" xfId="6049"/>
    <cellStyle name="Input [yellow] 2 17 7 10 2" xfId="17246"/>
    <cellStyle name="Input [yellow] 2 17 7 10 3" xfId="28414"/>
    <cellStyle name="Input [yellow] 2 17 7 10 4" xfId="39579"/>
    <cellStyle name="Input [yellow] 2 17 7 10 5" xfId="50772"/>
    <cellStyle name="Input [yellow] 2 17 7 11" xfId="6305"/>
    <cellStyle name="Input [yellow] 2 17 7 11 2" xfId="17502"/>
    <cellStyle name="Input [yellow] 2 17 7 11 3" xfId="28670"/>
    <cellStyle name="Input [yellow] 2 17 7 11 4" xfId="39835"/>
    <cellStyle name="Input [yellow] 2 17 7 11 5" xfId="51028"/>
    <cellStyle name="Input [yellow] 2 17 7 12" xfId="6938"/>
    <cellStyle name="Input [yellow] 2 17 7 12 2" xfId="18135"/>
    <cellStyle name="Input [yellow] 2 17 7 12 3" xfId="29303"/>
    <cellStyle name="Input [yellow] 2 17 7 12 4" xfId="40468"/>
    <cellStyle name="Input [yellow] 2 17 7 12 5" xfId="51661"/>
    <cellStyle name="Input [yellow] 2 17 7 13" xfId="7572"/>
    <cellStyle name="Input [yellow] 2 17 7 13 2" xfId="18769"/>
    <cellStyle name="Input [yellow] 2 17 7 13 3" xfId="29937"/>
    <cellStyle name="Input [yellow] 2 17 7 13 4" xfId="41102"/>
    <cellStyle name="Input [yellow] 2 17 7 13 5" xfId="52295"/>
    <cellStyle name="Input [yellow] 2 17 7 14" xfId="8206"/>
    <cellStyle name="Input [yellow] 2 17 7 14 2" xfId="19403"/>
    <cellStyle name="Input [yellow] 2 17 7 14 3" xfId="30571"/>
    <cellStyle name="Input [yellow] 2 17 7 14 4" xfId="41736"/>
    <cellStyle name="Input [yellow] 2 17 7 14 5" xfId="52929"/>
    <cellStyle name="Input [yellow] 2 17 7 15" xfId="8834"/>
    <cellStyle name="Input [yellow] 2 17 7 15 2" xfId="20031"/>
    <cellStyle name="Input [yellow] 2 17 7 15 3" xfId="31199"/>
    <cellStyle name="Input [yellow] 2 17 7 15 4" xfId="42364"/>
    <cellStyle name="Input [yellow] 2 17 7 15 5" xfId="53557"/>
    <cellStyle name="Input [yellow] 2 17 7 16" xfId="9257"/>
    <cellStyle name="Input [yellow] 2 17 7 16 2" xfId="20454"/>
    <cellStyle name="Input [yellow] 2 17 7 16 3" xfId="31622"/>
    <cellStyle name="Input [yellow] 2 17 7 16 4" xfId="42787"/>
    <cellStyle name="Input [yellow] 2 17 7 16 5" xfId="53980"/>
    <cellStyle name="Input [yellow] 2 17 7 17" xfId="9883"/>
    <cellStyle name="Input [yellow] 2 17 7 17 2" xfId="21080"/>
    <cellStyle name="Input [yellow] 2 17 7 17 3" xfId="32248"/>
    <cellStyle name="Input [yellow] 2 17 7 17 4" xfId="43413"/>
    <cellStyle name="Input [yellow] 2 17 7 17 5" xfId="54606"/>
    <cellStyle name="Input [yellow] 2 17 7 18" xfId="10186"/>
    <cellStyle name="Input [yellow] 2 17 7 18 2" xfId="21383"/>
    <cellStyle name="Input [yellow] 2 17 7 18 3" xfId="32551"/>
    <cellStyle name="Input [yellow] 2 17 7 18 4" xfId="43716"/>
    <cellStyle name="Input [yellow] 2 17 7 18 5" xfId="54909"/>
    <cellStyle name="Input [yellow] 2 17 7 19" xfId="10922"/>
    <cellStyle name="Input [yellow] 2 17 7 19 2" xfId="22119"/>
    <cellStyle name="Input [yellow] 2 17 7 19 3" xfId="33287"/>
    <cellStyle name="Input [yellow] 2 17 7 19 4" xfId="44452"/>
    <cellStyle name="Input [yellow] 2 17 7 19 5" xfId="55645"/>
    <cellStyle name="Input [yellow] 2 17 7 2" xfId="1018"/>
    <cellStyle name="Input [yellow] 2 17 7 2 2" xfId="12215"/>
    <cellStyle name="Input [yellow] 2 17 7 2 3" xfId="23383"/>
    <cellStyle name="Input [yellow] 2 17 7 2 4" xfId="34548"/>
    <cellStyle name="Input [yellow] 2 17 7 2 5" xfId="45741"/>
    <cellStyle name="Input [yellow] 2 17 7 20" xfId="11569"/>
    <cellStyle name="Input [yellow] 2 17 7 21" xfId="22739"/>
    <cellStyle name="Input [yellow] 2 17 7 22" xfId="33906"/>
    <cellStyle name="Input [yellow] 2 17 7 23" xfId="45092"/>
    <cellStyle name="Input [yellow] 2 17 7 3" xfId="1507"/>
    <cellStyle name="Input [yellow] 2 17 7 3 2" xfId="12704"/>
    <cellStyle name="Input [yellow] 2 17 7 3 3" xfId="23872"/>
    <cellStyle name="Input [yellow] 2 17 7 3 4" xfId="35037"/>
    <cellStyle name="Input [yellow] 2 17 7 3 5" xfId="46230"/>
    <cellStyle name="Input [yellow] 2 17 7 4" xfId="2294"/>
    <cellStyle name="Input [yellow] 2 17 7 4 2" xfId="13491"/>
    <cellStyle name="Input [yellow] 2 17 7 4 3" xfId="24659"/>
    <cellStyle name="Input [yellow] 2 17 7 4 4" xfId="35824"/>
    <cellStyle name="Input [yellow] 2 17 7 4 5" xfId="47017"/>
    <cellStyle name="Input [yellow] 2 17 7 5" xfId="2719"/>
    <cellStyle name="Input [yellow] 2 17 7 5 2" xfId="13916"/>
    <cellStyle name="Input [yellow] 2 17 7 5 3" xfId="25084"/>
    <cellStyle name="Input [yellow] 2 17 7 5 4" xfId="36249"/>
    <cellStyle name="Input [yellow] 2 17 7 5 5" xfId="47442"/>
    <cellStyle name="Input [yellow] 2 17 7 6" xfId="3353"/>
    <cellStyle name="Input [yellow] 2 17 7 6 2" xfId="14550"/>
    <cellStyle name="Input [yellow] 2 17 7 6 3" xfId="25718"/>
    <cellStyle name="Input [yellow] 2 17 7 6 4" xfId="36883"/>
    <cellStyle name="Input [yellow] 2 17 7 6 5" xfId="48076"/>
    <cellStyle name="Input [yellow] 2 17 7 7" xfId="3987"/>
    <cellStyle name="Input [yellow] 2 17 7 7 2" xfId="15184"/>
    <cellStyle name="Input [yellow] 2 17 7 7 3" xfId="26352"/>
    <cellStyle name="Input [yellow] 2 17 7 7 4" xfId="37517"/>
    <cellStyle name="Input [yellow] 2 17 7 7 5" xfId="48710"/>
    <cellStyle name="Input [yellow] 2 17 7 8" xfId="4620"/>
    <cellStyle name="Input [yellow] 2 17 7 8 2" xfId="15817"/>
    <cellStyle name="Input [yellow] 2 17 7 8 3" xfId="26985"/>
    <cellStyle name="Input [yellow] 2 17 7 8 4" xfId="38150"/>
    <cellStyle name="Input [yellow] 2 17 7 8 5" xfId="49343"/>
    <cellStyle name="Input [yellow] 2 17 7 9" xfId="5251"/>
    <cellStyle name="Input [yellow] 2 17 7 9 2" xfId="16448"/>
    <cellStyle name="Input [yellow] 2 17 7 9 3" xfId="27616"/>
    <cellStyle name="Input [yellow] 2 17 7 9 4" xfId="38781"/>
    <cellStyle name="Input [yellow] 2 17 7 9 5" xfId="49974"/>
    <cellStyle name="Input [yellow] 2 17 8" xfId="509"/>
    <cellStyle name="Input [yellow] 2 17 8 10" xfId="6187"/>
    <cellStyle name="Input [yellow] 2 17 8 10 2" xfId="17384"/>
    <cellStyle name="Input [yellow] 2 17 8 10 3" xfId="28552"/>
    <cellStyle name="Input [yellow] 2 17 8 10 4" xfId="39717"/>
    <cellStyle name="Input [yellow] 2 17 8 10 5" xfId="50910"/>
    <cellStyle name="Input [yellow] 2 17 8 11" xfId="6445"/>
    <cellStyle name="Input [yellow] 2 17 8 11 2" xfId="17642"/>
    <cellStyle name="Input [yellow] 2 17 8 11 3" xfId="28810"/>
    <cellStyle name="Input [yellow] 2 17 8 11 4" xfId="39975"/>
    <cellStyle name="Input [yellow] 2 17 8 11 5" xfId="51168"/>
    <cellStyle name="Input [yellow] 2 17 8 12" xfId="7078"/>
    <cellStyle name="Input [yellow] 2 17 8 12 2" xfId="18275"/>
    <cellStyle name="Input [yellow] 2 17 8 12 3" xfId="29443"/>
    <cellStyle name="Input [yellow] 2 17 8 12 4" xfId="40608"/>
    <cellStyle name="Input [yellow] 2 17 8 12 5" xfId="51801"/>
    <cellStyle name="Input [yellow] 2 17 8 13" xfId="7712"/>
    <cellStyle name="Input [yellow] 2 17 8 13 2" xfId="18909"/>
    <cellStyle name="Input [yellow] 2 17 8 13 3" xfId="30077"/>
    <cellStyle name="Input [yellow] 2 17 8 13 4" xfId="41242"/>
    <cellStyle name="Input [yellow] 2 17 8 13 5" xfId="52435"/>
    <cellStyle name="Input [yellow] 2 17 8 14" xfId="8346"/>
    <cellStyle name="Input [yellow] 2 17 8 14 2" xfId="19543"/>
    <cellStyle name="Input [yellow] 2 17 8 14 3" xfId="30711"/>
    <cellStyle name="Input [yellow] 2 17 8 14 4" xfId="41876"/>
    <cellStyle name="Input [yellow] 2 17 8 14 5" xfId="53069"/>
    <cellStyle name="Input [yellow] 2 17 8 15" xfId="8974"/>
    <cellStyle name="Input [yellow] 2 17 8 15 2" xfId="20171"/>
    <cellStyle name="Input [yellow] 2 17 8 15 3" xfId="31339"/>
    <cellStyle name="Input [yellow] 2 17 8 15 4" xfId="42504"/>
    <cellStyle name="Input [yellow] 2 17 8 15 5" xfId="53697"/>
    <cellStyle name="Input [yellow] 2 17 8 16" xfId="9397"/>
    <cellStyle name="Input [yellow] 2 17 8 16 2" xfId="20594"/>
    <cellStyle name="Input [yellow] 2 17 8 16 3" xfId="31762"/>
    <cellStyle name="Input [yellow] 2 17 8 16 4" xfId="42927"/>
    <cellStyle name="Input [yellow] 2 17 8 16 5" xfId="54120"/>
    <cellStyle name="Input [yellow] 2 17 8 17" xfId="10022"/>
    <cellStyle name="Input [yellow] 2 17 8 17 2" xfId="21219"/>
    <cellStyle name="Input [yellow] 2 17 8 17 3" xfId="32387"/>
    <cellStyle name="Input [yellow] 2 17 8 17 4" xfId="43552"/>
    <cellStyle name="Input [yellow] 2 17 8 17 5" xfId="54745"/>
    <cellStyle name="Input [yellow] 2 17 8 18" xfId="10601"/>
    <cellStyle name="Input [yellow] 2 17 8 18 2" xfId="21798"/>
    <cellStyle name="Input [yellow] 2 17 8 18 3" xfId="32966"/>
    <cellStyle name="Input [yellow] 2 17 8 18 4" xfId="44131"/>
    <cellStyle name="Input [yellow] 2 17 8 18 5" xfId="55324"/>
    <cellStyle name="Input [yellow] 2 17 8 19" xfId="11062"/>
    <cellStyle name="Input [yellow] 2 17 8 19 2" xfId="22259"/>
    <cellStyle name="Input [yellow] 2 17 8 19 3" xfId="33427"/>
    <cellStyle name="Input [yellow] 2 17 8 19 4" xfId="44592"/>
    <cellStyle name="Input [yellow] 2 17 8 19 5" xfId="55785"/>
    <cellStyle name="Input [yellow] 2 17 8 2" xfId="1158"/>
    <cellStyle name="Input [yellow] 2 17 8 2 2" xfId="12355"/>
    <cellStyle name="Input [yellow] 2 17 8 2 3" xfId="23523"/>
    <cellStyle name="Input [yellow] 2 17 8 2 4" xfId="34688"/>
    <cellStyle name="Input [yellow] 2 17 8 2 5" xfId="45881"/>
    <cellStyle name="Input [yellow] 2 17 8 20" xfId="11709"/>
    <cellStyle name="Input [yellow] 2 17 8 21" xfId="22879"/>
    <cellStyle name="Input [yellow] 2 17 8 22" xfId="34046"/>
    <cellStyle name="Input [yellow] 2 17 8 23" xfId="45232"/>
    <cellStyle name="Input [yellow] 2 17 8 3" xfId="1868"/>
    <cellStyle name="Input [yellow] 2 17 8 3 2" xfId="13065"/>
    <cellStyle name="Input [yellow] 2 17 8 3 3" xfId="24233"/>
    <cellStyle name="Input [yellow] 2 17 8 3 4" xfId="35398"/>
    <cellStyle name="Input [yellow] 2 17 8 3 5" xfId="46591"/>
    <cellStyle name="Input [yellow] 2 17 8 4" xfId="2434"/>
    <cellStyle name="Input [yellow] 2 17 8 4 2" xfId="13631"/>
    <cellStyle name="Input [yellow] 2 17 8 4 3" xfId="24799"/>
    <cellStyle name="Input [yellow] 2 17 8 4 4" xfId="35964"/>
    <cellStyle name="Input [yellow] 2 17 8 4 5" xfId="47157"/>
    <cellStyle name="Input [yellow] 2 17 8 5" xfId="2859"/>
    <cellStyle name="Input [yellow] 2 17 8 5 2" xfId="14056"/>
    <cellStyle name="Input [yellow] 2 17 8 5 3" xfId="25224"/>
    <cellStyle name="Input [yellow] 2 17 8 5 4" xfId="36389"/>
    <cellStyle name="Input [yellow] 2 17 8 5 5" xfId="47582"/>
    <cellStyle name="Input [yellow] 2 17 8 6" xfId="3493"/>
    <cellStyle name="Input [yellow] 2 17 8 6 2" xfId="14690"/>
    <cellStyle name="Input [yellow] 2 17 8 6 3" xfId="25858"/>
    <cellStyle name="Input [yellow] 2 17 8 6 4" xfId="37023"/>
    <cellStyle name="Input [yellow] 2 17 8 6 5" xfId="48216"/>
    <cellStyle name="Input [yellow] 2 17 8 7" xfId="4127"/>
    <cellStyle name="Input [yellow] 2 17 8 7 2" xfId="15324"/>
    <cellStyle name="Input [yellow] 2 17 8 7 3" xfId="26492"/>
    <cellStyle name="Input [yellow] 2 17 8 7 4" xfId="37657"/>
    <cellStyle name="Input [yellow] 2 17 8 7 5" xfId="48850"/>
    <cellStyle name="Input [yellow] 2 17 8 8" xfId="4760"/>
    <cellStyle name="Input [yellow] 2 17 8 8 2" xfId="15957"/>
    <cellStyle name="Input [yellow] 2 17 8 8 3" xfId="27125"/>
    <cellStyle name="Input [yellow] 2 17 8 8 4" xfId="38290"/>
    <cellStyle name="Input [yellow] 2 17 8 8 5" xfId="49483"/>
    <cellStyle name="Input [yellow] 2 17 8 9" xfId="5391"/>
    <cellStyle name="Input [yellow] 2 17 8 9 2" xfId="16588"/>
    <cellStyle name="Input [yellow] 2 17 8 9 3" xfId="27756"/>
    <cellStyle name="Input [yellow] 2 17 8 9 4" xfId="38921"/>
    <cellStyle name="Input [yellow] 2 17 8 9 5" xfId="50114"/>
    <cellStyle name="Input [yellow] 2 17 9" xfId="567"/>
    <cellStyle name="Input [yellow] 2 17 9 10" xfId="5726"/>
    <cellStyle name="Input [yellow] 2 17 9 10 2" xfId="16923"/>
    <cellStyle name="Input [yellow] 2 17 9 10 3" xfId="28091"/>
    <cellStyle name="Input [yellow] 2 17 9 10 4" xfId="39256"/>
    <cellStyle name="Input [yellow] 2 17 9 10 5" xfId="50449"/>
    <cellStyle name="Input [yellow] 2 17 9 11" xfId="6503"/>
    <cellStyle name="Input [yellow] 2 17 9 11 2" xfId="17700"/>
    <cellStyle name="Input [yellow] 2 17 9 11 3" xfId="28868"/>
    <cellStyle name="Input [yellow] 2 17 9 11 4" xfId="40033"/>
    <cellStyle name="Input [yellow] 2 17 9 11 5" xfId="51226"/>
    <cellStyle name="Input [yellow] 2 17 9 12" xfId="7136"/>
    <cellStyle name="Input [yellow] 2 17 9 12 2" xfId="18333"/>
    <cellStyle name="Input [yellow] 2 17 9 12 3" xfId="29501"/>
    <cellStyle name="Input [yellow] 2 17 9 12 4" xfId="40666"/>
    <cellStyle name="Input [yellow] 2 17 9 12 5" xfId="51859"/>
    <cellStyle name="Input [yellow] 2 17 9 13" xfId="7770"/>
    <cellStyle name="Input [yellow] 2 17 9 13 2" xfId="18967"/>
    <cellStyle name="Input [yellow] 2 17 9 13 3" xfId="30135"/>
    <cellStyle name="Input [yellow] 2 17 9 13 4" xfId="41300"/>
    <cellStyle name="Input [yellow] 2 17 9 13 5" xfId="52493"/>
    <cellStyle name="Input [yellow] 2 17 9 14" xfId="8404"/>
    <cellStyle name="Input [yellow] 2 17 9 14 2" xfId="19601"/>
    <cellStyle name="Input [yellow] 2 17 9 14 3" xfId="30769"/>
    <cellStyle name="Input [yellow] 2 17 9 14 4" xfId="41934"/>
    <cellStyle name="Input [yellow] 2 17 9 14 5" xfId="53127"/>
    <cellStyle name="Input [yellow] 2 17 9 15" xfId="9032"/>
    <cellStyle name="Input [yellow] 2 17 9 15 2" xfId="20229"/>
    <cellStyle name="Input [yellow] 2 17 9 15 3" xfId="31397"/>
    <cellStyle name="Input [yellow] 2 17 9 15 4" xfId="42562"/>
    <cellStyle name="Input [yellow] 2 17 9 15 5" xfId="53755"/>
    <cellStyle name="Input [yellow] 2 17 9 16" xfId="9455"/>
    <cellStyle name="Input [yellow] 2 17 9 16 2" xfId="20652"/>
    <cellStyle name="Input [yellow] 2 17 9 16 3" xfId="31820"/>
    <cellStyle name="Input [yellow] 2 17 9 16 4" xfId="42985"/>
    <cellStyle name="Input [yellow] 2 17 9 16 5" xfId="54178"/>
    <cellStyle name="Input [yellow] 2 17 9 17" xfId="10080"/>
    <cellStyle name="Input [yellow] 2 17 9 17 2" xfId="21277"/>
    <cellStyle name="Input [yellow] 2 17 9 17 3" xfId="32445"/>
    <cellStyle name="Input [yellow] 2 17 9 17 4" xfId="43610"/>
    <cellStyle name="Input [yellow] 2 17 9 17 5" xfId="54803"/>
    <cellStyle name="Input [yellow] 2 17 9 18" xfId="10391"/>
    <cellStyle name="Input [yellow] 2 17 9 18 2" xfId="21588"/>
    <cellStyle name="Input [yellow] 2 17 9 18 3" xfId="32756"/>
    <cellStyle name="Input [yellow] 2 17 9 18 4" xfId="43921"/>
    <cellStyle name="Input [yellow] 2 17 9 18 5" xfId="55114"/>
    <cellStyle name="Input [yellow] 2 17 9 19" xfId="11120"/>
    <cellStyle name="Input [yellow] 2 17 9 19 2" xfId="22317"/>
    <cellStyle name="Input [yellow] 2 17 9 19 3" xfId="33485"/>
    <cellStyle name="Input [yellow] 2 17 9 19 4" xfId="44650"/>
    <cellStyle name="Input [yellow] 2 17 9 19 5" xfId="55843"/>
    <cellStyle name="Input [yellow] 2 17 9 2" xfId="1216"/>
    <cellStyle name="Input [yellow] 2 17 9 2 2" xfId="12413"/>
    <cellStyle name="Input [yellow] 2 17 9 2 3" xfId="23581"/>
    <cellStyle name="Input [yellow] 2 17 9 2 4" xfId="34746"/>
    <cellStyle name="Input [yellow] 2 17 9 2 5" xfId="45939"/>
    <cellStyle name="Input [yellow] 2 17 9 20" xfId="11767"/>
    <cellStyle name="Input [yellow] 2 17 9 21" xfId="22937"/>
    <cellStyle name="Input [yellow] 2 17 9 22" xfId="34104"/>
    <cellStyle name="Input [yellow] 2 17 9 23" xfId="45290"/>
    <cellStyle name="Input [yellow] 2 17 9 3" xfId="1665"/>
    <cellStyle name="Input [yellow] 2 17 9 3 2" xfId="12862"/>
    <cellStyle name="Input [yellow] 2 17 9 3 3" xfId="24030"/>
    <cellStyle name="Input [yellow] 2 17 9 3 4" xfId="35195"/>
    <cellStyle name="Input [yellow] 2 17 9 3 5" xfId="46388"/>
    <cellStyle name="Input [yellow] 2 17 9 4" xfId="2492"/>
    <cellStyle name="Input [yellow] 2 17 9 4 2" xfId="13689"/>
    <cellStyle name="Input [yellow] 2 17 9 4 3" xfId="24857"/>
    <cellStyle name="Input [yellow] 2 17 9 4 4" xfId="36022"/>
    <cellStyle name="Input [yellow] 2 17 9 4 5" xfId="47215"/>
    <cellStyle name="Input [yellow] 2 17 9 5" xfId="2917"/>
    <cellStyle name="Input [yellow] 2 17 9 5 2" xfId="14114"/>
    <cellStyle name="Input [yellow] 2 17 9 5 3" xfId="25282"/>
    <cellStyle name="Input [yellow] 2 17 9 5 4" xfId="36447"/>
    <cellStyle name="Input [yellow] 2 17 9 5 5" xfId="47640"/>
    <cellStyle name="Input [yellow] 2 17 9 6" xfId="3551"/>
    <cellStyle name="Input [yellow] 2 17 9 6 2" xfId="14748"/>
    <cellStyle name="Input [yellow] 2 17 9 6 3" xfId="25916"/>
    <cellStyle name="Input [yellow] 2 17 9 6 4" xfId="37081"/>
    <cellStyle name="Input [yellow] 2 17 9 6 5" xfId="48274"/>
    <cellStyle name="Input [yellow] 2 17 9 7" xfId="4185"/>
    <cellStyle name="Input [yellow] 2 17 9 7 2" xfId="15382"/>
    <cellStyle name="Input [yellow] 2 17 9 7 3" xfId="26550"/>
    <cellStyle name="Input [yellow] 2 17 9 7 4" xfId="37715"/>
    <cellStyle name="Input [yellow] 2 17 9 7 5" xfId="48908"/>
    <cellStyle name="Input [yellow] 2 17 9 8" xfId="4818"/>
    <cellStyle name="Input [yellow] 2 17 9 8 2" xfId="16015"/>
    <cellStyle name="Input [yellow] 2 17 9 8 3" xfId="27183"/>
    <cellStyle name="Input [yellow] 2 17 9 8 4" xfId="38348"/>
    <cellStyle name="Input [yellow] 2 17 9 8 5" xfId="49541"/>
    <cellStyle name="Input [yellow] 2 17 9 9" xfId="5449"/>
    <cellStyle name="Input [yellow] 2 17 9 9 2" xfId="16646"/>
    <cellStyle name="Input [yellow] 2 17 9 9 3" xfId="27814"/>
    <cellStyle name="Input [yellow] 2 17 9 9 4" xfId="38979"/>
    <cellStyle name="Input [yellow] 2 17 9 9 5" xfId="50172"/>
    <cellStyle name="Input [yellow] 2 18" xfId="103"/>
    <cellStyle name="Input [yellow] 2 18 10" xfId="625"/>
    <cellStyle name="Input [yellow] 2 18 10 10" xfId="6014"/>
    <cellStyle name="Input [yellow] 2 18 10 10 2" xfId="17211"/>
    <cellStyle name="Input [yellow] 2 18 10 10 3" xfId="28379"/>
    <cellStyle name="Input [yellow] 2 18 10 10 4" xfId="39544"/>
    <cellStyle name="Input [yellow] 2 18 10 10 5" xfId="50737"/>
    <cellStyle name="Input [yellow] 2 18 10 11" xfId="6561"/>
    <cellStyle name="Input [yellow] 2 18 10 11 2" xfId="17758"/>
    <cellStyle name="Input [yellow] 2 18 10 11 3" xfId="28926"/>
    <cellStyle name="Input [yellow] 2 18 10 11 4" xfId="40091"/>
    <cellStyle name="Input [yellow] 2 18 10 11 5" xfId="51284"/>
    <cellStyle name="Input [yellow] 2 18 10 12" xfId="7194"/>
    <cellStyle name="Input [yellow] 2 18 10 12 2" xfId="18391"/>
    <cellStyle name="Input [yellow] 2 18 10 12 3" xfId="29559"/>
    <cellStyle name="Input [yellow] 2 18 10 12 4" xfId="40724"/>
    <cellStyle name="Input [yellow] 2 18 10 12 5" xfId="51917"/>
    <cellStyle name="Input [yellow] 2 18 10 13" xfId="7828"/>
    <cellStyle name="Input [yellow] 2 18 10 13 2" xfId="19025"/>
    <cellStyle name="Input [yellow] 2 18 10 13 3" xfId="30193"/>
    <cellStyle name="Input [yellow] 2 18 10 13 4" xfId="41358"/>
    <cellStyle name="Input [yellow] 2 18 10 13 5" xfId="52551"/>
    <cellStyle name="Input [yellow] 2 18 10 14" xfId="8462"/>
    <cellStyle name="Input [yellow] 2 18 10 14 2" xfId="19659"/>
    <cellStyle name="Input [yellow] 2 18 10 14 3" xfId="30827"/>
    <cellStyle name="Input [yellow] 2 18 10 14 4" xfId="41992"/>
    <cellStyle name="Input [yellow] 2 18 10 14 5" xfId="53185"/>
    <cellStyle name="Input [yellow] 2 18 10 15" xfId="9090"/>
    <cellStyle name="Input [yellow] 2 18 10 15 2" xfId="20287"/>
    <cellStyle name="Input [yellow] 2 18 10 15 3" xfId="31455"/>
    <cellStyle name="Input [yellow] 2 18 10 15 4" xfId="42620"/>
    <cellStyle name="Input [yellow] 2 18 10 15 5" xfId="53813"/>
    <cellStyle name="Input [yellow] 2 18 10 16" xfId="9513"/>
    <cellStyle name="Input [yellow] 2 18 10 16 2" xfId="20710"/>
    <cellStyle name="Input [yellow] 2 18 10 16 3" xfId="31878"/>
    <cellStyle name="Input [yellow] 2 18 10 16 4" xfId="43043"/>
    <cellStyle name="Input [yellow] 2 18 10 16 5" xfId="54236"/>
    <cellStyle name="Input [yellow] 2 18 10 17" xfId="10138"/>
    <cellStyle name="Input [yellow] 2 18 10 17 2" xfId="21335"/>
    <cellStyle name="Input [yellow] 2 18 10 17 3" xfId="32503"/>
    <cellStyle name="Input [yellow] 2 18 10 17 4" xfId="43668"/>
    <cellStyle name="Input [yellow] 2 18 10 17 5" xfId="54861"/>
    <cellStyle name="Input [yellow] 2 18 10 18" xfId="10386"/>
    <cellStyle name="Input [yellow] 2 18 10 18 2" xfId="21583"/>
    <cellStyle name="Input [yellow] 2 18 10 18 3" xfId="32751"/>
    <cellStyle name="Input [yellow] 2 18 10 18 4" xfId="43916"/>
    <cellStyle name="Input [yellow] 2 18 10 18 5" xfId="55109"/>
    <cellStyle name="Input [yellow] 2 18 10 19" xfId="11178"/>
    <cellStyle name="Input [yellow] 2 18 10 19 2" xfId="22375"/>
    <cellStyle name="Input [yellow] 2 18 10 19 3" xfId="33543"/>
    <cellStyle name="Input [yellow] 2 18 10 19 4" xfId="44708"/>
    <cellStyle name="Input [yellow] 2 18 10 19 5" xfId="55901"/>
    <cellStyle name="Input [yellow] 2 18 10 2" xfId="1274"/>
    <cellStyle name="Input [yellow] 2 18 10 2 2" xfId="12471"/>
    <cellStyle name="Input [yellow] 2 18 10 2 3" xfId="23639"/>
    <cellStyle name="Input [yellow] 2 18 10 2 4" xfId="34804"/>
    <cellStyle name="Input [yellow] 2 18 10 2 5" xfId="45997"/>
    <cellStyle name="Input [yellow] 2 18 10 20" xfId="11825"/>
    <cellStyle name="Input [yellow] 2 18 10 21" xfId="22995"/>
    <cellStyle name="Input [yellow] 2 18 10 22" xfId="34162"/>
    <cellStyle name="Input [yellow] 2 18 10 23" xfId="45348"/>
    <cellStyle name="Input [yellow] 2 18 10 3" xfId="1583"/>
    <cellStyle name="Input [yellow] 2 18 10 3 2" xfId="12780"/>
    <cellStyle name="Input [yellow] 2 18 10 3 3" xfId="23948"/>
    <cellStyle name="Input [yellow] 2 18 10 3 4" xfId="35113"/>
    <cellStyle name="Input [yellow] 2 18 10 3 5" xfId="46306"/>
    <cellStyle name="Input [yellow] 2 18 10 4" xfId="2550"/>
    <cellStyle name="Input [yellow] 2 18 10 4 2" xfId="13747"/>
    <cellStyle name="Input [yellow] 2 18 10 4 3" xfId="24915"/>
    <cellStyle name="Input [yellow] 2 18 10 4 4" xfId="36080"/>
    <cellStyle name="Input [yellow] 2 18 10 4 5" xfId="47273"/>
    <cellStyle name="Input [yellow] 2 18 10 5" xfId="2975"/>
    <cellStyle name="Input [yellow] 2 18 10 5 2" xfId="14172"/>
    <cellStyle name="Input [yellow] 2 18 10 5 3" xfId="25340"/>
    <cellStyle name="Input [yellow] 2 18 10 5 4" xfId="36505"/>
    <cellStyle name="Input [yellow] 2 18 10 5 5" xfId="47698"/>
    <cellStyle name="Input [yellow] 2 18 10 6" xfId="3609"/>
    <cellStyle name="Input [yellow] 2 18 10 6 2" xfId="14806"/>
    <cellStyle name="Input [yellow] 2 18 10 6 3" xfId="25974"/>
    <cellStyle name="Input [yellow] 2 18 10 6 4" xfId="37139"/>
    <cellStyle name="Input [yellow] 2 18 10 6 5" xfId="48332"/>
    <cellStyle name="Input [yellow] 2 18 10 7" xfId="4243"/>
    <cellStyle name="Input [yellow] 2 18 10 7 2" xfId="15440"/>
    <cellStyle name="Input [yellow] 2 18 10 7 3" xfId="26608"/>
    <cellStyle name="Input [yellow] 2 18 10 7 4" xfId="37773"/>
    <cellStyle name="Input [yellow] 2 18 10 7 5" xfId="48966"/>
    <cellStyle name="Input [yellow] 2 18 10 8" xfId="4876"/>
    <cellStyle name="Input [yellow] 2 18 10 8 2" xfId="16073"/>
    <cellStyle name="Input [yellow] 2 18 10 8 3" xfId="27241"/>
    <cellStyle name="Input [yellow] 2 18 10 8 4" xfId="38406"/>
    <cellStyle name="Input [yellow] 2 18 10 8 5" xfId="49599"/>
    <cellStyle name="Input [yellow] 2 18 10 9" xfId="5507"/>
    <cellStyle name="Input [yellow] 2 18 10 9 2" xfId="16704"/>
    <cellStyle name="Input [yellow] 2 18 10 9 3" xfId="27872"/>
    <cellStyle name="Input [yellow] 2 18 10 9 4" xfId="39037"/>
    <cellStyle name="Input [yellow] 2 18 10 9 5" xfId="50230"/>
    <cellStyle name="Input [yellow] 2 18 11" xfId="575"/>
    <cellStyle name="Input [yellow] 2 18 11 10" xfId="6168"/>
    <cellStyle name="Input [yellow] 2 18 11 10 2" xfId="17365"/>
    <cellStyle name="Input [yellow] 2 18 11 10 3" xfId="28533"/>
    <cellStyle name="Input [yellow] 2 18 11 10 4" xfId="39698"/>
    <cellStyle name="Input [yellow] 2 18 11 10 5" xfId="50891"/>
    <cellStyle name="Input [yellow] 2 18 11 11" xfId="6511"/>
    <cellStyle name="Input [yellow] 2 18 11 11 2" xfId="17708"/>
    <cellStyle name="Input [yellow] 2 18 11 11 3" xfId="28876"/>
    <cellStyle name="Input [yellow] 2 18 11 11 4" xfId="40041"/>
    <cellStyle name="Input [yellow] 2 18 11 11 5" xfId="51234"/>
    <cellStyle name="Input [yellow] 2 18 11 12" xfId="7144"/>
    <cellStyle name="Input [yellow] 2 18 11 12 2" xfId="18341"/>
    <cellStyle name="Input [yellow] 2 18 11 12 3" xfId="29509"/>
    <cellStyle name="Input [yellow] 2 18 11 12 4" xfId="40674"/>
    <cellStyle name="Input [yellow] 2 18 11 12 5" xfId="51867"/>
    <cellStyle name="Input [yellow] 2 18 11 13" xfId="7778"/>
    <cellStyle name="Input [yellow] 2 18 11 13 2" xfId="18975"/>
    <cellStyle name="Input [yellow] 2 18 11 13 3" xfId="30143"/>
    <cellStyle name="Input [yellow] 2 18 11 13 4" xfId="41308"/>
    <cellStyle name="Input [yellow] 2 18 11 13 5" xfId="52501"/>
    <cellStyle name="Input [yellow] 2 18 11 14" xfId="8412"/>
    <cellStyle name="Input [yellow] 2 18 11 14 2" xfId="19609"/>
    <cellStyle name="Input [yellow] 2 18 11 14 3" xfId="30777"/>
    <cellStyle name="Input [yellow] 2 18 11 14 4" xfId="41942"/>
    <cellStyle name="Input [yellow] 2 18 11 14 5" xfId="53135"/>
    <cellStyle name="Input [yellow] 2 18 11 15" xfId="9040"/>
    <cellStyle name="Input [yellow] 2 18 11 15 2" xfId="20237"/>
    <cellStyle name="Input [yellow] 2 18 11 15 3" xfId="31405"/>
    <cellStyle name="Input [yellow] 2 18 11 15 4" xfId="42570"/>
    <cellStyle name="Input [yellow] 2 18 11 15 5" xfId="53763"/>
    <cellStyle name="Input [yellow] 2 18 11 16" xfId="9463"/>
    <cellStyle name="Input [yellow] 2 18 11 16 2" xfId="20660"/>
    <cellStyle name="Input [yellow] 2 18 11 16 3" xfId="31828"/>
    <cellStyle name="Input [yellow] 2 18 11 16 4" xfId="42993"/>
    <cellStyle name="Input [yellow] 2 18 11 16 5" xfId="54186"/>
    <cellStyle name="Input [yellow] 2 18 11 17" xfId="10088"/>
    <cellStyle name="Input [yellow] 2 18 11 17 2" xfId="21285"/>
    <cellStyle name="Input [yellow] 2 18 11 17 3" xfId="32453"/>
    <cellStyle name="Input [yellow] 2 18 11 17 4" xfId="43618"/>
    <cellStyle name="Input [yellow] 2 18 11 17 5" xfId="54811"/>
    <cellStyle name="Input [yellow] 2 18 11 18" xfId="10536"/>
    <cellStyle name="Input [yellow] 2 18 11 18 2" xfId="21733"/>
    <cellStyle name="Input [yellow] 2 18 11 18 3" xfId="32901"/>
    <cellStyle name="Input [yellow] 2 18 11 18 4" xfId="44066"/>
    <cellStyle name="Input [yellow] 2 18 11 18 5" xfId="55259"/>
    <cellStyle name="Input [yellow] 2 18 11 19" xfId="11128"/>
    <cellStyle name="Input [yellow] 2 18 11 19 2" xfId="22325"/>
    <cellStyle name="Input [yellow] 2 18 11 19 3" xfId="33493"/>
    <cellStyle name="Input [yellow] 2 18 11 19 4" xfId="44658"/>
    <cellStyle name="Input [yellow] 2 18 11 19 5" xfId="55851"/>
    <cellStyle name="Input [yellow] 2 18 11 2" xfId="1224"/>
    <cellStyle name="Input [yellow] 2 18 11 2 2" xfId="12421"/>
    <cellStyle name="Input [yellow] 2 18 11 2 3" xfId="23589"/>
    <cellStyle name="Input [yellow] 2 18 11 2 4" xfId="34754"/>
    <cellStyle name="Input [yellow] 2 18 11 2 5" xfId="45947"/>
    <cellStyle name="Input [yellow] 2 18 11 20" xfId="11775"/>
    <cellStyle name="Input [yellow] 2 18 11 21" xfId="22945"/>
    <cellStyle name="Input [yellow] 2 18 11 22" xfId="34112"/>
    <cellStyle name="Input [yellow] 2 18 11 23" xfId="45298"/>
    <cellStyle name="Input [yellow] 2 18 11 3" xfId="1345"/>
    <cellStyle name="Input [yellow] 2 18 11 3 2" xfId="12542"/>
    <cellStyle name="Input [yellow] 2 18 11 3 3" xfId="23710"/>
    <cellStyle name="Input [yellow] 2 18 11 3 4" xfId="34875"/>
    <cellStyle name="Input [yellow] 2 18 11 3 5" xfId="46068"/>
    <cellStyle name="Input [yellow] 2 18 11 4" xfId="2500"/>
    <cellStyle name="Input [yellow] 2 18 11 4 2" xfId="13697"/>
    <cellStyle name="Input [yellow] 2 18 11 4 3" xfId="24865"/>
    <cellStyle name="Input [yellow] 2 18 11 4 4" xfId="36030"/>
    <cellStyle name="Input [yellow] 2 18 11 4 5" xfId="47223"/>
    <cellStyle name="Input [yellow] 2 18 11 5" xfId="2925"/>
    <cellStyle name="Input [yellow] 2 18 11 5 2" xfId="14122"/>
    <cellStyle name="Input [yellow] 2 18 11 5 3" xfId="25290"/>
    <cellStyle name="Input [yellow] 2 18 11 5 4" xfId="36455"/>
    <cellStyle name="Input [yellow] 2 18 11 5 5" xfId="47648"/>
    <cellStyle name="Input [yellow] 2 18 11 6" xfId="3559"/>
    <cellStyle name="Input [yellow] 2 18 11 6 2" xfId="14756"/>
    <cellStyle name="Input [yellow] 2 18 11 6 3" xfId="25924"/>
    <cellStyle name="Input [yellow] 2 18 11 6 4" xfId="37089"/>
    <cellStyle name="Input [yellow] 2 18 11 6 5" xfId="48282"/>
    <cellStyle name="Input [yellow] 2 18 11 7" xfId="4193"/>
    <cellStyle name="Input [yellow] 2 18 11 7 2" xfId="15390"/>
    <cellStyle name="Input [yellow] 2 18 11 7 3" xfId="26558"/>
    <cellStyle name="Input [yellow] 2 18 11 7 4" xfId="37723"/>
    <cellStyle name="Input [yellow] 2 18 11 7 5" xfId="48916"/>
    <cellStyle name="Input [yellow] 2 18 11 8" xfId="4826"/>
    <cellStyle name="Input [yellow] 2 18 11 8 2" xfId="16023"/>
    <cellStyle name="Input [yellow] 2 18 11 8 3" xfId="27191"/>
    <cellStyle name="Input [yellow] 2 18 11 8 4" xfId="38356"/>
    <cellStyle name="Input [yellow] 2 18 11 8 5" xfId="49549"/>
    <cellStyle name="Input [yellow] 2 18 11 9" xfId="5457"/>
    <cellStyle name="Input [yellow] 2 18 11 9 2" xfId="16654"/>
    <cellStyle name="Input [yellow] 2 18 11 9 3" xfId="27822"/>
    <cellStyle name="Input [yellow] 2 18 11 9 4" xfId="38987"/>
    <cellStyle name="Input [yellow] 2 18 11 9 5" xfId="50180"/>
    <cellStyle name="Input [yellow] 2 18 12" xfId="752"/>
    <cellStyle name="Input [yellow] 2 18 12 2" xfId="11949"/>
    <cellStyle name="Input [yellow] 2 18 12 3" xfId="23117"/>
    <cellStyle name="Input [yellow] 2 18 12 4" xfId="34282"/>
    <cellStyle name="Input [yellow] 2 18 12 5" xfId="45475"/>
    <cellStyle name="Input [yellow] 2 18 13" xfId="1523"/>
    <cellStyle name="Input [yellow] 2 18 13 2" xfId="12720"/>
    <cellStyle name="Input [yellow] 2 18 13 3" xfId="23888"/>
    <cellStyle name="Input [yellow] 2 18 13 4" xfId="35053"/>
    <cellStyle name="Input [yellow] 2 18 13 5" xfId="46246"/>
    <cellStyle name="Input [yellow] 2 18 14" xfId="2029"/>
    <cellStyle name="Input [yellow] 2 18 14 2" xfId="13226"/>
    <cellStyle name="Input [yellow] 2 18 14 3" xfId="24394"/>
    <cellStyle name="Input [yellow] 2 18 14 4" xfId="35559"/>
    <cellStyle name="Input [yellow] 2 18 14 5" xfId="46752"/>
    <cellStyle name="Input [yellow] 2 18 15" xfId="2110"/>
    <cellStyle name="Input [yellow] 2 18 15 2" xfId="13307"/>
    <cellStyle name="Input [yellow] 2 18 15 3" xfId="24475"/>
    <cellStyle name="Input [yellow] 2 18 15 4" xfId="35640"/>
    <cellStyle name="Input [yellow] 2 18 15 5" xfId="46833"/>
    <cellStyle name="Input [yellow] 2 18 16" xfId="3087"/>
    <cellStyle name="Input [yellow] 2 18 16 2" xfId="14284"/>
    <cellStyle name="Input [yellow] 2 18 16 3" xfId="25452"/>
    <cellStyle name="Input [yellow] 2 18 16 4" xfId="36617"/>
    <cellStyle name="Input [yellow] 2 18 16 5" xfId="47810"/>
    <cellStyle name="Input [yellow] 2 18 17" xfId="3721"/>
    <cellStyle name="Input [yellow] 2 18 17 2" xfId="14918"/>
    <cellStyle name="Input [yellow] 2 18 17 3" xfId="26086"/>
    <cellStyle name="Input [yellow] 2 18 17 4" xfId="37251"/>
    <cellStyle name="Input [yellow] 2 18 17 5" xfId="48444"/>
    <cellStyle name="Input [yellow] 2 18 18" xfId="4354"/>
    <cellStyle name="Input [yellow] 2 18 18 2" xfId="15551"/>
    <cellStyle name="Input [yellow] 2 18 18 3" xfId="26719"/>
    <cellStyle name="Input [yellow] 2 18 18 4" xfId="37884"/>
    <cellStyle name="Input [yellow] 2 18 18 5" xfId="49077"/>
    <cellStyle name="Input [yellow] 2 18 19" xfId="4985"/>
    <cellStyle name="Input [yellow] 2 18 19 2" xfId="16182"/>
    <cellStyle name="Input [yellow] 2 18 19 3" xfId="27350"/>
    <cellStyle name="Input [yellow] 2 18 19 4" xfId="38515"/>
    <cellStyle name="Input [yellow] 2 18 19 5" xfId="49708"/>
    <cellStyle name="Input [yellow] 2 18 2" xfId="166"/>
    <cellStyle name="Input [yellow] 2 18 2 10" xfId="5767"/>
    <cellStyle name="Input [yellow] 2 18 2 10 2" xfId="16964"/>
    <cellStyle name="Input [yellow] 2 18 2 10 3" xfId="28132"/>
    <cellStyle name="Input [yellow] 2 18 2 10 4" xfId="39297"/>
    <cellStyle name="Input [yellow] 2 18 2 10 5" xfId="50490"/>
    <cellStyle name="Input [yellow] 2 18 2 11" xfId="5955"/>
    <cellStyle name="Input [yellow] 2 18 2 11 2" xfId="17152"/>
    <cellStyle name="Input [yellow] 2 18 2 11 3" xfId="28320"/>
    <cellStyle name="Input [yellow] 2 18 2 11 4" xfId="39485"/>
    <cellStyle name="Input [yellow] 2 18 2 11 5" xfId="50678"/>
    <cellStyle name="Input [yellow] 2 18 2 12" xfId="6735"/>
    <cellStyle name="Input [yellow] 2 18 2 12 2" xfId="17932"/>
    <cellStyle name="Input [yellow] 2 18 2 12 3" xfId="29100"/>
    <cellStyle name="Input [yellow] 2 18 2 12 4" xfId="40265"/>
    <cellStyle name="Input [yellow] 2 18 2 12 5" xfId="51458"/>
    <cellStyle name="Input [yellow] 2 18 2 13" xfId="7369"/>
    <cellStyle name="Input [yellow] 2 18 2 13 2" xfId="18566"/>
    <cellStyle name="Input [yellow] 2 18 2 13 3" xfId="29734"/>
    <cellStyle name="Input [yellow] 2 18 2 13 4" xfId="40899"/>
    <cellStyle name="Input [yellow] 2 18 2 13 5" xfId="52092"/>
    <cellStyle name="Input [yellow] 2 18 2 14" xfId="8003"/>
    <cellStyle name="Input [yellow] 2 18 2 14 2" xfId="19200"/>
    <cellStyle name="Input [yellow] 2 18 2 14 3" xfId="30368"/>
    <cellStyle name="Input [yellow] 2 18 2 14 4" xfId="41533"/>
    <cellStyle name="Input [yellow] 2 18 2 14 5" xfId="52726"/>
    <cellStyle name="Input [yellow] 2 18 2 15" xfId="8634"/>
    <cellStyle name="Input [yellow] 2 18 2 15 2" xfId="19831"/>
    <cellStyle name="Input [yellow] 2 18 2 15 3" xfId="30999"/>
    <cellStyle name="Input [yellow] 2 18 2 15 4" xfId="42164"/>
    <cellStyle name="Input [yellow] 2 18 2 15 5" xfId="53357"/>
    <cellStyle name="Input [yellow] 2 18 2 16" xfId="8574"/>
    <cellStyle name="Input [yellow] 2 18 2 16 2" xfId="19771"/>
    <cellStyle name="Input [yellow] 2 18 2 16 3" xfId="30939"/>
    <cellStyle name="Input [yellow] 2 18 2 16 4" xfId="42104"/>
    <cellStyle name="Input [yellow] 2 18 2 16 5" xfId="53297"/>
    <cellStyle name="Input [yellow] 2 18 2 17" xfId="9686"/>
    <cellStyle name="Input [yellow] 2 18 2 17 2" xfId="20883"/>
    <cellStyle name="Input [yellow] 2 18 2 17 3" xfId="32051"/>
    <cellStyle name="Input [yellow] 2 18 2 17 4" xfId="43216"/>
    <cellStyle name="Input [yellow] 2 18 2 17 5" xfId="54409"/>
    <cellStyle name="Input [yellow] 2 18 2 18" xfId="10299"/>
    <cellStyle name="Input [yellow] 2 18 2 18 2" xfId="21496"/>
    <cellStyle name="Input [yellow] 2 18 2 18 3" xfId="32664"/>
    <cellStyle name="Input [yellow] 2 18 2 18 4" xfId="43829"/>
    <cellStyle name="Input [yellow] 2 18 2 18 5" xfId="55022"/>
    <cellStyle name="Input [yellow] 2 18 2 19" xfId="10719"/>
    <cellStyle name="Input [yellow] 2 18 2 19 2" xfId="21916"/>
    <cellStyle name="Input [yellow] 2 18 2 19 3" xfId="33084"/>
    <cellStyle name="Input [yellow] 2 18 2 19 4" xfId="44249"/>
    <cellStyle name="Input [yellow] 2 18 2 19 5" xfId="55442"/>
    <cellStyle name="Input [yellow] 2 18 2 2" xfId="815"/>
    <cellStyle name="Input [yellow] 2 18 2 2 2" xfId="12012"/>
    <cellStyle name="Input [yellow] 2 18 2 2 3" xfId="23180"/>
    <cellStyle name="Input [yellow] 2 18 2 2 4" xfId="34345"/>
    <cellStyle name="Input [yellow] 2 18 2 2 5" xfId="45538"/>
    <cellStyle name="Input [yellow] 2 18 2 20" xfId="11366"/>
    <cellStyle name="Input [yellow] 2 18 2 21" xfId="22536"/>
    <cellStyle name="Input [yellow] 2 18 2 22" xfId="33703"/>
    <cellStyle name="Input [yellow] 2 18 2 23" xfId="44889"/>
    <cellStyle name="Input [yellow] 2 18 2 3" xfId="1683"/>
    <cellStyle name="Input [yellow] 2 18 2 3 2" xfId="12880"/>
    <cellStyle name="Input [yellow] 2 18 2 3 3" xfId="24048"/>
    <cellStyle name="Input [yellow] 2 18 2 3 4" xfId="35213"/>
    <cellStyle name="Input [yellow] 2 18 2 3 5" xfId="46406"/>
    <cellStyle name="Input [yellow] 2 18 2 4" xfId="2092"/>
    <cellStyle name="Input [yellow] 2 18 2 4 2" xfId="13289"/>
    <cellStyle name="Input [yellow] 2 18 2 4 3" xfId="24457"/>
    <cellStyle name="Input [yellow] 2 18 2 4 4" xfId="35622"/>
    <cellStyle name="Input [yellow] 2 18 2 4 5" xfId="46815"/>
    <cellStyle name="Input [yellow] 2 18 2 5" xfId="2312"/>
    <cellStyle name="Input [yellow] 2 18 2 5 2" xfId="13509"/>
    <cellStyle name="Input [yellow] 2 18 2 5 3" xfId="24677"/>
    <cellStyle name="Input [yellow] 2 18 2 5 4" xfId="35842"/>
    <cellStyle name="Input [yellow] 2 18 2 5 5" xfId="47035"/>
    <cellStyle name="Input [yellow] 2 18 2 6" xfId="3150"/>
    <cellStyle name="Input [yellow] 2 18 2 6 2" xfId="14347"/>
    <cellStyle name="Input [yellow] 2 18 2 6 3" xfId="25515"/>
    <cellStyle name="Input [yellow] 2 18 2 6 4" xfId="36680"/>
    <cellStyle name="Input [yellow] 2 18 2 6 5" xfId="47873"/>
    <cellStyle name="Input [yellow] 2 18 2 7" xfId="3784"/>
    <cellStyle name="Input [yellow] 2 18 2 7 2" xfId="14981"/>
    <cellStyle name="Input [yellow] 2 18 2 7 3" xfId="26149"/>
    <cellStyle name="Input [yellow] 2 18 2 7 4" xfId="37314"/>
    <cellStyle name="Input [yellow] 2 18 2 7 5" xfId="48507"/>
    <cellStyle name="Input [yellow] 2 18 2 8" xfId="4417"/>
    <cellStyle name="Input [yellow] 2 18 2 8 2" xfId="15614"/>
    <cellStyle name="Input [yellow] 2 18 2 8 3" xfId="26782"/>
    <cellStyle name="Input [yellow] 2 18 2 8 4" xfId="37947"/>
    <cellStyle name="Input [yellow] 2 18 2 8 5" xfId="49140"/>
    <cellStyle name="Input [yellow] 2 18 2 9" xfId="5048"/>
    <cellStyle name="Input [yellow] 2 18 2 9 2" xfId="16245"/>
    <cellStyle name="Input [yellow] 2 18 2 9 3" xfId="27413"/>
    <cellStyle name="Input [yellow] 2 18 2 9 4" xfId="38578"/>
    <cellStyle name="Input [yellow] 2 18 2 9 5" xfId="49771"/>
    <cellStyle name="Input [yellow] 2 18 20" xfId="5932"/>
    <cellStyle name="Input [yellow] 2 18 20 2" xfId="17129"/>
    <cellStyle name="Input [yellow] 2 18 20 3" xfId="28297"/>
    <cellStyle name="Input [yellow] 2 18 20 4" xfId="39462"/>
    <cellStyle name="Input [yellow] 2 18 20 5" xfId="50655"/>
    <cellStyle name="Input [yellow] 2 18 21" xfId="5957"/>
    <cellStyle name="Input [yellow] 2 18 21 2" xfId="17154"/>
    <cellStyle name="Input [yellow] 2 18 21 3" xfId="28322"/>
    <cellStyle name="Input [yellow] 2 18 21 4" xfId="39487"/>
    <cellStyle name="Input [yellow] 2 18 21 5" xfId="50680"/>
    <cellStyle name="Input [yellow] 2 18 22" xfId="6672"/>
    <cellStyle name="Input [yellow] 2 18 22 2" xfId="17869"/>
    <cellStyle name="Input [yellow] 2 18 22 3" xfId="29037"/>
    <cellStyle name="Input [yellow] 2 18 22 4" xfId="40202"/>
    <cellStyle name="Input [yellow] 2 18 22 5" xfId="51395"/>
    <cellStyle name="Input [yellow] 2 18 23" xfId="7306"/>
    <cellStyle name="Input [yellow] 2 18 23 2" xfId="18503"/>
    <cellStyle name="Input [yellow] 2 18 23 3" xfId="29671"/>
    <cellStyle name="Input [yellow] 2 18 23 4" xfId="40836"/>
    <cellStyle name="Input [yellow] 2 18 23 5" xfId="52029"/>
    <cellStyle name="Input [yellow] 2 18 24" xfId="7940"/>
    <cellStyle name="Input [yellow] 2 18 24 2" xfId="19137"/>
    <cellStyle name="Input [yellow] 2 18 24 3" xfId="30305"/>
    <cellStyle name="Input [yellow] 2 18 24 4" xfId="41470"/>
    <cellStyle name="Input [yellow] 2 18 24 5" xfId="52663"/>
    <cellStyle name="Input [yellow] 2 18 25" xfId="8571"/>
    <cellStyle name="Input [yellow] 2 18 25 2" xfId="19768"/>
    <cellStyle name="Input [yellow] 2 18 25 3" xfId="30936"/>
    <cellStyle name="Input [yellow] 2 18 25 4" xfId="42101"/>
    <cellStyle name="Input [yellow] 2 18 25 5" xfId="53294"/>
    <cellStyle name="Input [yellow] 2 18 26" xfId="8825"/>
    <cellStyle name="Input [yellow] 2 18 26 2" xfId="20022"/>
    <cellStyle name="Input [yellow] 2 18 26 3" xfId="31190"/>
    <cellStyle name="Input [yellow] 2 18 26 4" xfId="42355"/>
    <cellStyle name="Input [yellow] 2 18 26 5" xfId="53548"/>
    <cellStyle name="Input [yellow] 2 18 27" xfId="9624"/>
    <cellStyle name="Input [yellow] 2 18 27 2" xfId="20821"/>
    <cellStyle name="Input [yellow] 2 18 27 3" xfId="31989"/>
    <cellStyle name="Input [yellow] 2 18 27 4" xfId="43154"/>
    <cellStyle name="Input [yellow] 2 18 27 5" xfId="54347"/>
    <cellStyle name="Input [yellow] 2 18 28" xfId="10264"/>
    <cellStyle name="Input [yellow] 2 18 28 2" xfId="21461"/>
    <cellStyle name="Input [yellow] 2 18 28 3" xfId="32629"/>
    <cellStyle name="Input [yellow] 2 18 28 4" xfId="43794"/>
    <cellStyle name="Input [yellow] 2 18 28 5" xfId="54987"/>
    <cellStyle name="Input [yellow] 2 18 29" xfId="10656"/>
    <cellStyle name="Input [yellow] 2 18 29 2" xfId="21853"/>
    <cellStyle name="Input [yellow] 2 18 29 3" xfId="33021"/>
    <cellStyle name="Input [yellow] 2 18 29 4" xfId="44186"/>
    <cellStyle name="Input [yellow] 2 18 29 5" xfId="55379"/>
    <cellStyle name="Input [yellow] 2 18 3" xfId="222"/>
    <cellStyle name="Input [yellow] 2 18 3 10" xfId="6079"/>
    <cellStyle name="Input [yellow] 2 18 3 10 2" xfId="17276"/>
    <cellStyle name="Input [yellow] 2 18 3 10 3" xfId="28444"/>
    <cellStyle name="Input [yellow] 2 18 3 10 4" xfId="39609"/>
    <cellStyle name="Input [yellow] 2 18 3 10 5" xfId="50802"/>
    <cellStyle name="Input [yellow] 2 18 3 11" xfId="6045"/>
    <cellStyle name="Input [yellow] 2 18 3 11 2" xfId="17242"/>
    <cellStyle name="Input [yellow] 2 18 3 11 3" xfId="28410"/>
    <cellStyle name="Input [yellow] 2 18 3 11 4" xfId="39575"/>
    <cellStyle name="Input [yellow] 2 18 3 11 5" xfId="50768"/>
    <cellStyle name="Input [yellow] 2 18 3 12" xfId="6791"/>
    <cellStyle name="Input [yellow] 2 18 3 12 2" xfId="17988"/>
    <cellStyle name="Input [yellow] 2 18 3 12 3" xfId="29156"/>
    <cellStyle name="Input [yellow] 2 18 3 12 4" xfId="40321"/>
    <cellStyle name="Input [yellow] 2 18 3 12 5" xfId="51514"/>
    <cellStyle name="Input [yellow] 2 18 3 13" xfId="7425"/>
    <cellStyle name="Input [yellow] 2 18 3 13 2" xfId="18622"/>
    <cellStyle name="Input [yellow] 2 18 3 13 3" xfId="29790"/>
    <cellStyle name="Input [yellow] 2 18 3 13 4" xfId="40955"/>
    <cellStyle name="Input [yellow] 2 18 3 13 5" xfId="52148"/>
    <cellStyle name="Input [yellow] 2 18 3 14" xfId="8059"/>
    <cellStyle name="Input [yellow] 2 18 3 14 2" xfId="19256"/>
    <cellStyle name="Input [yellow] 2 18 3 14 3" xfId="30424"/>
    <cellStyle name="Input [yellow] 2 18 3 14 4" xfId="41589"/>
    <cellStyle name="Input [yellow] 2 18 3 14 5" xfId="52782"/>
    <cellStyle name="Input [yellow] 2 18 3 15" xfId="8690"/>
    <cellStyle name="Input [yellow] 2 18 3 15 2" xfId="19887"/>
    <cellStyle name="Input [yellow] 2 18 3 15 3" xfId="31055"/>
    <cellStyle name="Input [yellow] 2 18 3 15 4" xfId="42220"/>
    <cellStyle name="Input [yellow] 2 18 3 15 5" xfId="53413"/>
    <cellStyle name="Input [yellow] 2 18 3 16" xfId="9015"/>
    <cellStyle name="Input [yellow] 2 18 3 16 2" xfId="20212"/>
    <cellStyle name="Input [yellow] 2 18 3 16 3" xfId="31380"/>
    <cellStyle name="Input [yellow] 2 18 3 16 4" xfId="42545"/>
    <cellStyle name="Input [yellow] 2 18 3 16 5" xfId="53738"/>
    <cellStyle name="Input [yellow] 2 18 3 17" xfId="9741"/>
    <cellStyle name="Input [yellow] 2 18 3 17 2" xfId="20938"/>
    <cellStyle name="Input [yellow] 2 18 3 17 3" xfId="32106"/>
    <cellStyle name="Input [yellow] 2 18 3 17 4" xfId="43271"/>
    <cellStyle name="Input [yellow] 2 18 3 17 5" xfId="54464"/>
    <cellStyle name="Input [yellow] 2 18 3 18" xfId="10305"/>
    <cellStyle name="Input [yellow] 2 18 3 18 2" xfId="21502"/>
    <cellStyle name="Input [yellow] 2 18 3 18 3" xfId="32670"/>
    <cellStyle name="Input [yellow] 2 18 3 18 4" xfId="43835"/>
    <cellStyle name="Input [yellow] 2 18 3 18 5" xfId="55028"/>
    <cellStyle name="Input [yellow] 2 18 3 19" xfId="10775"/>
    <cellStyle name="Input [yellow] 2 18 3 19 2" xfId="21972"/>
    <cellStyle name="Input [yellow] 2 18 3 19 3" xfId="33140"/>
    <cellStyle name="Input [yellow] 2 18 3 19 4" xfId="44305"/>
    <cellStyle name="Input [yellow] 2 18 3 19 5" xfId="55498"/>
    <cellStyle name="Input [yellow] 2 18 3 2" xfId="871"/>
    <cellStyle name="Input [yellow] 2 18 3 2 2" xfId="12068"/>
    <cellStyle name="Input [yellow] 2 18 3 2 3" xfId="23236"/>
    <cellStyle name="Input [yellow] 2 18 3 2 4" xfId="34401"/>
    <cellStyle name="Input [yellow] 2 18 3 2 5" xfId="45594"/>
    <cellStyle name="Input [yellow] 2 18 3 20" xfId="11422"/>
    <cellStyle name="Input [yellow] 2 18 3 21" xfId="22592"/>
    <cellStyle name="Input [yellow] 2 18 3 22" xfId="33759"/>
    <cellStyle name="Input [yellow] 2 18 3 23" xfId="44945"/>
    <cellStyle name="Input [yellow] 2 18 3 3" xfId="1613"/>
    <cellStyle name="Input [yellow] 2 18 3 3 2" xfId="12810"/>
    <cellStyle name="Input [yellow] 2 18 3 3 3" xfId="23978"/>
    <cellStyle name="Input [yellow] 2 18 3 3 4" xfId="35143"/>
    <cellStyle name="Input [yellow] 2 18 3 3 5" xfId="46336"/>
    <cellStyle name="Input [yellow] 2 18 3 4" xfId="2148"/>
    <cellStyle name="Input [yellow] 2 18 3 4 2" xfId="13345"/>
    <cellStyle name="Input [yellow] 2 18 3 4 3" xfId="24513"/>
    <cellStyle name="Input [yellow] 2 18 3 4 4" xfId="35678"/>
    <cellStyle name="Input [yellow] 2 18 3 4 5" xfId="46871"/>
    <cellStyle name="Input [yellow] 2 18 3 5" xfId="2242"/>
    <cellStyle name="Input [yellow] 2 18 3 5 2" xfId="13439"/>
    <cellStyle name="Input [yellow] 2 18 3 5 3" xfId="24607"/>
    <cellStyle name="Input [yellow] 2 18 3 5 4" xfId="35772"/>
    <cellStyle name="Input [yellow] 2 18 3 5 5" xfId="46965"/>
    <cellStyle name="Input [yellow] 2 18 3 6" xfId="3206"/>
    <cellStyle name="Input [yellow] 2 18 3 6 2" xfId="14403"/>
    <cellStyle name="Input [yellow] 2 18 3 6 3" xfId="25571"/>
    <cellStyle name="Input [yellow] 2 18 3 6 4" xfId="36736"/>
    <cellStyle name="Input [yellow] 2 18 3 6 5" xfId="47929"/>
    <cellStyle name="Input [yellow] 2 18 3 7" xfId="3840"/>
    <cellStyle name="Input [yellow] 2 18 3 7 2" xfId="15037"/>
    <cellStyle name="Input [yellow] 2 18 3 7 3" xfId="26205"/>
    <cellStyle name="Input [yellow] 2 18 3 7 4" xfId="37370"/>
    <cellStyle name="Input [yellow] 2 18 3 7 5" xfId="48563"/>
    <cellStyle name="Input [yellow] 2 18 3 8" xfId="4473"/>
    <cellStyle name="Input [yellow] 2 18 3 8 2" xfId="15670"/>
    <cellStyle name="Input [yellow] 2 18 3 8 3" xfId="26838"/>
    <cellStyle name="Input [yellow] 2 18 3 8 4" xfId="38003"/>
    <cellStyle name="Input [yellow] 2 18 3 8 5" xfId="49196"/>
    <cellStyle name="Input [yellow] 2 18 3 9" xfId="5104"/>
    <cellStyle name="Input [yellow] 2 18 3 9 2" xfId="16301"/>
    <cellStyle name="Input [yellow] 2 18 3 9 3" xfId="27469"/>
    <cellStyle name="Input [yellow] 2 18 3 9 4" xfId="38634"/>
    <cellStyle name="Input [yellow] 2 18 3 9 5" xfId="49827"/>
    <cellStyle name="Input [yellow] 2 18 30" xfId="11303"/>
    <cellStyle name="Input [yellow] 2 18 31" xfId="22473"/>
    <cellStyle name="Input [yellow] 2 18 32" xfId="33640"/>
    <cellStyle name="Input [yellow] 2 18 33" xfId="44826"/>
    <cellStyle name="Input [yellow] 2 18 4" xfId="233"/>
    <cellStyle name="Input [yellow] 2 18 4 10" xfId="5939"/>
    <cellStyle name="Input [yellow] 2 18 4 10 2" xfId="17136"/>
    <cellStyle name="Input [yellow] 2 18 4 10 3" xfId="28304"/>
    <cellStyle name="Input [yellow] 2 18 4 10 4" xfId="39469"/>
    <cellStyle name="Input [yellow] 2 18 4 10 5" xfId="50662"/>
    <cellStyle name="Input [yellow] 2 18 4 11" xfId="5576"/>
    <cellStyle name="Input [yellow] 2 18 4 11 2" xfId="16773"/>
    <cellStyle name="Input [yellow] 2 18 4 11 3" xfId="27941"/>
    <cellStyle name="Input [yellow] 2 18 4 11 4" xfId="39106"/>
    <cellStyle name="Input [yellow] 2 18 4 11 5" xfId="50299"/>
    <cellStyle name="Input [yellow] 2 18 4 12" xfId="6802"/>
    <cellStyle name="Input [yellow] 2 18 4 12 2" xfId="17999"/>
    <cellStyle name="Input [yellow] 2 18 4 12 3" xfId="29167"/>
    <cellStyle name="Input [yellow] 2 18 4 12 4" xfId="40332"/>
    <cellStyle name="Input [yellow] 2 18 4 12 5" xfId="51525"/>
    <cellStyle name="Input [yellow] 2 18 4 13" xfId="7436"/>
    <cellStyle name="Input [yellow] 2 18 4 13 2" xfId="18633"/>
    <cellStyle name="Input [yellow] 2 18 4 13 3" xfId="29801"/>
    <cellStyle name="Input [yellow] 2 18 4 13 4" xfId="40966"/>
    <cellStyle name="Input [yellow] 2 18 4 13 5" xfId="52159"/>
    <cellStyle name="Input [yellow] 2 18 4 14" xfId="8070"/>
    <cellStyle name="Input [yellow] 2 18 4 14 2" xfId="19267"/>
    <cellStyle name="Input [yellow] 2 18 4 14 3" xfId="30435"/>
    <cellStyle name="Input [yellow] 2 18 4 14 4" xfId="41600"/>
    <cellStyle name="Input [yellow] 2 18 4 14 5" xfId="52793"/>
    <cellStyle name="Input [yellow] 2 18 4 15" xfId="8701"/>
    <cellStyle name="Input [yellow] 2 18 4 15 2" xfId="19898"/>
    <cellStyle name="Input [yellow] 2 18 4 15 3" xfId="31066"/>
    <cellStyle name="Input [yellow] 2 18 4 15 4" xfId="42231"/>
    <cellStyle name="Input [yellow] 2 18 4 15 5" xfId="53424"/>
    <cellStyle name="Input [yellow] 2 18 4 16" xfId="9012"/>
    <cellStyle name="Input [yellow] 2 18 4 16 2" xfId="20209"/>
    <cellStyle name="Input [yellow] 2 18 4 16 3" xfId="31377"/>
    <cellStyle name="Input [yellow] 2 18 4 16 4" xfId="42542"/>
    <cellStyle name="Input [yellow] 2 18 4 16 5" xfId="53735"/>
    <cellStyle name="Input [yellow] 2 18 4 17" xfId="9752"/>
    <cellStyle name="Input [yellow] 2 18 4 17 2" xfId="20949"/>
    <cellStyle name="Input [yellow] 2 18 4 17 3" xfId="32117"/>
    <cellStyle name="Input [yellow] 2 18 4 17 4" xfId="43282"/>
    <cellStyle name="Input [yellow] 2 18 4 17 5" xfId="54475"/>
    <cellStyle name="Input [yellow] 2 18 4 18" xfId="10387"/>
    <cellStyle name="Input [yellow] 2 18 4 18 2" xfId="21584"/>
    <cellStyle name="Input [yellow] 2 18 4 18 3" xfId="32752"/>
    <cellStyle name="Input [yellow] 2 18 4 18 4" xfId="43917"/>
    <cellStyle name="Input [yellow] 2 18 4 18 5" xfId="55110"/>
    <cellStyle name="Input [yellow] 2 18 4 19" xfId="10786"/>
    <cellStyle name="Input [yellow] 2 18 4 19 2" xfId="21983"/>
    <cellStyle name="Input [yellow] 2 18 4 19 3" xfId="33151"/>
    <cellStyle name="Input [yellow] 2 18 4 19 4" xfId="44316"/>
    <cellStyle name="Input [yellow] 2 18 4 19 5" xfId="55509"/>
    <cellStyle name="Input [yellow] 2 18 4 2" xfId="882"/>
    <cellStyle name="Input [yellow] 2 18 4 2 2" xfId="12079"/>
    <cellStyle name="Input [yellow] 2 18 4 2 3" xfId="23247"/>
    <cellStyle name="Input [yellow] 2 18 4 2 4" xfId="34412"/>
    <cellStyle name="Input [yellow] 2 18 4 2 5" xfId="45605"/>
    <cellStyle name="Input [yellow] 2 18 4 20" xfId="11433"/>
    <cellStyle name="Input [yellow] 2 18 4 21" xfId="22603"/>
    <cellStyle name="Input [yellow] 2 18 4 22" xfId="33770"/>
    <cellStyle name="Input [yellow] 2 18 4 23" xfId="44956"/>
    <cellStyle name="Input [yellow] 2 18 4 3" xfId="1639"/>
    <cellStyle name="Input [yellow] 2 18 4 3 2" xfId="12836"/>
    <cellStyle name="Input [yellow] 2 18 4 3 3" xfId="24004"/>
    <cellStyle name="Input [yellow] 2 18 4 3 4" xfId="35169"/>
    <cellStyle name="Input [yellow] 2 18 4 3 5" xfId="46362"/>
    <cellStyle name="Input [yellow] 2 18 4 4" xfId="2159"/>
    <cellStyle name="Input [yellow] 2 18 4 4 2" xfId="13356"/>
    <cellStyle name="Input [yellow] 2 18 4 4 3" xfId="24524"/>
    <cellStyle name="Input [yellow] 2 18 4 4 4" xfId="35689"/>
    <cellStyle name="Input [yellow] 2 18 4 4 5" xfId="46882"/>
    <cellStyle name="Input [yellow] 2 18 4 5" xfId="2229"/>
    <cellStyle name="Input [yellow] 2 18 4 5 2" xfId="13426"/>
    <cellStyle name="Input [yellow] 2 18 4 5 3" xfId="24594"/>
    <cellStyle name="Input [yellow] 2 18 4 5 4" xfId="35759"/>
    <cellStyle name="Input [yellow] 2 18 4 5 5" xfId="46952"/>
    <cellStyle name="Input [yellow] 2 18 4 6" xfId="3217"/>
    <cellStyle name="Input [yellow] 2 18 4 6 2" xfId="14414"/>
    <cellStyle name="Input [yellow] 2 18 4 6 3" xfId="25582"/>
    <cellStyle name="Input [yellow] 2 18 4 6 4" xfId="36747"/>
    <cellStyle name="Input [yellow] 2 18 4 6 5" xfId="47940"/>
    <cellStyle name="Input [yellow] 2 18 4 7" xfId="3851"/>
    <cellStyle name="Input [yellow] 2 18 4 7 2" xfId="15048"/>
    <cellStyle name="Input [yellow] 2 18 4 7 3" xfId="26216"/>
    <cellStyle name="Input [yellow] 2 18 4 7 4" xfId="37381"/>
    <cellStyle name="Input [yellow] 2 18 4 7 5" xfId="48574"/>
    <cellStyle name="Input [yellow] 2 18 4 8" xfId="4484"/>
    <cellStyle name="Input [yellow] 2 18 4 8 2" xfId="15681"/>
    <cellStyle name="Input [yellow] 2 18 4 8 3" xfId="26849"/>
    <cellStyle name="Input [yellow] 2 18 4 8 4" xfId="38014"/>
    <cellStyle name="Input [yellow] 2 18 4 8 5" xfId="49207"/>
    <cellStyle name="Input [yellow] 2 18 4 9" xfId="5115"/>
    <cellStyle name="Input [yellow] 2 18 4 9 2" xfId="16312"/>
    <cellStyle name="Input [yellow] 2 18 4 9 3" xfId="27480"/>
    <cellStyle name="Input [yellow] 2 18 4 9 4" xfId="38645"/>
    <cellStyle name="Input [yellow] 2 18 4 9 5" xfId="49838"/>
    <cellStyle name="Input [yellow] 2 18 5" xfId="234"/>
    <cellStyle name="Input [yellow] 2 18 5 10" xfId="5847"/>
    <cellStyle name="Input [yellow] 2 18 5 10 2" xfId="17044"/>
    <cellStyle name="Input [yellow] 2 18 5 10 3" xfId="28212"/>
    <cellStyle name="Input [yellow] 2 18 5 10 4" xfId="39377"/>
    <cellStyle name="Input [yellow] 2 18 5 10 5" xfId="50570"/>
    <cellStyle name="Input [yellow] 2 18 5 11" xfId="5608"/>
    <cellStyle name="Input [yellow] 2 18 5 11 2" xfId="16805"/>
    <cellStyle name="Input [yellow] 2 18 5 11 3" xfId="27973"/>
    <cellStyle name="Input [yellow] 2 18 5 11 4" xfId="39138"/>
    <cellStyle name="Input [yellow] 2 18 5 11 5" xfId="50331"/>
    <cellStyle name="Input [yellow] 2 18 5 12" xfId="6803"/>
    <cellStyle name="Input [yellow] 2 18 5 12 2" xfId="18000"/>
    <cellStyle name="Input [yellow] 2 18 5 12 3" xfId="29168"/>
    <cellStyle name="Input [yellow] 2 18 5 12 4" xfId="40333"/>
    <cellStyle name="Input [yellow] 2 18 5 12 5" xfId="51526"/>
    <cellStyle name="Input [yellow] 2 18 5 13" xfId="7437"/>
    <cellStyle name="Input [yellow] 2 18 5 13 2" xfId="18634"/>
    <cellStyle name="Input [yellow] 2 18 5 13 3" xfId="29802"/>
    <cellStyle name="Input [yellow] 2 18 5 13 4" xfId="40967"/>
    <cellStyle name="Input [yellow] 2 18 5 13 5" xfId="52160"/>
    <cellStyle name="Input [yellow] 2 18 5 14" xfId="8071"/>
    <cellStyle name="Input [yellow] 2 18 5 14 2" xfId="19268"/>
    <cellStyle name="Input [yellow] 2 18 5 14 3" xfId="30436"/>
    <cellStyle name="Input [yellow] 2 18 5 14 4" xfId="41601"/>
    <cellStyle name="Input [yellow] 2 18 5 14 5" xfId="52794"/>
    <cellStyle name="Input [yellow] 2 18 5 15" xfId="8702"/>
    <cellStyle name="Input [yellow] 2 18 5 15 2" xfId="19899"/>
    <cellStyle name="Input [yellow] 2 18 5 15 3" xfId="31067"/>
    <cellStyle name="Input [yellow] 2 18 5 15 4" xfId="42232"/>
    <cellStyle name="Input [yellow] 2 18 5 15 5" xfId="53425"/>
    <cellStyle name="Input [yellow] 2 18 5 16" xfId="8954"/>
    <cellStyle name="Input [yellow] 2 18 5 16 2" xfId="20151"/>
    <cellStyle name="Input [yellow] 2 18 5 16 3" xfId="31319"/>
    <cellStyle name="Input [yellow] 2 18 5 16 4" xfId="42484"/>
    <cellStyle name="Input [yellow] 2 18 5 16 5" xfId="53677"/>
    <cellStyle name="Input [yellow] 2 18 5 17" xfId="9753"/>
    <cellStyle name="Input [yellow] 2 18 5 17 2" xfId="20950"/>
    <cellStyle name="Input [yellow] 2 18 5 17 3" xfId="32118"/>
    <cellStyle name="Input [yellow] 2 18 5 17 4" xfId="43283"/>
    <cellStyle name="Input [yellow] 2 18 5 17 5" xfId="54476"/>
    <cellStyle name="Input [yellow] 2 18 5 18" xfId="10287"/>
    <cellStyle name="Input [yellow] 2 18 5 18 2" xfId="21484"/>
    <cellStyle name="Input [yellow] 2 18 5 18 3" xfId="32652"/>
    <cellStyle name="Input [yellow] 2 18 5 18 4" xfId="43817"/>
    <cellStyle name="Input [yellow] 2 18 5 18 5" xfId="55010"/>
    <cellStyle name="Input [yellow] 2 18 5 19" xfId="10787"/>
    <cellStyle name="Input [yellow] 2 18 5 19 2" xfId="21984"/>
    <cellStyle name="Input [yellow] 2 18 5 19 3" xfId="33152"/>
    <cellStyle name="Input [yellow] 2 18 5 19 4" xfId="44317"/>
    <cellStyle name="Input [yellow] 2 18 5 19 5" xfId="55510"/>
    <cellStyle name="Input [yellow] 2 18 5 2" xfId="883"/>
    <cellStyle name="Input [yellow] 2 18 5 2 2" xfId="12080"/>
    <cellStyle name="Input [yellow] 2 18 5 2 3" xfId="23248"/>
    <cellStyle name="Input [yellow] 2 18 5 2 4" xfId="34413"/>
    <cellStyle name="Input [yellow] 2 18 5 2 5" xfId="45606"/>
    <cellStyle name="Input [yellow] 2 18 5 20" xfId="11434"/>
    <cellStyle name="Input [yellow] 2 18 5 21" xfId="22604"/>
    <cellStyle name="Input [yellow] 2 18 5 22" xfId="33771"/>
    <cellStyle name="Input [yellow] 2 18 5 23" xfId="44957"/>
    <cellStyle name="Input [yellow] 2 18 5 3" xfId="1618"/>
    <cellStyle name="Input [yellow] 2 18 5 3 2" xfId="12815"/>
    <cellStyle name="Input [yellow] 2 18 5 3 3" xfId="23983"/>
    <cellStyle name="Input [yellow] 2 18 5 3 4" xfId="35148"/>
    <cellStyle name="Input [yellow] 2 18 5 3 5" xfId="46341"/>
    <cellStyle name="Input [yellow] 2 18 5 4" xfId="2160"/>
    <cellStyle name="Input [yellow] 2 18 5 4 2" xfId="13357"/>
    <cellStyle name="Input [yellow] 2 18 5 4 3" xfId="24525"/>
    <cellStyle name="Input [yellow] 2 18 5 4 4" xfId="35690"/>
    <cellStyle name="Input [yellow] 2 18 5 4 5" xfId="46883"/>
    <cellStyle name="Input [yellow] 2 18 5 5" xfId="2202"/>
    <cellStyle name="Input [yellow] 2 18 5 5 2" xfId="13399"/>
    <cellStyle name="Input [yellow] 2 18 5 5 3" xfId="24567"/>
    <cellStyle name="Input [yellow] 2 18 5 5 4" xfId="35732"/>
    <cellStyle name="Input [yellow] 2 18 5 5 5" xfId="46925"/>
    <cellStyle name="Input [yellow] 2 18 5 6" xfId="3218"/>
    <cellStyle name="Input [yellow] 2 18 5 6 2" xfId="14415"/>
    <cellStyle name="Input [yellow] 2 18 5 6 3" xfId="25583"/>
    <cellStyle name="Input [yellow] 2 18 5 6 4" xfId="36748"/>
    <cellStyle name="Input [yellow] 2 18 5 6 5" xfId="47941"/>
    <cellStyle name="Input [yellow] 2 18 5 7" xfId="3852"/>
    <cellStyle name="Input [yellow] 2 18 5 7 2" xfId="15049"/>
    <cellStyle name="Input [yellow] 2 18 5 7 3" xfId="26217"/>
    <cellStyle name="Input [yellow] 2 18 5 7 4" xfId="37382"/>
    <cellStyle name="Input [yellow] 2 18 5 7 5" xfId="48575"/>
    <cellStyle name="Input [yellow] 2 18 5 8" xfId="4485"/>
    <cellStyle name="Input [yellow] 2 18 5 8 2" xfId="15682"/>
    <cellStyle name="Input [yellow] 2 18 5 8 3" xfId="26850"/>
    <cellStyle name="Input [yellow] 2 18 5 8 4" xfId="38015"/>
    <cellStyle name="Input [yellow] 2 18 5 8 5" xfId="49208"/>
    <cellStyle name="Input [yellow] 2 18 5 9" xfId="5116"/>
    <cellStyle name="Input [yellow] 2 18 5 9 2" xfId="16313"/>
    <cellStyle name="Input [yellow] 2 18 5 9 3" xfId="27481"/>
    <cellStyle name="Input [yellow] 2 18 5 9 4" xfId="38646"/>
    <cellStyle name="Input [yellow] 2 18 5 9 5" xfId="49839"/>
    <cellStyle name="Input [yellow] 2 18 6" xfId="331"/>
    <cellStyle name="Input [yellow] 2 18 6 10" xfId="6166"/>
    <cellStyle name="Input [yellow] 2 18 6 10 2" xfId="17363"/>
    <cellStyle name="Input [yellow] 2 18 6 10 3" xfId="28531"/>
    <cellStyle name="Input [yellow] 2 18 6 10 4" xfId="39696"/>
    <cellStyle name="Input [yellow] 2 18 6 10 5" xfId="50889"/>
    <cellStyle name="Input [yellow] 2 18 6 11" xfId="6267"/>
    <cellStyle name="Input [yellow] 2 18 6 11 2" xfId="17464"/>
    <cellStyle name="Input [yellow] 2 18 6 11 3" xfId="28632"/>
    <cellStyle name="Input [yellow] 2 18 6 11 4" xfId="39797"/>
    <cellStyle name="Input [yellow] 2 18 6 11 5" xfId="50990"/>
    <cellStyle name="Input [yellow] 2 18 6 12" xfId="6900"/>
    <cellStyle name="Input [yellow] 2 18 6 12 2" xfId="18097"/>
    <cellStyle name="Input [yellow] 2 18 6 12 3" xfId="29265"/>
    <cellStyle name="Input [yellow] 2 18 6 12 4" xfId="40430"/>
    <cellStyle name="Input [yellow] 2 18 6 12 5" xfId="51623"/>
    <cellStyle name="Input [yellow] 2 18 6 13" xfId="7534"/>
    <cellStyle name="Input [yellow] 2 18 6 13 2" xfId="18731"/>
    <cellStyle name="Input [yellow] 2 18 6 13 3" xfId="29899"/>
    <cellStyle name="Input [yellow] 2 18 6 13 4" xfId="41064"/>
    <cellStyle name="Input [yellow] 2 18 6 13 5" xfId="52257"/>
    <cellStyle name="Input [yellow] 2 18 6 14" xfId="8168"/>
    <cellStyle name="Input [yellow] 2 18 6 14 2" xfId="19365"/>
    <cellStyle name="Input [yellow] 2 18 6 14 3" xfId="30533"/>
    <cellStyle name="Input [yellow] 2 18 6 14 4" xfId="41698"/>
    <cellStyle name="Input [yellow] 2 18 6 14 5" xfId="52891"/>
    <cellStyle name="Input [yellow] 2 18 6 15" xfId="8797"/>
    <cellStyle name="Input [yellow] 2 18 6 15 2" xfId="19994"/>
    <cellStyle name="Input [yellow] 2 18 6 15 3" xfId="31162"/>
    <cellStyle name="Input [yellow] 2 18 6 15 4" xfId="42327"/>
    <cellStyle name="Input [yellow] 2 18 6 15 5" xfId="53520"/>
    <cellStyle name="Input [yellow] 2 18 6 16" xfId="9219"/>
    <cellStyle name="Input [yellow] 2 18 6 16 2" xfId="20416"/>
    <cellStyle name="Input [yellow] 2 18 6 16 3" xfId="31584"/>
    <cellStyle name="Input [yellow] 2 18 6 16 4" xfId="42749"/>
    <cellStyle name="Input [yellow] 2 18 6 16 5" xfId="53942"/>
    <cellStyle name="Input [yellow] 2 18 6 17" xfId="9846"/>
    <cellStyle name="Input [yellow] 2 18 6 17 2" xfId="21043"/>
    <cellStyle name="Input [yellow] 2 18 6 17 3" xfId="32211"/>
    <cellStyle name="Input [yellow] 2 18 6 17 4" xfId="43376"/>
    <cellStyle name="Input [yellow] 2 18 6 17 5" xfId="54569"/>
    <cellStyle name="Input [yellow] 2 18 6 18" xfId="10377"/>
    <cellStyle name="Input [yellow] 2 18 6 18 2" xfId="21574"/>
    <cellStyle name="Input [yellow] 2 18 6 18 3" xfId="32742"/>
    <cellStyle name="Input [yellow] 2 18 6 18 4" xfId="43907"/>
    <cellStyle name="Input [yellow] 2 18 6 18 5" xfId="55100"/>
    <cellStyle name="Input [yellow] 2 18 6 19" xfId="10884"/>
    <cellStyle name="Input [yellow] 2 18 6 19 2" xfId="22081"/>
    <cellStyle name="Input [yellow] 2 18 6 19 3" xfId="33249"/>
    <cellStyle name="Input [yellow] 2 18 6 19 4" xfId="44414"/>
    <cellStyle name="Input [yellow] 2 18 6 19 5" xfId="55607"/>
    <cellStyle name="Input [yellow] 2 18 6 2" xfId="980"/>
    <cellStyle name="Input [yellow] 2 18 6 2 2" xfId="12177"/>
    <cellStyle name="Input [yellow] 2 18 6 2 3" xfId="23345"/>
    <cellStyle name="Input [yellow] 2 18 6 2 4" xfId="34510"/>
    <cellStyle name="Input [yellow] 2 18 6 2 5" xfId="45703"/>
    <cellStyle name="Input [yellow] 2 18 6 20" xfId="11531"/>
    <cellStyle name="Input [yellow] 2 18 6 21" xfId="22701"/>
    <cellStyle name="Input [yellow] 2 18 6 22" xfId="33868"/>
    <cellStyle name="Input [yellow] 2 18 6 23" xfId="45054"/>
    <cellStyle name="Input [yellow] 2 18 6 3" xfId="1700"/>
    <cellStyle name="Input [yellow] 2 18 6 3 2" xfId="12897"/>
    <cellStyle name="Input [yellow] 2 18 6 3 3" xfId="24065"/>
    <cellStyle name="Input [yellow] 2 18 6 3 4" xfId="35230"/>
    <cellStyle name="Input [yellow] 2 18 6 3 5" xfId="46423"/>
    <cellStyle name="Input [yellow] 2 18 6 4" xfId="2256"/>
    <cellStyle name="Input [yellow] 2 18 6 4 2" xfId="13453"/>
    <cellStyle name="Input [yellow] 2 18 6 4 3" xfId="24621"/>
    <cellStyle name="Input [yellow] 2 18 6 4 4" xfId="35786"/>
    <cellStyle name="Input [yellow] 2 18 6 4 5" xfId="46979"/>
    <cellStyle name="Input [yellow] 2 18 6 5" xfId="2681"/>
    <cellStyle name="Input [yellow] 2 18 6 5 2" xfId="13878"/>
    <cellStyle name="Input [yellow] 2 18 6 5 3" xfId="25046"/>
    <cellStyle name="Input [yellow] 2 18 6 5 4" xfId="36211"/>
    <cellStyle name="Input [yellow] 2 18 6 5 5" xfId="47404"/>
    <cellStyle name="Input [yellow] 2 18 6 6" xfId="3315"/>
    <cellStyle name="Input [yellow] 2 18 6 6 2" xfId="14512"/>
    <cellStyle name="Input [yellow] 2 18 6 6 3" xfId="25680"/>
    <cellStyle name="Input [yellow] 2 18 6 6 4" xfId="36845"/>
    <cellStyle name="Input [yellow] 2 18 6 6 5" xfId="48038"/>
    <cellStyle name="Input [yellow] 2 18 6 7" xfId="3949"/>
    <cellStyle name="Input [yellow] 2 18 6 7 2" xfId="15146"/>
    <cellStyle name="Input [yellow] 2 18 6 7 3" xfId="26314"/>
    <cellStyle name="Input [yellow] 2 18 6 7 4" xfId="37479"/>
    <cellStyle name="Input [yellow] 2 18 6 7 5" xfId="48672"/>
    <cellStyle name="Input [yellow] 2 18 6 8" xfId="4582"/>
    <cellStyle name="Input [yellow] 2 18 6 8 2" xfId="15779"/>
    <cellStyle name="Input [yellow] 2 18 6 8 3" xfId="26947"/>
    <cellStyle name="Input [yellow] 2 18 6 8 4" xfId="38112"/>
    <cellStyle name="Input [yellow] 2 18 6 8 5" xfId="49305"/>
    <cellStyle name="Input [yellow] 2 18 6 9" xfId="5213"/>
    <cellStyle name="Input [yellow] 2 18 6 9 2" xfId="16410"/>
    <cellStyle name="Input [yellow] 2 18 6 9 3" xfId="27578"/>
    <cellStyle name="Input [yellow] 2 18 6 9 4" xfId="38743"/>
    <cellStyle name="Input [yellow] 2 18 6 9 5" xfId="49936"/>
    <cellStyle name="Input [yellow] 2 18 7" xfId="414"/>
    <cellStyle name="Input [yellow] 2 18 7 10" xfId="5602"/>
    <cellStyle name="Input [yellow] 2 18 7 10 2" xfId="16799"/>
    <cellStyle name="Input [yellow] 2 18 7 10 3" xfId="27967"/>
    <cellStyle name="Input [yellow] 2 18 7 10 4" xfId="39132"/>
    <cellStyle name="Input [yellow] 2 18 7 10 5" xfId="50325"/>
    <cellStyle name="Input [yellow] 2 18 7 11" xfId="6350"/>
    <cellStyle name="Input [yellow] 2 18 7 11 2" xfId="17547"/>
    <cellStyle name="Input [yellow] 2 18 7 11 3" xfId="28715"/>
    <cellStyle name="Input [yellow] 2 18 7 11 4" xfId="39880"/>
    <cellStyle name="Input [yellow] 2 18 7 11 5" xfId="51073"/>
    <cellStyle name="Input [yellow] 2 18 7 12" xfId="6983"/>
    <cellStyle name="Input [yellow] 2 18 7 12 2" xfId="18180"/>
    <cellStyle name="Input [yellow] 2 18 7 12 3" xfId="29348"/>
    <cellStyle name="Input [yellow] 2 18 7 12 4" xfId="40513"/>
    <cellStyle name="Input [yellow] 2 18 7 12 5" xfId="51706"/>
    <cellStyle name="Input [yellow] 2 18 7 13" xfId="7617"/>
    <cellStyle name="Input [yellow] 2 18 7 13 2" xfId="18814"/>
    <cellStyle name="Input [yellow] 2 18 7 13 3" xfId="29982"/>
    <cellStyle name="Input [yellow] 2 18 7 13 4" xfId="41147"/>
    <cellStyle name="Input [yellow] 2 18 7 13 5" xfId="52340"/>
    <cellStyle name="Input [yellow] 2 18 7 14" xfId="8251"/>
    <cellStyle name="Input [yellow] 2 18 7 14 2" xfId="19448"/>
    <cellStyle name="Input [yellow] 2 18 7 14 3" xfId="30616"/>
    <cellStyle name="Input [yellow] 2 18 7 14 4" xfId="41781"/>
    <cellStyle name="Input [yellow] 2 18 7 14 5" xfId="52974"/>
    <cellStyle name="Input [yellow] 2 18 7 15" xfId="8879"/>
    <cellStyle name="Input [yellow] 2 18 7 15 2" xfId="20076"/>
    <cellStyle name="Input [yellow] 2 18 7 15 3" xfId="31244"/>
    <cellStyle name="Input [yellow] 2 18 7 15 4" xfId="42409"/>
    <cellStyle name="Input [yellow] 2 18 7 15 5" xfId="53602"/>
    <cellStyle name="Input [yellow] 2 18 7 16" xfId="9302"/>
    <cellStyle name="Input [yellow] 2 18 7 16 2" xfId="20499"/>
    <cellStyle name="Input [yellow] 2 18 7 16 3" xfId="31667"/>
    <cellStyle name="Input [yellow] 2 18 7 16 4" xfId="42832"/>
    <cellStyle name="Input [yellow] 2 18 7 16 5" xfId="54025"/>
    <cellStyle name="Input [yellow] 2 18 7 17" xfId="9928"/>
    <cellStyle name="Input [yellow] 2 18 7 17 2" xfId="21125"/>
    <cellStyle name="Input [yellow] 2 18 7 17 3" xfId="32293"/>
    <cellStyle name="Input [yellow] 2 18 7 17 4" xfId="43458"/>
    <cellStyle name="Input [yellow] 2 18 7 17 5" xfId="54651"/>
    <cellStyle name="Input [yellow] 2 18 7 18" xfId="9695"/>
    <cellStyle name="Input [yellow] 2 18 7 18 2" xfId="20892"/>
    <cellStyle name="Input [yellow] 2 18 7 18 3" xfId="32060"/>
    <cellStyle name="Input [yellow] 2 18 7 18 4" xfId="43225"/>
    <cellStyle name="Input [yellow] 2 18 7 18 5" xfId="54418"/>
    <cellStyle name="Input [yellow] 2 18 7 19" xfId="10967"/>
    <cellStyle name="Input [yellow] 2 18 7 19 2" xfId="22164"/>
    <cellStyle name="Input [yellow] 2 18 7 19 3" xfId="33332"/>
    <cellStyle name="Input [yellow] 2 18 7 19 4" xfId="44497"/>
    <cellStyle name="Input [yellow] 2 18 7 19 5" xfId="55690"/>
    <cellStyle name="Input [yellow] 2 18 7 2" xfId="1063"/>
    <cellStyle name="Input [yellow] 2 18 7 2 2" xfId="12260"/>
    <cellStyle name="Input [yellow] 2 18 7 2 3" xfId="23428"/>
    <cellStyle name="Input [yellow] 2 18 7 2 4" xfId="34593"/>
    <cellStyle name="Input [yellow] 2 18 7 2 5" xfId="45786"/>
    <cellStyle name="Input [yellow] 2 18 7 20" xfId="11614"/>
    <cellStyle name="Input [yellow] 2 18 7 21" xfId="22784"/>
    <cellStyle name="Input [yellow] 2 18 7 22" xfId="33951"/>
    <cellStyle name="Input [yellow] 2 18 7 23" xfId="45137"/>
    <cellStyle name="Input [yellow] 2 18 7 3" xfId="1437"/>
    <cellStyle name="Input [yellow] 2 18 7 3 2" xfId="12634"/>
    <cellStyle name="Input [yellow] 2 18 7 3 3" xfId="23802"/>
    <cellStyle name="Input [yellow] 2 18 7 3 4" xfId="34967"/>
    <cellStyle name="Input [yellow] 2 18 7 3 5" xfId="46160"/>
    <cellStyle name="Input [yellow] 2 18 7 4" xfId="2339"/>
    <cellStyle name="Input [yellow] 2 18 7 4 2" xfId="13536"/>
    <cellStyle name="Input [yellow] 2 18 7 4 3" xfId="24704"/>
    <cellStyle name="Input [yellow] 2 18 7 4 4" xfId="35869"/>
    <cellStyle name="Input [yellow] 2 18 7 4 5" xfId="47062"/>
    <cellStyle name="Input [yellow] 2 18 7 5" xfId="2764"/>
    <cellStyle name="Input [yellow] 2 18 7 5 2" xfId="13961"/>
    <cellStyle name="Input [yellow] 2 18 7 5 3" xfId="25129"/>
    <cellStyle name="Input [yellow] 2 18 7 5 4" xfId="36294"/>
    <cellStyle name="Input [yellow] 2 18 7 5 5" xfId="47487"/>
    <cellStyle name="Input [yellow] 2 18 7 6" xfId="3398"/>
    <cellStyle name="Input [yellow] 2 18 7 6 2" xfId="14595"/>
    <cellStyle name="Input [yellow] 2 18 7 6 3" xfId="25763"/>
    <cellStyle name="Input [yellow] 2 18 7 6 4" xfId="36928"/>
    <cellStyle name="Input [yellow] 2 18 7 6 5" xfId="48121"/>
    <cellStyle name="Input [yellow] 2 18 7 7" xfId="4032"/>
    <cellStyle name="Input [yellow] 2 18 7 7 2" xfId="15229"/>
    <cellStyle name="Input [yellow] 2 18 7 7 3" xfId="26397"/>
    <cellStyle name="Input [yellow] 2 18 7 7 4" xfId="37562"/>
    <cellStyle name="Input [yellow] 2 18 7 7 5" xfId="48755"/>
    <cellStyle name="Input [yellow] 2 18 7 8" xfId="4665"/>
    <cellStyle name="Input [yellow] 2 18 7 8 2" xfId="15862"/>
    <cellStyle name="Input [yellow] 2 18 7 8 3" xfId="27030"/>
    <cellStyle name="Input [yellow] 2 18 7 8 4" xfId="38195"/>
    <cellStyle name="Input [yellow] 2 18 7 8 5" xfId="49388"/>
    <cellStyle name="Input [yellow] 2 18 7 9" xfId="5296"/>
    <cellStyle name="Input [yellow] 2 18 7 9 2" xfId="16493"/>
    <cellStyle name="Input [yellow] 2 18 7 9 3" xfId="27661"/>
    <cellStyle name="Input [yellow] 2 18 7 9 4" xfId="38826"/>
    <cellStyle name="Input [yellow] 2 18 7 9 5" xfId="50019"/>
    <cellStyle name="Input [yellow] 2 18 8" xfId="512"/>
    <cellStyle name="Input [yellow] 2 18 8 10" xfId="5985"/>
    <cellStyle name="Input [yellow] 2 18 8 10 2" xfId="17182"/>
    <cellStyle name="Input [yellow] 2 18 8 10 3" xfId="28350"/>
    <cellStyle name="Input [yellow] 2 18 8 10 4" xfId="39515"/>
    <cellStyle name="Input [yellow] 2 18 8 10 5" xfId="50708"/>
    <cellStyle name="Input [yellow] 2 18 8 11" xfId="6448"/>
    <cellStyle name="Input [yellow] 2 18 8 11 2" xfId="17645"/>
    <cellStyle name="Input [yellow] 2 18 8 11 3" xfId="28813"/>
    <cellStyle name="Input [yellow] 2 18 8 11 4" xfId="39978"/>
    <cellStyle name="Input [yellow] 2 18 8 11 5" xfId="51171"/>
    <cellStyle name="Input [yellow] 2 18 8 12" xfId="7081"/>
    <cellStyle name="Input [yellow] 2 18 8 12 2" xfId="18278"/>
    <cellStyle name="Input [yellow] 2 18 8 12 3" xfId="29446"/>
    <cellStyle name="Input [yellow] 2 18 8 12 4" xfId="40611"/>
    <cellStyle name="Input [yellow] 2 18 8 12 5" xfId="51804"/>
    <cellStyle name="Input [yellow] 2 18 8 13" xfId="7715"/>
    <cellStyle name="Input [yellow] 2 18 8 13 2" xfId="18912"/>
    <cellStyle name="Input [yellow] 2 18 8 13 3" xfId="30080"/>
    <cellStyle name="Input [yellow] 2 18 8 13 4" xfId="41245"/>
    <cellStyle name="Input [yellow] 2 18 8 13 5" xfId="52438"/>
    <cellStyle name="Input [yellow] 2 18 8 14" xfId="8349"/>
    <cellStyle name="Input [yellow] 2 18 8 14 2" xfId="19546"/>
    <cellStyle name="Input [yellow] 2 18 8 14 3" xfId="30714"/>
    <cellStyle name="Input [yellow] 2 18 8 14 4" xfId="41879"/>
    <cellStyle name="Input [yellow] 2 18 8 14 5" xfId="53072"/>
    <cellStyle name="Input [yellow] 2 18 8 15" xfId="8977"/>
    <cellStyle name="Input [yellow] 2 18 8 15 2" xfId="20174"/>
    <cellStyle name="Input [yellow] 2 18 8 15 3" xfId="31342"/>
    <cellStyle name="Input [yellow] 2 18 8 15 4" xfId="42507"/>
    <cellStyle name="Input [yellow] 2 18 8 15 5" xfId="53700"/>
    <cellStyle name="Input [yellow] 2 18 8 16" xfId="9400"/>
    <cellStyle name="Input [yellow] 2 18 8 16 2" xfId="20597"/>
    <cellStyle name="Input [yellow] 2 18 8 16 3" xfId="31765"/>
    <cellStyle name="Input [yellow] 2 18 8 16 4" xfId="42930"/>
    <cellStyle name="Input [yellow] 2 18 8 16 5" xfId="54123"/>
    <cellStyle name="Input [yellow] 2 18 8 17" xfId="10025"/>
    <cellStyle name="Input [yellow] 2 18 8 17 2" xfId="21222"/>
    <cellStyle name="Input [yellow] 2 18 8 17 3" xfId="32390"/>
    <cellStyle name="Input [yellow] 2 18 8 17 4" xfId="43555"/>
    <cellStyle name="Input [yellow] 2 18 8 17 5" xfId="54748"/>
    <cellStyle name="Input [yellow] 2 18 8 18" xfId="10463"/>
    <cellStyle name="Input [yellow] 2 18 8 18 2" xfId="21660"/>
    <cellStyle name="Input [yellow] 2 18 8 18 3" xfId="32828"/>
    <cellStyle name="Input [yellow] 2 18 8 18 4" xfId="43993"/>
    <cellStyle name="Input [yellow] 2 18 8 18 5" xfId="55186"/>
    <cellStyle name="Input [yellow] 2 18 8 19" xfId="11065"/>
    <cellStyle name="Input [yellow] 2 18 8 19 2" xfId="22262"/>
    <cellStyle name="Input [yellow] 2 18 8 19 3" xfId="33430"/>
    <cellStyle name="Input [yellow] 2 18 8 19 4" xfId="44595"/>
    <cellStyle name="Input [yellow] 2 18 8 19 5" xfId="55788"/>
    <cellStyle name="Input [yellow] 2 18 8 2" xfId="1161"/>
    <cellStyle name="Input [yellow] 2 18 8 2 2" xfId="12358"/>
    <cellStyle name="Input [yellow] 2 18 8 2 3" xfId="23526"/>
    <cellStyle name="Input [yellow] 2 18 8 2 4" xfId="34691"/>
    <cellStyle name="Input [yellow] 2 18 8 2 5" xfId="45884"/>
    <cellStyle name="Input [yellow] 2 18 8 20" xfId="11712"/>
    <cellStyle name="Input [yellow] 2 18 8 21" xfId="22882"/>
    <cellStyle name="Input [yellow] 2 18 8 22" xfId="34049"/>
    <cellStyle name="Input [yellow] 2 18 8 23" xfId="45235"/>
    <cellStyle name="Input [yellow] 2 18 8 3" xfId="1759"/>
    <cellStyle name="Input [yellow] 2 18 8 3 2" xfId="12956"/>
    <cellStyle name="Input [yellow] 2 18 8 3 3" xfId="24124"/>
    <cellStyle name="Input [yellow] 2 18 8 3 4" xfId="35289"/>
    <cellStyle name="Input [yellow] 2 18 8 3 5" xfId="46482"/>
    <cellStyle name="Input [yellow] 2 18 8 4" xfId="2437"/>
    <cellStyle name="Input [yellow] 2 18 8 4 2" xfId="13634"/>
    <cellStyle name="Input [yellow] 2 18 8 4 3" xfId="24802"/>
    <cellStyle name="Input [yellow] 2 18 8 4 4" xfId="35967"/>
    <cellStyle name="Input [yellow] 2 18 8 4 5" xfId="47160"/>
    <cellStyle name="Input [yellow] 2 18 8 5" xfId="2862"/>
    <cellStyle name="Input [yellow] 2 18 8 5 2" xfId="14059"/>
    <cellStyle name="Input [yellow] 2 18 8 5 3" xfId="25227"/>
    <cellStyle name="Input [yellow] 2 18 8 5 4" xfId="36392"/>
    <cellStyle name="Input [yellow] 2 18 8 5 5" xfId="47585"/>
    <cellStyle name="Input [yellow] 2 18 8 6" xfId="3496"/>
    <cellStyle name="Input [yellow] 2 18 8 6 2" xfId="14693"/>
    <cellStyle name="Input [yellow] 2 18 8 6 3" xfId="25861"/>
    <cellStyle name="Input [yellow] 2 18 8 6 4" xfId="37026"/>
    <cellStyle name="Input [yellow] 2 18 8 6 5" xfId="48219"/>
    <cellStyle name="Input [yellow] 2 18 8 7" xfId="4130"/>
    <cellStyle name="Input [yellow] 2 18 8 7 2" xfId="15327"/>
    <cellStyle name="Input [yellow] 2 18 8 7 3" xfId="26495"/>
    <cellStyle name="Input [yellow] 2 18 8 7 4" xfId="37660"/>
    <cellStyle name="Input [yellow] 2 18 8 7 5" xfId="48853"/>
    <cellStyle name="Input [yellow] 2 18 8 8" xfId="4763"/>
    <cellStyle name="Input [yellow] 2 18 8 8 2" xfId="15960"/>
    <cellStyle name="Input [yellow] 2 18 8 8 3" xfId="27128"/>
    <cellStyle name="Input [yellow] 2 18 8 8 4" xfId="38293"/>
    <cellStyle name="Input [yellow] 2 18 8 8 5" xfId="49486"/>
    <cellStyle name="Input [yellow] 2 18 8 9" xfId="5394"/>
    <cellStyle name="Input [yellow] 2 18 8 9 2" xfId="16591"/>
    <cellStyle name="Input [yellow] 2 18 8 9 3" xfId="27759"/>
    <cellStyle name="Input [yellow] 2 18 8 9 4" xfId="38924"/>
    <cellStyle name="Input [yellow] 2 18 8 9 5" xfId="50117"/>
    <cellStyle name="Input [yellow] 2 18 9" xfId="570"/>
    <cellStyle name="Input [yellow] 2 18 9 10" xfId="5804"/>
    <cellStyle name="Input [yellow] 2 18 9 10 2" xfId="17001"/>
    <cellStyle name="Input [yellow] 2 18 9 10 3" xfId="28169"/>
    <cellStyle name="Input [yellow] 2 18 9 10 4" xfId="39334"/>
    <cellStyle name="Input [yellow] 2 18 9 10 5" xfId="50527"/>
    <cellStyle name="Input [yellow] 2 18 9 11" xfId="6506"/>
    <cellStyle name="Input [yellow] 2 18 9 11 2" xfId="17703"/>
    <cellStyle name="Input [yellow] 2 18 9 11 3" xfId="28871"/>
    <cellStyle name="Input [yellow] 2 18 9 11 4" xfId="40036"/>
    <cellStyle name="Input [yellow] 2 18 9 11 5" xfId="51229"/>
    <cellStyle name="Input [yellow] 2 18 9 12" xfId="7139"/>
    <cellStyle name="Input [yellow] 2 18 9 12 2" xfId="18336"/>
    <cellStyle name="Input [yellow] 2 18 9 12 3" xfId="29504"/>
    <cellStyle name="Input [yellow] 2 18 9 12 4" xfId="40669"/>
    <cellStyle name="Input [yellow] 2 18 9 12 5" xfId="51862"/>
    <cellStyle name="Input [yellow] 2 18 9 13" xfId="7773"/>
    <cellStyle name="Input [yellow] 2 18 9 13 2" xfId="18970"/>
    <cellStyle name="Input [yellow] 2 18 9 13 3" xfId="30138"/>
    <cellStyle name="Input [yellow] 2 18 9 13 4" xfId="41303"/>
    <cellStyle name="Input [yellow] 2 18 9 13 5" xfId="52496"/>
    <cellStyle name="Input [yellow] 2 18 9 14" xfId="8407"/>
    <cellStyle name="Input [yellow] 2 18 9 14 2" xfId="19604"/>
    <cellStyle name="Input [yellow] 2 18 9 14 3" xfId="30772"/>
    <cellStyle name="Input [yellow] 2 18 9 14 4" xfId="41937"/>
    <cellStyle name="Input [yellow] 2 18 9 14 5" xfId="53130"/>
    <cellStyle name="Input [yellow] 2 18 9 15" xfId="9035"/>
    <cellStyle name="Input [yellow] 2 18 9 15 2" xfId="20232"/>
    <cellStyle name="Input [yellow] 2 18 9 15 3" xfId="31400"/>
    <cellStyle name="Input [yellow] 2 18 9 15 4" xfId="42565"/>
    <cellStyle name="Input [yellow] 2 18 9 15 5" xfId="53758"/>
    <cellStyle name="Input [yellow] 2 18 9 16" xfId="9458"/>
    <cellStyle name="Input [yellow] 2 18 9 16 2" xfId="20655"/>
    <cellStyle name="Input [yellow] 2 18 9 16 3" xfId="31823"/>
    <cellStyle name="Input [yellow] 2 18 9 16 4" xfId="42988"/>
    <cellStyle name="Input [yellow] 2 18 9 16 5" xfId="54181"/>
    <cellStyle name="Input [yellow] 2 18 9 17" xfId="10083"/>
    <cellStyle name="Input [yellow] 2 18 9 17 2" xfId="21280"/>
    <cellStyle name="Input [yellow] 2 18 9 17 3" xfId="32448"/>
    <cellStyle name="Input [yellow] 2 18 9 17 4" xfId="43613"/>
    <cellStyle name="Input [yellow] 2 18 9 17 5" xfId="54806"/>
    <cellStyle name="Input [yellow] 2 18 9 18" xfId="10277"/>
    <cellStyle name="Input [yellow] 2 18 9 18 2" xfId="21474"/>
    <cellStyle name="Input [yellow] 2 18 9 18 3" xfId="32642"/>
    <cellStyle name="Input [yellow] 2 18 9 18 4" xfId="43807"/>
    <cellStyle name="Input [yellow] 2 18 9 18 5" xfId="55000"/>
    <cellStyle name="Input [yellow] 2 18 9 19" xfId="11123"/>
    <cellStyle name="Input [yellow] 2 18 9 19 2" xfId="22320"/>
    <cellStyle name="Input [yellow] 2 18 9 19 3" xfId="33488"/>
    <cellStyle name="Input [yellow] 2 18 9 19 4" xfId="44653"/>
    <cellStyle name="Input [yellow] 2 18 9 19 5" xfId="55846"/>
    <cellStyle name="Input [yellow] 2 18 9 2" xfId="1219"/>
    <cellStyle name="Input [yellow] 2 18 9 2 2" xfId="12416"/>
    <cellStyle name="Input [yellow] 2 18 9 2 3" xfId="23584"/>
    <cellStyle name="Input [yellow] 2 18 9 2 4" xfId="34749"/>
    <cellStyle name="Input [yellow] 2 18 9 2 5" xfId="45942"/>
    <cellStyle name="Input [yellow] 2 18 9 20" xfId="11770"/>
    <cellStyle name="Input [yellow] 2 18 9 21" xfId="22940"/>
    <cellStyle name="Input [yellow] 2 18 9 22" xfId="34107"/>
    <cellStyle name="Input [yellow] 2 18 9 23" xfId="45293"/>
    <cellStyle name="Input [yellow] 2 18 9 3" xfId="1545"/>
    <cellStyle name="Input [yellow] 2 18 9 3 2" xfId="12742"/>
    <cellStyle name="Input [yellow] 2 18 9 3 3" xfId="23910"/>
    <cellStyle name="Input [yellow] 2 18 9 3 4" xfId="35075"/>
    <cellStyle name="Input [yellow] 2 18 9 3 5" xfId="46268"/>
    <cellStyle name="Input [yellow] 2 18 9 4" xfId="2495"/>
    <cellStyle name="Input [yellow] 2 18 9 4 2" xfId="13692"/>
    <cellStyle name="Input [yellow] 2 18 9 4 3" xfId="24860"/>
    <cellStyle name="Input [yellow] 2 18 9 4 4" xfId="36025"/>
    <cellStyle name="Input [yellow] 2 18 9 4 5" xfId="47218"/>
    <cellStyle name="Input [yellow] 2 18 9 5" xfId="2920"/>
    <cellStyle name="Input [yellow] 2 18 9 5 2" xfId="14117"/>
    <cellStyle name="Input [yellow] 2 18 9 5 3" xfId="25285"/>
    <cellStyle name="Input [yellow] 2 18 9 5 4" xfId="36450"/>
    <cellStyle name="Input [yellow] 2 18 9 5 5" xfId="47643"/>
    <cellStyle name="Input [yellow] 2 18 9 6" xfId="3554"/>
    <cellStyle name="Input [yellow] 2 18 9 6 2" xfId="14751"/>
    <cellStyle name="Input [yellow] 2 18 9 6 3" xfId="25919"/>
    <cellStyle name="Input [yellow] 2 18 9 6 4" xfId="37084"/>
    <cellStyle name="Input [yellow] 2 18 9 6 5" xfId="48277"/>
    <cellStyle name="Input [yellow] 2 18 9 7" xfId="4188"/>
    <cellStyle name="Input [yellow] 2 18 9 7 2" xfId="15385"/>
    <cellStyle name="Input [yellow] 2 18 9 7 3" xfId="26553"/>
    <cellStyle name="Input [yellow] 2 18 9 7 4" xfId="37718"/>
    <cellStyle name="Input [yellow] 2 18 9 7 5" xfId="48911"/>
    <cellStyle name="Input [yellow] 2 18 9 8" xfId="4821"/>
    <cellStyle name="Input [yellow] 2 18 9 8 2" xfId="16018"/>
    <cellStyle name="Input [yellow] 2 18 9 8 3" xfId="27186"/>
    <cellStyle name="Input [yellow] 2 18 9 8 4" xfId="38351"/>
    <cellStyle name="Input [yellow] 2 18 9 8 5" xfId="49544"/>
    <cellStyle name="Input [yellow] 2 18 9 9" xfId="5452"/>
    <cellStyle name="Input [yellow] 2 18 9 9 2" xfId="16649"/>
    <cellStyle name="Input [yellow] 2 18 9 9 3" xfId="27817"/>
    <cellStyle name="Input [yellow] 2 18 9 9 4" xfId="38982"/>
    <cellStyle name="Input [yellow] 2 18 9 9 5" xfId="50175"/>
    <cellStyle name="Input [yellow] 2 19" xfId="104"/>
    <cellStyle name="Input [yellow] 2 19 10" xfId="626"/>
    <cellStyle name="Input [yellow] 2 19 10 10" xfId="6118"/>
    <cellStyle name="Input [yellow] 2 19 10 10 2" xfId="17315"/>
    <cellStyle name="Input [yellow] 2 19 10 10 3" xfId="28483"/>
    <cellStyle name="Input [yellow] 2 19 10 10 4" xfId="39648"/>
    <cellStyle name="Input [yellow] 2 19 10 10 5" xfId="50841"/>
    <cellStyle name="Input [yellow] 2 19 10 11" xfId="6562"/>
    <cellStyle name="Input [yellow] 2 19 10 11 2" xfId="17759"/>
    <cellStyle name="Input [yellow] 2 19 10 11 3" xfId="28927"/>
    <cellStyle name="Input [yellow] 2 19 10 11 4" xfId="40092"/>
    <cellStyle name="Input [yellow] 2 19 10 11 5" xfId="51285"/>
    <cellStyle name="Input [yellow] 2 19 10 12" xfId="7195"/>
    <cellStyle name="Input [yellow] 2 19 10 12 2" xfId="18392"/>
    <cellStyle name="Input [yellow] 2 19 10 12 3" xfId="29560"/>
    <cellStyle name="Input [yellow] 2 19 10 12 4" xfId="40725"/>
    <cellStyle name="Input [yellow] 2 19 10 12 5" xfId="51918"/>
    <cellStyle name="Input [yellow] 2 19 10 13" xfId="7829"/>
    <cellStyle name="Input [yellow] 2 19 10 13 2" xfId="19026"/>
    <cellStyle name="Input [yellow] 2 19 10 13 3" xfId="30194"/>
    <cellStyle name="Input [yellow] 2 19 10 13 4" xfId="41359"/>
    <cellStyle name="Input [yellow] 2 19 10 13 5" xfId="52552"/>
    <cellStyle name="Input [yellow] 2 19 10 14" xfId="8463"/>
    <cellStyle name="Input [yellow] 2 19 10 14 2" xfId="19660"/>
    <cellStyle name="Input [yellow] 2 19 10 14 3" xfId="30828"/>
    <cellStyle name="Input [yellow] 2 19 10 14 4" xfId="41993"/>
    <cellStyle name="Input [yellow] 2 19 10 14 5" xfId="53186"/>
    <cellStyle name="Input [yellow] 2 19 10 15" xfId="9091"/>
    <cellStyle name="Input [yellow] 2 19 10 15 2" xfId="20288"/>
    <cellStyle name="Input [yellow] 2 19 10 15 3" xfId="31456"/>
    <cellStyle name="Input [yellow] 2 19 10 15 4" xfId="42621"/>
    <cellStyle name="Input [yellow] 2 19 10 15 5" xfId="53814"/>
    <cellStyle name="Input [yellow] 2 19 10 16" xfId="9514"/>
    <cellStyle name="Input [yellow] 2 19 10 16 2" xfId="20711"/>
    <cellStyle name="Input [yellow] 2 19 10 16 3" xfId="31879"/>
    <cellStyle name="Input [yellow] 2 19 10 16 4" xfId="43044"/>
    <cellStyle name="Input [yellow] 2 19 10 16 5" xfId="54237"/>
    <cellStyle name="Input [yellow] 2 19 10 17" xfId="10139"/>
    <cellStyle name="Input [yellow] 2 19 10 17 2" xfId="21336"/>
    <cellStyle name="Input [yellow] 2 19 10 17 3" xfId="32504"/>
    <cellStyle name="Input [yellow] 2 19 10 17 4" xfId="43669"/>
    <cellStyle name="Input [yellow] 2 19 10 17 5" xfId="54862"/>
    <cellStyle name="Input [yellow] 2 19 10 18" xfId="10231"/>
    <cellStyle name="Input [yellow] 2 19 10 18 2" xfId="21428"/>
    <cellStyle name="Input [yellow] 2 19 10 18 3" xfId="32596"/>
    <cellStyle name="Input [yellow] 2 19 10 18 4" xfId="43761"/>
    <cellStyle name="Input [yellow] 2 19 10 18 5" xfId="54954"/>
    <cellStyle name="Input [yellow] 2 19 10 19" xfId="11179"/>
    <cellStyle name="Input [yellow] 2 19 10 19 2" xfId="22376"/>
    <cellStyle name="Input [yellow] 2 19 10 19 3" xfId="33544"/>
    <cellStyle name="Input [yellow] 2 19 10 19 4" xfId="44709"/>
    <cellStyle name="Input [yellow] 2 19 10 19 5" xfId="55902"/>
    <cellStyle name="Input [yellow] 2 19 10 2" xfId="1275"/>
    <cellStyle name="Input [yellow] 2 19 10 2 2" xfId="12472"/>
    <cellStyle name="Input [yellow] 2 19 10 2 3" xfId="23640"/>
    <cellStyle name="Input [yellow] 2 19 10 2 4" xfId="34805"/>
    <cellStyle name="Input [yellow] 2 19 10 2 5" xfId="45998"/>
    <cellStyle name="Input [yellow] 2 19 10 20" xfId="11826"/>
    <cellStyle name="Input [yellow] 2 19 10 21" xfId="22996"/>
    <cellStyle name="Input [yellow] 2 19 10 22" xfId="34163"/>
    <cellStyle name="Input [yellow] 2 19 10 23" xfId="45349"/>
    <cellStyle name="Input [yellow] 2 19 10 3" xfId="1617"/>
    <cellStyle name="Input [yellow] 2 19 10 3 2" xfId="12814"/>
    <cellStyle name="Input [yellow] 2 19 10 3 3" xfId="23982"/>
    <cellStyle name="Input [yellow] 2 19 10 3 4" xfId="35147"/>
    <cellStyle name="Input [yellow] 2 19 10 3 5" xfId="46340"/>
    <cellStyle name="Input [yellow] 2 19 10 4" xfId="2551"/>
    <cellStyle name="Input [yellow] 2 19 10 4 2" xfId="13748"/>
    <cellStyle name="Input [yellow] 2 19 10 4 3" xfId="24916"/>
    <cellStyle name="Input [yellow] 2 19 10 4 4" xfId="36081"/>
    <cellStyle name="Input [yellow] 2 19 10 4 5" xfId="47274"/>
    <cellStyle name="Input [yellow] 2 19 10 5" xfId="2976"/>
    <cellStyle name="Input [yellow] 2 19 10 5 2" xfId="14173"/>
    <cellStyle name="Input [yellow] 2 19 10 5 3" xfId="25341"/>
    <cellStyle name="Input [yellow] 2 19 10 5 4" xfId="36506"/>
    <cellStyle name="Input [yellow] 2 19 10 5 5" xfId="47699"/>
    <cellStyle name="Input [yellow] 2 19 10 6" xfId="3610"/>
    <cellStyle name="Input [yellow] 2 19 10 6 2" xfId="14807"/>
    <cellStyle name="Input [yellow] 2 19 10 6 3" xfId="25975"/>
    <cellStyle name="Input [yellow] 2 19 10 6 4" xfId="37140"/>
    <cellStyle name="Input [yellow] 2 19 10 6 5" xfId="48333"/>
    <cellStyle name="Input [yellow] 2 19 10 7" xfId="4244"/>
    <cellStyle name="Input [yellow] 2 19 10 7 2" xfId="15441"/>
    <cellStyle name="Input [yellow] 2 19 10 7 3" xfId="26609"/>
    <cellStyle name="Input [yellow] 2 19 10 7 4" xfId="37774"/>
    <cellStyle name="Input [yellow] 2 19 10 7 5" xfId="48967"/>
    <cellStyle name="Input [yellow] 2 19 10 8" xfId="4877"/>
    <cellStyle name="Input [yellow] 2 19 10 8 2" xfId="16074"/>
    <cellStyle name="Input [yellow] 2 19 10 8 3" xfId="27242"/>
    <cellStyle name="Input [yellow] 2 19 10 8 4" xfId="38407"/>
    <cellStyle name="Input [yellow] 2 19 10 8 5" xfId="49600"/>
    <cellStyle name="Input [yellow] 2 19 10 9" xfId="5508"/>
    <cellStyle name="Input [yellow] 2 19 10 9 2" xfId="16705"/>
    <cellStyle name="Input [yellow] 2 19 10 9 3" xfId="27873"/>
    <cellStyle name="Input [yellow] 2 19 10 9 4" xfId="39038"/>
    <cellStyle name="Input [yellow] 2 19 10 9 5" xfId="50231"/>
    <cellStyle name="Input [yellow] 2 19 11" xfId="606"/>
    <cellStyle name="Input [yellow] 2 19 11 10" xfId="4298"/>
    <cellStyle name="Input [yellow] 2 19 11 10 2" xfId="15495"/>
    <cellStyle name="Input [yellow] 2 19 11 10 3" xfId="26663"/>
    <cellStyle name="Input [yellow] 2 19 11 10 4" xfId="37828"/>
    <cellStyle name="Input [yellow] 2 19 11 10 5" xfId="49021"/>
    <cellStyle name="Input [yellow] 2 19 11 11" xfId="6542"/>
    <cellStyle name="Input [yellow] 2 19 11 11 2" xfId="17739"/>
    <cellStyle name="Input [yellow] 2 19 11 11 3" xfId="28907"/>
    <cellStyle name="Input [yellow] 2 19 11 11 4" xfId="40072"/>
    <cellStyle name="Input [yellow] 2 19 11 11 5" xfId="51265"/>
    <cellStyle name="Input [yellow] 2 19 11 12" xfId="7175"/>
    <cellStyle name="Input [yellow] 2 19 11 12 2" xfId="18372"/>
    <cellStyle name="Input [yellow] 2 19 11 12 3" xfId="29540"/>
    <cellStyle name="Input [yellow] 2 19 11 12 4" xfId="40705"/>
    <cellStyle name="Input [yellow] 2 19 11 12 5" xfId="51898"/>
    <cellStyle name="Input [yellow] 2 19 11 13" xfId="7809"/>
    <cellStyle name="Input [yellow] 2 19 11 13 2" xfId="19006"/>
    <cellStyle name="Input [yellow] 2 19 11 13 3" xfId="30174"/>
    <cellStyle name="Input [yellow] 2 19 11 13 4" xfId="41339"/>
    <cellStyle name="Input [yellow] 2 19 11 13 5" xfId="52532"/>
    <cellStyle name="Input [yellow] 2 19 11 14" xfId="8443"/>
    <cellStyle name="Input [yellow] 2 19 11 14 2" xfId="19640"/>
    <cellStyle name="Input [yellow] 2 19 11 14 3" xfId="30808"/>
    <cellStyle name="Input [yellow] 2 19 11 14 4" xfId="41973"/>
    <cellStyle name="Input [yellow] 2 19 11 14 5" xfId="53166"/>
    <cellStyle name="Input [yellow] 2 19 11 15" xfId="9071"/>
    <cellStyle name="Input [yellow] 2 19 11 15 2" xfId="20268"/>
    <cellStyle name="Input [yellow] 2 19 11 15 3" xfId="31436"/>
    <cellStyle name="Input [yellow] 2 19 11 15 4" xfId="42601"/>
    <cellStyle name="Input [yellow] 2 19 11 15 5" xfId="53794"/>
    <cellStyle name="Input [yellow] 2 19 11 16" xfId="9494"/>
    <cellStyle name="Input [yellow] 2 19 11 16 2" xfId="20691"/>
    <cellStyle name="Input [yellow] 2 19 11 16 3" xfId="31859"/>
    <cellStyle name="Input [yellow] 2 19 11 16 4" xfId="43024"/>
    <cellStyle name="Input [yellow] 2 19 11 16 5" xfId="54217"/>
    <cellStyle name="Input [yellow] 2 19 11 17" xfId="10119"/>
    <cellStyle name="Input [yellow] 2 19 11 17 2" xfId="21316"/>
    <cellStyle name="Input [yellow] 2 19 11 17 3" xfId="32484"/>
    <cellStyle name="Input [yellow] 2 19 11 17 4" xfId="43649"/>
    <cellStyle name="Input [yellow] 2 19 11 17 5" xfId="54842"/>
    <cellStyle name="Input [yellow] 2 19 11 18" xfId="7928"/>
    <cellStyle name="Input [yellow] 2 19 11 18 2" xfId="19125"/>
    <cellStyle name="Input [yellow] 2 19 11 18 3" xfId="30293"/>
    <cellStyle name="Input [yellow] 2 19 11 18 4" xfId="41458"/>
    <cellStyle name="Input [yellow] 2 19 11 18 5" xfId="52651"/>
    <cellStyle name="Input [yellow] 2 19 11 19" xfId="11159"/>
    <cellStyle name="Input [yellow] 2 19 11 19 2" xfId="22356"/>
    <cellStyle name="Input [yellow] 2 19 11 19 3" xfId="33524"/>
    <cellStyle name="Input [yellow] 2 19 11 19 4" xfId="44689"/>
    <cellStyle name="Input [yellow] 2 19 11 19 5" xfId="55882"/>
    <cellStyle name="Input [yellow] 2 19 11 2" xfId="1255"/>
    <cellStyle name="Input [yellow] 2 19 11 2 2" xfId="12452"/>
    <cellStyle name="Input [yellow] 2 19 11 2 3" xfId="23620"/>
    <cellStyle name="Input [yellow] 2 19 11 2 4" xfId="34785"/>
    <cellStyle name="Input [yellow] 2 19 11 2 5" xfId="45978"/>
    <cellStyle name="Input [yellow] 2 19 11 20" xfId="11806"/>
    <cellStyle name="Input [yellow] 2 19 11 21" xfId="22976"/>
    <cellStyle name="Input [yellow] 2 19 11 22" xfId="34143"/>
    <cellStyle name="Input [yellow] 2 19 11 23" xfId="45329"/>
    <cellStyle name="Input [yellow] 2 19 11 3" xfId="1506"/>
    <cellStyle name="Input [yellow] 2 19 11 3 2" xfId="12703"/>
    <cellStyle name="Input [yellow] 2 19 11 3 3" xfId="23871"/>
    <cellStyle name="Input [yellow] 2 19 11 3 4" xfId="35036"/>
    <cellStyle name="Input [yellow] 2 19 11 3 5" xfId="46229"/>
    <cellStyle name="Input [yellow] 2 19 11 4" xfId="2531"/>
    <cellStyle name="Input [yellow] 2 19 11 4 2" xfId="13728"/>
    <cellStyle name="Input [yellow] 2 19 11 4 3" xfId="24896"/>
    <cellStyle name="Input [yellow] 2 19 11 4 4" xfId="36061"/>
    <cellStyle name="Input [yellow] 2 19 11 4 5" xfId="47254"/>
    <cellStyle name="Input [yellow] 2 19 11 5" xfId="2956"/>
    <cellStyle name="Input [yellow] 2 19 11 5 2" xfId="14153"/>
    <cellStyle name="Input [yellow] 2 19 11 5 3" xfId="25321"/>
    <cellStyle name="Input [yellow] 2 19 11 5 4" xfId="36486"/>
    <cellStyle name="Input [yellow] 2 19 11 5 5" xfId="47679"/>
    <cellStyle name="Input [yellow] 2 19 11 6" xfId="3590"/>
    <cellStyle name="Input [yellow] 2 19 11 6 2" xfId="14787"/>
    <cellStyle name="Input [yellow] 2 19 11 6 3" xfId="25955"/>
    <cellStyle name="Input [yellow] 2 19 11 6 4" xfId="37120"/>
    <cellStyle name="Input [yellow] 2 19 11 6 5" xfId="48313"/>
    <cellStyle name="Input [yellow] 2 19 11 7" xfId="4224"/>
    <cellStyle name="Input [yellow] 2 19 11 7 2" xfId="15421"/>
    <cellStyle name="Input [yellow] 2 19 11 7 3" xfId="26589"/>
    <cellStyle name="Input [yellow] 2 19 11 7 4" xfId="37754"/>
    <cellStyle name="Input [yellow] 2 19 11 7 5" xfId="48947"/>
    <cellStyle name="Input [yellow] 2 19 11 8" xfId="4857"/>
    <cellStyle name="Input [yellow] 2 19 11 8 2" xfId="16054"/>
    <cellStyle name="Input [yellow] 2 19 11 8 3" xfId="27222"/>
    <cellStyle name="Input [yellow] 2 19 11 8 4" xfId="38387"/>
    <cellStyle name="Input [yellow] 2 19 11 8 5" xfId="49580"/>
    <cellStyle name="Input [yellow] 2 19 11 9" xfId="5488"/>
    <cellStyle name="Input [yellow] 2 19 11 9 2" xfId="16685"/>
    <cellStyle name="Input [yellow] 2 19 11 9 3" xfId="27853"/>
    <cellStyle name="Input [yellow] 2 19 11 9 4" xfId="39018"/>
    <cellStyle name="Input [yellow] 2 19 11 9 5" xfId="50211"/>
    <cellStyle name="Input [yellow] 2 19 12" xfId="753"/>
    <cellStyle name="Input [yellow] 2 19 12 2" xfId="11950"/>
    <cellStyle name="Input [yellow] 2 19 12 3" xfId="23118"/>
    <cellStyle name="Input [yellow] 2 19 12 4" xfId="34283"/>
    <cellStyle name="Input [yellow] 2 19 12 5" xfId="45476"/>
    <cellStyle name="Input [yellow] 2 19 13" xfId="1464"/>
    <cellStyle name="Input [yellow] 2 19 13 2" xfId="12661"/>
    <cellStyle name="Input [yellow] 2 19 13 3" xfId="23829"/>
    <cellStyle name="Input [yellow] 2 19 13 4" xfId="34994"/>
    <cellStyle name="Input [yellow] 2 19 13 5" xfId="46187"/>
    <cellStyle name="Input [yellow] 2 19 14" xfId="2030"/>
    <cellStyle name="Input [yellow] 2 19 14 2" xfId="13227"/>
    <cellStyle name="Input [yellow] 2 19 14 3" xfId="24395"/>
    <cellStyle name="Input [yellow] 2 19 14 4" xfId="35560"/>
    <cellStyle name="Input [yellow] 2 19 14 5" xfId="46753"/>
    <cellStyle name="Input [yellow] 2 19 15" xfId="2054"/>
    <cellStyle name="Input [yellow] 2 19 15 2" xfId="13251"/>
    <cellStyle name="Input [yellow] 2 19 15 3" xfId="24419"/>
    <cellStyle name="Input [yellow] 2 19 15 4" xfId="35584"/>
    <cellStyle name="Input [yellow] 2 19 15 5" xfId="46777"/>
    <cellStyle name="Input [yellow] 2 19 16" xfId="3088"/>
    <cellStyle name="Input [yellow] 2 19 16 2" xfId="14285"/>
    <cellStyle name="Input [yellow] 2 19 16 3" xfId="25453"/>
    <cellStyle name="Input [yellow] 2 19 16 4" xfId="36618"/>
    <cellStyle name="Input [yellow] 2 19 16 5" xfId="47811"/>
    <cellStyle name="Input [yellow] 2 19 17" xfId="3722"/>
    <cellStyle name="Input [yellow] 2 19 17 2" xfId="14919"/>
    <cellStyle name="Input [yellow] 2 19 17 3" xfId="26087"/>
    <cellStyle name="Input [yellow] 2 19 17 4" xfId="37252"/>
    <cellStyle name="Input [yellow] 2 19 17 5" xfId="48445"/>
    <cellStyle name="Input [yellow] 2 19 18" xfId="4355"/>
    <cellStyle name="Input [yellow] 2 19 18 2" xfId="15552"/>
    <cellStyle name="Input [yellow] 2 19 18 3" xfId="26720"/>
    <cellStyle name="Input [yellow] 2 19 18 4" xfId="37885"/>
    <cellStyle name="Input [yellow] 2 19 18 5" xfId="49078"/>
    <cellStyle name="Input [yellow] 2 19 19" xfId="4986"/>
    <cellStyle name="Input [yellow] 2 19 19 2" xfId="16183"/>
    <cellStyle name="Input [yellow] 2 19 19 3" xfId="27351"/>
    <cellStyle name="Input [yellow] 2 19 19 4" xfId="38516"/>
    <cellStyle name="Input [yellow] 2 19 19 5" xfId="49709"/>
    <cellStyle name="Input [yellow] 2 19 2" xfId="167"/>
    <cellStyle name="Input [yellow] 2 19 2 10" xfId="5855"/>
    <cellStyle name="Input [yellow] 2 19 2 10 2" xfId="17052"/>
    <cellStyle name="Input [yellow] 2 19 2 10 3" xfId="28220"/>
    <cellStyle name="Input [yellow] 2 19 2 10 4" xfId="39385"/>
    <cellStyle name="Input [yellow] 2 19 2 10 5" xfId="50578"/>
    <cellStyle name="Input [yellow] 2 19 2 11" xfId="5960"/>
    <cellStyle name="Input [yellow] 2 19 2 11 2" xfId="17157"/>
    <cellStyle name="Input [yellow] 2 19 2 11 3" xfId="28325"/>
    <cellStyle name="Input [yellow] 2 19 2 11 4" xfId="39490"/>
    <cellStyle name="Input [yellow] 2 19 2 11 5" xfId="50683"/>
    <cellStyle name="Input [yellow] 2 19 2 12" xfId="6736"/>
    <cellStyle name="Input [yellow] 2 19 2 12 2" xfId="17933"/>
    <cellStyle name="Input [yellow] 2 19 2 12 3" xfId="29101"/>
    <cellStyle name="Input [yellow] 2 19 2 12 4" xfId="40266"/>
    <cellStyle name="Input [yellow] 2 19 2 12 5" xfId="51459"/>
    <cellStyle name="Input [yellow] 2 19 2 13" xfId="7370"/>
    <cellStyle name="Input [yellow] 2 19 2 13 2" xfId="18567"/>
    <cellStyle name="Input [yellow] 2 19 2 13 3" xfId="29735"/>
    <cellStyle name="Input [yellow] 2 19 2 13 4" xfId="40900"/>
    <cellStyle name="Input [yellow] 2 19 2 13 5" xfId="52093"/>
    <cellStyle name="Input [yellow] 2 19 2 14" xfId="8004"/>
    <cellStyle name="Input [yellow] 2 19 2 14 2" xfId="19201"/>
    <cellStyle name="Input [yellow] 2 19 2 14 3" xfId="30369"/>
    <cellStyle name="Input [yellow] 2 19 2 14 4" xfId="41534"/>
    <cellStyle name="Input [yellow] 2 19 2 14 5" xfId="52727"/>
    <cellStyle name="Input [yellow] 2 19 2 15" xfId="8635"/>
    <cellStyle name="Input [yellow] 2 19 2 15 2" xfId="19832"/>
    <cellStyle name="Input [yellow] 2 19 2 15 3" xfId="31000"/>
    <cellStyle name="Input [yellow] 2 19 2 15 4" xfId="42165"/>
    <cellStyle name="Input [yellow] 2 19 2 15 5" xfId="53358"/>
    <cellStyle name="Input [yellow] 2 19 2 16" xfId="9034"/>
    <cellStyle name="Input [yellow] 2 19 2 16 2" xfId="20231"/>
    <cellStyle name="Input [yellow] 2 19 2 16 3" xfId="31399"/>
    <cellStyle name="Input [yellow] 2 19 2 16 4" xfId="42564"/>
    <cellStyle name="Input [yellow] 2 19 2 16 5" xfId="53757"/>
    <cellStyle name="Input [yellow] 2 19 2 17" xfId="9687"/>
    <cellStyle name="Input [yellow] 2 19 2 17 2" xfId="20884"/>
    <cellStyle name="Input [yellow] 2 19 2 17 3" xfId="32052"/>
    <cellStyle name="Input [yellow] 2 19 2 17 4" xfId="43217"/>
    <cellStyle name="Input [yellow] 2 19 2 17 5" xfId="54410"/>
    <cellStyle name="Input [yellow] 2 19 2 18" xfId="10330"/>
    <cellStyle name="Input [yellow] 2 19 2 18 2" xfId="21527"/>
    <cellStyle name="Input [yellow] 2 19 2 18 3" xfId="32695"/>
    <cellStyle name="Input [yellow] 2 19 2 18 4" xfId="43860"/>
    <cellStyle name="Input [yellow] 2 19 2 18 5" xfId="55053"/>
    <cellStyle name="Input [yellow] 2 19 2 19" xfId="10720"/>
    <cellStyle name="Input [yellow] 2 19 2 19 2" xfId="21917"/>
    <cellStyle name="Input [yellow] 2 19 2 19 3" xfId="33085"/>
    <cellStyle name="Input [yellow] 2 19 2 19 4" xfId="44250"/>
    <cellStyle name="Input [yellow] 2 19 2 19 5" xfId="55443"/>
    <cellStyle name="Input [yellow] 2 19 2 2" xfId="816"/>
    <cellStyle name="Input [yellow] 2 19 2 2 2" xfId="12013"/>
    <cellStyle name="Input [yellow] 2 19 2 2 3" xfId="23181"/>
    <cellStyle name="Input [yellow] 2 19 2 2 4" xfId="34346"/>
    <cellStyle name="Input [yellow] 2 19 2 2 5" xfId="45539"/>
    <cellStyle name="Input [yellow] 2 19 2 20" xfId="11367"/>
    <cellStyle name="Input [yellow] 2 19 2 21" xfId="22537"/>
    <cellStyle name="Input [yellow] 2 19 2 22" xfId="33704"/>
    <cellStyle name="Input [yellow] 2 19 2 23" xfId="44890"/>
    <cellStyle name="Input [yellow] 2 19 2 3" xfId="1564"/>
    <cellStyle name="Input [yellow] 2 19 2 3 2" xfId="12761"/>
    <cellStyle name="Input [yellow] 2 19 2 3 3" xfId="23929"/>
    <cellStyle name="Input [yellow] 2 19 2 3 4" xfId="35094"/>
    <cellStyle name="Input [yellow] 2 19 2 3 5" xfId="46287"/>
    <cellStyle name="Input [yellow] 2 19 2 4" xfId="2093"/>
    <cellStyle name="Input [yellow] 2 19 2 4 2" xfId="13290"/>
    <cellStyle name="Input [yellow] 2 19 2 4 3" xfId="24458"/>
    <cellStyle name="Input [yellow] 2 19 2 4 4" xfId="35623"/>
    <cellStyle name="Input [yellow] 2 19 2 4 5" xfId="46816"/>
    <cellStyle name="Input [yellow] 2 19 2 5" xfId="2318"/>
    <cellStyle name="Input [yellow] 2 19 2 5 2" xfId="13515"/>
    <cellStyle name="Input [yellow] 2 19 2 5 3" xfId="24683"/>
    <cellStyle name="Input [yellow] 2 19 2 5 4" xfId="35848"/>
    <cellStyle name="Input [yellow] 2 19 2 5 5" xfId="47041"/>
    <cellStyle name="Input [yellow] 2 19 2 6" xfId="3151"/>
    <cellStyle name="Input [yellow] 2 19 2 6 2" xfId="14348"/>
    <cellStyle name="Input [yellow] 2 19 2 6 3" xfId="25516"/>
    <cellStyle name="Input [yellow] 2 19 2 6 4" xfId="36681"/>
    <cellStyle name="Input [yellow] 2 19 2 6 5" xfId="47874"/>
    <cellStyle name="Input [yellow] 2 19 2 7" xfId="3785"/>
    <cellStyle name="Input [yellow] 2 19 2 7 2" xfId="14982"/>
    <cellStyle name="Input [yellow] 2 19 2 7 3" xfId="26150"/>
    <cellStyle name="Input [yellow] 2 19 2 7 4" xfId="37315"/>
    <cellStyle name="Input [yellow] 2 19 2 7 5" xfId="48508"/>
    <cellStyle name="Input [yellow] 2 19 2 8" xfId="4418"/>
    <cellStyle name="Input [yellow] 2 19 2 8 2" xfId="15615"/>
    <cellStyle name="Input [yellow] 2 19 2 8 3" xfId="26783"/>
    <cellStyle name="Input [yellow] 2 19 2 8 4" xfId="37948"/>
    <cellStyle name="Input [yellow] 2 19 2 8 5" xfId="49141"/>
    <cellStyle name="Input [yellow] 2 19 2 9" xfId="5049"/>
    <cellStyle name="Input [yellow] 2 19 2 9 2" xfId="16246"/>
    <cellStyle name="Input [yellow] 2 19 2 9 3" xfId="27414"/>
    <cellStyle name="Input [yellow] 2 19 2 9 4" xfId="38579"/>
    <cellStyle name="Input [yellow] 2 19 2 9 5" xfId="49772"/>
    <cellStyle name="Input [yellow] 2 19 20" xfId="5711"/>
    <cellStyle name="Input [yellow] 2 19 20 2" xfId="16908"/>
    <cellStyle name="Input [yellow] 2 19 20 3" xfId="28076"/>
    <cellStyle name="Input [yellow] 2 19 20 4" xfId="39241"/>
    <cellStyle name="Input [yellow] 2 19 20 5" xfId="50434"/>
    <cellStyle name="Input [yellow] 2 19 21" xfId="5712"/>
    <cellStyle name="Input [yellow] 2 19 21 2" xfId="16909"/>
    <cellStyle name="Input [yellow] 2 19 21 3" xfId="28077"/>
    <cellStyle name="Input [yellow] 2 19 21 4" xfId="39242"/>
    <cellStyle name="Input [yellow] 2 19 21 5" xfId="50435"/>
    <cellStyle name="Input [yellow] 2 19 22" xfId="6673"/>
    <cellStyle name="Input [yellow] 2 19 22 2" xfId="17870"/>
    <cellStyle name="Input [yellow] 2 19 22 3" xfId="29038"/>
    <cellStyle name="Input [yellow] 2 19 22 4" xfId="40203"/>
    <cellStyle name="Input [yellow] 2 19 22 5" xfId="51396"/>
    <cellStyle name="Input [yellow] 2 19 23" xfId="7307"/>
    <cellStyle name="Input [yellow] 2 19 23 2" xfId="18504"/>
    <cellStyle name="Input [yellow] 2 19 23 3" xfId="29672"/>
    <cellStyle name="Input [yellow] 2 19 23 4" xfId="40837"/>
    <cellStyle name="Input [yellow] 2 19 23 5" xfId="52030"/>
    <cellStyle name="Input [yellow] 2 19 24" xfId="7941"/>
    <cellStyle name="Input [yellow] 2 19 24 2" xfId="19138"/>
    <cellStyle name="Input [yellow] 2 19 24 3" xfId="30306"/>
    <cellStyle name="Input [yellow] 2 19 24 4" xfId="41471"/>
    <cellStyle name="Input [yellow] 2 19 24 5" xfId="52664"/>
    <cellStyle name="Input [yellow] 2 19 25" xfId="8572"/>
    <cellStyle name="Input [yellow] 2 19 25 2" xfId="19769"/>
    <cellStyle name="Input [yellow] 2 19 25 3" xfId="30937"/>
    <cellStyle name="Input [yellow] 2 19 25 4" xfId="42102"/>
    <cellStyle name="Input [yellow] 2 19 25 5" xfId="53295"/>
    <cellStyle name="Input [yellow] 2 19 26" xfId="8803"/>
    <cellStyle name="Input [yellow] 2 19 26 2" xfId="20000"/>
    <cellStyle name="Input [yellow] 2 19 26 3" xfId="31168"/>
    <cellStyle name="Input [yellow] 2 19 26 4" xfId="42333"/>
    <cellStyle name="Input [yellow] 2 19 26 5" xfId="53526"/>
    <cellStyle name="Input [yellow] 2 19 27" xfId="9625"/>
    <cellStyle name="Input [yellow] 2 19 27 2" xfId="20822"/>
    <cellStyle name="Input [yellow] 2 19 27 3" xfId="31990"/>
    <cellStyle name="Input [yellow] 2 19 27 4" xfId="43155"/>
    <cellStyle name="Input [yellow] 2 19 27 5" xfId="54348"/>
    <cellStyle name="Input [yellow] 2 19 28" xfId="9951"/>
    <cellStyle name="Input [yellow] 2 19 28 2" xfId="21148"/>
    <cellStyle name="Input [yellow] 2 19 28 3" xfId="32316"/>
    <cellStyle name="Input [yellow] 2 19 28 4" xfId="43481"/>
    <cellStyle name="Input [yellow] 2 19 28 5" xfId="54674"/>
    <cellStyle name="Input [yellow] 2 19 29" xfId="10657"/>
    <cellStyle name="Input [yellow] 2 19 29 2" xfId="21854"/>
    <cellStyle name="Input [yellow] 2 19 29 3" xfId="33022"/>
    <cellStyle name="Input [yellow] 2 19 29 4" xfId="44187"/>
    <cellStyle name="Input [yellow] 2 19 29 5" xfId="55380"/>
    <cellStyle name="Input [yellow] 2 19 3" xfId="223"/>
    <cellStyle name="Input [yellow] 2 19 3 10" xfId="6143"/>
    <cellStyle name="Input [yellow] 2 19 3 10 2" xfId="17340"/>
    <cellStyle name="Input [yellow] 2 19 3 10 3" xfId="28508"/>
    <cellStyle name="Input [yellow] 2 19 3 10 4" xfId="39673"/>
    <cellStyle name="Input [yellow] 2 19 3 10 5" xfId="50866"/>
    <cellStyle name="Input [yellow] 2 19 3 11" xfId="6015"/>
    <cellStyle name="Input [yellow] 2 19 3 11 2" xfId="17212"/>
    <cellStyle name="Input [yellow] 2 19 3 11 3" xfId="28380"/>
    <cellStyle name="Input [yellow] 2 19 3 11 4" xfId="39545"/>
    <cellStyle name="Input [yellow] 2 19 3 11 5" xfId="50738"/>
    <cellStyle name="Input [yellow] 2 19 3 12" xfId="6792"/>
    <cellStyle name="Input [yellow] 2 19 3 12 2" xfId="17989"/>
    <cellStyle name="Input [yellow] 2 19 3 12 3" xfId="29157"/>
    <cellStyle name="Input [yellow] 2 19 3 12 4" xfId="40322"/>
    <cellStyle name="Input [yellow] 2 19 3 12 5" xfId="51515"/>
    <cellStyle name="Input [yellow] 2 19 3 13" xfId="7426"/>
    <cellStyle name="Input [yellow] 2 19 3 13 2" xfId="18623"/>
    <cellStyle name="Input [yellow] 2 19 3 13 3" xfId="29791"/>
    <cellStyle name="Input [yellow] 2 19 3 13 4" xfId="40956"/>
    <cellStyle name="Input [yellow] 2 19 3 13 5" xfId="52149"/>
    <cellStyle name="Input [yellow] 2 19 3 14" xfId="8060"/>
    <cellStyle name="Input [yellow] 2 19 3 14 2" xfId="19257"/>
    <cellStyle name="Input [yellow] 2 19 3 14 3" xfId="30425"/>
    <cellStyle name="Input [yellow] 2 19 3 14 4" xfId="41590"/>
    <cellStyle name="Input [yellow] 2 19 3 14 5" xfId="52783"/>
    <cellStyle name="Input [yellow] 2 19 3 15" xfId="8691"/>
    <cellStyle name="Input [yellow] 2 19 3 15 2" xfId="19888"/>
    <cellStyle name="Input [yellow] 2 19 3 15 3" xfId="31056"/>
    <cellStyle name="Input [yellow] 2 19 3 15 4" xfId="42221"/>
    <cellStyle name="Input [yellow] 2 19 3 15 5" xfId="53414"/>
    <cellStyle name="Input [yellow] 2 19 3 16" xfId="8957"/>
    <cellStyle name="Input [yellow] 2 19 3 16 2" xfId="20154"/>
    <cellStyle name="Input [yellow] 2 19 3 16 3" xfId="31322"/>
    <cellStyle name="Input [yellow] 2 19 3 16 4" xfId="42487"/>
    <cellStyle name="Input [yellow] 2 19 3 16 5" xfId="53680"/>
    <cellStyle name="Input [yellow] 2 19 3 17" xfId="9742"/>
    <cellStyle name="Input [yellow] 2 19 3 17 2" xfId="20939"/>
    <cellStyle name="Input [yellow] 2 19 3 17 3" xfId="32107"/>
    <cellStyle name="Input [yellow] 2 19 3 17 4" xfId="43272"/>
    <cellStyle name="Input [yellow] 2 19 3 17 5" xfId="54465"/>
    <cellStyle name="Input [yellow] 2 19 3 18" xfId="10261"/>
    <cellStyle name="Input [yellow] 2 19 3 18 2" xfId="21458"/>
    <cellStyle name="Input [yellow] 2 19 3 18 3" xfId="32626"/>
    <cellStyle name="Input [yellow] 2 19 3 18 4" xfId="43791"/>
    <cellStyle name="Input [yellow] 2 19 3 18 5" xfId="54984"/>
    <cellStyle name="Input [yellow] 2 19 3 19" xfId="10776"/>
    <cellStyle name="Input [yellow] 2 19 3 19 2" xfId="21973"/>
    <cellStyle name="Input [yellow] 2 19 3 19 3" xfId="33141"/>
    <cellStyle name="Input [yellow] 2 19 3 19 4" xfId="44306"/>
    <cellStyle name="Input [yellow] 2 19 3 19 5" xfId="55499"/>
    <cellStyle name="Input [yellow] 2 19 3 2" xfId="872"/>
    <cellStyle name="Input [yellow] 2 19 3 2 2" xfId="12069"/>
    <cellStyle name="Input [yellow] 2 19 3 2 3" xfId="23237"/>
    <cellStyle name="Input [yellow] 2 19 3 2 4" xfId="34402"/>
    <cellStyle name="Input [yellow] 2 19 3 2 5" xfId="45595"/>
    <cellStyle name="Input [yellow] 2 19 3 20" xfId="11423"/>
    <cellStyle name="Input [yellow] 2 19 3 21" xfId="22593"/>
    <cellStyle name="Input [yellow] 2 19 3 22" xfId="33760"/>
    <cellStyle name="Input [yellow] 2 19 3 23" xfId="44946"/>
    <cellStyle name="Input [yellow] 2 19 3 3" xfId="1533"/>
    <cellStyle name="Input [yellow] 2 19 3 3 2" xfId="12730"/>
    <cellStyle name="Input [yellow] 2 19 3 3 3" xfId="23898"/>
    <cellStyle name="Input [yellow] 2 19 3 3 4" xfId="35063"/>
    <cellStyle name="Input [yellow] 2 19 3 3 5" xfId="46256"/>
    <cellStyle name="Input [yellow] 2 19 3 4" xfId="2149"/>
    <cellStyle name="Input [yellow] 2 19 3 4 2" xfId="13346"/>
    <cellStyle name="Input [yellow] 2 19 3 4 3" xfId="24514"/>
    <cellStyle name="Input [yellow] 2 19 3 4 4" xfId="35679"/>
    <cellStyle name="Input [yellow] 2 19 3 4 5" xfId="46872"/>
    <cellStyle name="Input [yellow] 2 19 3 5" xfId="2154"/>
    <cellStyle name="Input [yellow] 2 19 3 5 2" xfId="13351"/>
    <cellStyle name="Input [yellow] 2 19 3 5 3" xfId="24519"/>
    <cellStyle name="Input [yellow] 2 19 3 5 4" xfId="35684"/>
    <cellStyle name="Input [yellow] 2 19 3 5 5" xfId="46877"/>
    <cellStyle name="Input [yellow] 2 19 3 6" xfId="3207"/>
    <cellStyle name="Input [yellow] 2 19 3 6 2" xfId="14404"/>
    <cellStyle name="Input [yellow] 2 19 3 6 3" xfId="25572"/>
    <cellStyle name="Input [yellow] 2 19 3 6 4" xfId="36737"/>
    <cellStyle name="Input [yellow] 2 19 3 6 5" xfId="47930"/>
    <cellStyle name="Input [yellow] 2 19 3 7" xfId="3841"/>
    <cellStyle name="Input [yellow] 2 19 3 7 2" xfId="15038"/>
    <cellStyle name="Input [yellow] 2 19 3 7 3" xfId="26206"/>
    <cellStyle name="Input [yellow] 2 19 3 7 4" xfId="37371"/>
    <cellStyle name="Input [yellow] 2 19 3 7 5" xfId="48564"/>
    <cellStyle name="Input [yellow] 2 19 3 8" xfId="4474"/>
    <cellStyle name="Input [yellow] 2 19 3 8 2" xfId="15671"/>
    <cellStyle name="Input [yellow] 2 19 3 8 3" xfId="26839"/>
    <cellStyle name="Input [yellow] 2 19 3 8 4" xfId="38004"/>
    <cellStyle name="Input [yellow] 2 19 3 8 5" xfId="49197"/>
    <cellStyle name="Input [yellow] 2 19 3 9" xfId="5105"/>
    <cellStyle name="Input [yellow] 2 19 3 9 2" xfId="16302"/>
    <cellStyle name="Input [yellow] 2 19 3 9 3" xfId="27470"/>
    <cellStyle name="Input [yellow] 2 19 3 9 4" xfId="38635"/>
    <cellStyle name="Input [yellow] 2 19 3 9 5" xfId="49828"/>
    <cellStyle name="Input [yellow] 2 19 30" xfId="11304"/>
    <cellStyle name="Input [yellow] 2 19 31" xfId="22474"/>
    <cellStyle name="Input [yellow] 2 19 32" xfId="33641"/>
    <cellStyle name="Input [yellow] 2 19 33" xfId="44827"/>
    <cellStyle name="Input [yellow] 2 19 4" xfId="237"/>
    <cellStyle name="Input [yellow] 2 19 4 10" xfId="6068"/>
    <cellStyle name="Input [yellow] 2 19 4 10 2" xfId="17265"/>
    <cellStyle name="Input [yellow] 2 19 4 10 3" xfId="28433"/>
    <cellStyle name="Input [yellow] 2 19 4 10 4" xfId="39598"/>
    <cellStyle name="Input [yellow] 2 19 4 10 5" xfId="50791"/>
    <cellStyle name="Input [yellow] 2 19 4 11" xfId="5630"/>
    <cellStyle name="Input [yellow] 2 19 4 11 2" xfId="16827"/>
    <cellStyle name="Input [yellow] 2 19 4 11 3" xfId="27995"/>
    <cellStyle name="Input [yellow] 2 19 4 11 4" xfId="39160"/>
    <cellStyle name="Input [yellow] 2 19 4 11 5" xfId="50353"/>
    <cellStyle name="Input [yellow] 2 19 4 12" xfId="6806"/>
    <cellStyle name="Input [yellow] 2 19 4 12 2" xfId="18003"/>
    <cellStyle name="Input [yellow] 2 19 4 12 3" xfId="29171"/>
    <cellStyle name="Input [yellow] 2 19 4 12 4" xfId="40336"/>
    <cellStyle name="Input [yellow] 2 19 4 12 5" xfId="51529"/>
    <cellStyle name="Input [yellow] 2 19 4 13" xfId="7440"/>
    <cellStyle name="Input [yellow] 2 19 4 13 2" xfId="18637"/>
    <cellStyle name="Input [yellow] 2 19 4 13 3" xfId="29805"/>
    <cellStyle name="Input [yellow] 2 19 4 13 4" xfId="40970"/>
    <cellStyle name="Input [yellow] 2 19 4 13 5" xfId="52163"/>
    <cellStyle name="Input [yellow] 2 19 4 14" xfId="8074"/>
    <cellStyle name="Input [yellow] 2 19 4 14 2" xfId="19271"/>
    <cellStyle name="Input [yellow] 2 19 4 14 3" xfId="30439"/>
    <cellStyle name="Input [yellow] 2 19 4 14 4" xfId="41604"/>
    <cellStyle name="Input [yellow] 2 19 4 14 5" xfId="52797"/>
    <cellStyle name="Input [yellow] 2 19 4 15" xfId="8705"/>
    <cellStyle name="Input [yellow] 2 19 4 15 2" xfId="19902"/>
    <cellStyle name="Input [yellow] 2 19 4 15 3" xfId="31070"/>
    <cellStyle name="Input [yellow] 2 19 4 15 4" xfId="42235"/>
    <cellStyle name="Input [yellow] 2 19 4 15 5" xfId="53428"/>
    <cellStyle name="Input [yellow] 2 19 4 16" xfId="8743"/>
    <cellStyle name="Input [yellow] 2 19 4 16 2" xfId="19940"/>
    <cellStyle name="Input [yellow] 2 19 4 16 3" xfId="31108"/>
    <cellStyle name="Input [yellow] 2 19 4 16 4" xfId="42273"/>
    <cellStyle name="Input [yellow] 2 19 4 16 5" xfId="53466"/>
    <cellStyle name="Input [yellow] 2 19 4 17" xfId="9756"/>
    <cellStyle name="Input [yellow] 2 19 4 17 2" xfId="20953"/>
    <cellStyle name="Input [yellow] 2 19 4 17 3" xfId="32121"/>
    <cellStyle name="Input [yellow] 2 19 4 17 4" xfId="43286"/>
    <cellStyle name="Input [yellow] 2 19 4 17 5" xfId="54479"/>
    <cellStyle name="Input [yellow] 2 19 4 18" xfId="9734"/>
    <cellStyle name="Input [yellow] 2 19 4 18 2" xfId="20931"/>
    <cellStyle name="Input [yellow] 2 19 4 18 3" xfId="32099"/>
    <cellStyle name="Input [yellow] 2 19 4 18 4" xfId="43264"/>
    <cellStyle name="Input [yellow] 2 19 4 18 5" xfId="54457"/>
    <cellStyle name="Input [yellow] 2 19 4 19" xfId="10790"/>
    <cellStyle name="Input [yellow] 2 19 4 19 2" xfId="21987"/>
    <cellStyle name="Input [yellow] 2 19 4 19 3" xfId="33155"/>
    <cellStyle name="Input [yellow] 2 19 4 19 4" xfId="44320"/>
    <cellStyle name="Input [yellow] 2 19 4 19 5" xfId="55513"/>
    <cellStyle name="Input [yellow] 2 19 4 2" xfId="886"/>
    <cellStyle name="Input [yellow] 2 19 4 2 2" xfId="12083"/>
    <cellStyle name="Input [yellow] 2 19 4 2 3" xfId="23251"/>
    <cellStyle name="Input [yellow] 2 19 4 2 4" xfId="34416"/>
    <cellStyle name="Input [yellow] 2 19 4 2 5" xfId="45609"/>
    <cellStyle name="Input [yellow] 2 19 4 20" xfId="11437"/>
    <cellStyle name="Input [yellow] 2 19 4 21" xfId="22607"/>
    <cellStyle name="Input [yellow] 2 19 4 22" xfId="33774"/>
    <cellStyle name="Input [yellow] 2 19 4 23" xfId="44960"/>
    <cellStyle name="Input [yellow] 2 19 4 3" xfId="1428"/>
    <cellStyle name="Input [yellow] 2 19 4 3 2" xfId="12625"/>
    <cellStyle name="Input [yellow] 2 19 4 3 3" xfId="23793"/>
    <cellStyle name="Input [yellow] 2 19 4 3 4" xfId="34958"/>
    <cellStyle name="Input [yellow] 2 19 4 3 5" xfId="46151"/>
    <cellStyle name="Input [yellow] 2 19 4 4" xfId="2163"/>
    <cellStyle name="Input [yellow] 2 19 4 4 2" xfId="13360"/>
    <cellStyle name="Input [yellow] 2 19 4 4 3" xfId="24528"/>
    <cellStyle name="Input [yellow] 2 19 4 4 4" xfId="35693"/>
    <cellStyle name="Input [yellow] 2 19 4 4 5" xfId="46886"/>
    <cellStyle name="Input [yellow] 2 19 4 5" xfId="2070"/>
    <cellStyle name="Input [yellow] 2 19 4 5 2" xfId="13267"/>
    <cellStyle name="Input [yellow] 2 19 4 5 3" xfId="24435"/>
    <cellStyle name="Input [yellow] 2 19 4 5 4" xfId="35600"/>
    <cellStyle name="Input [yellow] 2 19 4 5 5" xfId="46793"/>
    <cellStyle name="Input [yellow] 2 19 4 6" xfId="3221"/>
    <cellStyle name="Input [yellow] 2 19 4 6 2" xfId="14418"/>
    <cellStyle name="Input [yellow] 2 19 4 6 3" xfId="25586"/>
    <cellStyle name="Input [yellow] 2 19 4 6 4" xfId="36751"/>
    <cellStyle name="Input [yellow] 2 19 4 6 5" xfId="47944"/>
    <cellStyle name="Input [yellow] 2 19 4 7" xfId="3855"/>
    <cellStyle name="Input [yellow] 2 19 4 7 2" xfId="15052"/>
    <cellStyle name="Input [yellow] 2 19 4 7 3" xfId="26220"/>
    <cellStyle name="Input [yellow] 2 19 4 7 4" xfId="37385"/>
    <cellStyle name="Input [yellow] 2 19 4 7 5" xfId="48578"/>
    <cellStyle name="Input [yellow] 2 19 4 8" xfId="4488"/>
    <cellStyle name="Input [yellow] 2 19 4 8 2" xfId="15685"/>
    <cellStyle name="Input [yellow] 2 19 4 8 3" xfId="26853"/>
    <cellStyle name="Input [yellow] 2 19 4 8 4" xfId="38018"/>
    <cellStyle name="Input [yellow] 2 19 4 8 5" xfId="49211"/>
    <cellStyle name="Input [yellow] 2 19 4 9" xfId="5119"/>
    <cellStyle name="Input [yellow] 2 19 4 9 2" xfId="16316"/>
    <cellStyle name="Input [yellow] 2 19 4 9 3" xfId="27484"/>
    <cellStyle name="Input [yellow] 2 19 4 9 4" xfId="38649"/>
    <cellStyle name="Input [yellow] 2 19 4 9 5" xfId="49842"/>
    <cellStyle name="Input [yellow] 2 19 5" xfId="288"/>
    <cellStyle name="Input [yellow] 2 19 5 10" xfId="5933"/>
    <cellStyle name="Input [yellow] 2 19 5 10 2" xfId="17130"/>
    <cellStyle name="Input [yellow] 2 19 5 10 3" xfId="28298"/>
    <cellStyle name="Input [yellow] 2 19 5 10 4" xfId="39463"/>
    <cellStyle name="Input [yellow] 2 19 5 10 5" xfId="50656"/>
    <cellStyle name="Input [yellow] 2 19 5 11" xfId="6224"/>
    <cellStyle name="Input [yellow] 2 19 5 11 2" xfId="17421"/>
    <cellStyle name="Input [yellow] 2 19 5 11 3" xfId="28589"/>
    <cellStyle name="Input [yellow] 2 19 5 11 4" xfId="39754"/>
    <cellStyle name="Input [yellow] 2 19 5 11 5" xfId="50947"/>
    <cellStyle name="Input [yellow] 2 19 5 12" xfId="6857"/>
    <cellStyle name="Input [yellow] 2 19 5 12 2" xfId="18054"/>
    <cellStyle name="Input [yellow] 2 19 5 12 3" xfId="29222"/>
    <cellStyle name="Input [yellow] 2 19 5 12 4" xfId="40387"/>
    <cellStyle name="Input [yellow] 2 19 5 12 5" xfId="51580"/>
    <cellStyle name="Input [yellow] 2 19 5 13" xfId="7491"/>
    <cellStyle name="Input [yellow] 2 19 5 13 2" xfId="18688"/>
    <cellStyle name="Input [yellow] 2 19 5 13 3" xfId="29856"/>
    <cellStyle name="Input [yellow] 2 19 5 13 4" xfId="41021"/>
    <cellStyle name="Input [yellow] 2 19 5 13 5" xfId="52214"/>
    <cellStyle name="Input [yellow] 2 19 5 14" xfId="8125"/>
    <cellStyle name="Input [yellow] 2 19 5 14 2" xfId="19322"/>
    <cellStyle name="Input [yellow] 2 19 5 14 3" xfId="30490"/>
    <cellStyle name="Input [yellow] 2 19 5 14 4" xfId="41655"/>
    <cellStyle name="Input [yellow] 2 19 5 14 5" xfId="52848"/>
    <cellStyle name="Input [yellow] 2 19 5 15" xfId="8754"/>
    <cellStyle name="Input [yellow] 2 19 5 15 2" xfId="19951"/>
    <cellStyle name="Input [yellow] 2 19 5 15 3" xfId="31119"/>
    <cellStyle name="Input [yellow] 2 19 5 15 4" xfId="42284"/>
    <cellStyle name="Input [yellow] 2 19 5 15 5" xfId="53477"/>
    <cellStyle name="Input [yellow] 2 19 5 16" xfId="9176"/>
    <cellStyle name="Input [yellow] 2 19 5 16 2" xfId="20373"/>
    <cellStyle name="Input [yellow] 2 19 5 16 3" xfId="31541"/>
    <cellStyle name="Input [yellow] 2 19 5 16 4" xfId="42706"/>
    <cellStyle name="Input [yellow] 2 19 5 16 5" xfId="53899"/>
    <cellStyle name="Input [yellow] 2 19 5 17" xfId="9803"/>
    <cellStyle name="Input [yellow] 2 19 5 17 2" xfId="21000"/>
    <cellStyle name="Input [yellow] 2 19 5 17 3" xfId="32168"/>
    <cellStyle name="Input [yellow] 2 19 5 17 4" xfId="43333"/>
    <cellStyle name="Input [yellow] 2 19 5 17 5" xfId="54526"/>
    <cellStyle name="Input [yellow] 2 19 5 18" xfId="10350"/>
    <cellStyle name="Input [yellow] 2 19 5 18 2" xfId="21547"/>
    <cellStyle name="Input [yellow] 2 19 5 18 3" xfId="32715"/>
    <cellStyle name="Input [yellow] 2 19 5 18 4" xfId="43880"/>
    <cellStyle name="Input [yellow] 2 19 5 18 5" xfId="55073"/>
    <cellStyle name="Input [yellow] 2 19 5 19" xfId="10841"/>
    <cellStyle name="Input [yellow] 2 19 5 19 2" xfId="22038"/>
    <cellStyle name="Input [yellow] 2 19 5 19 3" xfId="33206"/>
    <cellStyle name="Input [yellow] 2 19 5 19 4" xfId="44371"/>
    <cellStyle name="Input [yellow] 2 19 5 19 5" xfId="55564"/>
    <cellStyle name="Input [yellow] 2 19 5 2" xfId="937"/>
    <cellStyle name="Input [yellow] 2 19 5 2 2" xfId="12134"/>
    <cellStyle name="Input [yellow] 2 19 5 2 3" xfId="23302"/>
    <cellStyle name="Input [yellow] 2 19 5 2 4" xfId="34467"/>
    <cellStyle name="Input [yellow] 2 19 5 2 5" xfId="45660"/>
    <cellStyle name="Input [yellow] 2 19 5 20" xfId="11488"/>
    <cellStyle name="Input [yellow] 2 19 5 21" xfId="22658"/>
    <cellStyle name="Input [yellow] 2 19 5 22" xfId="33825"/>
    <cellStyle name="Input [yellow] 2 19 5 23" xfId="45011"/>
    <cellStyle name="Input [yellow] 2 19 5 3" xfId="1335"/>
    <cellStyle name="Input [yellow] 2 19 5 3 2" xfId="12532"/>
    <cellStyle name="Input [yellow] 2 19 5 3 3" xfId="23700"/>
    <cellStyle name="Input [yellow] 2 19 5 3 4" xfId="34865"/>
    <cellStyle name="Input [yellow] 2 19 5 3 5" xfId="46058"/>
    <cellStyle name="Input [yellow] 2 19 5 4" xfId="2213"/>
    <cellStyle name="Input [yellow] 2 19 5 4 2" xfId="13410"/>
    <cellStyle name="Input [yellow] 2 19 5 4 3" xfId="24578"/>
    <cellStyle name="Input [yellow] 2 19 5 4 4" xfId="35743"/>
    <cellStyle name="Input [yellow] 2 19 5 4 5" xfId="46936"/>
    <cellStyle name="Input [yellow] 2 19 5 5" xfId="2638"/>
    <cellStyle name="Input [yellow] 2 19 5 5 2" xfId="13835"/>
    <cellStyle name="Input [yellow] 2 19 5 5 3" xfId="25003"/>
    <cellStyle name="Input [yellow] 2 19 5 5 4" xfId="36168"/>
    <cellStyle name="Input [yellow] 2 19 5 5 5" xfId="47361"/>
    <cellStyle name="Input [yellow] 2 19 5 6" xfId="3272"/>
    <cellStyle name="Input [yellow] 2 19 5 6 2" xfId="14469"/>
    <cellStyle name="Input [yellow] 2 19 5 6 3" xfId="25637"/>
    <cellStyle name="Input [yellow] 2 19 5 6 4" xfId="36802"/>
    <cellStyle name="Input [yellow] 2 19 5 6 5" xfId="47995"/>
    <cellStyle name="Input [yellow] 2 19 5 7" xfId="3906"/>
    <cellStyle name="Input [yellow] 2 19 5 7 2" xfId="15103"/>
    <cellStyle name="Input [yellow] 2 19 5 7 3" xfId="26271"/>
    <cellStyle name="Input [yellow] 2 19 5 7 4" xfId="37436"/>
    <cellStyle name="Input [yellow] 2 19 5 7 5" xfId="48629"/>
    <cellStyle name="Input [yellow] 2 19 5 8" xfId="4539"/>
    <cellStyle name="Input [yellow] 2 19 5 8 2" xfId="15736"/>
    <cellStyle name="Input [yellow] 2 19 5 8 3" xfId="26904"/>
    <cellStyle name="Input [yellow] 2 19 5 8 4" xfId="38069"/>
    <cellStyle name="Input [yellow] 2 19 5 8 5" xfId="49262"/>
    <cellStyle name="Input [yellow] 2 19 5 9" xfId="5170"/>
    <cellStyle name="Input [yellow] 2 19 5 9 2" xfId="16367"/>
    <cellStyle name="Input [yellow] 2 19 5 9 3" xfId="27535"/>
    <cellStyle name="Input [yellow] 2 19 5 9 4" xfId="38700"/>
    <cellStyle name="Input [yellow] 2 19 5 9 5" xfId="49893"/>
    <cellStyle name="Input [yellow] 2 19 6" xfId="388"/>
    <cellStyle name="Input [yellow] 2 19 6 10" xfId="6012"/>
    <cellStyle name="Input [yellow] 2 19 6 10 2" xfId="17209"/>
    <cellStyle name="Input [yellow] 2 19 6 10 3" xfId="28377"/>
    <cellStyle name="Input [yellow] 2 19 6 10 4" xfId="39542"/>
    <cellStyle name="Input [yellow] 2 19 6 10 5" xfId="50735"/>
    <cellStyle name="Input [yellow] 2 19 6 11" xfId="6324"/>
    <cellStyle name="Input [yellow] 2 19 6 11 2" xfId="17521"/>
    <cellStyle name="Input [yellow] 2 19 6 11 3" xfId="28689"/>
    <cellStyle name="Input [yellow] 2 19 6 11 4" xfId="39854"/>
    <cellStyle name="Input [yellow] 2 19 6 11 5" xfId="51047"/>
    <cellStyle name="Input [yellow] 2 19 6 12" xfId="6957"/>
    <cellStyle name="Input [yellow] 2 19 6 12 2" xfId="18154"/>
    <cellStyle name="Input [yellow] 2 19 6 12 3" xfId="29322"/>
    <cellStyle name="Input [yellow] 2 19 6 12 4" xfId="40487"/>
    <cellStyle name="Input [yellow] 2 19 6 12 5" xfId="51680"/>
    <cellStyle name="Input [yellow] 2 19 6 13" xfId="7591"/>
    <cellStyle name="Input [yellow] 2 19 6 13 2" xfId="18788"/>
    <cellStyle name="Input [yellow] 2 19 6 13 3" xfId="29956"/>
    <cellStyle name="Input [yellow] 2 19 6 13 4" xfId="41121"/>
    <cellStyle name="Input [yellow] 2 19 6 13 5" xfId="52314"/>
    <cellStyle name="Input [yellow] 2 19 6 14" xfId="8225"/>
    <cellStyle name="Input [yellow] 2 19 6 14 2" xfId="19422"/>
    <cellStyle name="Input [yellow] 2 19 6 14 3" xfId="30590"/>
    <cellStyle name="Input [yellow] 2 19 6 14 4" xfId="41755"/>
    <cellStyle name="Input [yellow] 2 19 6 14 5" xfId="52948"/>
    <cellStyle name="Input [yellow] 2 19 6 15" xfId="8853"/>
    <cellStyle name="Input [yellow] 2 19 6 15 2" xfId="20050"/>
    <cellStyle name="Input [yellow] 2 19 6 15 3" xfId="31218"/>
    <cellStyle name="Input [yellow] 2 19 6 15 4" xfId="42383"/>
    <cellStyle name="Input [yellow] 2 19 6 15 5" xfId="53576"/>
    <cellStyle name="Input [yellow] 2 19 6 16" xfId="9276"/>
    <cellStyle name="Input [yellow] 2 19 6 16 2" xfId="20473"/>
    <cellStyle name="Input [yellow] 2 19 6 16 3" xfId="31641"/>
    <cellStyle name="Input [yellow] 2 19 6 16 4" xfId="42806"/>
    <cellStyle name="Input [yellow] 2 19 6 16 5" xfId="53999"/>
    <cellStyle name="Input [yellow] 2 19 6 17" xfId="9902"/>
    <cellStyle name="Input [yellow] 2 19 6 17 2" xfId="21099"/>
    <cellStyle name="Input [yellow] 2 19 6 17 3" xfId="32267"/>
    <cellStyle name="Input [yellow] 2 19 6 17 4" xfId="43432"/>
    <cellStyle name="Input [yellow] 2 19 6 17 5" xfId="54625"/>
    <cellStyle name="Input [yellow] 2 19 6 18" xfId="10327"/>
    <cellStyle name="Input [yellow] 2 19 6 18 2" xfId="21524"/>
    <cellStyle name="Input [yellow] 2 19 6 18 3" xfId="32692"/>
    <cellStyle name="Input [yellow] 2 19 6 18 4" xfId="43857"/>
    <cellStyle name="Input [yellow] 2 19 6 18 5" xfId="55050"/>
    <cellStyle name="Input [yellow] 2 19 6 19" xfId="10941"/>
    <cellStyle name="Input [yellow] 2 19 6 19 2" xfId="22138"/>
    <cellStyle name="Input [yellow] 2 19 6 19 3" xfId="33306"/>
    <cellStyle name="Input [yellow] 2 19 6 19 4" xfId="44471"/>
    <cellStyle name="Input [yellow] 2 19 6 19 5" xfId="55664"/>
    <cellStyle name="Input [yellow] 2 19 6 2" xfId="1037"/>
    <cellStyle name="Input [yellow] 2 19 6 2 2" xfId="12234"/>
    <cellStyle name="Input [yellow] 2 19 6 2 3" xfId="23402"/>
    <cellStyle name="Input [yellow] 2 19 6 2 4" xfId="34567"/>
    <cellStyle name="Input [yellow] 2 19 6 2 5" xfId="45760"/>
    <cellStyle name="Input [yellow] 2 19 6 20" xfId="11588"/>
    <cellStyle name="Input [yellow] 2 19 6 21" xfId="22758"/>
    <cellStyle name="Input [yellow] 2 19 6 22" xfId="33925"/>
    <cellStyle name="Input [yellow] 2 19 6 23" xfId="45111"/>
    <cellStyle name="Input [yellow] 2 19 6 3" xfId="1577"/>
    <cellStyle name="Input [yellow] 2 19 6 3 2" xfId="12774"/>
    <cellStyle name="Input [yellow] 2 19 6 3 3" xfId="23942"/>
    <cellStyle name="Input [yellow] 2 19 6 3 4" xfId="35107"/>
    <cellStyle name="Input [yellow] 2 19 6 3 5" xfId="46300"/>
    <cellStyle name="Input [yellow] 2 19 6 4" xfId="2313"/>
    <cellStyle name="Input [yellow] 2 19 6 4 2" xfId="13510"/>
    <cellStyle name="Input [yellow] 2 19 6 4 3" xfId="24678"/>
    <cellStyle name="Input [yellow] 2 19 6 4 4" xfId="35843"/>
    <cellStyle name="Input [yellow] 2 19 6 4 5" xfId="47036"/>
    <cellStyle name="Input [yellow] 2 19 6 5" xfId="2738"/>
    <cellStyle name="Input [yellow] 2 19 6 5 2" xfId="13935"/>
    <cellStyle name="Input [yellow] 2 19 6 5 3" xfId="25103"/>
    <cellStyle name="Input [yellow] 2 19 6 5 4" xfId="36268"/>
    <cellStyle name="Input [yellow] 2 19 6 5 5" xfId="47461"/>
    <cellStyle name="Input [yellow] 2 19 6 6" xfId="3372"/>
    <cellStyle name="Input [yellow] 2 19 6 6 2" xfId="14569"/>
    <cellStyle name="Input [yellow] 2 19 6 6 3" xfId="25737"/>
    <cellStyle name="Input [yellow] 2 19 6 6 4" xfId="36902"/>
    <cellStyle name="Input [yellow] 2 19 6 6 5" xfId="48095"/>
    <cellStyle name="Input [yellow] 2 19 6 7" xfId="4006"/>
    <cellStyle name="Input [yellow] 2 19 6 7 2" xfId="15203"/>
    <cellStyle name="Input [yellow] 2 19 6 7 3" xfId="26371"/>
    <cellStyle name="Input [yellow] 2 19 6 7 4" xfId="37536"/>
    <cellStyle name="Input [yellow] 2 19 6 7 5" xfId="48729"/>
    <cellStyle name="Input [yellow] 2 19 6 8" xfId="4639"/>
    <cellStyle name="Input [yellow] 2 19 6 8 2" xfId="15836"/>
    <cellStyle name="Input [yellow] 2 19 6 8 3" xfId="27004"/>
    <cellStyle name="Input [yellow] 2 19 6 8 4" xfId="38169"/>
    <cellStyle name="Input [yellow] 2 19 6 8 5" xfId="49362"/>
    <cellStyle name="Input [yellow] 2 19 6 9" xfId="5270"/>
    <cellStyle name="Input [yellow] 2 19 6 9 2" xfId="16467"/>
    <cellStyle name="Input [yellow] 2 19 6 9 3" xfId="27635"/>
    <cellStyle name="Input [yellow] 2 19 6 9 4" xfId="38800"/>
    <cellStyle name="Input [yellow] 2 19 6 9 5" xfId="49993"/>
    <cellStyle name="Input [yellow] 2 19 7" xfId="376"/>
    <cellStyle name="Input [yellow] 2 19 7 10" xfId="5650"/>
    <cellStyle name="Input [yellow] 2 19 7 10 2" xfId="16847"/>
    <cellStyle name="Input [yellow] 2 19 7 10 3" xfId="28015"/>
    <cellStyle name="Input [yellow] 2 19 7 10 4" xfId="39180"/>
    <cellStyle name="Input [yellow] 2 19 7 10 5" xfId="50373"/>
    <cellStyle name="Input [yellow] 2 19 7 11" xfId="6312"/>
    <cellStyle name="Input [yellow] 2 19 7 11 2" xfId="17509"/>
    <cellStyle name="Input [yellow] 2 19 7 11 3" xfId="28677"/>
    <cellStyle name="Input [yellow] 2 19 7 11 4" xfId="39842"/>
    <cellStyle name="Input [yellow] 2 19 7 11 5" xfId="51035"/>
    <cellStyle name="Input [yellow] 2 19 7 12" xfId="6945"/>
    <cellStyle name="Input [yellow] 2 19 7 12 2" xfId="18142"/>
    <cellStyle name="Input [yellow] 2 19 7 12 3" xfId="29310"/>
    <cellStyle name="Input [yellow] 2 19 7 12 4" xfId="40475"/>
    <cellStyle name="Input [yellow] 2 19 7 12 5" xfId="51668"/>
    <cellStyle name="Input [yellow] 2 19 7 13" xfId="7579"/>
    <cellStyle name="Input [yellow] 2 19 7 13 2" xfId="18776"/>
    <cellStyle name="Input [yellow] 2 19 7 13 3" xfId="29944"/>
    <cellStyle name="Input [yellow] 2 19 7 13 4" xfId="41109"/>
    <cellStyle name="Input [yellow] 2 19 7 13 5" xfId="52302"/>
    <cellStyle name="Input [yellow] 2 19 7 14" xfId="8213"/>
    <cellStyle name="Input [yellow] 2 19 7 14 2" xfId="19410"/>
    <cellStyle name="Input [yellow] 2 19 7 14 3" xfId="30578"/>
    <cellStyle name="Input [yellow] 2 19 7 14 4" xfId="41743"/>
    <cellStyle name="Input [yellow] 2 19 7 14 5" xfId="52936"/>
    <cellStyle name="Input [yellow] 2 19 7 15" xfId="8841"/>
    <cellStyle name="Input [yellow] 2 19 7 15 2" xfId="20038"/>
    <cellStyle name="Input [yellow] 2 19 7 15 3" xfId="31206"/>
    <cellStyle name="Input [yellow] 2 19 7 15 4" xfId="42371"/>
    <cellStyle name="Input [yellow] 2 19 7 15 5" xfId="53564"/>
    <cellStyle name="Input [yellow] 2 19 7 16" xfId="9264"/>
    <cellStyle name="Input [yellow] 2 19 7 16 2" xfId="20461"/>
    <cellStyle name="Input [yellow] 2 19 7 16 3" xfId="31629"/>
    <cellStyle name="Input [yellow] 2 19 7 16 4" xfId="42794"/>
    <cellStyle name="Input [yellow] 2 19 7 16 5" xfId="53987"/>
    <cellStyle name="Input [yellow] 2 19 7 17" xfId="9890"/>
    <cellStyle name="Input [yellow] 2 19 7 17 2" xfId="21087"/>
    <cellStyle name="Input [yellow] 2 19 7 17 3" xfId="32255"/>
    <cellStyle name="Input [yellow] 2 19 7 17 4" xfId="43420"/>
    <cellStyle name="Input [yellow] 2 19 7 17 5" xfId="54613"/>
    <cellStyle name="Input [yellow] 2 19 7 18" xfId="10436"/>
    <cellStyle name="Input [yellow] 2 19 7 18 2" xfId="21633"/>
    <cellStyle name="Input [yellow] 2 19 7 18 3" xfId="32801"/>
    <cellStyle name="Input [yellow] 2 19 7 18 4" xfId="43966"/>
    <cellStyle name="Input [yellow] 2 19 7 18 5" xfId="55159"/>
    <cellStyle name="Input [yellow] 2 19 7 19" xfId="10929"/>
    <cellStyle name="Input [yellow] 2 19 7 19 2" xfId="22126"/>
    <cellStyle name="Input [yellow] 2 19 7 19 3" xfId="33294"/>
    <cellStyle name="Input [yellow] 2 19 7 19 4" xfId="44459"/>
    <cellStyle name="Input [yellow] 2 19 7 19 5" xfId="55652"/>
    <cellStyle name="Input [yellow] 2 19 7 2" xfId="1025"/>
    <cellStyle name="Input [yellow] 2 19 7 2 2" xfId="12222"/>
    <cellStyle name="Input [yellow] 2 19 7 2 3" xfId="23390"/>
    <cellStyle name="Input [yellow] 2 19 7 2 4" xfId="34555"/>
    <cellStyle name="Input [yellow] 2 19 7 2 5" xfId="45748"/>
    <cellStyle name="Input [yellow] 2 19 7 20" xfId="11576"/>
    <cellStyle name="Input [yellow] 2 19 7 21" xfId="22746"/>
    <cellStyle name="Input [yellow] 2 19 7 22" xfId="33913"/>
    <cellStyle name="Input [yellow] 2 19 7 23" xfId="45099"/>
    <cellStyle name="Input [yellow] 2 19 7 3" xfId="1735"/>
    <cellStyle name="Input [yellow] 2 19 7 3 2" xfId="12932"/>
    <cellStyle name="Input [yellow] 2 19 7 3 3" xfId="24100"/>
    <cellStyle name="Input [yellow] 2 19 7 3 4" xfId="35265"/>
    <cellStyle name="Input [yellow] 2 19 7 3 5" xfId="46458"/>
    <cellStyle name="Input [yellow] 2 19 7 4" xfId="2301"/>
    <cellStyle name="Input [yellow] 2 19 7 4 2" xfId="13498"/>
    <cellStyle name="Input [yellow] 2 19 7 4 3" xfId="24666"/>
    <cellStyle name="Input [yellow] 2 19 7 4 4" xfId="35831"/>
    <cellStyle name="Input [yellow] 2 19 7 4 5" xfId="47024"/>
    <cellStyle name="Input [yellow] 2 19 7 5" xfId="2726"/>
    <cellStyle name="Input [yellow] 2 19 7 5 2" xfId="13923"/>
    <cellStyle name="Input [yellow] 2 19 7 5 3" xfId="25091"/>
    <cellStyle name="Input [yellow] 2 19 7 5 4" xfId="36256"/>
    <cellStyle name="Input [yellow] 2 19 7 5 5" xfId="47449"/>
    <cellStyle name="Input [yellow] 2 19 7 6" xfId="3360"/>
    <cellStyle name="Input [yellow] 2 19 7 6 2" xfId="14557"/>
    <cellStyle name="Input [yellow] 2 19 7 6 3" xfId="25725"/>
    <cellStyle name="Input [yellow] 2 19 7 6 4" xfId="36890"/>
    <cellStyle name="Input [yellow] 2 19 7 6 5" xfId="48083"/>
    <cellStyle name="Input [yellow] 2 19 7 7" xfId="3994"/>
    <cellStyle name="Input [yellow] 2 19 7 7 2" xfId="15191"/>
    <cellStyle name="Input [yellow] 2 19 7 7 3" xfId="26359"/>
    <cellStyle name="Input [yellow] 2 19 7 7 4" xfId="37524"/>
    <cellStyle name="Input [yellow] 2 19 7 7 5" xfId="48717"/>
    <cellStyle name="Input [yellow] 2 19 7 8" xfId="4627"/>
    <cellStyle name="Input [yellow] 2 19 7 8 2" xfId="15824"/>
    <cellStyle name="Input [yellow] 2 19 7 8 3" xfId="26992"/>
    <cellStyle name="Input [yellow] 2 19 7 8 4" xfId="38157"/>
    <cellStyle name="Input [yellow] 2 19 7 8 5" xfId="49350"/>
    <cellStyle name="Input [yellow] 2 19 7 9" xfId="5258"/>
    <cellStyle name="Input [yellow] 2 19 7 9 2" xfId="16455"/>
    <cellStyle name="Input [yellow] 2 19 7 9 3" xfId="27623"/>
    <cellStyle name="Input [yellow] 2 19 7 9 4" xfId="38788"/>
    <cellStyle name="Input [yellow] 2 19 7 9 5" xfId="49981"/>
    <cellStyle name="Input [yellow] 2 19 8" xfId="513"/>
    <cellStyle name="Input [yellow] 2 19 8 10" xfId="6130"/>
    <cellStyle name="Input [yellow] 2 19 8 10 2" xfId="17327"/>
    <cellStyle name="Input [yellow] 2 19 8 10 3" xfId="28495"/>
    <cellStyle name="Input [yellow] 2 19 8 10 4" xfId="39660"/>
    <cellStyle name="Input [yellow] 2 19 8 10 5" xfId="50853"/>
    <cellStyle name="Input [yellow] 2 19 8 11" xfId="6449"/>
    <cellStyle name="Input [yellow] 2 19 8 11 2" xfId="17646"/>
    <cellStyle name="Input [yellow] 2 19 8 11 3" xfId="28814"/>
    <cellStyle name="Input [yellow] 2 19 8 11 4" xfId="39979"/>
    <cellStyle name="Input [yellow] 2 19 8 11 5" xfId="51172"/>
    <cellStyle name="Input [yellow] 2 19 8 12" xfId="7082"/>
    <cellStyle name="Input [yellow] 2 19 8 12 2" xfId="18279"/>
    <cellStyle name="Input [yellow] 2 19 8 12 3" xfId="29447"/>
    <cellStyle name="Input [yellow] 2 19 8 12 4" xfId="40612"/>
    <cellStyle name="Input [yellow] 2 19 8 12 5" xfId="51805"/>
    <cellStyle name="Input [yellow] 2 19 8 13" xfId="7716"/>
    <cellStyle name="Input [yellow] 2 19 8 13 2" xfId="18913"/>
    <cellStyle name="Input [yellow] 2 19 8 13 3" xfId="30081"/>
    <cellStyle name="Input [yellow] 2 19 8 13 4" xfId="41246"/>
    <cellStyle name="Input [yellow] 2 19 8 13 5" xfId="52439"/>
    <cellStyle name="Input [yellow] 2 19 8 14" xfId="8350"/>
    <cellStyle name="Input [yellow] 2 19 8 14 2" xfId="19547"/>
    <cellStyle name="Input [yellow] 2 19 8 14 3" xfId="30715"/>
    <cellStyle name="Input [yellow] 2 19 8 14 4" xfId="41880"/>
    <cellStyle name="Input [yellow] 2 19 8 14 5" xfId="53073"/>
    <cellStyle name="Input [yellow] 2 19 8 15" xfId="8978"/>
    <cellStyle name="Input [yellow] 2 19 8 15 2" xfId="20175"/>
    <cellStyle name="Input [yellow] 2 19 8 15 3" xfId="31343"/>
    <cellStyle name="Input [yellow] 2 19 8 15 4" xfId="42508"/>
    <cellStyle name="Input [yellow] 2 19 8 15 5" xfId="53701"/>
    <cellStyle name="Input [yellow] 2 19 8 16" xfId="9401"/>
    <cellStyle name="Input [yellow] 2 19 8 16 2" xfId="20598"/>
    <cellStyle name="Input [yellow] 2 19 8 16 3" xfId="31766"/>
    <cellStyle name="Input [yellow] 2 19 8 16 4" xfId="42931"/>
    <cellStyle name="Input [yellow] 2 19 8 16 5" xfId="54124"/>
    <cellStyle name="Input [yellow] 2 19 8 17" xfId="10026"/>
    <cellStyle name="Input [yellow] 2 19 8 17 2" xfId="21223"/>
    <cellStyle name="Input [yellow] 2 19 8 17 3" xfId="32391"/>
    <cellStyle name="Input [yellow] 2 19 8 17 4" xfId="43556"/>
    <cellStyle name="Input [yellow] 2 19 8 17 5" xfId="54749"/>
    <cellStyle name="Input [yellow] 2 19 8 18" xfId="10405"/>
    <cellStyle name="Input [yellow] 2 19 8 18 2" xfId="21602"/>
    <cellStyle name="Input [yellow] 2 19 8 18 3" xfId="32770"/>
    <cellStyle name="Input [yellow] 2 19 8 18 4" xfId="43935"/>
    <cellStyle name="Input [yellow] 2 19 8 18 5" xfId="55128"/>
    <cellStyle name="Input [yellow] 2 19 8 19" xfId="11066"/>
    <cellStyle name="Input [yellow] 2 19 8 19 2" xfId="22263"/>
    <cellStyle name="Input [yellow] 2 19 8 19 3" xfId="33431"/>
    <cellStyle name="Input [yellow] 2 19 8 19 4" xfId="44596"/>
    <cellStyle name="Input [yellow] 2 19 8 19 5" xfId="55789"/>
    <cellStyle name="Input [yellow] 2 19 8 2" xfId="1162"/>
    <cellStyle name="Input [yellow] 2 19 8 2 2" xfId="12359"/>
    <cellStyle name="Input [yellow] 2 19 8 2 3" xfId="23527"/>
    <cellStyle name="Input [yellow] 2 19 8 2 4" xfId="34692"/>
    <cellStyle name="Input [yellow] 2 19 8 2 5" xfId="45885"/>
    <cellStyle name="Input [yellow] 2 19 8 20" xfId="11713"/>
    <cellStyle name="Input [yellow] 2 19 8 21" xfId="22883"/>
    <cellStyle name="Input [yellow] 2 19 8 22" xfId="34050"/>
    <cellStyle name="Input [yellow] 2 19 8 23" xfId="45236"/>
    <cellStyle name="Input [yellow] 2 19 8 3" xfId="1650"/>
    <cellStyle name="Input [yellow] 2 19 8 3 2" xfId="12847"/>
    <cellStyle name="Input [yellow] 2 19 8 3 3" xfId="24015"/>
    <cellStyle name="Input [yellow] 2 19 8 3 4" xfId="35180"/>
    <cellStyle name="Input [yellow] 2 19 8 3 5" xfId="46373"/>
    <cellStyle name="Input [yellow] 2 19 8 4" xfId="2438"/>
    <cellStyle name="Input [yellow] 2 19 8 4 2" xfId="13635"/>
    <cellStyle name="Input [yellow] 2 19 8 4 3" xfId="24803"/>
    <cellStyle name="Input [yellow] 2 19 8 4 4" xfId="35968"/>
    <cellStyle name="Input [yellow] 2 19 8 4 5" xfId="47161"/>
    <cellStyle name="Input [yellow] 2 19 8 5" xfId="2863"/>
    <cellStyle name="Input [yellow] 2 19 8 5 2" xfId="14060"/>
    <cellStyle name="Input [yellow] 2 19 8 5 3" xfId="25228"/>
    <cellStyle name="Input [yellow] 2 19 8 5 4" xfId="36393"/>
    <cellStyle name="Input [yellow] 2 19 8 5 5" xfId="47586"/>
    <cellStyle name="Input [yellow] 2 19 8 6" xfId="3497"/>
    <cellStyle name="Input [yellow] 2 19 8 6 2" xfId="14694"/>
    <cellStyle name="Input [yellow] 2 19 8 6 3" xfId="25862"/>
    <cellStyle name="Input [yellow] 2 19 8 6 4" xfId="37027"/>
    <cellStyle name="Input [yellow] 2 19 8 6 5" xfId="48220"/>
    <cellStyle name="Input [yellow] 2 19 8 7" xfId="4131"/>
    <cellStyle name="Input [yellow] 2 19 8 7 2" xfId="15328"/>
    <cellStyle name="Input [yellow] 2 19 8 7 3" xfId="26496"/>
    <cellStyle name="Input [yellow] 2 19 8 7 4" xfId="37661"/>
    <cellStyle name="Input [yellow] 2 19 8 7 5" xfId="48854"/>
    <cellStyle name="Input [yellow] 2 19 8 8" xfId="4764"/>
    <cellStyle name="Input [yellow] 2 19 8 8 2" xfId="15961"/>
    <cellStyle name="Input [yellow] 2 19 8 8 3" xfId="27129"/>
    <cellStyle name="Input [yellow] 2 19 8 8 4" xfId="38294"/>
    <cellStyle name="Input [yellow] 2 19 8 8 5" xfId="49487"/>
    <cellStyle name="Input [yellow] 2 19 8 9" xfId="5395"/>
    <cellStyle name="Input [yellow] 2 19 8 9 2" xfId="16592"/>
    <cellStyle name="Input [yellow] 2 19 8 9 3" xfId="27760"/>
    <cellStyle name="Input [yellow] 2 19 8 9 4" xfId="38925"/>
    <cellStyle name="Input [yellow] 2 19 8 9 5" xfId="50118"/>
    <cellStyle name="Input [yellow] 2 19 9" xfId="571"/>
    <cellStyle name="Input [yellow] 2 19 9 10" xfId="5648"/>
    <cellStyle name="Input [yellow] 2 19 9 10 2" xfId="16845"/>
    <cellStyle name="Input [yellow] 2 19 9 10 3" xfId="28013"/>
    <cellStyle name="Input [yellow] 2 19 9 10 4" xfId="39178"/>
    <cellStyle name="Input [yellow] 2 19 9 10 5" xfId="50371"/>
    <cellStyle name="Input [yellow] 2 19 9 11" xfId="6507"/>
    <cellStyle name="Input [yellow] 2 19 9 11 2" xfId="17704"/>
    <cellStyle name="Input [yellow] 2 19 9 11 3" xfId="28872"/>
    <cellStyle name="Input [yellow] 2 19 9 11 4" xfId="40037"/>
    <cellStyle name="Input [yellow] 2 19 9 11 5" xfId="51230"/>
    <cellStyle name="Input [yellow] 2 19 9 12" xfId="7140"/>
    <cellStyle name="Input [yellow] 2 19 9 12 2" xfId="18337"/>
    <cellStyle name="Input [yellow] 2 19 9 12 3" xfId="29505"/>
    <cellStyle name="Input [yellow] 2 19 9 12 4" xfId="40670"/>
    <cellStyle name="Input [yellow] 2 19 9 12 5" xfId="51863"/>
    <cellStyle name="Input [yellow] 2 19 9 13" xfId="7774"/>
    <cellStyle name="Input [yellow] 2 19 9 13 2" xfId="18971"/>
    <cellStyle name="Input [yellow] 2 19 9 13 3" xfId="30139"/>
    <cellStyle name="Input [yellow] 2 19 9 13 4" xfId="41304"/>
    <cellStyle name="Input [yellow] 2 19 9 13 5" xfId="52497"/>
    <cellStyle name="Input [yellow] 2 19 9 14" xfId="8408"/>
    <cellStyle name="Input [yellow] 2 19 9 14 2" xfId="19605"/>
    <cellStyle name="Input [yellow] 2 19 9 14 3" xfId="30773"/>
    <cellStyle name="Input [yellow] 2 19 9 14 4" xfId="41938"/>
    <cellStyle name="Input [yellow] 2 19 9 14 5" xfId="53131"/>
    <cellStyle name="Input [yellow] 2 19 9 15" xfId="9036"/>
    <cellStyle name="Input [yellow] 2 19 9 15 2" xfId="20233"/>
    <cellStyle name="Input [yellow] 2 19 9 15 3" xfId="31401"/>
    <cellStyle name="Input [yellow] 2 19 9 15 4" xfId="42566"/>
    <cellStyle name="Input [yellow] 2 19 9 15 5" xfId="53759"/>
    <cellStyle name="Input [yellow] 2 19 9 16" xfId="9459"/>
    <cellStyle name="Input [yellow] 2 19 9 16 2" xfId="20656"/>
    <cellStyle name="Input [yellow] 2 19 9 16 3" xfId="31824"/>
    <cellStyle name="Input [yellow] 2 19 9 16 4" xfId="42989"/>
    <cellStyle name="Input [yellow] 2 19 9 16 5" xfId="54182"/>
    <cellStyle name="Input [yellow] 2 19 9 17" xfId="10084"/>
    <cellStyle name="Input [yellow] 2 19 9 17 2" xfId="21281"/>
    <cellStyle name="Input [yellow] 2 19 9 17 3" xfId="32449"/>
    <cellStyle name="Input [yellow] 2 19 9 17 4" xfId="43614"/>
    <cellStyle name="Input [yellow] 2 19 9 17 5" xfId="54807"/>
    <cellStyle name="Input [yellow] 2 19 9 18" xfId="10193"/>
    <cellStyle name="Input [yellow] 2 19 9 18 2" xfId="21390"/>
    <cellStyle name="Input [yellow] 2 19 9 18 3" xfId="32558"/>
    <cellStyle name="Input [yellow] 2 19 9 18 4" xfId="43723"/>
    <cellStyle name="Input [yellow] 2 19 9 18 5" xfId="54916"/>
    <cellStyle name="Input [yellow] 2 19 9 19" xfId="11124"/>
    <cellStyle name="Input [yellow] 2 19 9 19 2" xfId="22321"/>
    <cellStyle name="Input [yellow] 2 19 9 19 3" xfId="33489"/>
    <cellStyle name="Input [yellow] 2 19 9 19 4" xfId="44654"/>
    <cellStyle name="Input [yellow] 2 19 9 19 5" xfId="55847"/>
    <cellStyle name="Input [yellow] 2 19 9 2" xfId="1220"/>
    <cellStyle name="Input [yellow] 2 19 9 2 2" xfId="12417"/>
    <cellStyle name="Input [yellow] 2 19 9 2 3" xfId="23585"/>
    <cellStyle name="Input [yellow] 2 19 9 2 4" xfId="34750"/>
    <cellStyle name="Input [yellow] 2 19 9 2 5" xfId="45943"/>
    <cellStyle name="Input [yellow] 2 19 9 20" xfId="11771"/>
    <cellStyle name="Input [yellow] 2 19 9 21" xfId="22941"/>
    <cellStyle name="Input [yellow] 2 19 9 22" xfId="34108"/>
    <cellStyle name="Input [yellow] 2 19 9 23" xfId="45294"/>
    <cellStyle name="Input [yellow] 2 19 9 3" xfId="1461"/>
    <cellStyle name="Input [yellow] 2 19 9 3 2" xfId="12658"/>
    <cellStyle name="Input [yellow] 2 19 9 3 3" xfId="23826"/>
    <cellStyle name="Input [yellow] 2 19 9 3 4" xfId="34991"/>
    <cellStyle name="Input [yellow] 2 19 9 3 5" xfId="46184"/>
    <cellStyle name="Input [yellow] 2 19 9 4" xfId="2496"/>
    <cellStyle name="Input [yellow] 2 19 9 4 2" xfId="13693"/>
    <cellStyle name="Input [yellow] 2 19 9 4 3" xfId="24861"/>
    <cellStyle name="Input [yellow] 2 19 9 4 4" xfId="36026"/>
    <cellStyle name="Input [yellow] 2 19 9 4 5" xfId="47219"/>
    <cellStyle name="Input [yellow] 2 19 9 5" xfId="2921"/>
    <cellStyle name="Input [yellow] 2 19 9 5 2" xfId="14118"/>
    <cellStyle name="Input [yellow] 2 19 9 5 3" xfId="25286"/>
    <cellStyle name="Input [yellow] 2 19 9 5 4" xfId="36451"/>
    <cellStyle name="Input [yellow] 2 19 9 5 5" xfId="47644"/>
    <cellStyle name="Input [yellow] 2 19 9 6" xfId="3555"/>
    <cellStyle name="Input [yellow] 2 19 9 6 2" xfId="14752"/>
    <cellStyle name="Input [yellow] 2 19 9 6 3" xfId="25920"/>
    <cellStyle name="Input [yellow] 2 19 9 6 4" xfId="37085"/>
    <cellStyle name="Input [yellow] 2 19 9 6 5" xfId="48278"/>
    <cellStyle name="Input [yellow] 2 19 9 7" xfId="4189"/>
    <cellStyle name="Input [yellow] 2 19 9 7 2" xfId="15386"/>
    <cellStyle name="Input [yellow] 2 19 9 7 3" xfId="26554"/>
    <cellStyle name="Input [yellow] 2 19 9 7 4" xfId="37719"/>
    <cellStyle name="Input [yellow] 2 19 9 7 5" xfId="48912"/>
    <cellStyle name="Input [yellow] 2 19 9 8" xfId="4822"/>
    <cellStyle name="Input [yellow] 2 19 9 8 2" xfId="16019"/>
    <cellStyle name="Input [yellow] 2 19 9 8 3" xfId="27187"/>
    <cellStyle name="Input [yellow] 2 19 9 8 4" xfId="38352"/>
    <cellStyle name="Input [yellow] 2 19 9 8 5" xfId="49545"/>
    <cellStyle name="Input [yellow] 2 19 9 9" xfId="5453"/>
    <cellStyle name="Input [yellow] 2 19 9 9 2" xfId="16650"/>
    <cellStyle name="Input [yellow] 2 19 9 9 3" xfId="27818"/>
    <cellStyle name="Input [yellow] 2 19 9 9 4" xfId="38983"/>
    <cellStyle name="Input [yellow] 2 19 9 9 5" xfId="50176"/>
    <cellStyle name="Input [yellow] 2 2" xfId="45"/>
    <cellStyle name="Input [yellow] 2 2 10" xfId="608"/>
    <cellStyle name="Input [yellow] 2 2 10 10" xfId="6077"/>
    <cellStyle name="Input [yellow] 2 2 10 10 2" xfId="17274"/>
    <cellStyle name="Input [yellow] 2 2 10 10 3" xfId="28442"/>
    <cellStyle name="Input [yellow] 2 2 10 10 4" xfId="39607"/>
    <cellStyle name="Input [yellow] 2 2 10 10 5" xfId="50800"/>
    <cellStyle name="Input [yellow] 2 2 10 11" xfId="6544"/>
    <cellStyle name="Input [yellow] 2 2 10 11 2" xfId="17741"/>
    <cellStyle name="Input [yellow] 2 2 10 11 3" xfId="28909"/>
    <cellStyle name="Input [yellow] 2 2 10 11 4" xfId="40074"/>
    <cellStyle name="Input [yellow] 2 2 10 11 5" xfId="51267"/>
    <cellStyle name="Input [yellow] 2 2 10 12" xfId="7177"/>
    <cellStyle name="Input [yellow] 2 2 10 12 2" xfId="18374"/>
    <cellStyle name="Input [yellow] 2 2 10 12 3" xfId="29542"/>
    <cellStyle name="Input [yellow] 2 2 10 12 4" xfId="40707"/>
    <cellStyle name="Input [yellow] 2 2 10 12 5" xfId="51900"/>
    <cellStyle name="Input [yellow] 2 2 10 13" xfId="7811"/>
    <cellStyle name="Input [yellow] 2 2 10 13 2" xfId="19008"/>
    <cellStyle name="Input [yellow] 2 2 10 13 3" xfId="30176"/>
    <cellStyle name="Input [yellow] 2 2 10 13 4" xfId="41341"/>
    <cellStyle name="Input [yellow] 2 2 10 13 5" xfId="52534"/>
    <cellStyle name="Input [yellow] 2 2 10 14" xfId="8445"/>
    <cellStyle name="Input [yellow] 2 2 10 14 2" xfId="19642"/>
    <cellStyle name="Input [yellow] 2 2 10 14 3" xfId="30810"/>
    <cellStyle name="Input [yellow] 2 2 10 14 4" xfId="41975"/>
    <cellStyle name="Input [yellow] 2 2 10 14 5" xfId="53168"/>
    <cellStyle name="Input [yellow] 2 2 10 15" xfId="9073"/>
    <cellStyle name="Input [yellow] 2 2 10 15 2" xfId="20270"/>
    <cellStyle name="Input [yellow] 2 2 10 15 3" xfId="31438"/>
    <cellStyle name="Input [yellow] 2 2 10 15 4" xfId="42603"/>
    <cellStyle name="Input [yellow] 2 2 10 15 5" xfId="53796"/>
    <cellStyle name="Input [yellow] 2 2 10 16" xfId="9496"/>
    <cellStyle name="Input [yellow] 2 2 10 16 2" xfId="20693"/>
    <cellStyle name="Input [yellow] 2 2 10 16 3" xfId="31861"/>
    <cellStyle name="Input [yellow] 2 2 10 16 4" xfId="43026"/>
    <cellStyle name="Input [yellow] 2 2 10 16 5" xfId="54219"/>
    <cellStyle name="Input [yellow] 2 2 10 17" xfId="10121"/>
    <cellStyle name="Input [yellow] 2 2 10 17 2" xfId="21318"/>
    <cellStyle name="Input [yellow] 2 2 10 17 3" xfId="32486"/>
    <cellStyle name="Input [yellow] 2 2 10 17 4" xfId="43651"/>
    <cellStyle name="Input [yellow] 2 2 10 17 5" xfId="54844"/>
    <cellStyle name="Input [yellow] 2 2 10 18" xfId="9744"/>
    <cellStyle name="Input [yellow] 2 2 10 18 2" xfId="20941"/>
    <cellStyle name="Input [yellow] 2 2 10 18 3" xfId="32109"/>
    <cellStyle name="Input [yellow] 2 2 10 18 4" xfId="43274"/>
    <cellStyle name="Input [yellow] 2 2 10 18 5" xfId="54467"/>
    <cellStyle name="Input [yellow] 2 2 10 19" xfId="11161"/>
    <cellStyle name="Input [yellow] 2 2 10 19 2" xfId="22358"/>
    <cellStyle name="Input [yellow] 2 2 10 19 3" xfId="33526"/>
    <cellStyle name="Input [yellow] 2 2 10 19 4" xfId="44691"/>
    <cellStyle name="Input [yellow] 2 2 10 19 5" xfId="55884"/>
    <cellStyle name="Input [yellow] 2 2 10 2" xfId="1257"/>
    <cellStyle name="Input [yellow] 2 2 10 2 2" xfId="12454"/>
    <cellStyle name="Input [yellow] 2 2 10 2 3" xfId="23622"/>
    <cellStyle name="Input [yellow] 2 2 10 2 4" xfId="34787"/>
    <cellStyle name="Input [yellow] 2 2 10 2 5" xfId="45980"/>
    <cellStyle name="Input [yellow] 2 2 10 20" xfId="11808"/>
    <cellStyle name="Input [yellow] 2 2 10 21" xfId="22978"/>
    <cellStyle name="Input [yellow] 2 2 10 22" xfId="34145"/>
    <cellStyle name="Input [yellow] 2 2 10 23" xfId="45331"/>
    <cellStyle name="Input [yellow] 2 2 10 3" xfId="1938"/>
    <cellStyle name="Input [yellow] 2 2 10 3 2" xfId="13135"/>
    <cellStyle name="Input [yellow] 2 2 10 3 3" xfId="24303"/>
    <cellStyle name="Input [yellow] 2 2 10 3 4" xfId="35468"/>
    <cellStyle name="Input [yellow] 2 2 10 3 5" xfId="46661"/>
    <cellStyle name="Input [yellow] 2 2 10 4" xfId="2533"/>
    <cellStyle name="Input [yellow] 2 2 10 4 2" xfId="13730"/>
    <cellStyle name="Input [yellow] 2 2 10 4 3" xfId="24898"/>
    <cellStyle name="Input [yellow] 2 2 10 4 4" xfId="36063"/>
    <cellStyle name="Input [yellow] 2 2 10 4 5" xfId="47256"/>
    <cellStyle name="Input [yellow] 2 2 10 5" xfId="2958"/>
    <cellStyle name="Input [yellow] 2 2 10 5 2" xfId="14155"/>
    <cellStyle name="Input [yellow] 2 2 10 5 3" xfId="25323"/>
    <cellStyle name="Input [yellow] 2 2 10 5 4" xfId="36488"/>
    <cellStyle name="Input [yellow] 2 2 10 5 5" xfId="47681"/>
    <cellStyle name="Input [yellow] 2 2 10 6" xfId="3592"/>
    <cellStyle name="Input [yellow] 2 2 10 6 2" xfId="14789"/>
    <cellStyle name="Input [yellow] 2 2 10 6 3" xfId="25957"/>
    <cellStyle name="Input [yellow] 2 2 10 6 4" xfId="37122"/>
    <cellStyle name="Input [yellow] 2 2 10 6 5" xfId="48315"/>
    <cellStyle name="Input [yellow] 2 2 10 7" xfId="4226"/>
    <cellStyle name="Input [yellow] 2 2 10 7 2" xfId="15423"/>
    <cellStyle name="Input [yellow] 2 2 10 7 3" xfId="26591"/>
    <cellStyle name="Input [yellow] 2 2 10 7 4" xfId="37756"/>
    <cellStyle name="Input [yellow] 2 2 10 7 5" xfId="48949"/>
    <cellStyle name="Input [yellow] 2 2 10 8" xfId="4859"/>
    <cellStyle name="Input [yellow] 2 2 10 8 2" xfId="16056"/>
    <cellStyle name="Input [yellow] 2 2 10 8 3" xfId="27224"/>
    <cellStyle name="Input [yellow] 2 2 10 8 4" xfId="38389"/>
    <cellStyle name="Input [yellow] 2 2 10 8 5" xfId="49582"/>
    <cellStyle name="Input [yellow] 2 2 10 9" xfId="5490"/>
    <cellStyle name="Input [yellow] 2 2 10 9 2" xfId="16687"/>
    <cellStyle name="Input [yellow] 2 2 10 9 3" xfId="27855"/>
    <cellStyle name="Input [yellow] 2 2 10 9 4" xfId="39020"/>
    <cellStyle name="Input [yellow] 2 2 10 9 5" xfId="50213"/>
    <cellStyle name="Input [yellow] 2 2 11" xfId="643"/>
    <cellStyle name="Input [yellow] 2 2 11 10" xfId="6075"/>
    <cellStyle name="Input [yellow] 2 2 11 10 2" xfId="17272"/>
    <cellStyle name="Input [yellow] 2 2 11 10 3" xfId="28440"/>
    <cellStyle name="Input [yellow] 2 2 11 10 4" xfId="39605"/>
    <cellStyle name="Input [yellow] 2 2 11 10 5" xfId="50798"/>
    <cellStyle name="Input [yellow] 2 2 11 11" xfId="6579"/>
    <cellStyle name="Input [yellow] 2 2 11 11 2" xfId="17776"/>
    <cellStyle name="Input [yellow] 2 2 11 11 3" xfId="28944"/>
    <cellStyle name="Input [yellow] 2 2 11 11 4" xfId="40109"/>
    <cellStyle name="Input [yellow] 2 2 11 11 5" xfId="51302"/>
    <cellStyle name="Input [yellow] 2 2 11 12" xfId="7212"/>
    <cellStyle name="Input [yellow] 2 2 11 12 2" xfId="18409"/>
    <cellStyle name="Input [yellow] 2 2 11 12 3" xfId="29577"/>
    <cellStyle name="Input [yellow] 2 2 11 12 4" xfId="40742"/>
    <cellStyle name="Input [yellow] 2 2 11 12 5" xfId="51935"/>
    <cellStyle name="Input [yellow] 2 2 11 13" xfId="7846"/>
    <cellStyle name="Input [yellow] 2 2 11 13 2" xfId="19043"/>
    <cellStyle name="Input [yellow] 2 2 11 13 3" xfId="30211"/>
    <cellStyle name="Input [yellow] 2 2 11 13 4" xfId="41376"/>
    <cellStyle name="Input [yellow] 2 2 11 13 5" xfId="52569"/>
    <cellStyle name="Input [yellow] 2 2 11 14" xfId="8480"/>
    <cellStyle name="Input [yellow] 2 2 11 14 2" xfId="19677"/>
    <cellStyle name="Input [yellow] 2 2 11 14 3" xfId="30845"/>
    <cellStyle name="Input [yellow] 2 2 11 14 4" xfId="42010"/>
    <cellStyle name="Input [yellow] 2 2 11 14 5" xfId="53203"/>
    <cellStyle name="Input [yellow] 2 2 11 15" xfId="9108"/>
    <cellStyle name="Input [yellow] 2 2 11 15 2" xfId="20305"/>
    <cellStyle name="Input [yellow] 2 2 11 15 3" xfId="31473"/>
    <cellStyle name="Input [yellow] 2 2 11 15 4" xfId="42638"/>
    <cellStyle name="Input [yellow] 2 2 11 15 5" xfId="53831"/>
    <cellStyle name="Input [yellow] 2 2 11 16" xfId="9531"/>
    <cellStyle name="Input [yellow] 2 2 11 16 2" xfId="20728"/>
    <cellStyle name="Input [yellow] 2 2 11 16 3" xfId="31896"/>
    <cellStyle name="Input [yellow] 2 2 11 16 4" xfId="43061"/>
    <cellStyle name="Input [yellow] 2 2 11 16 5" xfId="54254"/>
    <cellStyle name="Input [yellow] 2 2 11 17" xfId="10156"/>
    <cellStyle name="Input [yellow] 2 2 11 17 2" xfId="21353"/>
    <cellStyle name="Input [yellow] 2 2 11 17 3" xfId="32521"/>
    <cellStyle name="Input [yellow] 2 2 11 17 4" xfId="43686"/>
    <cellStyle name="Input [yellow] 2 2 11 17 5" xfId="54879"/>
    <cellStyle name="Input [yellow] 2 2 11 18" xfId="10550"/>
    <cellStyle name="Input [yellow] 2 2 11 18 2" xfId="21747"/>
    <cellStyle name="Input [yellow] 2 2 11 18 3" xfId="32915"/>
    <cellStyle name="Input [yellow] 2 2 11 18 4" xfId="44080"/>
    <cellStyle name="Input [yellow] 2 2 11 18 5" xfId="55273"/>
    <cellStyle name="Input [yellow] 2 2 11 19" xfId="11196"/>
    <cellStyle name="Input [yellow] 2 2 11 19 2" xfId="22393"/>
    <cellStyle name="Input [yellow] 2 2 11 19 3" xfId="33561"/>
    <cellStyle name="Input [yellow] 2 2 11 19 4" xfId="44726"/>
    <cellStyle name="Input [yellow] 2 2 11 19 5" xfId="55919"/>
    <cellStyle name="Input [yellow] 2 2 11 2" xfId="1292"/>
    <cellStyle name="Input [yellow] 2 2 11 2 2" xfId="12489"/>
    <cellStyle name="Input [yellow] 2 2 11 2 3" xfId="23657"/>
    <cellStyle name="Input [yellow] 2 2 11 2 4" xfId="34822"/>
    <cellStyle name="Input [yellow] 2 2 11 2 5" xfId="46015"/>
    <cellStyle name="Input [yellow] 2 2 11 20" xfId="11843"/>
    <cellStyle name="Input [yellow] 2 2 11 21" xfId="23013"/>
    <cellStyle name="Input [yellow] 2 2 11 22" xfId="34180"/>
    <cellStyle name="Input [yellow] 2 2 11 23" xfId="45366"/>
    <cellStyle name="Input [yellow] 2 2 11 3" xfId="1378"/>
    <cellStyle name="Input [yellow] 2 2 11 3 2" xfId="12575"/>
    <cellStyle name="Input [yellow] 2 2 11 3 3" xfId="23743"/>
    <cellStyle name="Input [yellow] 2 2 11 3 4" xfId="34908"/>
    <cellStyle name="Input [yellow] 2 2 11 3 5" xfId="46101"/>
    <cellStyle name="Input [yellow] 2 2 11 4" xfId="2568"/>
    <cellStyle name="Input [yellow] 2 2 11 4 2" xfId="13765"/>
    <cellStyle name="Input [yellow] 2 2 11 4 3" xfId="24933"/>
    <cellStyle name="Input [yellow] 2 2 11 4 4" xfId="36098"/>
    <cellStyle name="Input [yellow] 2 2 11 4 5" xfId="47291"/>
    <cellStyle name="Input [yellow] 2 2 11 5" xfId="2993"/>
    <cellStyle name="Input [yellow] 2 2 11 5 2" xfId="14190"/>
    <cellStyle name="Input [yellow] 2 2 11 5 3" xfId="25358"/>
    <cellStyle name="Input [yellow] 2 2 11 5 4" xfId="36523"/>
    <cellStyle name="Input [yellow] 2 2 11 5 5" xfId="47716"/>
    <cellStyle name="Input [yellow] 2 2 11 6" xfId="3627"/>
    <cellStyle name="Input [yellow] 2 2 11 6 2" xfId="14824"/>
    <cellStyle name="Input [yellow] 2 2 11 6 3" xfId="25992"/>
    <cellStyle name="Input [yellow] 2 2 11 6 4" xfId="37157"/>
    <cellStyle name="Input [yellow] 2 2 11 6 5" xfId="48350"/>
    <cellStyle name="Input [yellow] 2 2 11 7" xfId="4261"/>
    <cellStyle name="Input [yellow] 2 2 11 7 2" xfId="15458"/>
    <cellStyle name="Input [yellow] 2 2 11 7 3" xfId="26626"/>
    <cellStyle name="Input [yellow] 2 2 11 7 4" xfId="37791"/>
    <cellStyle name="Input [yellow] 2 2 11 7 5" xfId="48984"/>
    <cellStyle name="Input [yellow] 2 2 11 8" xfId="4894"/>
    <cellStyle name="Input [yellow] 2 2 11 8 2" xfId="16091"/>
    <cellStyle name="Input [yellow] 2 2 11 8 3" xfId="27259"/>
    <cellStyle name="Input [yellow] 2 2 11 8 4" xfId="38424"/>
    <cellStyle name="Input [yellow] 2 2 11 8 5" xfId="49617"/>
    <cellStyle name="Input [yellow] 2 2 11 9" xfId="5525"/>
    <cellStyle name="Input [yellow] 2 2 11 9 2" xfId="16722"/>
    <cellStyle name="Input [yellow] 2 2 11 9 3" xfId="27890"/>
    <cellStyle name="Input [yellow] 2 2 11 9 4" xfId="39055"/>
    <cellStyle name="Input [yellow] 2 2 11 9 5" xfId="50248"/>
    <cellStyle name="Input [yellow] 2 2 12" xfId="700"/>
    <cellStyle name="Input [yellow] 2 2 12 2" xfId="11898"/>
    <cellStyle name="Input [yellow] 2 2 12 3" xfId="23067"/>
    <cellStyle name="Input [yellow] 2 2 12 4" xfId="34233"/>
    <cellStyle name="Input [yellow] 2 2 12 5" xfId="45423"/>
    <cellStyle name="Input [yellow] 2 2 13" xfId="1720"/>
    <cellStyle name="Input [yellow] 2 2 13 2" xfId="12917"/>
    <cellStyle name="Input [yellow] 2 2 13 3" xfId="24085"/>
    <cellStyle name="Input [yellow] 2 2 13 4" xfId="35250"/>
    <cellStyle name="Input [yellow] 2 2 13 5" xfId="46443"/>
    <cellStyle name="Input [yellow] 2 2 14" xfId="1973"/>
    <cellStyle name="Input [yellow] 2 2 14 2" xfId="13170"/>
    <cellStyle name="Input [yellow] 2 2 14 3" xfId="24338"/>
    <cellStyle name="Input [yellow] 2 2 14 4" xfId="35503"/>
    <cellStyle name="Input [yellow] 2 2 14 5" xfId="46696"/>
    <cellStyle name="Input [yellow] 2 2 15" xfId="2275"/>
    <cellStyle name="Input [yellow] 2 2 15 2" xfId="13472"/>
    <cellStyle name="Input [yellow] 2 2 15 3" xfId="24640"/>
    <cellStyle name="Input [yellow] 2 2 15 4" xfId="35805"/>
    <cellStyle name="Input [yellow] 2 2 15 5" xfId="46998"/>
    <cellStyle name="Input [yellow] 2 2 16" xfId="3030"/>
    <cellStyle name="Input [yellow] 2 2 16 2" xfId="14227"/>
    <cellStyle name="Input [yellow] 2 2 16 3" xfId="25395"/>
    <cellStyle name="Input [yellow] 2 2 16 4" xfId="36560"/>
    <cellStyle name="Input [yellow] 2 2 16 5" xfId="47753"/>
    <cellStyle name="Input [yellow] 2 2 17" xfId="3664"/>
    <cellStyle name="Input [yellow] 2 2 17 2" xfId="14861"/>
    <cellStyle name="Input [yellow] 2 2 17 3" xfId="26029"/>
    <cellStyle name="Input [yellow] 2 2 17 4" xfId="37194"/>
    <cellStyle name="Input [yellow] 2 2 17 5" xfId="48387"/>
    <cellStyle name="Input [yellow] 2 2 18" xfId="4296"/>
    <cellStyle name="Input [yellow] 2 2 18 2" xfId="15493"/>
    <cellStyle name="Input [yellow] 2 2 18 3" xfId="26661"/>
    <cellStyle name="Input [yellow] 2 2 18 4" xfId="37826"/>
    <cellStyle name="Input [yellow] 2 2 18 5" xfId="49019"/>
    <cellStyle name="Input [yellow] 2 2 19" xfId="4929"/>
    <cellStyle name="Input [yellow] 2 2 19 2" xfId="16126"/>
    <cellStyle name="Input [yellow] 2 2 19 3" xfId="27294"/>
    <cellStyle name="Input [yellow] 2 2 19 4" xfId="38459"/>
    <cellStyle name="Input [yellow] 2 2 19 5" xfId="49652"/>
    <cellStyle name="Input [yellow] 2 2 2" xfId="112"/>
    <cellStyle name="Input [yellow] 2 2 2 10" xfId="6063"/>
    <cellStyle name="Input [yellow] 2 2 2 10 2" xfId="17260"/>
    <cellStyle name="Input [yellow] 2 2 2 10 3" xfId="28428"/>
    <cellStyle name="Input [yellow] 2 2 2 10 4" xfId="39593"/>
    <cellStyle name="Input [yellow] 2 2 2 10 5" xfId="50786"/>
    <cellStyle name="Input [yellow] 2 2 2 11" xfId="6069"/>
    <cellStyle name="Input [yellow] 2 2 2 11 2" xfId="17266"/>
    <cellStyle name="Input [yellow] 2 2 2 11 3" xfId="28434"/>
    <cellStyle name="Input [yellow] 2 2 2 11 4" xfId="39599"/>
    <cellStyle name="Input [yellow] 2 2 2 11 5" xfId="50792"/>
    <cellStyle name="Input [yellow] 2 2 2 12" xfId="6681"/>
    <cellStyle name="Input [yellow] 2 2 2 12 2" xfId="17878"/>
    <cellStyle name="Input [yellow] 2 2 2 12 3" xfId="29046"/>
    <cellStyle name="Input [yellow] 2 2 2 12 4" xfId="40211"/>
    <cellStyle name="Input [yellow] 2 2 2 12 5" xfId="51404"/>
    <cellStyle name="Input [yellow] 2 2 2 13" xfId="7315"/>
    <cellStyle name="Input [yellow] 2 2 2 13 2" xfId="18512"/>
    <cellStyle name="Input [yellow] 2 2 2 13 3" xfId="29680"/>
    <cellStyle name="Input [yellow] 2 2 2 13 4" xfId="40845"/>
    <cellStyle name="Input [yellow] 2 2 2 13 5" xfId="52038"/>
    <cellStyle name="Input [yellow] 2 2 2 14" xfId="7949"/>
    <cellStyle name="Input [yellow] 2 2 2 14 2" xfId="19146"/>
    <cellStyle name="Input [yellow] 2 2 2 14 3" xfId="30314"/>
    <cellStyle name="Input [yellow] 2 2 2 14 4" xfId="41479"/>
    <cellStyle name="Input [yellow] 2 2 2 14 5" xfId="52672"/>
    <cellStyle name="Input [yellow] 2 2 2 15" xfId="8580"/>
    <cellStyle name="Input [yellow] 2 2 2 15 2" xfId="19777"/>
    <cellStyle name="Input [yellow] 2 2 2 15 3" xfId="30945"/>
    <cellStyle name="Input [yellow] 2 2 2 15 4" xfId="42110"/>
    <cellStyle name="Input [yellow] 2 2 2 15 5" xfId="53303"/>
    <cellStyle name="Input [yellow] 2 2 2 16" xfId="8934"/>
    <cellStyle name="Input [yellow] 2 2 2 16 2" xfId="20131"/>
    <cellStyle name="Input [yellow] 2 2 2 16 3" xfId="31299"/>
    <cellStyle name="Input [yellow] 2 2 2 16 4" xfId="42464"/>
    <cellStyle name="Input [yellow] 2 2 2 16 5" xfId="53657"/>
    <cellStyle name="Input [yellow] 2 2 2 17" xfId="9633"/>
    <cellStyle name="Input [yellow] 2 2 2 17 2" xfId="20830"/>
    <cellStyle name="Input [yellow] 2 2 2 17 3" xfId="31998"/>
    <cellStyle name="Input [yellow] 2 2 2 17 4" xfId="43163"/>
    <cellStyle name="Input [yellow] 2 2 2 17 5" xfId="54356"/>
    <cellStyle name="Input [yellow] 2 2 2 18" xfId="10359"/>
    <cellStyle name="Input [yellow] 2 2 2 18 2" xfId="21556"/>
    <cellStyle name="Input [yellow] 2 2 2 18 3" xfId="32724"/>
    <cellStyle name="Input [yellow] 2 2 2 18 4" xfId="43889"/>
    <cellStyle name="Input [yellow] 2 2 2 18 5" xfId="55082"/>
    <cellStyle name="Input [yellow] 2 2 2 19" xfId="10665"/>
    <cellStyle name="Input [yellow] 2 2 2 19 2" xfId="21862"/>
    <cellStyle name="Input [yellow] 2 2 2 19 3" xfId="33030"/>
    <cellStyle name="Input [yellow] 2 2 2 19 4" xfId="44195"/>
    <cellStyle name="Input [yellow] 2 2 2 19 5" xfId="55388"/>
    <cellStyle name="Input [yellow] 2 2 2 2" xfId="761"/>
    <cellStyle name="Input [yellow] 2 2 2 2 2" xfId="11958"/>
    <cellStyle name="Input [yellow] 2 2 2 2 3" xfId="23126"/>
    <cellStyle name="Input [yellow] 2 2 2 2 4" xfId="34291"/>
    <cellStyle name="Input [yellow] 2 2 2 2 5" xfId="45484"/>
    <cellStyle name="Input [yellow] 2 2 2 20" xfId="11312"/>
    <cellStyle name="Input [yellow] 2 2 2 21" xfId="22482"/>
    <cellStyle name="Input [yellow] 2 2 2 22" xfId="33649"/>
    <cellStyle name="Input [yellow] 2 2 2 23" xfId="44835"/>
    <cellStyle name="Input [yellow] 2 2 2 3" xfId="1695"/>
    <cellStyle name="Input [yellow] 2 2 2 3 2" xfId="12892"/>
    <cellStyle name="Input [yellow] 2 2 2 3 3" xfId="24060"/>
    <cellStyle name="Input [yellow] 2 2 2 3 4" xfId="35225"/>
    <cellStyle name="Input [yellow] 2 2 2 3 5" xfId="46418"/>
    <cellStyle name="Input [yellow] 2 2 2 4" xfId="2038"/>
    <cellStyle name="Input [yellow] 2 2 2 4 2" xfId="13235"/>
    <cellStyle name="Input [yellow] 2 2 2 4 3" xfId="24403"/>
    <cellStyle name="Input [yellow] 2 2 2 4 4" xfId="35568"/>
    <cellStyle name="Input [yellow] 2 2 2 4 5" xfId="46761"/>
    <cellStyle name="Input [yellow] 2 2 2 5" xfId="2197"/>
    <cellStyle name="Input [yellow] 2 2 2 5 2" xfId="13394"/>
    <cellStyle name="Input [yellow] 2 2 2 5 3" xfId="24562"/>
    <cellStyle name="Input [yellow] 2 2 2 5 4" xfId="35727"/>
    <cellStyle name="Input [yellow] 2 2 2 5 5" xfId="46920"/>
    <cellStyle name="Input [yellow] 2 2 2 6" xfId="3096"/>
    <cellStyle name="Input [yellow] 2 2 2 6 2" xfId="14293"/>
    <cellStyle name="Input [yellow] 2 2 2 6 3" xfId="25461"/>
    <cellStyle name="Input [yellow] 2 2 2 6 4" xfId="36626"/>
    <cellStyle name="Input [yellow] 2 2 2 6 5" xfId="47819"/>
    <cellStyle name="Input [yellow] 2 2 2 7" xfId="3730"/>
    <cellStyle name="Input [yellow] 2 2 2 7 2" xfId="14927"/>
    <cellStyle name="Input [yellow] 2 2 2 7 3" xfId="26095"/>
    <cellStyle name="Input [yellow] 2 2 2 7 4" xfId="37260"/>
    <cellStyle name="Input [yellow] 2 2 2 7 5" xfId="48453"/>
    <cellStyle name="Input [yellow] 2 2 2 8" xfId="4363"/>
    <cellStyle name="Input [yellow] 2 2 2 8 2" xfId="15560"/>
    <cellStyle name="Input [yellow] 2 2 2 8 3" xfId="26728"/>
    <cellStyle name="Input [yellow] 2 2 2 8 4" xfId="37893"/>
    <cellStyle name="Input [yellow] 2 2 2 8 5" xfId="49086"/>
    <cellStyle name="Input [yellow] 2 2 2 9" xfId="4994"/>
    <cellStyle name="Input [yellow] 2 2 2 9 2" xfId="16191"/>
    <cellStyle name="Input [yellow] 2 2 2 9 3" xfId="27359"/>
    <cellStyle name="Input [yellow] 2 2 2 9 4" xfId="38524"/>
    <cellStyle name="Input [yellow] 2 2 2 9 5" xfId="49717"/>
    <cellStyle name="Input [yellow] 2 2 20" xfId="5784"/>
    <cellStyle name="Input [yellow] 2 2 20 2" xfId="16981"/>
    <cellStyle name="Input [yellow] 2 2 20 3" xfId="28149"/>
    <cellStyle name="Input [yellow] 2 2 20 4" xfId="39314"/>
    <cellStyle name="Input [yellow] 2 2 20 5" xfId="50507"/>
    <cellStyle name="Input [yellow] 2 2 21" xfId="5865"/>
    <cellStyle name="Input [yellow] 2 2 21 2" xfId="17062"/>
    <cellStyle name="Input [yellow] 2 2 21 3" xfId="28230"/>
    <cellStyle name="Input [yellow] 2 2 21 4" xfId="39395"/>
    <cellStyle name="Input [yellow] 2 2 21 5" xfId="50588"/>
    <cellStyle name="Input [yellow] 2 2 22" xfId="6616"/>
    <cellStyle name="Input [yellow] 2 2 22 2" xfId="17813"/>
    <cellStyle name="Input [yellow] 2 2 22 3" xfId="28981"/>
    <cellStyle name="Input [yellow] 2 2 22 4" xfId="40146"/>
    <cellStyle name="Input [yellow] 2 2 22 5" xfId="51339"/>
    <cellStyle name="Input [yellow] 2 2 23" xfId="7248"/>
    <cellStyle name="Input [yellow] 2 2 23 2" xfId="18445"/>
    <cellStyle name="Input [yellow] 2 2 23 3" xfId="29613"/>
    <cellStyle name="Input [yellow] 2 2 23 4" xfId="40778"/>
    <cellStyle name="Input [yellow] 2 2 23 5" xfId="51971"/>
    <cellStyle name="Input [yellow] 2 2 24" xfId="7882"/>
    <cellStyle name="Input [yellow] 2 2 24 2" xfId="19079"/>
    <cellStyle name="Input [yellow] 2 2 24 3" xfId="30247"/>
    <cellStyle name="Input [yellow] 2 2 24 4" xfId="41412"/>
    <cellStyle name="Input [yellow] 2 2 24 5" xfId="52605"/>
    <cellStyle name="Input [yellow] 2 2 25" xfId="8515"/>
    <cellStyle name="Input [yellow] 2 2 25 2" xfId="19712"/>
    <cellStyle name="Input [yellow] 2 2 25 3" xfId="30880"/>
    <cellStyle name="Input [yellow] 2 2 25 4" xfId="42045"/>
    <cellStyle name="Input [yellow] 2 2 25 5" xfId="53238"/>
    <cellStyle name="Input [yellow] 2 2 26" xfId="9003"/>
    <cellStyle name="Input [yellow] 2 2 26 2" xfId="20200"/>
    <cellStyle name="Input [yellow] 2 2 26 3" xfId="31368"/>
    <cellStyle name="Input [yellow] 2 2 26 4" xfId="42533"/>
    <cellStyle name="Input [yellow] 2 2 26 5" xfId="53726"/>
    <cellStyle name="Input [yellow] 2 2 27" xfId="9567"/>
    <cellStyle name="Input [yellow] 2 2 27 2" xfId="20764"/>
    <cellStyle name="Input [yellow] 2 2 27 3" xfId="31932"/>
    <cellStyle name="Input [yellow] 2 2 27 4" xfId="43097"/>
    <cellStyle name="Input [yellow] 2 2 27 5" xfId="54290"/>
    <cellStyle name="Input [yellow] 2 2 28" xfId="10412"/>
    <cellStyle name="Input [yellow] 2 2 28 2" xfId="21609"/>
    <cellStyle name="Input [yellow] 2 2 28 3" xfId="32777"/>
    <cellStyle name="Input [yellow] 2 2 28 4" xfId="43942"/>
    <cellStyle name="Input [yellow] 2 2 28 5" xfId="55135"/>
    <cellStyle name="Input [yellow] 2 2 29" xfId="10607"/>
    <cellStyle name="Input [yellow] 2 2 29 2" xfId="21804"/>
    <cellStyle name="Input [yellow] 2 2 29 3" xfId="32972"/>
    <cellStyle name="Input [yellow] 2 2 29 4" xfId="44137"/>
    <cellStyle name="Input [yellow] 2 2 29 5" xfId="55330"/>
    <cellStyle name="Input [yellow] 2 2 3" xfId="35"/>
    <cellStyle name="Input [yellow] 2 2 3 10" xfId="5772"/>
    <cellStyle name="Input [yellow] 2 2 3 10 2" xfId="16969"/>
    <cellStyle name="Input [yellow] 2 2 3 10 3" xfId="28137"/>
    <cellStyle name="Input [yellow] 2 2 3 10 4" xfId="39302"/>
    <cellStyle name="Input [yellow] 2 2 3 10 5" xfId="50495"/>
    <cellStyle name="Input [yellow] 2 2 3 11" xfId="5877"/>
    <cellStyle name="Input [yellow] 2 2 3 11 2" xfId="17074"/>
    <cellStyle name="Input [yellow] 2 2 3 11 3" xfId="28242"/>
    <cellStyle name="Input [yellow] 2 2 3 11 4" xfId="39407"/>
    <cellStyle name="Input [yellow] 2 2 3 11 5" xfId="50600"/>
    <cellStyle name="Input [yellow] 2 2 3 12" xfId="5856"/>
    <cellStyle name="Input [yellow] 2 2 3 12 2" xfId="17053"/>
    <cellStyle name="Input [yellow] 2 2 3 12 3" xfId="28221"/>
    <cellStyle name="Input [yellow] 2 2 3 12 4" xfId="39386"/>
    <cellStyle name="Input [yellow] 2 2 3 12 5" xfId="50579"/>
    <cellStyle name="Input [yellow] 2 2 3 13" xfId="5649"/>
    <cellStyle name="Input [yellow] 2 2 3 13 2" xfId="16846"/>
    <cellStyle name="Input [yellow] 2 2 3 13 3" xfId="28014"/>
    <cellStyle name="Input [yellow] 2 2 3 13 4" xfId="39179"/>
    <cellStyle name="Input [yellow] 2 2 3 13 5" xfId="50372"/>
    <cellStyle name="Input [yellow] 2 2 3 14" xfId="6629"/>
    <cellStyle name="Input [yellow] 2 2 3 14 2" xfId="17826"/>
    <cellStyle name="Input [yellow] 2 2 3 14 3" xfId="28994"/>
    <cellStyle name="Input [yellow] 2 2 3 14 4" xfId="40159"/>
    <cellStyle name="Input [yellow] 2 2 3 14 5" xfId="51352"/>
    <cellStyle name="Input [yellow] 2 2 3 15" xfId="7253"/>
    <cellStyle name="Input [yellow] 2 2 3 15 2" xfId="18450"/>
    <cellStyle name="Input [yellow] 2 2 3 15 3" xfId="29618"/>
    <cellStyle name="Input [yellow] 2 2 3 15 4" xfId="40783"/>
    <cellStyle name="Input [yellow] 2 2 3 15 5" xfId="51976"/>
    <cellStyle name="Input [yellow] 2 2 3 16" xfId="8964"/>
    <cellStyle name="Input [yellow] 2 2 3 16 2" xfId="20161"/>
    <cellStyle name="Input [yellow] 2 2 3 16 3" xfId="31329"/>
    <cellStyle name="Input [yellow] 2 2 3 16 4" xfId="42494"/>
    <cellStyle name="Input [yellow] 2 2 3 16 5" xfId="53687"/>
    <cellStyle name="Input [yellow] 2 2 3 17" xfId="8528"/>
    <cellStyle name="Input [yellow] 2 2 3 17 2" xfId="19725"/>
    <cellStyle name="Input [yellow] 2 2 3 17 3" xfId="30893"/>
    <cellStyle name="Input [yellow] 2 2 3 17 4" xfId="42058"/>
    <cellStyle name="Input [yellow] 2 2 3 17 5" xfId="53251"/>
    <cellStyle name="Input [yellow] 2 2 3 18" xfId="10353"/>
    <cellStyle name="Input [yellow] 2 2 3 18 2" xfId="21550"/>
    <cellStyle name="Input [yellow] 2 2 3 18 3" xfId="32718"/>
    <cellStyle name="Input [yellow] 2 2 3 18 4" xfId="43883"/>
    <cellStyle name="Input [yellow] 2 2 3 18 5" xfId="55076"/>
    <cellStyle name="Input [yellow] 2 2 3 19" xfId="9865"/>
    <cellStyle name="Input [yellow] 2 2 3 19 2" xfId="21062"/>
    <cellStyle name="Input [yellow] 2 2 3 19 3" xfId="32230"/>
    <cellStyle name="Input [yellow] 2 2 3 19 4" xfId="43395"/>
    <cellStyle name="Input [yellow] 2 2 3 19 5" xfId="54588"/>
    <cellStyle name="Input [yellow] 2 2 3 2" xfId="690"/>
    <cellStyle name="Input [yellow] 2 2 3 2 2" xfId="11889"/>
    <cellStyle name="Input [yellow] 2 2 3 2 3" xfId="23058"/>
    <cellStyle name="Input [yellow] 2 2 3 2 4" xfId="34225"/>
    <cellStyle name="Input [yellow] 2 2 3 2 5" xfId="45413"/>
    <cellStyle name="Input [yellow] 2 2 3 20" xfId="11237"/>
    <cellStyle name="Input [yellow] 2 2 3 21" xfId="11226"/>
    <cellStyle name="Input [yellow] 2 2 3 22" xfId="11227"/>
    <cellStyle name="Input [yellow] 2 2 3 23" xfId="44764"/>
    <cellStyle name="Input [yellow] 2 2 3 3" xfId="1646"/>
    <cellStyle name="Input [yellow] 2 2 3 3 2" xfId="12843"/>
    <cellStyle name="Input [yellow] 2 2 3 3 3" xfId="24011"/>
    <cellStyle name="Input [yellow] 2 2 3 3 4" xfId="35176"/>
    <cellStyle name="Input [yellow] 2 2 3 3 5" xfId="46369"/>
    <cellStyle name="Input [yellow] 2 2 3 4" xfId="1964"/>
    <cellStyle name="Input [yellow] 2 2 3 4 2" xfId="13161"/>
    <cellStyle name="Input [yellow] 2 2 3 4 3" xfId="24329"/>
    <cellStyle name="Input [yellow] 2 2 3 4 4" xfId="35494"/>
    <cellStyle name="Input [yellow] 2 2 3 4 5" xfId="46687"/>
    <cellStyle name="Input [yellow] 2 2 3 5" xfId="2224"/>
    <cellStyle name="Input [yellow] 2 2 3 5 2" xfId="13421"/>
    <cellStyle name="Input [yellow] 2 2 3 5 3" xfId="24589"/>
    <cellStyle name="Input [yellow] 2 2 3 5 4" xfId="35754"/>
    <cellStyle name="Input [yellow] 2 2 3 5 5" xfId="46947"/>
    <cellStyle name="Input [yellow] 2 2 3 6" xfId="1974"/>
    <cellStyle name="Input [yellow] 2 2 3 6 2" xfId="13171"/>
    <cellStyle name="Input [yellow] 2 2 3 6 3" xfId="24339"/>
    <cellStyle name="Input [yellow] 2 2 3 6 4" xfId="35504"/>
    <cellStyle name="Input [yellow] 2 2 3 6 5" xfId="46697"/>
    <cellStyle name="Input [yellow] 2 2 3 7" xfId="2194"/>
    <cellStyle name="Input [yellow] 2 2 3 7 2" xfId="13391"/>
    <cellStyle name="Input [yellow] 2 2 3 7 3" xfId="24559"/>
    <cellStyle name="Input [yellow] 2 2 3 7 4" xfId="35724"/>
    <cellStyle name="Input [yellow] 2 2 3 7 5" xfId="46917"/>
    <cellStyle name="Input [yellow] 2 2 3 8" xfId="3034"/>
    <cellStyle name="Input [yellow] 2 2 3 8 2" xfId="14231"/>
    <cellStyle name="Input [yellow] 2 2 3 8 3" xfId="25399"/>
    <cellStyle name="Input [yellow] 2 2 3 8 4" xfId="36564"/>
    <cellStyle name="Input [yellow] 2 2 3 8 5" xfId="47757"/>
    <cellStyle name="Input [yellow] 2 2 3 9" xfId="3677"/>
    <cellStyle name="Input [yellow] 2 2 3 9 2" xfId="14874"/>
    <cellStyle name="Input [yellow] 2 2 3 9 3" xfId="26042"/>
    <cellStyle name="Input [yellow] 2 2 3 9 4" xfId="37207"/>
    <cellStyle name="Input [yellow] 2 2 3 9 5" xfId="48400"/>
    <cellStyle name="Input [yellow] 2 2 30" xfId="11247"/>
    <cellStyle name="Input [yellow] 2 2 31" xfId="22423"/>
    <cellStyle name="Input [yellow] 2 2 32" xfId="33591"/>
    <cellStyle name="Input [yellow] 2 2 33" xfId="44774"/>
    <cellStyle name="Input [yellow] 2 2 4" xfId="232"/>
    <cellStyle name="Input [yellow] 2 2 4 10" xfId="5657"/>
    <cellStyle name="Input [yellow] 2 2 4 10 2" xfId="16854"/>
    <cellStyle name="Input [yellow] 2 2 4 10 3" xfId="28022"/>
    <cellStyle name="Input [yellow] 2 2 4 10 4" xfId="39187"/>
    <cellStyle name="Input [yellow] 2 2 4 10 5" xfId="50380"/>
    <cellStyle name="Input [yellow] 2 2 4 11" xfId="5720"/>
    <cellStyle name="Input [yellow] 2 2 4 11 2" xfId="16917"/>
    <cellStyle name="Input [yellow] 2 2 4 11 3" xfId="28085"/>
    <cellStyle name="Input [yellow] 2 2 4 11 4" xfId="39250"/>
    <cellStyle name="Input [yellow] 2 2 4 11 5" xfId="50443"/>
    <cellStyle name="Input [yellow] 2 2 4 12" xfId="6801"/>
    <cellStyle name="Input [yellow] 2 2 4 12 2" xfId="17998"/>
    <cellStyle name="Input [yellow] 2 2 4 12 3" xfId="29166"/>
    <cellStyle name="Input [yellow] 2 2 4 12 4" xfId="40331"/>
    <cellStyle name="Input [yellow] 2 2 4 12 5" xfId="51524"/>
    <cellStyle name="Input [yellow] 2 2 4 13" xfId="7435"/>
    <cellStyle name="Input [yellow] 2 2 4 13 2" xfId="18632"/>
    <cellStyle name="Input [yellow] 2 2 4 13 3" xfId="29800"/>
    <cellStyle name="Input [yellow] 2 2 4 13 4" xfId="40965"/>
    <cellStyle name="Input [yellow] 2 2 4 13 5" xfId="52158"/>
    <cellStyle name="Input [yellow] 2 2 4 14" xfId="8069"/>
    <cellStyle name="Input [yellow] 2 2 4 14 2" xfId="19266"/>
    <cellStyle name="Input [yellow] 2 2 4 14 3" xfId="30434"/>
    <cellStyle name="Input [yellow] 2 2 4 14 4" xfId="41599"/>
    <cellStyle name="Input [yellow] 2 2 4 14 5" xfId="52792"/>
    <cellStyle name="Input [yellow] 2 2 4 15" xfId="8700"/>
    <cellStyle name="Input [yellow] 2 2 4 15 2" xfId="19897"/>
    <cellStyle name="Input [yellow] 2 2 4 15 3" xfId="31065"/>
    <cellStyle name="Input [yellow] 2 2 4 15 4" xfId="42230"/>
    <cellStyle name="Input [yellow] 2 2 4 15 5" xfId="53423"/>
    <cellStyle name="Input [yellow] 2 2 4 16" xfId="8552"/>
    <cellStyle name="Input [yellow] 2 2 4 16 2" xfId="19749"/>
    <cellStyle name="Input [yellow] 2 2 4 16 3" xfId="30917"/>
    <cellStyle name="Input [yellow] 2 2 4 16 4" xfId="42082"/>
    <cellStyle name="Input [yellow] 2 2 4 16 5" xfId="53275"/>
    <cellStyle name="Input [yellow] 2 2 4 17" xfId="9751"/>
    <cellStyle name="Input [yellow] 2 2 4 17 2" xfId="20948"/>
    <cellStyle name="Input [yellow] 2 2 4 17 3" xfId="32116"/>
    <cellStyle name="Input [yellow] 2 2 4 17 4" xfId="43281"/>
    <cellStyle name="Input [yellow] 2 2 4 17 5" xfId="54474"/>
    <cellStyle name="Input [yellow] 2 2 4 18" xfId="10414"/>
    <cellStyle name="Input [yellow] 2 2 4 18 2" xfId="21611"/>
    <cellStyle name="Input [yellow] 2 2 4 18 3" xfId="32779"/>
    <cellStyle name="Input [yellow] 2 2 4 18 4" xfId="43944"/>
    <cellStyle name="Input [yellow] 2 2 4 18 5" xfId="55137"/>
    <cellStyle name="Input [yellow] 2 2 4 19" xfId="10785"/>
    <cellStyle name="Input [yellow] 2 2 4 19 2" xfId="21982"/>
    <cellStyle name="Input [yellow] 2 2 4 19 3" xfId="33150"/>
    <cellStyle name="Input [yellow] 2 2 4 19 4" xfId="44315"/>
    <cellStyle name="Input [yellow] 2 2 4 19 5" xfId="55508"/>
    <cellStyle name="Input [yellow] 2 2 4 2" xfId="881"/>
    <cellStyle name="Input [yellow] 2 2 4 2 2" xfId="12078"/>
    <cellStyle name="Input [yellow] 2 2 4 2 3" xfId="23246"/>
    <cellStyle name="Input [yellow] 2 2 4 2 4" xfId="34411"/>
    <cellStyle name="Input [yellow] 2 2 4 2 5" xfId="45604"/>
    <cellStyle name="Input [yellow] 2 2 4 20" xfId="11432"/>
    <cellStyle name="Input [yellow] 2 2 4 21" xfId="22602"/>
    <cellStyle name="Input [yellow] 2 2 4 22" xfId="33769"/>
    <cellStyle name="Input [yellow] 2 2 4 23" xfId="44955"/>
    <cellStyle name="Input [yellow] 2 2 4 3" xfId="1741"/>
    <cellStyle name="Input [yellow] 2 2 4 3 2" xfId="12938"/>
    <cellStyle name="Input [yellow] 2 2 4 3 3" xfId="24106"/>
    <cellStyle name="Input [yellow] 2 2 4 3 4" xfId="35271"/>
    <cellStyle name="Input [yellow] 2 2 4 3 5" xfId="46464"/>
    <cellStyle name="Input [yellow] 2 2 4 4" xfId="2158"/>
    <cellStyle name="Input [yellow] 2 2 4 4 2" xfId="13355"/>
    <cellStyle name="Input [yellow] 2 2 4 4 3" xfId="24523"/>
    <cellStyle name="Input [yellow] 2 2 4 4 4" xfId="35688"/>
    <cellStyle name="Input [yellow] 2 2 4 4 5" xfId="46881"/>
    <cellStyle name="Input [yellow] 2 2 4 5" xfId="2362"/>
    <cellStyle name="Input [yellow] 2 2 4 5 2" xfId="13559"/>
    <cellStyle name="Input [yellow] 2 2 4 5 3" xfId="24727"/>
    <cellStyle name="Input [yellow] 2 2 4 5 4" xfId="35892"/>
    <cellStyle name="Input [yellow] 2 2 4 5 5" xfId="47085"/>
    <cellStyle name="Input [yellow] 2 2 4 6" xfId="3216"/>
    <cellStyle name="Input [yellow] 2 2 4 6 2" xfId="14413"/>
    <cellStyle name="Input [yellow] 2 2 4 6 3" xfId="25581"/>
    <cellStyle name="Input [yellow] 2 2 4 6 4" xfId="36746"/>
    <cellStyle name="Input [yellow] 2 2 4 6 5" xfId="47939"/>
    <cellStyle name="Input [yellow] 2 2 4 7" xfId="3850"/>
    <cellStyle name="Input [yellow] 2 2 4 7 2" xfId="15047"/>
    <cellStyle name="Input [yellow] 2 2 4 7 3" xfId="26215"/>
    <cellStyle name="Input [yellow] 2 2 4 7 4" xfId="37380"/>
    <cellStyle name="Input [yellow] 2 2 4 7 5" xfId="48573"/>
    <cellStyle name="Input [yellow] 2 2 4 8" xfId="4483"/>
    <cellStyle name="Input [yellow] 2 2 4 8 2" xfId="15680"/>
    <cellStyle name="Input [yellow] 2 2 4 8 3" xfId="26848"/>
    <cellStyle name="Input [yellow] 2 2 4 8 4" xfId="38013"/>
    <cellStyle name="Input [yellow] 2 2 4 8 5" xfId="49206"/>
    <cellStyle name="Input [yellow] 2 2 4 9" xfId="5114"/>
    <cellStyle name="Input [yellow] 2 2 4 9 2" xfId="16311"/>
    <cellStyle name="Input [yellow] 2 2 4 9 3" xfId="27479"/>
    <cellStyle name="Input [yellow] 2 2 4 9 4" xfId="38644"/>
    <cellStyle name="Input [yellow] 2 2 4 9 5" xfId="49837"/>
    <cellStyle name="Input [yellow] 2 2 5" xfId="325"/>
    <cellStyle name="Input [yellow] 2 2 5 10" xfId="5935"/>
    <cellStyle name="Input [yellow] 2 2 5 10 2" xfId="17132"/>
    <cellStyle name="Input [yellow] 2 2 5 10 3" xfId="28300"/>
    <cellStyle name="Input [yellow] 2 2 5 10 4" xfId="39465"/>
    <cellStyle name="Input [yellow] 2 2 5 10 5" xfId="50658"/>
    <cellStyle name="Input [yellow] 2 2 5 11" xfId="6261"/>
    <cellStyle name="Input [yellow] 2 2 5 11 2" xfId="17458"/>
    <cellStyle name="Input [yellow] 2 2 5 11 3" xfId="28626"/>
    <cellStyle name="Input [yellow] 2 2 5 11 4" xfId="39791"/>
    <cellStyle name="Input [yellow] 2 2 5 11 5" xfId="50984"/>
    <cellStyle name="Input [yellow] 2 2 5 12" xfId="6894"/>
    <cellStyle name="Input [yellow] 2 2 5 12 2" xfId="18091"/>
    <cellStyle name="Input [yellow] 2 2 5 12 3" xfId="29259"/>
    <cellStyle name="Input [yellow] 2 2 5 12 4" xfId="40424"/>
    <cellStyle name="Input [yellow] 2 2 5 12 5" xfId="51617"/>
    <cellStyle name="Input [yellow] 2 2 5 13" xfId="7528"/>
    <cellStyle name="Input [yellow] 2 2 5 13 2" xfId="18725"/>
    <cellStyle name="Input [yellow] 2 2 5 13 3" xfId="29893"/>
    <cellStyle name="Input [yellow] 2 2 5 13 4" xfId="41058"/>
    <cellStyle name="Input [yellow] 2 2 5 13 5" xfId="52251"/>
    <cellStyle name="Input [yellow] 2 2 5 14" xfId="8162"/>
    <cellStyle name="Input [yellow] 2 2 5 14 2" xfId="19359"/>
    <cellStyle name="Input [yellow] 2 2 5 14 3" xfId="30527"/>
    <cellStyle name="Input [yellow] 2 2 5 14 4" xfId="41692"/>
    <cellStyle name="Input [yellow] 2 2 5 14 5" xfId="52885"/>
    <cellStyle name="Input [yellow] 2 2 5 15" xfId="8791"/>
    <cellStyle name="Input [yellow] 2 2 5 15 2" xfId="19988"/>
    <cellStyle name="Input [yellow] 2 2 5 15 3" xfId="31156"/>
    <cellStyle name="Input [yellow] 2 2 5 15 4" xfId="42321"/>
    <cellStyle name="Input [yellow] 2 2 5 15 5" xfId="53514"/>
    <cellStyle name="Input [yellow] 2 2 5 16" xfId="9213"/>
    <cellStyle name="Input [yellow] 2 2 5 16 2" xfId="20410"/>
    <cellStyle name="Input [yellow] 2 2 5 16 3" xfId="31578"/>
    <cellStyle name="Input [yellow] 2 2 5 16 4" xfId="42743"/>
    <cellStyle name="Input [yellow] 2 2 5 16 5" xfId="53936"/>
    <cellStyle name="Input [yellow] 2 2 5 17" xfId="9840"/>
    <cellStyle name="Input [yellow] 2 2 5 17 2" xfId="21037"/>
    <cellStyle name="Input [yellow] 2 2 5 17 3" xfId="32205"/>
    <cellStyle name="Input [yellow] 2 2 5 17 4" xfId="43370"/>
    <cellStyle name="Input [yellow] 2 2 5 17 5" xfId="54563"/>
    <cellStyle name="Input [yellow] 2 2 5 18" xfId="10220"/>
    <cellStyle name="Input [yellow] 2 2 5 18 2" xfId="21417"/>
    <cellStyle name="Input [yellow] 2 2 5 18 3" xfId="32585"/>
    <cellStyle name="Input [yellow] 2 2 5 18 4" xfId="43750"/>
    <cellStyle name="Input [yellow] 2 2 5 18 5" xfId="54943"/>
    <cellStyle name="Input [yellow] 2 2 5 19" xfId="10878"/>
    <cellStyle name="Input [yellow] 2 2 5 19 2" xfId="22075"/>
    <cellStyle name="Input [yellow] 2 2 5 19 3" xfId="33243"/>
    <cellStyle name="Input [yellow] 2 2 5 19 4" xfId="44408"/>
    <cellStyle name="Input [yellow] 2 2 5 19 5" xfId="55601"/>
    <cellStyle name="Input [yellow] 2 2 5 2" xfId="974"/>
    <cellStyle name="Input [yellow] 2 2 5 2 2" xfId="12171"/>
    <cellStyle name="Input [yellow] 2 2 5 2 3" xfId="23339"/>
    <cellStyle name="Input [yellow] 2 2 5 2 4" xfId="34504"/>
    <cellStyle name="Input [yellow] 2 2 5 2 5" xfId="45697"/>
    <cellStyle name="Input [yellow] 2 2 5 20" xfId="11525"/>
    <cellStyle name="Input [yellow] 2 2 5 21" xfId="22695"/>
    <cellStyle name="Input [yellow] 2 2 5 22" xfId="33862"/>
    <cellStyle name="Input [yellow] 2 2 5 23" xfId="45048"/>
    <cellStyle name="Input [yellow] 2 2 5 3" xfId="1514"/>
    <cellStyle name="Input [yellow] 2 2 5 3 2" xfId="12711"/>
    <cellStyle name="Input [yellow] 2 2 5 3 3" xfId="23879"/>
    <cellStyle name="Input [yellow] 2 2 5 3 4" xfId="35044"/>
    <cellStyle name="Input [yellow] 2 2 5 3 5" xfId="46237"/>
    <cellStyle name="Input [yellow] 2 2 5 4" xfId="2250"/>
    <cellStyle name="Input [yellow] 2 2 5 4 2" xfId="13447"/>
    <cellStyle name="Input [yellow] 2 2 5 4 3" xfId="24615"/>
    <cellStyle name="Input [yellow] 2 2 5 4 4" xfId="35780"/>
    <cellStyle name="Input [yellow] 2 2 5 4 5" xfId="46973"/>
    <cellStyle name="Input [yellow] 2 2 5 5" xfId="2675"/>
    <cellStyle name="Input [yellow] 2 2 5 5 2" xfId="13872"/>
    <cellStyle name="Input [yellow] 2 2 5 5 3" xfId="25040"/>
    <cellStyle name="Input [yellow] 2 2 5 5 4" xfId="36205"/>
    <cellStyle name="Input [yellow] 2 2 5 5 5" xfId="47398"/>
    <cellStyle name="Input [yellow] 2 2 5 6" xfId="3309"/>
    <cellStyle name="Input [yellow] 2 2 5 6 2" xfId="14506"/>
    <cellStyle name="Input [yellow] 2 2 5 6 3" xfId="25674"/>
    <cellStyle name="Input [yellow] 2 2 5 6 4" xfId="36839"/>
    <cellStyle name="Input [yellow] 2 2 5 6 5" xfId="48032"/>
    <cellStyle name="Input [yellow] 2 2 5 7" xfId="3943"/>
    <cellStyle name="Input [yellow] 2 2 5 7 2" xfId="15140"/>
    <cellStyle name="Input [yellow] 2 2 5 7 3" xfId="26308"/>
    <cellStyle name="Input [yellow] 2 2 5 7 4" xfId="37473"/>
    <cellStyle name="Input [yellow] 2 2 5 7 5" xfId="48666"/>
    <cellStyle name="Input [yellow] 2 2 5 8" xfId="4576"/>
    <cellStyle name="Input [yellow] 2 2 5 8 2" xfId="15773"/>
    <cellStyle name="Input [yellow] 2 2 5 8 3" xfId="26941"/>
    <cellStyle name="Input [yellow] 2 2 5 8 4" xfId="38106"/>
    <cellStyle name="Input [yellow] 2 2 5 8 5" xfId="49299"/>
    <cellStyle name="Input [yellow] 2 2 5 9" xfId="5207"/>
    <cellStyle name="Input [yellow] 2 2 5 9 2" xfId="16404"/>
    <cellStyle name="Input [yellow] 2 2 5 9 3" xfId="27572"/>
    <cellStyle name="Input [yellow] 2 2 5 9 4" xfId="38737"/>
    <cellStyle name="Input [yellow] 2 2 5 9 5" xfId="49930"/>
    <cellStyle name="Input [yellow] 2 2 6" xfId="293"/>
    <cellStyle name="Input [yellow] 2 2 6 10" xfId="5687"/>
    <cellStyle name="Input [yellow] 2 2 6 10 2" xfId="16884"/>
    <cellStyle name="Input [yellow] 2 2 6 10 3" xfId="28052"/>
    <cellStyle name="Input [yellow] 2 2 6 10 4" xfId="39217"/>
    <cellStyle name="Input [yellow] 2 2 6 10 5" xfId="50410"/>
    <cellStyle name="Input [yellow] 2 2 6 11" xfId="6229"/>
    <cellStyle name="Input [yellow] 2 2 6 11 2" xfId="17426"/>
    <cellStyle name="Input [yellow] 2 2 6 11 3" xfId="28594"/>
    <cellStyle name="Input [yellow] 2 2 6 11 4" xfId="39759"/>
    <cellStyle name="Input [yellow] 2 2 6 11 5" xfId="50952"/>
    <cellStyle name="Input [yellow] 2 2 6 12" xfId="6862"/>
    <cellStyle name="Input [yellow] 2 2 6 12 2" xfId="18059"/>
    <cellStyle name="Input [yellow] 2 2 6 12 3" xfId="29227"/>
    <cellStyle name="Input [yellow] 2 2 6 12 4" xfId="40392"/>
    <cellStyle name="Input [yellow] 2 2 6 12 5" xfId="51585"/>
    <cellStyle name="Input [yellow] 2 2 6 13" xfId="7496"/>
    <cellStyle name="Input [yellow] 2 2 6 13 2" xfId="18693"/>
    <cellStyle name="Input [yellow] 2 2 6 13 3" xfId="29861"/>
    <cellStyle name="Input [yellow] 2 2 6 13 4" xfId="41026"/>
    <cellStyle name="Input [yellow] 2 2 6 13 5" xfId="52219"/>
    <cellStyle name="Input [yellow] 2 2 6 14" xfId="8130"/>
    <cellStyle name="Input [yellow] 2 2 6 14 2" xfId="19327"/>
    <cellStyle name="Input [yellow] 2 2 6 14 3" xfId="30495"/>
    <cellStyle name="Input [yellow] 2 2 6 14 4" xfId="41660"/>
    <cellStyle name="Input [yellow] 2 2 6 14 5" xfId="52853"/>
    <cellStyle name="Input [yellow] 2 2 6 15" xfId="8759"/>
    <cellStyle name="Input [yellow] 2 2 6 15 2" xfId="19956"/>
    <cellStyle name="Input [yellow] 2 2 6 15 3" xfId="31124"/>
    <cellStyle name="Input [yellow] 2 2 6 15 4" xfId="42289"/>
    <cellStyle name="Input [yellow] 2 2 6 15 5" xfId="53482"/>
    <cellStyle name="Input [yellow] 2 2 6 16" xfId="9181"/>
    <cellStyle name="Input [yellow] 2 2 6 16 2" xfId="20378"/>
    <cellStyle name="Input [yellow] 2 2 6 16 3" xfId="31546"/>
    <cellStyle name="Input [yellow] 2 2 6 16 4" xfId="42711"/>
    <cellStyle name="Input [yellow] 2 2 6 16 5" xfId="53904"/>
    <cellStyle name="Input [yellow] 2 2 6 17" xfId="9808"/>
    <cellStyle name="Input [yellow] 2 2 6 17 2" xfId="21005"/>
    <cellStyle name="Input [yellow] 2 2 6 17 3" xfId="32173"/>
    <cellStyle name="Input [yellow] 2 2 6 17 4" xfId="43338"/>
    <cellStyle name="Input [yellow] 2 2 6 17 5" xfId="54531"/>
    <cellStyle name="Input [yellow] 2 2 6 18" xfId="10036"/>
    <cellStyle name="Input [yellow] 2 2 6 18 2" xfId="21233"/>
    <cellStyle name="Input [yellow] 2 2 6 18 3" xfId="32401"/>
    <cellStyle name="Input [yellow] 2 2 6 18 4" xfId="43566"/>
    <cellStyle name="Input [yellow] 2 2 6 18 5" xfId="54759"/>
    <cellStyle name="Input [yellow] 2 2 6 19" xfId="10846"/>
    <cellStyle name="Input [yellow] 2 2 6 19 2" xfId="22043"/>
    <cellStyle name="Input [yellow] 2 2 6 19 3" xfId="33211"/>
    <cellStyle name="Input [yellow] 2 2 6 19 4" xfId="44376"/>
    <cellStyle name="Input [yellow] 2 2 6 19 5" xfId="55569"/>
    <cellStyle name="Input [yellow] 2 2 6 2" xfId="942"/>
    <cellStyle name="Input [yellow] 2 2 6 2 2" xfId="12139"/>
    <cellStyle name="Input [yellow] 2 2 6 2 3" xfId="23307"/>
    <cellStyle name="Input [yellow] 2 2 6 2 4" xfId="34472"/>
    <cellStyle name="Input [yellow] 2 2 6 2 5" xfId="45665"/>
    <cellStyle name="Input [yellow] 2 2 6 20" xfId="11493"/>
    <cellStyle name="Input [yellow] 2 2 6 21" xfId="22663"/>
    <cellStyle name="Input [yellow] 2 2 6 22" xfId="33830"/>
    <cellStyle name="Input [yellow] 2 2 6 23" xfId="45016"/>
    <cellStyle name="Input [yellow] 2 2 6 3" xfId="1940"/>
    <cellStyle name="Input [yellow] 2 2 6 3 2" xfId="13137"/>
    <cellStyle name="Input [yellow] 2 2 6 3 3" xfId="24305"/>
    <cellStyle name="Input [yellow] 2 2 6 3 4" xfId="35470"/>
    <cellStyle name="Input [yellow] 2 2 6 3 5" xfId="46663"/>
    <cellStyle name="Input [yellow] 2 2 6 4" xfId="2218"/>
    <cellStyle name="Input [yellow] 2 2 6 4 2" xfId="13415"/>
    <cellStyle name="Input [yellow] 2 2 6 4 3" xfId="24583"/>
    <cellStyle name="Input [yellow] 2 2 6 4 4" xfId="35748"/>
    <cellStyle name="Input [yellow] 2 2 6 4 5" xfId="46941"/>
    <cellStyle name="Input [yellow] 2 2 6 5" xfId="2643"/>
    <cellStyle name="Input [yellow] 2 2 6 5 2" xfId="13840"/>
    <cellStyle name="Input [yellow] 2 2 6 5 3" xfId="25008"/>
    <cellStyle name="Input [yellow] 2 2 6 5 4" xfId="36173"/>
    <cellStyle name="Input [yellow] 2 2 6 5 5" xfId="47366"/>
    <cellStyle name="Input [yellow] 2 2 6 6" xfId="3277"/>
    <cellStyle name="Input [yellow] 2 2 6 6 2" xfId="14474"/>
    <cellStyle name="Input [yellow] 2 2 6 6 3" xfId="25642"/>
    <cellStyle name="Input [yellow] 2 2 6 6 4" xfId="36807"/>
    <cellStyle name="Input [yellow] 2 2 6 6 5" xfId="48000"/>
    <cellStyle name="Input [yellow] 2 2 6 7" xfId="3911"/>
    <cellStyle name="Input [yellow] 2 2 6 7 2" xfId="15108"/>
    <cellStyle name="Input [yellow] 2 2 6 7 3" xfId="26276"/>
    <cellStyle name="Input [yellow] 2 2 6 7 4" xfId="37441"/>
    <cellStyle name="Input [yellow] 2 2 6 7 5" xfId="48634"/>
    <cellStyle name="Input [yellow] 2 2 6 8" xfId="4544"/>
    <cellStyle name="Input [yellow] 2 2 6 8 2" xfId="15741"/>
    <cellStyle name="Input [yellow] 2 2 6 8 3" xfId="26909"/>
    <cellStyle name="Input [yellow] 2 2 6 8 4" xfId="38074"/>
    <cellStyle name="Input [yellow] 2 2 6 8 5" xfId="49267"/>
    <cellStyle name="Input [yellow] 2 2 6 9" xfId="5175"/>
    <cellStyle name="Input [yellow] 2 2 6 9 2" xfId="16372"/>
    <cellStyle name="Input [yellow] 2 2 6 9 3" xfId="27540"/>
    <cellStyle name="Input [yellow] 2 2 6 9 4" xfId="38705"/>
    <cellStyle name="Input [yellow] 2 2 6 9 5" xfId="49898"/>
    <cellStyle name="Input [yellow] 2 2 7" xfId="452"/>
    <cellStyle name="Input [yellow] 2 2 7 10" xfId="5998"/>
    <cellStyle name="Input [yellow] 2 2 7 10 2" xfId="17195"/>
    <cellStyle name="Input [yellow] 2 2 7 10 3" xfId="28363"/>
    <cellStyle name="Input [yellow] 2 2 7 10 4" xfId="39528"/>
    <cellStyle name="Input [yellow] 2 2 7 10 5" xfId="50721"/>
    <cellStyle name="Input [yellow] 2 2 7 11" xfId="6388"/>
    <cellStyle name="Input [yellow] 2 2 7 11 2" xfId="17585"/>
    <cellStyle name="Input [yellow] 2 2 7 11 3" xfId="28753"/>
    <cellStyle name="Input [yellow] 2 2 7 11 4" xfId="39918"/>
    <cellStyle name="Input [yellow] 2 2 7 11 5" xfId="51111"/>
    <cellStyle name="Input [yellow] 2 2 7 12" xfId="7021"/>
    <cellStyle name="Input [yellow] 2 2 7 12 2" xfId="18218"/>
    <cellStyle name="Input [yellow] 2 2 7 12 3" xfId="29386"/>
    <cellStyle name="Input [yellow] 2 2 7 12 4" xfId="40551"/>
    <cellStyle name="Input [yellow] 2 2 7 12 5" xfId="51744"/>
    <cellStyle name="Input [yellow] 2 2 7 13" xfId="7655"/>
    <cellStyle name="Input [yellow] 2 2 7 13 2" xfId="18852"/>
    <cellStyle name="Input [yellow] 2 2 7 13 3" xfId="30020"/>
    <cellStyle name="Input [yellow] 2 2 7 13 4" xfId="41185"/>
    <cellStyle name="Input [yellow] 2 2 7 13 5" xfId="52378"/>
    <cellStyle name="Input [yellow] 2 2 7 14" xfId="8289"/>
    <cellStyle name="Input [yellow] 2 2 7 14 2" xfId="19486"/>
    <cellStyle name="Input [yellow] 2 2 7 14 3" xfId="30654"/>
    <cellStyle name="Input [yellow] 2 2 7 14 4" xfId="41819"/>
    <cellStyle name="Input [yellow] 2 2 7 14 5" xfId="53012"/>
    <cellStyle name="Input [yellow] 2 2 7 15" xfId="8917"/>
    <cellStyle name="Input [yellow] 2 2 7 15 2" xfId="20114"/>
    <cellStyle name="Input [yellow] 2 2 7 15 3" xfId="31282"/>
    <cellStyle name="Input [yellow] 2 2 7 15 4" xfId="42447"/>
    <cellStyle name="Input [yellow] 2 2 7 15 5" xfId="53640"/>
    <cellStyle name="Input [yellow] 2 2 7 16" xfId="9340"/>
    <cellStyle name="Input [yellow] 2 2 7 16 2" xfId="20537"/>
    <cellStyle name="Input [yellow] 2 2 7 16 3" xfId="31705"/>
    <cellStyle name="Input [yellow] 2 2 7 16 4" xfId="42870"/>
    <cellStyle name="Input [yellow] 2 2 7 16 5" xfId="54063"/>
    <cellStyle name="Input [yellow] 2 2 7 17" xfId="9966"/>
    <cellStyle name="Input [yellow] 2 2 7 17 2" xfId="21163"/>
    <cellStyle name="Input [yellow] 2 2 7 17 3" xfId="32331"/>
    <cellStyle name="Input [yellow] 2 2 7 17 4" xfId="43496"/>
    <cellStyle name="Input [yellow] 2 2 7 17 5" xfId="54689"/>
    <cellStyle name="Input [yellow] 2 2 7 18" xfId="10136"/>
    <cellStyle name="Input [yellow] 2 2 7 18 2" xfId="21333"/>
    <cellStyle name="Input [yellow] 2 2 7 18 3" xfId="32501"/>
    <cellStyle name="Input [yellow] 2 2 7 18 4" xfId="43666"/>
    <cellStyle name="Input [yellow] 2 2 7 18 5" xfId="54859"/>
    <cellStyle name="Input [yellow] 2 2 7 19" xfId="11005"/>
    <cellStyle name="Input [yellow] 2 2 7 19 2" xfId="22202"/>
    <cellStyle name="Input [yellow] 2 2 7 19 3" xfId="33370"/>
    <cellStyle name="Input [yellow] 2 2 7 19 4" xfId="44535"/>
    <cellStyle name="Input [yellow] 2 2 7 19 5" xfId="55728"/>
    <cellStyle name="Input [yellow] 2 2 7 2" xfId="1101"/>
    <cellStyle name="Input [yellow] 2 2 7 2 2" xfId="12298"/>
    <cellStyle name="Input [yellow] 2 2 7 2 3" xfId="23466"/>
    <cellStyle name="Input [yellow] 2 2 7 2 4" xfId="34631"/>
    <cellStyle name="Input [yellow] 2 2 7 2 5" xfId="45824"/>
    <cellStyle name="Input [yellow] 2 2 7 20" xfId="11652"/>
    <cellStyle name="Input [yellow] 2 2 7 21" xfId="22822"/>
    <cellStyle name="Input [yellow] 2 2 7 22" xfId="33989"/>
    <cellStyle name="Input [yellow] 2 2 7 23" xfId="45175"/>
    <cellStyle name="Input [yellow] 2 2 7 3" xfId="675"/>
    <cellStyle name="Input [yellow] 2 2 7 3 2" xfId="11875"/>
    <cellStyle name="Input [yellow] 2 2 7 3 3" xfId="23045"/>
    <cellStyle name="Input [yellow] 2 2 7 3 4" xfId="34212"/>
    <cellStyle name="Input [yellow] 2 2 7 3 5" xfId="45398"/>
    <cellStyle name="Input [yellow] 2 2 7 4" xfId="2377"/>
    <cellStyle name="Input [yellow] 2 2 7 4 2" xfId="13574"/>
    <cellStyle name="Input [yellow] 2 2 7 4 3" xfId="24742"/>
    <cellStyle name="Input [yellow] 2 2 7 4 4" xfId="35907"/>
    <cellStyle name="Input [yellow] 2 2 7 4 5" xfId="47100"/>
    <cellStyle name="Input [yellow] 2 2 7 5" xfId="2802"/>
    <cellStyle name="Input [yellow] 2 2 7 5 2" xfId="13999"/>
    <cellStyle name="Input [yellow] 2 2 7 5 3" xfId="25167"/>
    <cellStyle name="Input [yellow] 2 2 7 5 4" xfId="36332"/>
    <cellStyle name="Input [yellow] 2 2 7 5 5" xfId="47525"/>
    <cellStyle name="Input [yellow] 2 2 7 6" xfId="3436"/>
    <cellStyle name="Input [yellow] 2 2 7 6 2" xfId="14633"/>
    <cellStyle name="Input [yellow] 2 2 7 6 3" xfId="25801"/>
    <cellStyle name="Input [yellow] 2 2 7 6 4" xfId="36966"/>
    <cellStyle name="Input [yellow] 2 2 7 6 5" xfId="48159"/>
    <cellStyle name="Input [yellow] 2 2 7 7" xfId="4070"/>
    <cellStyle name="Input [yellow] 2 2 7 7 2" xfId="15267"/>
    <cellStyle name="Input [yellow] 2 2 7 7 3" xfId="26435"/>
    <cellStyle name="Input [yellow] 2 2 7 7 4" xfId="37600"/>
    <cellStyle name="Input [yellow] 2 2 7 7 5" xfId="48793"/>
    <cellStyle name="Input [yellow] 2 2 7 8" xfId="4703"/>
    <cellStyle name="Input [yellow] 2 2 7 8 2" xfId="15900"/>
    <cellStyle name="Input [yellow] 2 2 7 8 3" xfId="27068"/>
    <cellStyle name="Input [yellow] 2 2 7 8 4" xfId="38233"/>
    <cellStyle name="Input [yellow] 2 2 7 8 5" xfId="49426"/>
    <cellStyle name="Input [yellow] 2 2 7 9" xfId="5334"/>
    <cellStyle name="Input [yellow] 2 2 7 9 2" xfId="16531"/>
    <cellStyle name="Input [yellow] 2 2 7 9 3" xfId="27699"/>
    <cellStyle name="Input [yellow] 2 2 7 9 4" xfId="38864"/>
    <cellStyle name="Input [yellow] 2 2 7 9 5" xfId="50057"/>
    <cellStyle name="Input [yellow] 2 2 8" xfId="416"/>
    <cellStyle name="Input [yellow] 2 2 8 10" xfId="5603"/>
    <cellStyle name="Input [yellow] 2 2 8 10 2" xfId="16800"/>
    <cellStyle name="Input [yellow] 2 2 8 10 3" xfId="27968"/>
    <cellStyle name="Input [yellow] 2 2 8 10 4" xfId="39133"/>
    <cellStyle name="Input [yellow] 2 2 8 10 5" xfId="50326"/>
    <cellStyle name="Input [yellow] 2 2 8 11" xfId="6352"/>
    <cellStyle name="Input [yellow] 2 2 8 11 2" xfId="17549"/>
    <cellStyle name="Input [yellow] 2 2 8 11 3" xfId="28717"/>
    <cellStyle name="Input [yellow] 2 2 8 11 4" xfId="39882"/>
    <cellStyle name="Input [yellow] 2 2 8 11 5" xfId="51075"/>
    <cellStyle name="Input [yellow] 2 2 8 12" xfId="6985"/>
    <cellStyle name="Input [yellow] 2 2 8 12 2" xfId="18182"/>
    <cellStyle name="Input [yellow] 2 2 8 12 3" xfId="29350"/>
    <cellStyle name="Input [yellow] 2 2 8 12 4" xfId="40515"/>
    <cellStyle name="Input [yellow] 2 2 8 12 5" xfId="51708"/>
    <cellStyle name="Input [yellow] 2 2 8 13" xfId="7619"/>
    <cellStyle name="Input [yellow] 2 2 8 13 2" xfId="18816"/>
    <cellStyle name="Input [yellow] 2 2 8 13 3" xfId="29984"/>
    <cellStyle name="Input [yellow] 2 2 8 13 4" xfId="41149"/>
    <cellStyle name="Input [yellow] 2 2 8 13 5" xfId="52342"/>
    <cellStyle name="Input [yellow] 2 2 8 14" xfId="8253"/>
    <cellStyle name="Input [yellow] 2 2 8 14 2" xfId="19450"/>
    <cellStyle name="Input [yellow] 2 2 8 14 3" xfId="30618"/>
    <cellStyle name="Input [yellow] 2 2 8 14 4" xfId="41783"/>
    <cellStyle name="Input [yellow] 2 2 8 14 5" xfId="52976"/>
    <cellStyle name="Input [yellow] 2 2 8 15" xfId="8881"/>
    <cellStyle name="Input [yellow] 2 2 8 15 2" xfId="20078"/>
    <cellStyle name="Input [yellow] 2 2 8 15 3" xfId="31246"/>
    <cellStyle name="Input [yellow] 2 2 8 15 4" xfId="42411"/>
    <cellStyle name="Input [yellow] 2 2 8 15 5" xfId="53604"/>
    <cellStyle name="Input [yellow] 2 2 8 16" xfId="9304"/>
    <cellStyle name="Input [yellow] 2 2 8 16 2" xfId="20501"/>
    <cellStyle name="Input [yellow] 2 2 8 16 3" xfId="31669"/>
    <cellStyle name="Input [yellow] 2 2 8 16 4" xfId="42834"/>
    <cellStyle name="Input [yellow] 2 2 8 16 5" xfId="54027"/>
    <cellStyle name="Input [yellow] 2 2 8 17" xfId="9930"/>
    <cellStyle name="Input [yellow] 2 2 8 17 2" xfId="21127"/>
    <cellStyle name="Input [yellow] 2 2 8 17 3" xfId="32295"/>
    <cellStyle name="Input [yellow] 2 2 8 17 4" xfId="43460"/>
    <cellStyle name="Input [yellow] 2 2 8 17 5" xfId="54653"/>
    <cellStyle name="Input [yellow] 2 2 8 18" xfId="10571"/>
    <cellStyle name="Input [yellow] 2 2 8 18 2" xfId="21768"/>
    <cellStyle name="Input [yellow] 2 2 8 18 3" xfId="32936"/>
    <cellStyle name="Input [yellow] 2 2 8 18 4" xfId="44101"/>
    <cellStyle name="Input [yellow] 2 2 8 18 5" xfId="55294"/>
    <cellStyle name="Input [yellow] 2 2 8 19" xfId="10969"/>
    <cellStyle name="Input [yellow] 2 2 8 19 2" xfId="22166"/>
    <cellStyle name="Input [yellow] 2 2 8 19 3" xfId="33334"/>
    <cellStyle name="Input [yellow] 2 2 8 19 4" xfId="44499"/>
    <cellStyle name="Input [yellow] 2 2 8 19 5" xfId="55692"/>
    <cellStyle name="Input [yellow] 2 2 8 2" xfId="1065"/>
    <cellStyle name="Input [yellow] 2 2 8 2 2" xfId="12262"/>
    <cellStyle name="Input [yellow] 2 2 8 2 3" xfId="23430"/>
    <cellStyle name="Input [yellow] 2 2 8 2 4" xfId="34595"/>
    <cellStyle name="Input [yellow] 2 2 8 2 5" xfId="45788"/>
    <cellStyle name="Input [yellow] 2 2 8 20" xfId="11616"/>
    <cellStyle name="Input [yellow] 2 2 8 21" xfId="22786"/>
    <cellStyle name="Input [yellow] 2 2 8 22" xfId="33953"/>
    <cellStyle name="Input [yellow] 2 2 8 23" xfId="45139"/>
    <cellStyle name="Input [yellow] 2 2 8 3" xfId="1884"/>
    <cellStyle name="Input [yellow] 2 2 8 3 2" xfId="13081"/>
    <cellStyle name="Input [yellow] 2 2 8 3 3" xfId="24249"/>
    <cellStyle name="Input [yellow] 2 2 8 3 4" xfId="35414"/>
    <cellStyle name="Input [yellow] 2 2 8 3 5" xfId="46607"/>
    <cellStyle name="Input [yellow] 2 2 8 4" xfId="2341"/>
    <cellStyle name="Input [yellow] 2 2 8 4 2" xfId="13538"/>
    <cellStyle name="Input [yellow] 2 2 8 4 3" xfId="24706"/>
    <cellStyle name="Input [yellow] 2 2 8 4 4" xfId="35871"/>
    <cellStyle name="Input [yellow] 2 2 8 4 5" xfId="47064"/>
    <cellStyle name="Input [yellow] 2 2 8 5" xfId="2766"/>
    <cellStyle name="Input [yellow] 2 2 8 5 2" xfId="13963"/>
    <cellStyle name="Input [yellow] 2 2 8 5 3" xfId="25131"/>
    <cellStyle name="Input [yellow] 2 2 8 5 4" xfId="36296"/>
    <cellStyle name="Input [yellow] 2 2 8 5 5" xfId="47489"/>
    <cellStyle name="Input [yellow] 2 2 8 6" xfId="3400"/>
    <cellStyle name="Input [yellow] 2 2 8 6 2" xfId="14597"/>
    <cellStyle name="Input [yellow] 2 2 8 6 3" xfId="25765"/>
    <cellStyle name="Input [yellow] 2 2 8 6 4" xfId="36930"/>
    <cellStyle name="Input [yellow] 2 2 8 6 5" xfId="48123"/>
    <cellStyle name="Input [yellow] 2 2 8 7" xfId="4034"/>
    <cellStyle name="Input [yellow] 2 2 8 7 2" xfId="15231"/>
    <cellStyle name="Input [yellow] 2 2 8 7 3" xfId="26399"/>
    <cellStyle name="Input [yellow] 2 2 8 7 4" xfId="37564"/>
    <cellStyle name="Input [yellow] 2 2 8 7 5" xfId="48757"/>
    <cellStyle name="Input [yellow] 2 2 8 8" xfId="4667"/>
    <cellStyle name="Input [yellow] 2 2 8 8 2" xfId="15864"/>
    <cellStyle name="Input [yellow] 2 2 8 8 3" xfId="27032"/>
    <cellStyle name="Input [yellow] 2 2 8 8 4" xfId="38197"/>
    <cellStyle name="Input [yellow] 2 2 8 8 5" xfId="49390"/>
    <cellStyle name="Input [yellow] 2 2 8 9" xfId="5298"/>
    <cellStyle name="Input [yellow] 2 2 8 9 2" xfId="16495"/>
    <cellStyle name="Input [yellow] 2 2 8 9 3" xfId="27663"/>
    <cellStyle name="Input [yellow] 2 2 8 9 4" xfId="38828"/>
    <cellStyle name="Input [yellow] 2 2 8 9 5" xfId="50021"/>
    <cellStyle name="Input [yellow] 2 2 9" xfId="447"/>
    <cellStyle name="Input [yellow] 2 2 9 10" xfId="5907"/>
    <cellStyle name="Input [yellow] 2 2 9 10 2" xfId="17104"/>
    <cellStyle name="Input [yellow] 2 2 9 10 3" xfId="28272"/>
    <cellStyle name="Input [yellow] 2 2 9 10 4" xfId="39437"/>
    <cellStyle name="Input [yellow] 2 2 9 10 5" xfId="50630"/>
    <cellStyle name="Input [yellow] 2 2 9 11" xfId="6383"/>
    <cellStyle name="Input [yellow] 2 2 9 11 2" xfId="17580"/>
    <cellStyle name="Input [yellow] 2 2 9 11 3" xfId="28748"/>
    <cellStyle name="Input [yellow] 2 2 9 11 4" xfId="39913"/>
    <cellStyle name="Input [yellow] 2 2 9 11 5" xfId="51106"/>
    <cellStyle name="Input [yellow] 2 2 9 12" xfId="7016"/>
    <cellStyle name="Input [yellow] 2 2 9 12 2" xfId="18213"/>
    <cellStyle name="Input [yellow] 2 2 9 12 3" xfId="29381"/>
    <cellStyle name="Input [yellow] 2 2 9 12 4" xfId="40546"/>
    <cellStyle name="Input [yellow] 2 2 9 12 5" xfId="51739"/>
    <cellStyle name="Input [yellow] 2 2 9 13" xfId="7650"/>
    <cellStyle name="Input [yellow] 2 2 9 13 2" xfId="18847"/>
    <cellStyle name="Input [yellow] 2 2 9 13 3" xfId="30015"/>
    <cellStyle name="Input [yellow] 2 2 9 13 4" xfId="41180"/>
    <cellStyle name="Input [yellow] 2 2 9 13 5" xfId="52373"/>
    <cellStyle name="Input [yellow] 2 2 9 14" xfId="8284"/>
    <cellStyle name="Input [yellow] 2 2 9 14 2" xfId="19481"/>
    <cellStyle name="Input [yellow] 2 2 9 14 3" xfId="30649"/>
    <cellStyle name="Input [yellow] 2 2 9 14 4" xfId="41814"/>
    <cellStyle name="Input [yellow] 2 2 9 14 5" xfId="53007"/>
    <cellStyle name="Input [yellow] 2 2 9 15" xfId="8912"/>
    <cellStyle name="Input [yellow] 2 2 9 15 2" xfId="20109"/>
    <cellStyle name="Input [yellow] 2 2 9 15 3" xfId="31277"/>
    <cellStyle name="Input [yellow] 2 2 9 15 4" xfId="42442"/>
    <cellStyle name="Input [yellow] 2 2 9 15 5" xfId="53635"/>
    <cellStyle name="Input [yellow] 2 2 9 16" xfId="9335"/>
    <cellStyle name="Input [yellow] 2 2 9 16 2" xfId="20532"/>
    <cellStyle name="Input [yellow] 2 2 9 16 3" xfId="31700"/>
    <cellStyle name="Input [yellow] 2 2 9 16 4" xfId="42865"/>
    <cellStyle name="Input [yellow] 2 2 9 16 5" xfId="54058"/>
    <cellStyle name="Input [yellow] 2 2 9 17" xfId="9961"/>
    <cellStyle name="Input [yellow] 2 2 9 17 2" xfId="21158"/>
    <cellStyle name="Input [yellow] 2 2 9 17 3" xfId="32326"/>
    <cellStyle name="Input [yellow] 2 2 9 17 4" xfId="43491"/>
    <cellStyle name="Input [yellow] 2 2 9 17 5" xfId="54684"/>
    <cellStyle name="Input [yellow] 2 2 9 18" xfId="10034"/>
    <cellStyle name="Input [yellow] 2 2 9 18 2" xfId="21231"/>
    <cellStyle name="Input [yellow] 2 2 9 18 3" xfId="32399"/>
    <cellStyle name="Input [yellow] 2 2 9 18 4" xfId="43564"/>
    <cellStyle name="Input [yellow] 2 2 9 18 5" xfId="54757"/>
    <cellStyle name="Input [yellow] 2 2 9 19" xfId="11000"/>
    <cellStyle name="Input [yellow] 2 2 9 19 2" xfId="22197"/>
    <cellStyle name="Input [yellow] 2 2 9 19 3" xfId="33365"/>
    <cellStyle name="Input [yellow] 2 2 9 19 4" xfId="44530"/>
    <cellStyle name="Input [yellow] 2 2 9 19 5" xfId="55723"/>
    <cellStyle name="Input [yellow] 2 2 9 2" xfId="1096"/>
    <cellStyle name="Input [yellow] 2 2 9 2 2" xfId="12293"/>
    <cellStyle name="Input [yellow] 2 2 9 2 3" xfId="23461"/>
    <cellStyle name="Input [yellow] 2 2 9 2 4" xfId="34626"/>
    <cellStyle name="Input [yellow] 2 2 9 2 5" xfId="45819"/>
    <cellStyle name="Input [yellow] 2 2 9 20" xfId="11647"/>
    <cellStyle name="Input [yellow] 2 2 9 21" xfId="22817"/>
    <cellStyle name="Input [yellow] 2 2 9 22" xfId="33984"/>
    <cellStyle name="Input [yellow] 2 2 9 23" xfId="45170"/>
    <cellStyle name="Input [yellow] 2 2 9 3" xfId="1430"/>
    <cellStyle name="Input [yellow] 2 2 9 3 2" xfId="12627"/>
    <cellStyle name="Input [yellow] 2 2 9 3 3" xfId="23795"/>
    <cellStyle name="Input [yellow] 2 2 9 3 4" xfId="34960"/>
    <cellStyle name="Input [yellow] 2 2 9 3 5" xfId="46153"/>
    <cellStyle name="Input [yellow] 2 2 9 4" xfId="2372"/>
    <cellStyle name="Input [yellow] 2 2 9 4 2" xfId="13569"/>
    <cellStyle name="Input [yellow] 2 2 9 4 3" xfId="24737"/>
    <cellStyle name="Input [yellow] 2 2 9 4 4" xfId="35902"/>
    <cellStyle name="Input [yellow] 2 2 9 4 5" xfId="47095"/>
    <cellStyle name="Input [yellow] 2 2 9 5" xfId="2797"/>
    <cellStyle name="Input [yellow] 2 2 9 5 2" xfId="13994"/>
    <cellStyle name="Input [yellow] 2 2 9 5 3" xfId="25162"/>
    <cellStyle name="Input [yellow] 2 2 9 5 4" xfId="36327"/>
    <cellStyle name="Input [yellow] 2 2 9 5 5" xfId="47520"/>
    <cellStyle name="Input [yellow] 2 2 9 6" xfId="3431"/>
    <cellStyle name="Input [yellow] 2 2 9 6 2" xfId="14628"/>
    <cellStyle name="Input [yellow] 2 2 9 6 3" xfId="25796"/>
    <cellStyle name="Input [yellow] 2 2 9 6 4" xfId="36961"/>
    <cellStyle name="Input [yellow] 2 2 9 6 5" xfId="48154"/>
    <cellStyle name="Input [yellow] 2 2 9 7" xfId="4065"/>
    <cellStyle name="Input [yellow] 2 2 9 7 2" xfId="15262"/>
    <cellStyle name="Input [yellow] 2 2 9 7 3" xfId="26430"/>
    <cellStyle name="Input [yellow] 2 2 9 7 4" xfId="37595"/>
    <cellStyle name="Input [yellow] 2 2 9 7 5" xfId="48788"/>
    <cellStyle name="Input [yellow] 2 2 9 8" xfId="4698"/>
    <cellStyle name="Input [yellow] 2 2 9 8 2" xfId="15895"/>
    <cellStyle name="Input [yellow] 2 2 9 8 3" xfId="27063"/>
    <cellStyle name="Input [yellow] 2 2 9 8 4" xfId="38228"/>
    <cellStyle name="Input [yellow] 2 2 9 8 5" xfId="49421"/>
    <cellStyle name="Input [yellow] 2 2 9 9" xfId="5329"/>
    <cellStyle name="Input [yellow] 2 2 9 9 2" xfId="16526"/>
    <cellStyle name="Input [yellow] 2 2 9 9 3" xfId="27694"/>
    <cellStyle name="Input [yellow] 2 2 9 9 4" xfId="38859"/>
    <cellStyle name="Input [yellow] 2 2 9 9 5" xfId="50052"/>
    <cellStyle name="Input [yellow] 2 20" xfId="107"/>
    <cellStyle name="Input [yellow] 2 20 10" xfId="629"/>
    <cellStyle name="Input [yellow] 2 20 10 10" xfId="5718"/>
    <cellStyle name="Input [yellow] 2 20 10 10 2" xfId="16915"/>
    <cellStyle name="Input [yellow] 2 20 10 10 3" xfId="28083"/>
    <cellStyle name="Input [yellow] 2 20 10 10 4" xfId="39248"/>
    <cellStyle name="Input [yellow] 2 20 10 10 5" xfId="50441"/>
    <cellStyle name="Input [yellow] 2 20 10 11" xfId="6565"/>
    <cellStyle name="Input [yellow] 2 20 10 11 2" xfId="17762"/>
    <cellStyle name="Input [yellow] 2 20 10 11 3" xfId="28930"/>
    <cellStyle name="Input [yellow] 2 20 10 11 4" xfId="40095"/>
    <cellStyle name="Input [yellow] 2 20 10 11 5" xfId="51288"/>
    <cellStyle name="Input [yellow] 2 20 10 12" xfId="7198"/>
    <cellStyle name="Input [yellow] 2 20 10 12 2" xfId="18395"/>
    <cellStyle name="Input [yellow] 2 20 10 12 3" xfId="29563"/>
    <cellStyle name="Input [yellow] 2 20 10 12 4" xfId="40728"/>
    <cellStyle name="Input [yellow] 2 20 10 12 5" xfId="51921"/>
    <cellStyle name="Input [yellow] 2 20 10 13" xfId="7832"/>
    <cellStyle name="Input [yellow] 2 20 10 13 2" xfId="19029"/>
    <cellStyle name="Input [yellow] 2 20 10 13 3" xfId="30197"/>
    <cellStyle name="Input [yellow] 2 20 10 13 4" xfId="41362"/>
    <cellStyle name="Input [yellow] 2 20 10 13 5" xfId="52555"/>
    <cellStyle name="Input [yellow] 2 20 10 14" xfId="8466"/>
    <cellStyle name="Input [yellow] 2 20 10 14 2" xfId="19663"/>
    <cellStyle name="Input [yellow] 2 20 10 14 3" xfId="30831"/>
    <cellStyle name="Input [yellow] 2 20 10 14 4" xfId="41996"/>
    <cellStyle name="Input [yellow] 2 20 10 14 5" xfId="53189"/>
    <cellStyle name="Input [yellow] 2 20 10 15" xfId="9094"/>
    <cellStyle name="Input [yellow] 2 20 10 15 2" xfId="20291"/>
    <cellStyle name="Input [yellow] 2 20 10 15 3" xfId="31459"/>
    <cellStyle name="Input [yellow] 2 20 10 15 4" xfId="42624"/>
    <cellStyle name="Input [yellow] 2 20 10 15 5" xfId="53817"/>
    <cellStyle name="Input [yellow] 2 20 10 16" xfId="9517"/>
    <cellStyle name="Input [yellow] 2 20 10 16 2" xfId="20714"/>
    <cellStyle name="Input [yellow] 2 20 10 16 3" xfId="31882"/>
    <cellStyle name="Input [yellow] 2 20 10 16 4" xfId="43047"/>
    <cellStyle name="Input [yellow] 2 20 10 16 5" xfId="54240"/>
    <cellStyle name="Input [yellow] 2 20 10 17" xfId="10142"/>
    <cellStyle name="Input [yellow] 2 20 10 17 2" xfId="21339"/>
    <cellStyle name="Input [yellow] 2 20 10 17 3" xfId="32507"/>
    <cellStyle name="Input [yellow] 2 20 10 17 4" xfId="43672"/>
    <cellStyle name="Input [yellow] 2 20 10 17 5" xfId="54865"/>
    <cellStyle name="Input [yellow] 2 20 10 18" xfId="10009"/>
    <cellStyle name="Input [yellow] 2 20 10 18 2" xfId="21206"/>
    <cellStyle name="Input [yellow] 2 20 10 18 3" xfId="32374"/>
    <cellStyle name="Input [yellow] 2 20 10 18 4" xfId="43539"/>
    <cellStyle name="Input [yellow] 2 20 10 18 5" xfId="54732"/>
    <cellStyle name="Input [yellow] 2 20 10 19" xfId="11182"/>
    <cellStyle name="Input [yellow] 2 20 10 19 2" xfId="22379"/>
    <cellStyle name="Input [yellow] 2 20 10 19 3" xfId="33547"/>
    <cellStyle name="Input [yellow] 2 20 10 19 4" xfId="44712"/>
    <cellStyle name="Input [yellow] 2 20 10 19 5" xfId="55905"/>
    <cellStyle name="Input [yellow] 2 20 10 2" xfId="1278"/>
    <cellStyle name="Input [yellow] 2 20 10 2 2" xfId="12475"/>
    <cellStyle name="Input [yellow] 2 20 10 2 3" xfId="23643"/>
    <cellStyle name="Input [yellow] 2 20 10 2 4" xfId="34808"/>
    <cellStyle name="Input [yellow] 2 20 10 2 5" xfId="46001"/>
    <cellStyle name="Input [yellow] 2 20 10 20" xfId="11829"/>
    <cellStyle name="Input [yellow] 2 20 10 21" xfId="22999"/>
    <cellStyle name="Input [yellow] 2 20 10 22" xfId="34166"/>
    <cellStyle name="Input [yellow] 2 20 10 23" xfId="45352"/>
    <cellStyle name="Input [yellow] 2 20 10 3" xfId="1444"/>
    <cellStyle name="Input [yellow] 2 20 10 3 2" xfId="12641"/>
    <cellStyle name="Input [yellow] 2 20 10 3 3" xfId="23809"/>
    <cellStyle name="Input [yellow] 2 20 10 3 4" xfId="34974"/>
    <cellStyle name="Input [yellow] 2 20 10 3 5" xfId="46167"/>
    <cellStyle name="Input [yellow] 2 20 10 4" xfId="2554"/>
    <cellStyle name="Input [yellow] 2 20 10 4 2" xfId="13751"/>
    <cellStyle name="Input [yellow] 2 20 10 4 3" xfId="24919"/>
    <cellStyle name="Input [yellow] 2 20 10 4 4" xfId="36084"/>
    <cellStyle name="Input [yellow] 2 20 10 4 5" xfId="47277"/>
    <cellStyle name="Input [yellow] 2 20 10 5" xfId="2979"/>
    <cellStyle name="Input [yellow] 2 20 10 5 2" xfId="14176"/>
    <cellStyle name="Input [yellow] 2 20 10 5 3" xfId="25344"/>
    <cellStyle name="Input [yellow] 2 20 10 5 4" xfId="36509"/>
    <cellStyle name="Input [yellow] 2 20 10 5 5" xfId="47702"/>
    <cellStyle name="Input [yellow] 2 20 10 6" xfId="3613"/>
    <cellStyle name="Input [yellow] 2 20 10 6 2" xfId="14810"/>
    <cellStyle name="Input [yellow] 2 20 10 6 3" xfId="25978"/>
    <cellStyle name="Input [yellow] 2 20 10 6 4" xfId="37143"/>
    <cellStyle name="Input [yellow] 2 20 10 6 5" xfId="48336"/>
    <cellStyle name="Input [yellow] 2 20 10 7" xfId="4247"/>
    <cellStyle name="Input [yellow] 2 20 10 7 2" xfId="15444"/>
    <cellStyle name="Input [yellow] 2 20 10 7 3" xfId="26612"/>
    <cellStyle name="Input [yellow] 2 20 10 7 4" xfId="37777"/>
    <cellStyle name="Input [yellow] 2 20 10 7 5" xfId="48970"/>
    <cellStyle name="Input [yellow] 2 20 10 8" xfId="4880"/>
    <cellStyle name="Input [yellow] 2 20 10 8 2" xfId="16077"/>
    <cellStyle name="Input [yellow] 2 20 10 8 3" xfId="27245"/>
    <cellStyle name="Input [yellow] 2 20 10 8 4" xfId="38410"/>
    <cellStyle name="Input [yellow] 2 20 10 8 5" xfId="49603"/>
    <cellStyle name="Input [yellow] 2 20 10 9" xfId="5511"/>
    <cellStyle name="Input [yellow] 2 20 10 9 2" xfId="16708"/>
    <cellStyle name="Input [yellow] 2 20 10 9 3" xfId="27876"/>
    <cellStyle name="Input [yellow] 2 20 10 9 4" xfId="39041"/>
    <cellStyle name="Input [yellow] 2 20 10 9 5" xfId="50234"/>
    <cellStyle name="Input [yellow] 2 20 11" xfId="584"/>
    <cellStyle name="Input [yellow] 2 20 11 10" xfId="5982"/>
    <cellStyle name="Input [yellow] 2 20 11 10 2" xfId="17179"/>
    <cellStyle name="Input [yellow] 2 20 11 10 3" xfId="28347"/>
    <cellStyle name="Input [yellow] 2 20 11 10 4" xfId="39512"/>
    <cellStyle name="Input [yellow] 2 20 11 10 5" xfId="50705"/>
    <cellStyle name="Input [yellow] 2 20 11 11" xfId="6520"/>
    <cellStyle name="Input [yellow] 2 20 11 11 2" xfId="17717"/>
    <cellStyle name="Input [yellow] 2 20 11 11 3" xfId="28885"/>
    <cellStyle name="Input [yellow] 2 20 11 11 4" xfId="40050"/>
    <cellStyle name="Input [yellow] 2 20 11 11 5" xfId="51243"/>
    <cellStyle name="Input [yellow] 2 20 11 12" xfId="7153"/>
    <cellStyle name="Input [yellow] 2 20 11 12 2" xfId="18350"/>
    <cellStyle name="Input [yellow] 2 20 11 12 3" xfId="29518"/>
    <cellStyle name="Input [yellow] 2 20 11 12 4" xfId="40683"/>
    <cellStyle name="Input [yellow] 2 20 11 12 5" xfId="51876"/>
    <cellStyle name="Input [yellow] 2 20 11 13" xfId="7787"/>
    <cellStyle name="Input [yellow] 2 20 11 13 2" xfId="18984"/>
    <cellStyle name="Input [yellow] 2 20 11 13 3" xfId="30152"/>
    <cellStyle name="Input [yellow] 2 20 11 13 4" xfId="41317"/>
    <cellStyle name="Input [yellow] 2 20 11 13 5" xfId="52510"/>
    <cellStyle name="Input [yellow] 2 20 11 14" xfId="8421"/>
    <cellStyle name="Input [yellow] 2 20 11 14 2" xfId="19618"/>
    <cellStyle name="Input [yellow] 2 20 11 14 3" xfId="30786"/>
    <cellStyle name="Input [yellow] 2 20 11 14 4" xfId="41951"/>
    <cellStyle name="Input [yellow] 2 20 11 14 5" xfId="53144"/>
    <cellStyle name="Input [yellow] 2 20 11 15" xfId="9049"/>
    <cellStyle name="Input [yellow] 2 20 11 15 2" xfId="20246"/>
    <cellStyle name="Input [yellow] 2 20 11 15 3" xfId="31414"/>
    <cellStyle name="Input [yellow] 2 20 11 15 4" xfId="42579"/>
    <cellStyle name="Input [yellow] 2 20 11 15 5" xfId="53772"/>
    <cellStyle name="Input [yellow] 2 20 11 16" xfId="9472"/>
    <cellStyle name="Input [yellow] 2 20 11 16 2" xfId="20669"/>
    <cellStyle name="Input [yellow] 2 20 11 16 3" xfId="31837"/>
    <cellStyle name="Input [yellow] 2 20 11 16 4" xfId="43002"/>
    <cellStyle name="Input [yellow] 2 20 11 16 5" xfId="54195"/>
    <cellStyle name="Input [yellow] 2 20 11 17" xfId="10097"/>
    <cellStyle name="Input [yellow] 2 20 11 17 2" xfId="21294"/>
    <cellStyle name="Input [yellow] 2 20 11 17 3" xfId="32462"/>
    <cellStyle name="Input [yellow] 2 20 11 17 4" xfId="43627"/>
    <cellStyle name="Input [yellow] 2 20 11 17 5" xfId="54820"/>
    <cellStyle name="Input [yellow] 2 20 11 18" xfId="10219"/>
    <cellStyle name="Input [yellow] 2 20 11 18 2" xfId="21416"/>
    <cellStyle name="Input [yellow] 2 20 11 18 3" xfId="32584"/>
    <cellStyle name="Input [yellow] 2 20 11 18 4" xfId="43749"/>
    <cellStyle name="Input [yellow] 2 20 11 18 5" xfId="54942"/>
    <cellStyle name="Input [yellow] 2 20 11 19" xfId="11137"/>
    <cellStyle name="Input [yellow] 2 20 11 19 2" xfId="22334"/>
    <cellStyle name="Input [yellow] 2 20 11 19 3" xfId="33502"/>
    <cellStyle name="Input [yellow] 2 20 11 19 4" xfId="44667"/>
    <cellStyle name="Input [yellow] 2 20 11 19 5" xfId="55860"/>
    <cellStyle name="Input [yellow] 2 20 11 2" xfId="1233"/>
    <cellStyle name="Input [yellow] 2 20 11 2 2" xfId="12430"/>
    <cellStyle name="Input [yellow] 2 20 11 2 3" xfId="23598"/>
    <cellStyle name="Input [yellow] 2 20 11 2 4" xfId="34763"/>
    <cellStyle name="Input [yellow] 2 20 11 2 5" xfId="45956"/>
    <cellStyle name="Input [yellow] 2 20 11 20" xfId="11784"/>
    <cellStyle name="Input [yellow] 2 20 11 21" xfId="22954"/>
    <cellStyle name="Input [yellow] 2 20 11 22" xfId="34121"/>
    <cellStyle name="Input [yellow] 2 20 11 23" xfId="45307"/>
    <cellStyle name="Input [yellow] 2 20 11 3" xfId="1513"/>
    <cellStyle name="Input [yellow] 2 20 11 3 2" xfId="12710"/>
    <cellStyle name="Input [yellow] 2 20 11 3 3" xfId="23878"/>
    <cellStyle name="Input [yellow] 2 20 11 3 4" xfId="35043"/>
    <cellStyle name="Input [yellow] 2 20 11 3 5" xfId="46236"/>
    <cellStyle name="Input [yellow] 2 20 11 4" xfId="2509"/>
    <cellStyle name="Input [yellow] 2 20 11 4 2" xfId="13706"/>
    <cellStyle name="Input [yellow] 2 20 11 4 3" xfId="24874"/>
    <cellStyle name="Input [yellow] 2 20 11 4 4" xfId="36039"/>
    <cellStyle name="Input [yellow] 2 20 11 4 5" xfId="47232"/>
    <cellStyle name="Input [yellow] 2 20 11 5" xfId="2934"/>
    <cellStyle name="Input [yellow] 2 20 11 5 2" xfId="14131"/>
    <cellStyle name="Input [yellow] 2 20 11 5 3" xfId="25299"/>
    <cellStyle name="Input [yellow] 2 20 11 5 4" xfId="36464"/>
    <cellStyle name="Input [yellow] 2 20 11 5 5" xfId="47657"/>
    <cellStyle name="Input [yellow] 2 20 11 6" xfId="3568"/>
    <cellStyle name="Input [yellow] 2 20 11 6 2" xfId="14765"/>
    <cellStyle name="Input [yellow] 2 20 11 6 3" xfId="25933"/>
    <cellStyle name="Input [yellow] 2 20 11 6 4" xfId="37098"/>
    <cellStyle name="Input [yellow] 2 20 11 6 5" xfId="48291"/>
    <cellStyle name="Input [yellow] 2 20 11 7" xfId="4202"/>
    <cellStyle name="Input [yellow] 2 20 11 7 2" xfId="15399"/>
    <cellStyle name="Input [yellow] 2 20 11 7 3" xfId="26567"/>
    <cellStyle name="Input [yellow] 2 20 11 7 4" xfId="37732"/>
    <cellStyle name="Input [yellow] 2 20 11 7 5" xfId="48925"/>
    <cellStyle name="Input [yellow] 2 20 11 8" xfId="4835"/>
    <cellStyle name="Input [yellow] 2 20 11 8 2" xfId="16032"/>
    <cellStyle name="Input [yellow] 2 20 11 8 3" xfId="27200"/>
    <cellStyle name="Input [yellow] 2 20 11 8 4" xfId="38365"/>
    <cellStyle name="Input [yellow] 2 20 11 8 5" xfId="49558"/>
    <cellStyle name="Input [yellow] 2 20 11 9" xfId="5466"/>
    <cellStyle name="Input [yellow] 2 20 11 9 2" xfId="16663"/>
    <cellStyle name="Input [yellow] 2 20 11 9 3" xfId="27831"/>
    <cellStyle name="Input [yellow] 2 20 11 9 4" xfId="38996"/>
    <cellStyle name="Input [yellow] 2 20 11 9 5" xfId="50189"/>
    <cellStyle name="Input [yellow] 2 20 12" xfId="756"/>
    <cellStyle name="Input [yellow] 2 20 12 2" xfId="11953"/>
    <cellStyle name="Input [yellow] 2 20 12 3" xfId="23121"/>
    <cellStyle name="Input [yellow] 2 20 12 4" xfId="34286"/>
    <cellStyle name="Input [yellow] 2 20 12 5" xfId="45479"/>
    <cellStyle name="Input [yellow] 2 20 13" xfId="1702"/>
    <cellStyle name="Input [yellow] 2 20 13 2" xfId="12899"/>
    <cellStyle name="Input [yellow] 2 20 13 3" xfId="24067"/>
    <cellStyle name="Input [yellow] 2 20 13 4" xfId="35232"/>
    <cellStyle name="Input [yellow] 2 20 13 5" xfId="46425"/>
    <cellStyle name="Input [yellow] 2 20 14" xfId="2033"/>
    <cellStyle name="Input [yellow] 2 20 14 2" xfId="13230"/>
    <cellStyle name="Input [yellow] 2 20 14 3" xfId="24398"/>
    <cellStyle name="Input [yellow] 2 20 14 4" xfId="35563"/>
    <cellStyle name="Input [yellow] 2 20 14 5" xfId="46756"/>
    <cellStyle name="Input [yellow] 2 20 15" xfId="1989"/>
    <cellStyle name="Input [yellow] 2 20 15 2" xfId="13186"/>
    <cellStyle name="Input [yellow] 2 20 15 3" xfId="24354"/>
    <cellStyle name="Input [yellow] 2 20 15 4" xfId="35519"/>
    <cellStyle name="Input [yellow] 2 20 15 5" xfId="46712"/>
    <cellStyle name="Input [yellow] 2 20 16" xfId="3091"/>
    <cellStyle name="Input [yellow] 2 20 16 2" xfId="14288"/>
    <cellStyle name="Input [yellow] 2 20 16 3" xfId="25456"/>
    <cellStyle name="Input [yellow] 2 20 16 4" xfId="36621"/>
    <cellStyle name="Input [yellow] 2 20 16 5" xfId="47814"/>
    <cellStyle name="Input [yellow] 2 20 17" xfId="3725"/>
    <cellStyle name="Input [yellow] 2 20 17 2" xfId="14922"/>
    <cellStyle name="Input [yellow] 2 20 17 3" xfId="26090"/>
    <cellStyle name="Input [yellow] 2 20 17 4" xfId="37255"/>
    <cellStyle name="Input [yellow] 2 20 17 5" xfId="48448"/>
    <cellStyle name="Input [yellow] 2 20 18" xfId="4358"/>
    <cellStyle name="Input [yellow] 2 20 18 2" xfId="15555"/>
    <cellStyle name="Input [yellow] 2 20 18 3" xfId="26723"/>
    <cellStyle name="Input [yellow] 2 20 18 4" xfId="37888"/>
    <cellStyle name="Input [yellow] 2 20 18 5" xfId="49081"/>
    <cellStyle name="Input [yellow] 2 20 19" xfId="4989"/>
    <cellStyle name="Input [yellow] 2 20 19 2" xfId="16186"/>
    <cellStyle name="Input [yellow] 2 20 19 3" xfId="27354"/>
    <cellStyle name="Input [yellow] 2 20 19 4" xfId="38519"/>
    <cellStyle name="Input [yellow] 2 20 19 5" xfId="49712"/>
    <cellStyle name="Input [yellow] 2 20 2" xfId="170"/>
    <cellStyle name="Input [yellow] 2 20 2 10" xfId="6103"/>
    <cellStyle name="Input [yellow] 2 20 2 10 2" xfId="17300"/>
    <cellStyle name="Input [yellow] 2 20 2 10 3" xfId="28468"/>
    <cellStyle name="Input [yellow] 2 20 2 10 4" xfId="39633"/>
    <cellStyle name="Input [yellow] 2 20 2 10 5" xfId="50826"/>
    <cellStyle name="Input [yellow] 2 20 2 11" xfId="5773"/>
    <cellStyle name="Input [yellow] 2 20 2 11 2" xfId="16970"/>
    <cellStyle name="Input [yellow] 2 20 2 11 3" xfId="28138"/>
    <cellStyle name="Input [yellow] 2 20 2 11 4" xfId="39303"/>
    <cellStyle name="Input [yellow] 2 20 2 11 5" xfId="50496"/>
    <cellStyle name="Input [yellow] 2 20 2 12" xfId="6739"/>
    <cellStyle name="Input [yellow] 2 20 2 12 2" xfId="17936"/>
    <cellStyle name="Input [yellow] 2 20 2 12 3" xfId="29104"/>
    <cellStyle name="Input [yellow] 2 20 2 12 4" xfId="40269"/>
    <cellStyle name="Input [yellow] 2 20 2 12 5" xfId="51462"/>
    <cellStyle name="Input [yellow] 2 20 2 13" xfId="7373"/>
    <cellStyle name="Input [yellow] 2 20 2 13 2" xfId="18570"/>
    <cellStyle name="Input [yellow] 2 20 2 13 3" xfId="29738"/>
    <cellStyle name="Input [yellow] 2 20 2 13 4" xfId="40903"/>
    <cellStyle name="Input [yellow] 2 20 2 13 5" xfId="52096"/>
    <cellStyle name="Input [yellow] 2 20 2 14" xfId="8007"/>
    <cellStyle name="Input [yellow] 2 20 2 14 2" xfId="19204"/>
    <cellStyle name="Input [yellow] 2 20 2 14 3" xfId="30372"/>
    <cellStyle name="Input [yellow] 2 20 2 14 4" xfId="41537"/>
    <cellStyle name="Input [yellow] 2 20 2 14 5" xfId="52730"/>
    <cellStyle name="Input [yellow] 2 20 2 15" xfId="8638"/>
    <cellStyle name="Input [yellow] 2 20 2 15 2" xfId="19835"/>
    <cellStyle name="Input [yellow] 2 20 2 15 3" xfId="31003"/>
    <cellStyle name="Input [yellow] 2 20 2 15 4" xfId="42168"/>
    <cellStyle name="Input [yellow] 2 20 2 15 5" xfId="53361"/>
    <cellStyle name="Input [yellow] 2 20 2 16" xfId="8858"/>
    <cellStyle name="Input [yellow] 2 20 2 16 2" xfId="20055"/>
    <cellStyle name="Input [yellow] 2 20 2 16 3" xfId="31223"/>
    <cellStyle name="Input [yellow] 2 20 2 16 4" xfId="42388"/>
    <cellStyle name="Input [yellow] 2 20 2 16 5" xfId="53581"/>
    <cellStyle name="Input [yellow] 2 20 2 17" xfId="9690"/>
    <cellStyle name="Input [yellow] 2 20 2 17 2" xfId="20887"/>
    <cellStyle name="Input [yellow] 2 20 2 17 3" xfId="32055"/>
    <cellStyle name="Input [yellow] 2 20 2 17 4" xfId="43220"/>
    <cellStyle name="Input [yellow] 2 20 2 17 5" xfId="54413"/>
    <cellStyle name="Input [yellow] 2 20 2 18" xfId="9900"/>
    <cellStyle name="Input [yellow] 2 20 2 18 2" xfId="21097"/>
    <cellStyle name="Input [yellow] 2 20 2 18 3" xfId="32265"/>
    <cellStyle name="Input [yellow] 2 20 2 18 4" xfId="43430"/>
    <cellStyle name="Input [yellow] 2 20 2 18 5" xfId="54623"/>
    <cellStyle name="Input [yellow] 2 20 2 19" xfId="10723"/>
    <cellStyle name="Input [yellow] 2 20 2 19 2" xfId="21920"/>
    <cellStyle name="Input [yellow] 2 20 2 19 3" xfId="33088"/>
    <cellStyle name="Input [yellow] 2 20 2 19 4" xfId="44253"/>
    <cellStyle name="Input [yellow] 2 20 2 19 5" xfId="55446"/>
    <cellStyle name="Input [yellow] 2 20 2 2" xfId="819"/>
    <cellStyle name="Input [yellow] 2 20 2 2 2" xfId="12016"/>
    <cellStyle name="Input [yellow] 2 20 2 2 3" xfId="23184"/>
    <cellStyle name="Input [yellow] 2 20 2 2 4" xfId="34349"/>
    <cellStyle name="Input [yellow] 2 20 2 2 5" xfId="45542"/>
    <cellStyle name="Input [yellow] 2 20 2 20" xfId="11370"/>
    <cellStyle name="Input [yellow] 2 20 2 21" xfId="22540"/>
    <cellStyle name="Input [yellow] 2 20 2 22" xfId="33707"/>
    <cellStyle name="Input [yellow] 2 20 2 23" xfId="44893"/>
    <cellStyle name="Input [yellow] 2 20 2 3" xfId="1446"/>
    <cellStyle name="Input [yellow] 2 20 2 3 2" xfId="12643"/>
    <cellStyle name="Input [yellow] 2 20 2 3 3" xfId="23811"/>
    <cellStyle name="Input [yellow] 2 20 2 3 4" xfId="34976"/>
    <cellStyle name="Input [yellow] 2 20 2 3 5" xfId="46169"/>
    <cellStyle name="Input [yellow] 2 20 2 4" xfId="2096"/>
    <cellStyle name="Input [yellow] 2 20 2 4 2" xfId="13293"/>
    <cellStyle name="Input [yellow] 2 20 2 4 3" xfId="24461"/>
    <cellStyle name="Input [yellow] 2 20 2 4 4" xfId="35626"/>
    <cellStyle name="Input [yellow] 2 20 2 4 5" xfId="46819"/>
    <cellStyle name="Input [yellow] 2 20 2 5" xfId="2147"/>
    <cellStyle name="Input [yellow] 2 20 2 5 2" xfId="13344"/>
    <cellStyle name="Input [yellow] 2 20 2 5 3" xfId="24512"/>
    <cellStyle name="Input [yellow] 2 20 2 5 4" xfId="35677"/>
    <cellStyle name="Input [yellow] 2 20 2 5 5" xfId="46870"/>
    <cellStyle name="Input [yellow] 2 20 2 6" xfId="3154"/>
    <cellStyle name="Input [yellow] 2 20 2 6 2" xfId="14351"/>
    <cellStyle name="Input [yellow] 2 20 2 6 3" xfId="25519"/>
    <cellStyle name="Input [yellow] 2 20 2 6 4" xfId="36684"/>
    <cellStyle name="Input [yellow] 2 20 2 6 5" xfId="47877"/>
    <cellStyle name="Input [yellow] 2 20 2 7" xfId="3788"/>
    <cellStyle name="Input [yellow] 2 20 2 7 2" xfId="14985"/>
    <cellStyle name="Input [yellow] 2 20 2 7 3" xfId="26153"/>
    <cellStyle name="Input [yellow] 2 20 2 7 4" xfId="37318"/>
    <cellStyle name="Input [yellow] 2 20 2 7 5" xfId="48511"/>
    <cellStyle name="Input [yellow] 2 20 2 8" xfId="4421"/>
    <cellStyle name="Input [yellow] 2 20 2 8 2" xfId="15618"/>
    <cellStyle name="Input [yellow] 2 20 2 8 3" xfId="26786"/>
    <cellStyle name="Input [yellow] 2 20 2 8 4" xfId="37951"/>
    <cellStyle name="Input [yellow] 2 20 2 8 5" xfId="49144"/>
    <cellStyle name="Input [yellow] 2 20 2 9" xfId="5052"/>
    <cellStyle name="Input [yellow] 2 20 2 9 2" xfId="16249"/>
    <cellStyle name="Input [yellow] 2 20 2 9 3" xfId="27417"/>
    <cellStyle name="Input [yellow] 2 20 2 9 4" xfId="38582"/>
    <cellStyle name="Input [yellow] 2 20 2 9 5" xfId="49775"/>
    <cellStyle name="Input [yellow] 2 20 20" xfId="6160"/>
    <cellStyle name="Input [yellow] 2 20 20 2" xfId="17357"/>
    <cellStyle name="Input [yellow] 2 20 20 3" xfId="28525"/>
    <cellStyle name="Input [yellow] 2 20 20 4" xfId="39690"/>
    <cellStyle name="Input [yellow] 2 20 20 5" xfId="50883"/>
    <cellStyle name="Input [yellow] 2 20 21" xfId="5651"/>
    <cellStyle name="Input [yellow] 2 20 21 2" xfId="16848"/>
    <cellStyle name="Input [yellow] 2 20 21 3" xfId="28016"/>
    <cellStyle name="Input [yellow] 2 20 21 4" xfId="39181"/>
    <cellStyle name="Input [yellow] 2 20 21 5" xfId="50374"/>
    <cellStyle name="Input [yellow] 2 20 22" xfId="6676"/>
    <cellStyle name="Input [yellow] 2 20 22 2" xfId="17873"/>
    <cellStyle name="Input [yellow] 2 20 22 3" xfId="29041"/>
    <cellStyle name="Input [yellow] 2 20 22 4" xfId="40206"/>
    <cellStyle name="Input [yellow] 2 20 22 5" xfId="51399"/>
    <cellStyle name="Input [yellow] 2 20 23" xfId="7310"/>
    <cellStyle name="Input [yellow] 2 20 23 2" xfId="18507"/>
    <cellStyle name="Input [yellow] 2 20 23 3" xfId="29675"/>
    <cellStyle name="Input [yellow] 2 20 23 4" xfId="40840"/>
    <cellStyle name="Input [yellow] 2 20 23 5" xfId="52033"/>
    <cellStyle name="Input [yellow] 2 20 24" xfId="7944"/>
    <cellStyle name="Input [yellow] 2 20 24 2" xfId="19141"/>
    <cellStyle name="Input [yellow] 2 20 24 3" xfId="30309"/>
    <cellStyle name="Input [yellow] 2 20 24 4" xfId="41474"/>
    <cellStyle name="Input [yellow] 2 20 24 5" xfId="52667"/>
    <cellStyle name="Input [yellow] 2 20 25" xfId="8575"/>
    <cellStyle name="Input [yellow] 2 20 25 2" xfId="19772"/>
    <cellStyle name="Input [yellow] 2 20 25 3" xfId="30940"/>
    <cellStyle name="Input [yellow] 2 20 25 4" xfId="42105"/>
    <cellStyle name="Input [yellow] 2 20 25 5" xfId="53298"/>
    <cellStyle name="Input [yellow] 2 20 26" xfId="8596"/>
    <cellStyle name="Input [yellow] 2 20 26 2" xfId="19793"/>
    <cellStyle name="Input [yellow] 2 20 26 3" xfId="30961"/>
    <cellStyle name="Input [yellow] 2 20 26 4" xfId="42126"/>
    <cellStyle name="Input [yellow] 2 20 26 5" xfId="53319"/>
    <cellStyle name="Input [yellow] 2 20 27" xfId="9628"/>
    <cellStyle name="Input [yellow] 2 20 27 2" xfId="20825"/>
    <cellStyle name="Input [yellow] 2 20 27 3" xfId="31993"/>
    <cellStyle name="Input [yellow] 2 20 27 4" xfId="43158"/>
    <cellStyle name="Input [yellow] 2 20 27 5" xfId="54351"/>
    <cellStyle name="Input [yellow] 2 20 28" xfId="10591"/>
    <cellStyle name="Input [yellow] 2 20 28 2" xfId="21788"/>
    <cellStyle name="Input [yellow] 2 20 28 3" xfId="32956"/>
    <cellStyle name="Input [yellow] 2 20 28 4" xfId="44121"/>
    <cellStyle name="Input [yellow] 2 20 28 5" xfId="55314"/>
    <cellStyle name="Input [yellow] 2 20 29" xfId="10660"/>
    <cellStyle name="Input [yellow] 2 20 29 2" xfId="21857"/>
    <cellStyle name="Input [yellow] 2 20 29 3" xfId="33025"/>
    <cellStyle name="Input [yellow] 2 20 29 4" xfId="44190"/>
    <cellStyle name="Input [yellow] 2 20 29 5" xfId="55383"/>
    <cellStyle name="Input [yellow] 2 20 3" xfId="226"/>
    <cellStyle name="Input [yellow] 2 20 3 10" xfId="5868"/>
    <cellStyle name="Input [yellow] 2 20 3 10 2" xfId="17065"/>
    <cellStyle name="Input [yellow] 2 20 3 10 3" xfId="28233"/>
    <cellStyle name="Input [yellow] 2 20 3 10 4" xfId="39398"/>
    <cellStyle name="Input [yellow] 2 20 3 10 5" xfId="50591"/>
    <cellStyle name="Input [yellow] 2 20 3 11" xfId="6072"/>
    <cellStyle name="Input [yellow] 2 20 3 11 2" xfId="17269"/>
    <cellStyle name="Input [yellow] 2 20 3 11 3" xfId="28437"/>
    <cellStyle name="Input [yellow] 2 20 3 11 4" xfId="39602"/>
    <cellStyle name="Input [yellow] 2 20 3 11 5" xfId="50795"/>
    <cellStyle name="Input [yellow] 2 20 3 12" xfId="6795"/>
    <cellStyle name="Input [yellow] 2 20 3 12 2" xfId="17992"/>
    <cellStyle name="Input [yellow] 2 20 3 12 3" xfId="29160"/>
    <cellStyle name="Input [yellow] 2 20 3 12 4" xfId="40325"/>
    <cellStyle name="Input [yellow] 2 20 3 12 5" xfId="51518"/>
    <cellStyle name="Input [yellow] 2 20 3 13" xfId="7429"/>
    <cellStyle name="Input [yellow] 2 20 3 13 2" xfId="18626"/>
    <cellStyle name="Input [yellow] 2 20 3 13 3" xfId="29794"/>
    <cellStyle name="Input [yellow] 2 20 3 13 4" xfId="40959"/>
    <cellStyle name="Input [yellow] 2 20 3 13 5" xfId="52152"/>
    <cellStyle name="Input [yellow] 2 20 3 14" xfId="8063"/>
    <cellStyle name="Input [yellow] 2 20 3 14 2" xfId="19260"/>
    <cellStyle name="Input [yellow] 2 20 3 14 3" xfId="30428"/>
    <cellStyle name="Input [yellow] 2 20 3 14 4" xfId="41593"/>
    <cellStyle name="Input [yellow] 2 20 3 14 5" xfId="52786"/>
    <cellStyle name="Input [yellow] 2 20 3 15" xfId="8694"/>
    <cellStyle name="Input [yellow] 2 20 3 15 2" xfId="19891"/>
    <cellStyle name="Input [yellow] 2 20 3 15 3" xfId="31059"/>
    <cellStyle name="Input [yellow] 2 20 3 15 4" xfId="42224"/>
    <cellStyle name="Input [yellow] 2 20 3 15 5" xfId="53417"/>
    <cellStyle name="Input [yellow] 2 20 3 16" xfId="8696"/>
    <cellStyle name="Input [yellow] 2 20 3 16 2" xfId="19893"/>
    <cellStyle name="Input [yellow] 2 20 3 16 3" xfId="31061"/>
    <cellStyle name="Input [yellow] 2 20 3 16 4" xfId="42226"/>
    <cellStyle name="Input [yellow] 2 20 3 16 5" xfId="53419"/>
    <cellStyle name="Input [yellow] 2 20 3 17" xfId="9745"/>
    <cellStyle name="Input [yellow] 2 20 3 17 2" xfId="20942"/>
    <cellStyle name="Input [yellow] 2 20 3 17 3" xfId="32110"/>
    <cellStyle name="Input [yellow] 2 20 3 17 4" xfId="43275"/>
    <cellStyle name="Input [yellow] 2 20 3 17 5" xfId="54468"/>
    <cellStyle name="Input [yellow] 2 20 3 18" xfId="10032"/>
    <cellStyle name="Input [yellow] 2 20 3 18 2" xfId="21229"/>
    <cellStyle name="Input [yellow] 2 20 3 18 3" xfId="32397"/>
    <cellStyle name="Input [yellow] 2 20 3 18 4" xfId="43562"/>
    <cellStyle name="Input [yellow] 2 20 3 18 5" xfId="54755"/>
    <cellStyle name="Input [yellow] 2 20 3 19" xfId="10779"/>
    <cellStyle name="Input [yellow] 2 20 3 19 2" xfId="21976"/>
    <cellStyle name="Input [yellow] 2 20 3 19 3" xfId="33144"/>
    <cellStyle name="Input [yellow] 2 20 3 19 4" xfId="44309"/>
    <cellStyle name="Input [yellow] 2 20 3 19 5" xfId="55502"/>
    <cellStyle name="Input [yellow] 2 20 3 2" xfId="875"/>
    <cellStyle name="Input [yellow] 2 20 3 2 2" xfId="12072"/>
    <cellStyle name="Input [yellow] 2 20 3 2 3" xfId="23240"/>
    <cellStyle name="Input [yellow] 2 20 3 2 4" xfId="34405"/>
    <cellStyle name="Input [yellow] 2 20 3 2 5" xfId="45598"/>
    <cellStyle name="Input [yellow] 2 20 3 20" xfId="11426"/>
    <cellStyle name="Input [yellow] 2 20 3 21" xfId="22596"/>
    <cellStyle name="Input [yellow] 2 20 3 22" xfId="33763"/>
    <cellStyle name="Input [yellow] 2 20 3 23" xfId="44949"/>
    <cellStyle name="Input [yellow] 2 20 3 3" xfId="1933"/>
    <cellStyle name="Input [yellow] 2 20 3 3 2" xfId="13130"/>
    <cellStyle name="Input [yellow] 2 20 3 3 3" xfId="24298"/>
    <cellStyle name="Input [yellow] 2 20 3 3 4" xfId="35463"/>
    <cellStyle name="Input [yellow] 2 20 3 3 5" xfId="46656"/>
    <cellStyle name="Input [yellow] 2 20 3 4" xfId="2152"/>
    <cellStyle name="Input [yellow] 2 20 3 4 2" xfId="13349"/>
    <cellStyle name="Input [yellow] 2 20 3 4 3" xfId="24517"/>
    <cellStyle name="Input [yellow] 2 20 3 4 4" xfId="35682"/>
    <cellStyle name="Input [yellow] 2 20 3 4 5" xfId="46875"/>
    <cellStyle name="Input [yellow] 2 20 3 5" xfId="2073"/>
    <cellStyle name="Input [yellow] 2 20 3 5 2" xfId="13270"/>
    <cellStyle name="Input [yellow] 2 20 3 5 3" xfId="24438"/>
    <cellStyle name="Input [yellow] 2 20 3 5 4" xfId="35603"/>
    <cellStyle name="Input [yellow] 2 20 3 5 5" xfId="46796"/>
    <cellStyle name="Input [yellow] 2 20 3 6" xfId="3210"/>
    <cellStyle name="Input [yellow] 2 20 3 6 2" xfId="14407"/>
    <cellStyle name="Input [yellow] 2 20 3 6 3" xfId="25575"/>
    <cellStyle name="Input [yellow] 2 20 3 6 4" xfId="36740"/>
    <cellStyle name="Input [yellow] 2 20 3 6 5" xfId="47933"/>
    <cellStyle name="Input [yellow] 2 20 3 7" xfId="3844"/>
    <cellStyle name="Input [yellow] 2 20 3 7 2" xfId="15041"/>
    <cellStyle name="Input [yellow] 2 20 3 7 3" xfId="26209"/>
    <cellStyle name="Input [yellow] 2 20 3 7 4" xfId="37374"/>
    <cellStyle name="Input [yellow] 2 20 3 7 5" xfId="48567"/>
    <cellStyle name="Input [yellow] 2 20 3 8" xfId="4477"/>
    <cellStyle name="Input [yellow] 2 20 3 8 2" xfId="15674"/>
    <cellStyle name="Input [yellow] 2 20 3 8 3" xfId="26842"/>
    <cellStyle name="Input [yellow] 2 20 3 8 4" xfId="38007"/>
    <cellStyle name="Input [yellow] 2 20 3 8 5" xfId="49200"/>
    <cellStyle name="Input [yellow] 2 20 3 9" xfId="5108"/>
    <cellStyle name="Input [yellow] 2 20 3 9 2" xfId="16305"/>
    <cellStyle name="Input [yellow] 2 20 3 9 3" xfId="27473"/>
    <cellStyle name="Input [yellow] 2 20 3 9 4" xfId="38638"/>
    <cellStyle name="Input [yellow] 2 20 3 9 5" xfId="49831"/>
    <cellStyle name="Input [yellow] 2 20 30" xfId="11307"/>
    <cellStyle name="Input [yellow] 2 20 31" xfId="22477"/>
    <cellStyle name="Input [yellow] 2 20 32" xfId="33644"/>
    <cellStyle name="Input [yellow] 2 20 33" xfId="44830"/>
    <cellStyle name="Input [yellow] 2 20 4" xfId="286"/>
    <cellStyle name="Input [yellow] 2 20 4 10" xfId="5875"/>
    <cellStyle name="Input [yellow] 2 20 4 10 2" xfId="17072"/>
    <cellStyle name="Input [yellow] 2 20 4 10 3" xfId="28240"/>
    <cellStyle name="Input [yellow] 2 20 4 10 4" xfId="39405"/>
    <cellStyle name="Input [yellow] 2 20 4 10 5" xfId="50598"/>
    <cellStyle name="Input [yellow] 2 20 4 11" xfId="6222"/>
    <cellStyle name="Input [yellow] 2 20 4 11 2" xfId="17419"/>
    <cellStyle name="Input [yellow] 2 20 4 11 3" xfId="28587"/>
    <cellStyle name="Input [yellow] 2 20 4 11 4" xfId="39752"/>
    <cellStyle name="Input [yellow] 2 20 4 11 5" xfId="50945"/>
    <cellStyle name="Input [yellow] 2 20 4 12" xfId="6855"/>
    <cellStyle name="Input [yellow] 2 20 4 12 2" xfId="18052"/>
    <cellStyle name="Input [yellow] 2 20 4 12 3" xfId="29220"/>
    <cellStyle name="Input [yellow] 2 20 4 12 4" xfId="40385"/>
    <cellStyle name="Input [yellow] 2 20 4 12 5" xfId="51578"/>
    <cellStyle name="Input [yellow] 2 20 4 13" xfId="7489"/>
    <cellStyle name="Input [yellow] 2 20 4 13 2" xfId="18686"/>
    <cellStyle name="Input [yellow] 2 20 4 13 3" xfId="29854"/>
    <cellStyle name="Input [yellow] 2 20 4 13 4" xfId="41019"/>
    <cellStyle name="Input [yellow] 2 20 4 13 5" xfId="52212"/>
    <cellStyle name="Input [yellow] 2 20 4 14" xfId="8123"/>
    <cellStyle name="Input [yellow] 2 20 4 14 2" xfId="19320"/>
    <cellStyle name="Input [yellow] 2 20 4 14 3" xfId="30488"/>
    <cellStyle name="Input [yellow] 2 20 4 14 4" xfId="41653"/>
    <cellStyle name="Input [yellow] 2 20 4 14 5" xfId="52846"/>
    <cellStyle name="Input [yellow] 2 20 4 15" xfId="8752"/>
    <cellStyle name="Input [yellow] 2 20 4 15 2" xfId="19949"/>
    <cellStyle name="Input [yellow] 2 20 4 15 3" xfId="31117"/>
    <cellStyle name="Input [yellow] 2 20 4 15 4" xfId="42282"/>
    <cellStyle name="Input [yellow] 2 20 4 15 5" xfId="53475"/>
    <cellStyle name="Input [yellow] 2 20 4 16" xfId="9174"/>
    <cellStyle name="Input [yellow] 2 20 4 16 2" xfId="20371"/>
    <cellStyle name="Input [yellow] 2 20 4 16 3" xfId="31539"/>
    <cellStyle name="Input [yellow] 2 20 4 16 4" xfId="42704"/>
    <cellStyle name="Input [yellow] 2 20 4 16 5" xfId="53897"/>
    <cellStyle name="Input [yellow] 2 20 4 17" xfId="9801"/>
    <cellStyle name="Input [yellow] 2 20 4 17 2" xfId="20998"/>
    <cellStyle name="Input [yellow] 2 20 4 17 3" xfId="32166"/>
    <cellStyle name="Input [yellow] 2 20 4 17 4" xfId="43331"/>
    <cellStyle name="Input [yellow] 2 20 4 17 5" xfId="54524"/>
    <cellStyle name="Input [yellow] 2 20 4 18" xfId="10454"/>
    <cellStyle name="Input [yellow] 2 20 4 18 2" xfId="21651"/>
    <cellStyle name="Input [yellow] 2 20 4 18 3" xfId="32819"/>
    <cellStyle name="Input [yellow] 2 20 4 18 4" xfId="43984"/>
    <cellStyle name="Input [yellow] 2 20 4 18 5" xfId="55177"/>
    <cellStyle name="Input [yellow] 2 20 4 19" xfId="10839"/>
    <cellStyle name="Input [yellow] 2 20 4 19 2" xfId="22036"/>
    <cellStyle name="Input [yellow] 2 20 4 19 3" xfId="33204"/>
    <cellStyle name="Input [yellow] 2 20 4 19 4" xfId="44369"/>
    <cellStyle name="Input [yellow] 2 20 4 19 5" xfId="55562"/>
    <cellStyle name="Input [yellow] 2 20 4 2" xfId="935"/>
    <cellStyle name="Input [yellow] 2 20 4 2 2" xfId="12132"/>
    <cellStyle name="Input [yellow] 2 20 4 2 3" xfId="23300"/>
    <cellStyle name="Input [yellow] 2 20 4 2 4" xfId="34465"/>
    <cellStyle name="Input [yellow] 2 20 4 2 5" xfId="45658"/>
    <cellStyle name="Input [yellow] 2 20 4 20" xfId="11486"/>
    <cellStyle name="Input [yellow] 2 20 4 21" xfId="22656"/>
    <cellStyle name="Input [yellow] 2 20 4 22" xfId="33823"/>
    <cellStyle name="Input [yellow] 2 20 4 23" xfId="45009"/>
    <cellStyle name="Input [yellow] 2 20 4 3" xfId="1750"/>
    <cellStyle name="Input [yellow] 2 20 4 3 2" xfId="12947"/>
    <cellStyle name="Input [yellow] 2 20 4 3 3" xfId="24115"/>
    <cellStyle name="Input [yellow] 2 20 4 3 4" xfId="35280"/>
    <cellStyle name="Input [yellow] 2 20 4 3 5" xfId="46473"/>
    <cellStyle name="Input [yellow] 2 20 4 4" xfId="2211"/>
    <cellStyle name="Input [yellow] 2 20 4 4 2" xfId="13408"/>
    <cellStyle name="Input [yellow] 2 20 4 4 3" xfId="24576"/>
    <cellStyle name="Input [yellow] 2 20 4 4 4" xfId="35741"/>
    <cellStyle name="Input [yellow] 2 20 4 4 5" xfId="46934"/>
    <cellStyle name="Input [yellow] 2 20 4 5" xfId="2636"/>
    <cellStyle name="Input [yellow] 2 20 4 5 2" xfId="13833"/>
    <cellStyle name="Input [yellow] 2 20 4 5 3" xfId="25001"/>
    <cellStyle name="Input [yellow] 2 20 4 5 4" xfId="36166"/>
    <cellStyle name="Input [yellow] 2 20 4 5 5" xfId="47359"/>
    <cellStyle name="Input [yellow] 2 20 4 6" xfId="3270"/>
    <cellStyle name="Input [yellow] 2 20 4 6 2" xfId="14467"/>
    <cellStyle name="Input [yellow] 2 20 4 6 3" xfId="25635"/>
    <cellStyle name="Input [yellow] 2 20 4 6 4" xfId="36800"/>
    <cellStyle name="Input [yellow] 2 20 4 6 5" xfId="47993"/>
    <cellStyle name="Input [yellow] 2 20 4 7" xfId="3904"/>
    <cellStyle name="Input [yellow] 2 20 4 7 2" xfId="15101"/>
    <cellStyle name="Input [yellow] 2 20 4 7 3" xfId="26269"/>
    <cellStyle name="Input [yellow] 2 20 4 7 4" xfId="37434"/>
    <cellStyle name="Input [yellow] 2 20 4 7 5" xfId="48627"/>
    <cellStyle name="Input [yellow] 2 20 4 8" xfId="4537"/>
    <cellStyle name="Input [yellow] 2 20 4 8 2" xfId="15734"/>
    <cellStyle name="Input [yellow] 2 20 4 8 3" xfId="26902"/>
    <cellStyle name="Input [yellow] 2 20 4 8 4" xfId="38067"/>
    <cellStyle name="Input [yellow] 2 20 4 8 5" xfId="49260"/>
    <cellStyle name="Input [yellow] 2 20 4 9" xfId="5168"/>
    <cellStyle name="Input [yellow] 2 20 4 9 2" xfId="16365"/>
    <cellStyle name="Input [yellow] 2 20 4 9 3" xfId="27533"/>
    <cellStyle name="Input [yellow] 2 20 4 9 4" xfId="38698"/>
    <cellStyle name="Input [yellow] 2 20 4 9 5" xfId="49891"/>
    <cellStyle name="Input [yellow] 2 20 5" xfId="230"/>
    <cellStyle name="Input [yellow] 2 20 5 10" xfId="5592"/>
    <cellStyle name="Input [yellow] 2 20 5 10 2" xfId="16789"/>
    <cellStyle name="Input [yellow] 2 20 5 10 3" xfId="27957"/>
    <cellStyle name="Input [yellow] 2 20 5 10 4" xfId="39122"/>
    <cellStyle name="Input [yellow] 2 20 5 10 5" xfId="50315"/>
    <cellStyle name="Input [yellow] 2 20 5 11" xfId="6064"/>
    <cellStyle name="Input [yellow] 2 20 5 11 2" xfId="17261"/>
    <cellStyle name="Input [yellow] 2 20 5 11 3" xfId="28429"/>
    <cellStyle name="Input [yellow] 2 20 5 11 4" xfId="39594"/>
    <cellStyle name="Input [yellow] 2 20 5 11 5" xfId="50787"/>
    <cellStyle name="Input [yellow] 2 20 5 12" xfId="6799"/>
    <cellStyle name="Input [yellow] 2 20 5 12 2" xfId="17996"/>
    <cellStyle name="Input [yellow] 2 20 5 12 3" xfId="29164"/>
    <cellStyle name="Input [yellow] 2 20 5 12 4" xfId="40329"/>
    <cellStyle name="Input [yellow] 2 20 5 12 5" xfId="51522"/>
    <cellStyle name="Input [yellow] 2 20 5 13" xfId="7433"/>
    <cellStyle name="Input [yellow] 2 20 5 13 2" xfId="18630"/>
    <cellStyle name="Input [yellow] 2 20 5 13 3" xfId="29798"/>
    <cellStyle name="Input [yellow] 2 20 5 13 4" xfId="40963"/>
    <cellStyle name="Input [yellow] 2 20 5 13 5" xfId="52156"/>
    <cellStyle name="Input [yellow] 2 20 5 14" xfId="8067"/>
    <cellStyle name="Input [yellow] 2 20 5 14 2" xfId="19264"/>
    <cellStyle name="Input [yellow] 2 20 5 14 3" xfId="30432"/>
    <cellStyle name="Input [yellow] 2 20 5 14 4" xfId="41597"/>
    <cellStyle name="Input [yellow] 2 20 5 14 5" xfId="52790"/>
    <cellStyle name="Input [yellow] 2 20 5 15" xfId="8698"/>
    <cellStyle name="Input [yellow] 2 20 5 15 2" xfId="19895"/>
    <cellStyle name="Input [yellow] 2 20 5 15 3" xfId="31063"/>
    <cellStyle name="Input [yellow] 2 20 5 15 4" xfId="42228"/>
    <cellStyle name="Input [yellow] 2 20 5 15 5" xfId="53421"/>
    <cellStyle name="Input [yellow] 2 20 5 16" xfId="8924"/>
    <cellStyle name="Input [yellow] 2 20 5 16 2" xfId="20121"/>
    <cellStyle name="Input [yellow] 2 20 5 16 3" xfId="31289"/>
    <cellStyle name="Input [yellow] 2 20 5 16 4" xfId="42454"/>
    <cellStyle name="Input [yellow] 2 20 5 16 5" xfId="53647"/>
    <cellStyle name="Input [yellow] 2 20 5 17" xfId="9749"/>
    <cellStyle name="Input [yellow] 2 20 5 17 2" xfId="20946"/>
    <cellStyle name="Input [yellow] 2 20 5 17 3" xfId="32114"/>
    <cellStyle name="Input [yellow] 2 20 5 17 4" xfId="43279"/>
    <cellStyle name="Input [yellow] 2 20 5 17 5" xfId="54472"/>
    <cellStyle name="Input [yellow] 2 20 5 18" xfId="9675"/>
    <cellStyle name="Input [yellow] 2 20 5 18 2" xfId="20872"/>
    <cellStyle name="Input [yellow] 2 20 5 18 3" xfId="32040"/>
    <cellStyle name="Input [yellow] 2 20 5 18 4" xfId="43205"/>
    <cellStyle name="Input [yellow] 2 20 5 18 5" xfId="54398"/>
    <cellStyle name="Input [yellow] 2 20 5 19" xfId="10783"/>
    <cellStyle name="Input [yellow] 2 20 5 19 2" xfId="21980"/>
    <cellStyle name="Input [yellow] 2 20 5 19 3" xfId="33148"/>
    <cellStyle name="Input [yellow] 2 20 5 19 4" xfId="44313"/>
    <cellStyle name="Input [yellow] 2 20 5 19 5" xfId="55506"/>
    <cellStyle name="Input [yellow] 2 20 5 2" xfId="879"/>
    <cellStyle name="Input [yellow] 2 20 5 2 2" xfId="12076"/>
    <cellStyle name="Input [yellow] 2 20 5 2 3" xfId="23244"/>
    <cellStyle name="Input [yellow] 2 20 5 2 4" xfId="34409"/>
    <cellStyle name="Input [yellow] 2 20 5 2 5" xfId="45602"/>
    <cellStyle name="Input [yellow] 2 20 5 20" xfId="11430"/>
    <cellStyle name="Input [yellow] 2 20 5 21" xfId="22600"/>
    <cellStyle name="Input [yellow] 2 20 5 22" xfId="33767"/>
    <cellStyle name="Input [yellow] 2 20 5 23" xfId="44953"/>
    <cellStyle name="Input [yellow] 2 20 5 3" xfId="1825"/>
    <cellStyle name="Input [yellow] 2 20 5 3 2" xfId="13022"/>
    <cellStyle name="Input [yellow] 2 20 5 3 3" xfId="24190"/>
    <cellStyle name="Input [yellow] 2 20 5 3 4" xfId="35355"/>
    <cellStyle name="Input [yellow] 2 20 5 3 5" xfId="46548"/>
    <cellStyle name="Input [yellow] 2 20 5 4" xfId="2156"/>
    <cellStyle name="Input [yellow] 2 20 5 4 2" xfId="13353"/>
    <cellStyle name="Input [yellow] 2 20 5 4 3" xfId="24521"/>
    <cellStyle name="Input [yellow] 2 20 5 4 4" xfId="35686"/>
    <cellStyle name="Input [yellow] 2 20 5 4 5" xfId="46879"/>
    <cellStyle name="Input [yellow] 2 20 5 5" xfId="2472"/>
    <cellStyle name="Input [yellow] 2 20 5 5 2" xfId="13669"/>
    <cellStyle name="Input [yellow] 2 20 5 5 3" xfId="24837"/>
    <cellStyle name="Input [yellow] 2 20 5 5 4" xfId="36002"/>
    <cellStyle name="Input [yellow] 2 20 5 5 5" xfId="47195"/>
    <cellStyle name="Input [yellow] 2 20 5 6" xfId="3214"/>
    <cellStyle name="Input [yellow] 2 20 5 6 2" xfId="14411"/>
    <cellStyle name="Input [yellow] 2 20 5 6 3" xfId="25579"/>
    <cellStyle name="Input [yellow] 2 20 5 6 4" xfId="36744"/>
    <cellStyle name="Input [yellow] 2 20 5 6 5" xfId="47937"/>
    <cellStyle name="Input [yellow] 2 20 5 7" xfId="3848"/>
    <cellStyle name="Input [yellow] 2 20 5 7 2" xfId="15045"/>
    <cellStyle name="Input [yellow] 2 20 5 7 3" xfId="26213"/>
    <cellStyle name="Input [yellow] 2 20 5 7 4" xfId="37378"/>
    <cellStyle name="Input [yellow] 2 20 5 7 5" xfId="48571"/>
    <cellStyle name="Input [yellow] 2 20 5 8" xfId="4481"/>
    <cellStyle name="Input [yellow] 2 20 5 8 2" xfId="15678"/>
    <cellStyle name="Input [yellow] 2 20 5 8 3" xfId="26846"/>
    <cellStyle name="Input [yellow] 2 20 5 8 4" xfId="38011"/>
    <cellStyle name="Input [yellow] 2 20 5 8 5" xfId="49204"/>
    <cellStyle name="Input [yellow] 2 20 5 9" xfId="5112"/>
    <cellStyle name="Input [yellow] 2 20 5 9 2" xfId="16309"/>
    <cellStyle name="Input [yellow] 2 20 5 9 3" xfId="27477"/>
    <cellStyle name="Input [yellow] 2 20 5 9 4" xfId="38642"/>
    <cellStyle name="Input [yellow] 2 20 5 9 5" xfId="49835"/>
    <cellStyle name="Input [yellow] 2 20 6" xfId="404"/>
    <cellStyle name="Input [yellow] 2 20 6 10" xfId="6022"/>
    <cellStyle name="Input [yellow] 2 20 6 10 2" xfId="17219"/>
    <cellStyle name="Input [yellow] 2 20 6 10 3" xfId="28387"/>
    <cellStyle name="Input [yellow] 2 20 6 10 4" xfId="39552"/>
    <cellStyle name="Input [yellow] 2 20 6 10 5" xfId="50745"/>
    <cellStyle name="Input [yellow] 2 20 6 11" xfId="6340"/>
    <cellStyle name="Input [yellow] 2 20 6 11 2" xfId="17537"/>
    <cellStyle name="Input [yellow] 2 20 6 11 3" xfId="28705"/>
    <cellStyle name="Input [yellow] 2 20 6 11 4" xfId="39870"/>
    <cellStyle name="Input [yellow] 2 20 6 11 5" xfId="51063"/>
    <cellStyle name="Input [yellow] 2 20 6 12" xfId="6973"/>
    <cellStyle name="Input [yellow] 2 20 6 12 2" xfId="18170"/>
    <cellStyle name="Input [yellow] 2 20 6 12 3" xfId="29338"/>
    <cellStyle name="Input [yellow] 2 20 6 12 4" xfId="40503"/>
    <cellStyle name="Input [yellow] 2 20 6 12 5" xfId="51696"/>
    <cellStyle name="Input [yellow] 2 20 6 13" xfId="7607"/>
    <cellStyle name="Input [yellow] 2 20 6 13 2" xfId="18804"/>
    <cellStyle name="Input [yellow] 2 20 6 13 3" xfId="29972"/>
    <cellStyle name="Input [yellow] 2 20 6 13 4" xfId="41137"/>
    <cellStyle name="Input [yellow] 2 20 6 13 5" xfId="52330"/>
    <cellStyle name="Input [yellow] 2 20 6 14" xfId="8241"/>
    <cellStyle name="Input [yellow] 2 20 6 14 2" xfId="19438"/>
    <cellStyle name="Input [yellow] 2 20 6 14 3" xfId="30606"/>
    <cellStyle name="Input [yellow] 2 20 6 14 4" xfId="41771"/>
    <cellStyle name="Input [yellow] 2 20 6 14 5" xfId="52964"/>
    <cellStyle name="Input [yellow] 2 20 6 15" xfId="8869"/>
    <cellStyle name="Input [yellow] 2 20 6 15 2" xfId="20066"/>
    <cellStyle name="Input [yellow] 2 20 6 15 3" xfId="31234"/>
    <cellStyle name="Input [yellow] 2 20 6 15 4" xfId="42399"/>
    <cellStyle name="Input [yellow] 2 20 6 15 5" xfId="53592"/>
    <cellStyle name="Input [yellow] 2 20 6 16" xfId="9292"/>
    <cellStyle name="Input [yellow] 2 20 6 16 2" xfId="20489"/>
    <cellStyle name="Input [yellow] 2 20 6 16 3" xfId="31657"/>
    <cellStyle name="Input [yellow] 2 20 6 16 4" xfId="42822"/>
    <cellStyle name="Input [yellow] 2 20 6 16 5" xfId="54015"/>
    <cellStyle name="Input [yellow] 2 20 6 17" xfId="9918"/>
    <cellStyle name="Input [yellow] 2 20 6 17 2" xfId="21115"/>
    <cellStyle name="Input [yellow] 2 20 6 17 3" xfId="32283"/>
    <cellStyle name="Input [yellow] 2 20 6 17 4" xfId="43448"/>
    <cellStyle name="Input [yellow] 2 20 6 17 5" xfId="54641"/>
    <cellStyle name="Input [yellow] 2 20 6 18" xfId="10120"/>
    <cellStyle name="Input [yellow] 2 20 6 18 2" xfId="21317"/>
    <cellStyle name="Input [yellow] 2 20 6 18 3" xfId="32485"/>
    <cellStyle name="Input [yellow] 2 20 6 18 4" xfId="43650"/>
    <cellStyle name="Input [yellow] 2 20 6 18 5" xfId="54843"/>
    <cellStyle name="Input [yellow] 2 20 6 19" xfId="10957"/>
    <cellStyle name="Input [yellow] 2 20 6 19 2" xfId="22154"/>
    <cellStyle name="Input [yellow] 2 20 6 19 3" xfId="33322"/>
    <cellStyle name="Input [yellow] 2 20 6 19 4" xfId="44487"/>
    <cellStyle name="Input [yellow] 2 20 6 19 5" xfId="55680"/>
    <cellStyle name="Input [yellow] 2 20 6 2" xfId="1053"/>
    <cellStyle name="Input [yellow] 2 20 6 2 2" xfId="12250"/>
    <cellStyle name="Input [yellow] 2 20 6 2 3" xfId="23418"/>
    <cellStyle name="Input [yellow] 2 20 6 2 4" xfId="34583"/>
    <cellStyle name="Input [yellow] 2 20 6 2 5" xfId="45776"/>
    <cellStyle name="Input [yellow] 2 20 6 20" xfId="11604"/>
    <cellStyle name="Input [yellow] 2 20 6 21" xfId="22774"/>
    <cellStyle name="Input [yellow] 2 20 6 22" xfId="33941"/>
    <cellStyle name="Input [yellow] 2 20 6 23" xfId="45127"/>
    <cellStyle name="Input [yellow] 2 20 6 3" xfId="1923"/>
    <cellStyle name="Input [yellow] 2 20 6 3 2" xfId="13120"/>
    <cellStyle name="Input [yellow] 2 20 6 3 3" xfId="24288"/>
    <cellStyle name="Input [yellow] 2 20 6 3 4" xfId="35453"/>
    <cellStyle name="Input [yellow] 2 20 6 3 5" xfId="46646"/>
    <cellStyle name="Input [yellow] 2 20 6 4" xfId="2329"/>
    <cellStyle name="Input [yellow] 2 20 6 4 2" xfId="13526"/>
    <cellStyle name="Input [yellow] 2 20 6 4 3" xfId="24694"/>
    <cellStyle name="Input [yellow] 2 20 6 4 4" xfId="35859"/>
    <cellStyle name="Input [yellow] 2 20 6 4 5" xfId="47052"/>
    <cellStyle name="Input [yellow] 2 20 6 5" xfId="2754"/>
    <cellStyle name="Input [yellow] 2 20 6 5 2" xfId="13951"/>
    <cellStyle name="Input [yellow] 2 20 6 5 3" xfId="25119"/>
    <cellStyle name="Input [yellow] 2 20 6 5 4" xfId="36284"/>
    <cellStyle name="Input [yellow] 2 20 6 5 5" xfId="47477"/>
    <cellStyle name="Input [yellow] 2 20 6 6" xfId="3388"/>
    <cellStyle name="Input [yellow] 2 20 6 6 2" xfId="14585"/>
    <cellStyle name="Input [yellow] 2 20 6 6 3" xfId="25753"/>
    <cellStyle name="Input [yellow] 2 20 6 6 4" xfId="36918"/>
    <cellStyle name="Input [yellow] 2 20 6 6 5" xfId="48111"/>
    <cellStyle name="Input [yellow] 2 20 6 7" xfId="4022"/>
    <cellStyle name="Input [yellow] 2 20 6 7 2" xfId="15219"/>
    <cellStyle name="Input [yellow] 2 20 6 7 3" xfId="26387"/>
    <cellStyle name="Input [yellow] 2 20 6 7 4" xfId="37552"/>
    <cellStyle name="Input [yellow] 2 20 6 7 5" xfId="48745"/>
    <cellStyle name="Input [yellow] 2 20 6 8" xfId="4655"/>
    <cellStyle name="Input [yellow] 2 20 6 8 2" xfId="15852"/>
    <cellStyle name="Input [yellow] 2 20 6 8 3" xfId="27020"/>
    <cellStyle name="Input [yellow] 2 20 6 8 4" xfId="38185"/>
    <cellStyle name="Input [yellow] 2 20 6 8 5" xfId="49378"/>
    <cellStyle name="Input [yellow] 2 20 6 9" xfId="5286"/>
    <cellStyle name="Input [yellow] 2 20 6 9 2" xfId="16483"/>
    <cellStyle name="Input [yellow] 2 20 6 9 3" xfId="27651"/>
    <cellStyle name="Input [yellow] 2 20 6 9 4" xfId="38816"/>
    <cellStyle name="Input [yellow] 2 20 6 9 5" xfId="50009"/>
    <cellStyle name="Input [yellow] 2 20 7" xfId="379"/>
    <cellStyle name="Input [yellow] 2 20 7 10" xfId="5742"/>
    <cellStyle name="Input [yellow] 2 20 7 10 2" xfId="16939"/>
    <cellStyle name="Input [yellow] 2 20 7 10 3" xfId="28107"/>
    <cellStyle name="Input [yellow] 2 20 7 10 4" xfId="39272"/>
    <cellStyle name="Input [yellow] 2 20 7 10 5" xfId="50465"/>
    <cellStyle name="Input [yellow] 2 20 7 11" xfId="6315"/>
    <cellStyle name="Input [yellow] 2 20 7 11 2" xfId="17512"/>
    <cellStyle name="Input [yellow] 2 20 7 11 3" xfId="28680"/>
    <cellStyle name="Input [yellow] 2 20 7 11 4" xfId="39845"/>
    <cellStyle name="Input [yellow] 2 20 7 11 5" xfId="51038"/>
    <cellStyle name="Input [yellow] 2 20 7 12" xfId="6948"/>
    <cellStyle name="Input [yellow] 2 20 7 12 2" xfId="18145"/>
    <cellStyle name="Input [yellow] 2 20 7 12 3" xfId="29313"/>
    <cellStyle name="Input [yellow] 2 20 7 12 4" xfId="40478"/>
    <cellStyle name="Input [yellow] 2 20 7 12 5" xfId="51671"/>
    <cellStyle name="Input [yellow] 2 20 7 13" xfId="7582"/>
    <cellStyle name="Input [yellow] 2 20 7 13 2" xfId="18779"/>
    <cellStyle name="Input [yellow] 2 20 7 13 3" xfId="29947"/>
    <cellStyle name="Input [yellow] 2 20 7 13 4" xfId="41112"/>
    <cellStyle name="Input [yellow] 2 20 7 13 5" xfId="52305"/>
    <cellStyle name="Input [yellow] 2 20 7 14" xfId="8216"/>
    <cellStyle name="Input [yellow] 2 20 7 14 2" xfId="19413"/>
    <cellStyle name="Input [yellow] 2 20 7 14 3" xfId="30581"/>
    <cellStyle name="Input [yellow] 2 20 7 14 4" xfId="41746"/>
    <cellStyle name="Input [yellow] 2 20 7 14 5" xfId="52939"/>
    <cellStyle name="Input [yellow] 2 20 7 15" xfId="8844"/>
    <cellStyle name="Input [yellow] 2 20 7 15 2" xfId="20041"/>
    <cellStyle name="Input [yellow] 2 20 7 15 3" xfId="31209"/>
    <cellStyle name="Input [yellow] 2 20 7 15 4" xfId="42374"/>
    <cellStyle name="Input [yellow] 2 20 7 15 5" xfId="53567"/>
    <cellStyle name="Input [yellow] 2 20 7 16" xfId="9267"/>
    <cellStyle name="Input [yellow] 2 20 7 16 2" xfId="20464"/>
    <cellStyle name="Input [yellow] 2 20 7 16 3" xfId="31632"/>
    <cellStyle name="Input [yellow] 2 20 7 16 4" xfId="42797"/>
    <cellStyle name="Input [yellow] 2 20 7 16 5" xfId="53990"/>
    <cellStyle name="Input [yellow] 2 20 7 17" xfId="9893"/>
    <cellStyle name="Input [yellow] 2 20 7 17 2" xfId="21090"/>
    <cellStyle name="Input [yellow] 2 20 7 17 3" xfId="32258"/>
    <cellStyle name="Input [yellow] 2 20 7 17 4" xfId="43423"/>
    <cellStyle name="Input [yellow] 2 20 7 17 5" xfId="54616"/>
    <cellStyle name="Input [yellow] 2 20 7 18" xfId="10258"/>
    <cellStyle name="Input [yellow] 2 20 7 18 2" xfId="21455"/>
    <cellStyle name="Input [yellow] 2 20 7 18 3" xfId="32623"/>
    <cellStyle name="Input [yellow] 2 20 7 18 4" xfId="43788"/>
    <cellStyle name="Input [yellow] 2 20 7 18 5" xfId="54981"/>
    <cellStyle name="Input [yellow] 2 20 7 19" xfId="10932"/>
    <cellStyle name="Input [yellow] 2 20 7 19 2" xfId="22129"/>
    <cellStyle name="Input [yellow] 2 20 7 19 3" xfId="33297"/>
    <cellStyle name="Input [yellow] 2 20 7 19 4" xfId="44462"/>
    <cellStyle name="Input [yellow] 2 20 7 19 5" xfId="55655"/>
    <cellStyle name="Input [yellow] 2 20 7 2" xfId="1028"/>
    <cellStyle name="Input [yellow] 2 20 7 2 2" xfId="12225"/>
    <cellStyle name="Input [yellow] 2 20 7 2 3" xfId="23393"/>
    <cellStyle name="Input [yellow] 2 20 7 2 4" xfId="34558"/>
    <cellStyle name="Input [yellow] 2 20 7 2 5" xfId="45751"/>
    <cellStyle name="Input [yellow] 2 20 7 20" xfId="11579"/>
    <cellStyle name="Input [yellow] 2 20 7 21" xfId="22749"/>
    <cellStyle name="Input [yellow] 2 20 7 22" xfId="33916"/>
    <cellStyle name="Input [yellow] 2 20 7 23" xfId="45102"/>
    <cellStyle name="Input [yellow] 2 20 7 3" xfId="1530"/>
    <cellStyle name="Input [yellow] 2 20 7 3 2" xfId="12727"/>
    <cellStyle name="Input [yellow] 2 20 7 3 3" xfId="23895"/>
    <cellStyle name="Input [yellow] 2 20 7 3 4" xfId="35060"/>
    <cellStyle name="Input [yellow] 2 20 7 3 5" xfId="46253"/>
    <cellStyle name="Input [yellow] 2 20 7 4" xfId="2304"/>
    <cellStyle name="Input [yellow] 2 20 7 4 2" xfId="13501"/>
    <cellStyle name="Input [yellow] 2 20 7 4 3" xfId="24669"/>
    <cellStyle name="Input [yellow] 2 20 7 4 4" xfId="35834"/>
    <cellStyle name="Input [yellow] 2 20 7 4 5" xfId="47027"/>
    <cellStyle name="Input [yellow] 2 20 7 5" xfId="2729"/>
    <cellStyle name="Input [yellow] 2 20 7 5 2" xfId="13926"/>
    <cellStyle name="Input [yellow] 2 20 7 5 3" xfId="25094"/>
    <cellStyle name="Input [yellow] 2 20 7 5 4" xfId="36259"/>
    <cellStyle name="Input [yellow] 2 20 7 5 5" xfId="47452"/>
    <cellStyle name="Input [yellow] 2 20 7 6" xfId="3363"/>
    <cellStyle name="Input [yellow] 2 20 7 6 2" xfId="14560"/>
    <cellStyle name="Input [yellow] 2 20 7 6 3" xfId="25728"/>
    <cellStyle name="Input [yellow] 2 20 7 6 4" xfId="36893"/>
    <cellStyle name="Input [yellow] 2 20 7 6 5" xfId="48086"/>
    <cellStyle name="Input [yellow] 2 20 7 7" xfId="3997"/>
    <cellStyle name="Input [yellow] 2 20 7 7 2" xfId="15194"/>
    <cellStyle name="Input [yellow] 2 20 7 7 3" xfId="26362"/>
    <cellStyle name="Input [yellow] 2 20 7 7 4" xfId="37527"/>
    <cellStyle name="Input [yellow] 2 20 7 7 5" xfId="48720"/>
    <cellStyle name="Input [yellow] 2 20 7 8" xfId="4630"/>
    <cellStyle name="Input [yellow] 2 20 7 8 2" xfId="15827"/>
    <cellStyle name="Input [yellow] 2 20 7 8 3" xfId="26995"/>
    <cellStyle name="Input [yellow] 2 20 7 8 4" xfId="38160"/>
    <cellStyle name="Input [yellow] 2 20 7 8 5" xfId="49353"/>
    <cellStyle name="Input [yellow] 2 20 7 9" xfId="5261"/>
    <cellStyle name="Input [yellow] 2 20 7 9 2" xfId="16458"/>
    <cellStyle name="Input [yellow] 2 20 7 9 3" xfId="27626"/>
    <cellStyle name="Input [yellow] 2 20 7 9 4" xfId="38791"/>
    <cellStyle name="Input [yellow] 2 20 7 9 5" xfId="49984"/>
    <cellStyle name="Input [yellow] 2 20 8" xfId="516"/>
    <cellStyle name="Input [yellow] 2 20 8 10" xfId="5635"/>
    <cellStyle name="Input [yellow] 2 20 8 10 2" xfId="16832"/>
    <cellStyle name="Input [yellow] 2 20 8 10 3" xfId="28000"/>
    <cellStyle name="Input [yellow] 2 20 8 10 4" xfId="39165"/>
    <cellStyle name="Input [yellow] 2 20 8 10 5" xfId="50358"/>
    <cellStyle name="Input [yellow] 2 20 8 11" xfId="6452"/>
    <cellStyle name="Input [yellow] 2 20 8 11 2" xfId="17649"/>
    <cellStyle name="Input [yellow] 2 20 8 11 3" xfId="28817"/>
    <cellStyle name="Input [yellow] 2 20 8 11 4" xfId="39982"/>
    <cellStyle name="Input [yellow] 2 20 8 11 5" xfId="51175"/>
    <cellStyle name="Input [yellow] 2 20 8 12" xfId="7085"/>
    <cellStyle name="Input [yellow] 2 20 8 12 2" xfId="18282"/>
    <cellStyle name="Input [yellow] 2 20 8 12 3" xfId="29450"/>
    <cellStyle name="Input [yellow] 2 20 8 12 4" xfId="40615"/>
    <cellStyle name="Input [yellow] 2 20 8 12 5" xfId="51808"/>
    <cellStyle name="Input [yellow] 2 20 8 13" xfId="7719"/>
    <cellStyle name="Input [yellow] 2 20 8 13 2" xfId="18916"/>
    <cellStyle name="Input [yellow] 2 20 8 13 3" xfId="30084"/>
    <cellStyle name="Input [yellow] 2 20 8 13 4" xfId="41249"/>
    <cellStyle name="Input [yellow] 2 20 8 13 5" xfId="52442"/>
    <cellStyle name="Input [yellow] 2 20 8 14" xfId="8353"/>
    <cellStyle name="Input [yellow] 2 20 8 14 2" xfId="19550"/>
    <cellStyle name="Input [yellow] 2 20 8 14 3" xfId="30718"/>
    <cellStyle name="Input [yellow] 2 20 8 14 4" xfId="41883"/>
    <cellStyle name="Input [yellow] 2 20 8 14 5" xfId="53076"/>
    <cellStyle name="Input [yellow] 2 20 8 15" xfId="8981"/>
    <cellStyle name="Input [yellow] 2 20 8 15 2" xfId="20178"/>
    <cellStyle name="Input [yellow] 2 20 8 15 3" xfId="31346"/>
    <cellStyle name="Input [yellow] 2 20 8 15 4" xfId="42511"/>
    <cellStyle name="Input [yellow] 2 20 8 15 5" xfId="53704"/>
    <cellStyle name="Input [yellow] 2 20 8 16" xfId="9404"/>
    <cellStyle name="Input [yellow] 2 20 8 16 2" xfId="20601"/>
    <cellStyle name="Input [yellow] 2 20 8 16 3" xfId="31769"/>
    <cellStyle name="Input [yellow] 2 20 8 16 4" xfId="42934"/>
    <cellStyle name="Input [yellow] 2 20 8 16 5" xfId="54127"/>
    <cellStyle name="Input [yellow] 2 20 8 17" xfId="10029"/>
    <cellStyle name="Input [yellow] 2 20 8 17 2" xfId="21226"/>
    <cellStyle name="Input [yellow] 2 20 8 17 3" xfId="32394"/>
    <cellStyle name="Input [yellow] 2 20 8 17 4" xfId="43559"/>
    <cellStyle name="Input [yellow] 2 20 8 17 5" xfId="54752"/>
    <cellStyle name="Input [yellow] 2 20 8 18" xfId="10239"/>
    <cellStyle name="Input [yellow] 2 20 8 18 2" xfId="21436"/>
    <cellStyle name="Input [yellow] 2 20 8 18 3" xfId="32604"/>
    <cellStyle name="Input [yellow] 2 20 8 18 4" xfId="43769"/>
    <cellStyle name="Input [yellow] 2 20 8 18 5" xfId="54962"/>
    <cellStyle name="Input [yellow] 2 20 8 19" xfId="11069"/>
    <cellStyle name="Input [yellow] 2 20 8 19 2" xfId="22266"/>
    <cellStyle name="Input [yellow] 2 20 8 19 3" xfId="33434"/>
    <cellStyle name="Input [yellow] 2 20 8 19 4" xfId="44599"/>
    <cellStyle name="Input [yellow] 2 20 8 19 5" xfId="55792"/>
    <cellStyle name="Input [yellow] 2 20 8 2" xfId="1165"/>
    <cellStyle name="Input [yellow] 2 20 8 2 2" xfId="12362"/>
    <cellStyle name="Input [yellow] 2 20 8 2 3" xfId="23530"/>
    <cellStyle name="Input [yellow] 2 20 8 2 4" xfId="34695"/>
    <cellStyle name="Input [yellow] 2 20 8 2 5" xfId="45888"/>
    <cellStyle name="Input [yellow] 2 20 8 20" xfId="11716"/>
    <cellStyle name="Input [yellow] 2 20 8 21" xfId="22886"/>
    <cellStyle name="Input [yellow] 2 20 8 22" xfId="34053"/>
    <cellStyle name="Input [yellow] 2 20 8 23" xfId="45239"/>
    <cellStyle name="Input [yellow] 2 20 8 3" xfId="1557"/>
    <cellStyle name="Input [yellow] 2 20 8 3 2" xfId="12754"/>
    <cellStyle name="Input [yellow] 2 20 8 3 3" xfId="23922"/>
    <cellStyle name="Input [yellow] 2 20 8 3 4" xfId="35087"/>
    <cellStyle name="Input [yellow] 2 20 8 3 5" xfId="46280"/>
    <cellStyle name="Input [yellow] 2 20 8 4" xfId="2441"/>
    <cellStyle name="Input [yellow] 2 20 8 4 2" xfId="13638"/>
    <cellStyle name="Input [yellow] 2 20 8 4 3" xfId="24806"/>
    <cellStyle name="Input [yellow] 2 20 8 4 4" xfId="35971"/>
    <cellStyle name="Input [yellow] 2 20 8 4 5" xfId="47164"/>
    <cellStyle name="Input [yellow] 2 20 8 5" xfId="2866"/>
    <cellStyle name="Input [yellow] 2 20 8 5 2" xfId="14063"/>
    <cellStyle name="Input [yellow] 2 20 8 5 3" xfId="25231"/>
    <cellStyle name="Input [yellow] 2 20 8 5 4" xfId="36396"/>
    <cellStyle name="Input [yellow] 2 20 8 5 5" xfId="47589"/>
    <cellStyle name="Input [yellow] 2 20 8 6" xfId="3500"/>
    <cellStyle name="Input [yellow] 2 20 8 6 2" xfId="14697"/>
    <cellStyle name="Input [yellow] 2 20 8 6 3" xfId="25865"/>
    <cellStyle name="Input [yellow] 2 20 8 6 4" xfId="37030"/>
    <cellStyle name="Input [yellow] 2 20 8 6 5" xfId="48223"/>
    <cellStyle name="Input [yellow] 2 20 8 7" xfId="4134"/>
    <cellStyle name="Input [yellow] 2 20 8 7 2" xfId="15331"/>
    <cellStyle name="Input [yellow] 2 20 8 7 3" xfId="26499"/>
    <cellStyle name="Input [yellow] 2 20 8 7 4" xfId="37664"/>
    <cellStyle name="Input [yellow] 2 20 8 7 5" xfId="48857"/>
    <cellStyle name="Input [yellow] 2 20 8 8" xfId="4767"/>
    <cellStyle name="Input [yellow] 2 20 8 8 2" xfId="15964"/>
    <cellStyle name="Input [yellow] 2 20 8 8 3" xfId="27132"/>
    <cellStyle name="Input [yellow] 2 20 8 8 4" xfId="38297"/>
    <cellStyle name="Input [yellow] 2 20 8 8 5" xfId="49490"/>
    <cellStyle name="Input [yellow] 2 20 8 9" xfId="5398"/>
    <cellStyle name="Input [yellow] 2 20 8 9 2" xfId="16595"/>
    <cellStyle name="Input [yellow] 2 20 8 9 3" xfId="27763"/>
    <cellStyle name="Input [yellow] 2 20 8 9 4" xfId="38928"/>
    <cellStyle name="Input [yellow] 2 20 8 9 5" xfId="50121"/>
    <cellStyle name="Input [yellow] 2 20 9" xfId="574"/>
    <cellStyle name="Input [yellow] 2 20 9 10" xfId="4932"/>
    <cellStyle name="Input [yellow] 2 20 9 10 2" xfId="16129"/>
    <cellStyle name="Input [yellow] 2 20 9 10 3" xfId="27297"/>
    <cellStyle name="Input [yellow] 2 20 9 10 4" xfId="38462"/>
    <cellStyle name="Input [yellow] 2 20 9 10 5" xfId="49655"/>
    <cellStyle name="Input [yellow] 2 20 9 11" xfId="6510"/>
    <cellStyle name="Input [yellow] 2 20 9 11 2" xfId="17707"/>
    <cellStyle name="Input [yellow] 2 20 9 11 3" xfId="28875"/>
    <cellStyle name="Input [yellow] 2 20 9 11 4" xfId="40040"/>
    <cellStyle name="Input [yellow] 2 20 9 11 5" xfId="51233"/>
    <cellStyle name="Input [yellow] 2 20 9 12" xfId="7143"/>
    <cellStyle name="Input [yellow] 2 20 9 12 2" xfId="18340"/>
    <cellStyle name="Input [yellow] 2 20 9 12 3" xfId="29508"/>
    <cellStyle name="Input [yellow] 2 20 9 12 4" xfId="40673"/>
    <cellStyle name="Input [yellow] 2 20 9 12 5" xfId="51866"/>
    <cellStyle name="Input [yellow] 2 20 9 13" xfId="7777"/>
    <cellStyle name="Input [yellow] 2 20 9 13 2" xfId="18974"/>
    <cellStyle name="Input [yellow] 2 20 9 13 3" xfId="30142"/>
    <cellStyle name="Input [yellow] 2 20 9 13 4" xfId="41307"/>
    <cellStyle name="Input [yellow] 2 20 9 13 5" xfId="52500"/>
    <cellStyle name="Input [yellow] 2 20 9 14" xfId="8411"/>
    <cellStyle name="Input [yellow] 2 20 9 14 2" xfId="19608"/>
    <cellStyle name="Input [yellow] 2 20 9 14 3" xfId="30776"/>
    <cellStyle name="Input [yellow] 2 20 9 14 4" xfId="41941"/>
    <cellStyle name="Input [yellow] 2 20 9 14 5" xfId="53134"/>
    <cellStyle name="Input [yellow] 2 20 9 15" xfId="9039"/>
    <cellStyle name="Input [yellow] 2 20 9 15 2" xfId="20236"/>
    <cellStyle name="Input [yellow] 2 20 9 15 3" xfId="31404"/>
    <cellStyle name="Input [yellow] 2 20 9 15 4" xfId="42569"/>
    <cellStyle name="Input [yellow] 2 20 9 15 5" xfId="53762"/>
    <cellStyle name="Input [yellow] 2 20 9 16" xfId="9462"/>
    <cellStyle name="Input [yellow] 2 20 9 16 2" xfId="20659"/>
    <cellStyle name="Input [yellow] 2 20 9 16 3" xfId="31827"/>
    <cellStyle name="Input [yellow] 2 20 9 16 4" xfId="42992"/>
    <cellStyle name="Input [yellow] 2 20 9 16 5" xfId="54185"/>
    <cellStyle name="Input [yellow] 2 20 9 17" xfId="10087"/>
    <cellStyle name="Input [yellow] 2 20 9 17 2" xfId="21284"/>
    <cellStyle name="Input [yellow] 2 20 9 17 3" xfId="32452"/>
    <cellStyle name="Input [yellow] 2 20 9 17 4" xfId="43617"/>
    <cellStyle name="Input [yellow] 2 20 9 17 5" xfId="54810"/>
    <cellStyle name="Input [yellow] 2 20 9 18" xfId="10599"/>
    <cellStyle name="Input [yellow] 2 20 9 18 2" xfId="21796"/>
    <cellStyle name="Input [yellow] 2 20 9 18 3" xfId="32964"/>
    <cellStyle name="Input [yellow] 2 20 9 18 4" xfId="44129"/>
    <cellStyle name="Input [yellow] 2 20 9 18 5" xfId="55322"/>
    <cellStyle name="Input [yellow] 2 20 9 19" xfId="11127"/>
    <cellStyle name="Input [yellow] 2 20 9 19 2" xfId="22324"/>
    <cellStyle name="Input [yellow] 2 20 9 19 3" xfId="33492"/>
    <cellStyle name="Input [yellow] 2 20 9 19 4" xfId="44657"/>
    <cellStyle name="Input [yellow] 2 20 9 19 5" xfId="55850"/>
    <cellStyle name="Input [yellow] 2 20 9 2" xfId="1223"/>
    <cellStyle name="Input [yellow] 2 20 9 2 2" xfId="12420"/>
    <cellStyle name="Input [yellow] 2 20 9 2 3" xfId="23588"/>
    <cellStyle name="Input [yellow] 2 20 9 2 4" xfId="34753"/>
    <cellStyle name="Input [yellow] 2 20 9 2 5" xfId="45946"/>
    <cellStyle name="Input [yellow] 2 20 9 20" xfId="11774"/>
    <cellStyle name="Input [yellow] 2 20 9 21" xfId="22944"/>
    <cellStyle name="Input [yellow] 2 20 9 22" xfId="34111"/>
    <cellStyle name="Input [yellow] 2 20 9 23" xfId="45297"/>
    <cellStyle name="Input [yellow] 2 20 9 3" xfId="1890"/>
    <cellStyle name="Input [yellow] 2 20 9 3 2" xfId="13087"/>
    <cellStyle name="Input [yellow] 2 20 9 3 3" xfId="24255"/>
    <cellStyle name="Input [yellow] 2 20 9 3 4" xfId="35420"/>
    <cellStyle name="Input [yellow] 2 20 9 3 5" xfId="46613"/>
    <cellStyle name="Input [yellow] 2 20 9 4" xfId="2499"/>
    <cellStyle name="Input [yellow] 2 20 9 4 2" xfId="13696"/>
    <cellStyle name="Input [yellow] 2 20 9 4 3" xfId="24864"/>
    <cellStyle name="Input [yellow] 2 20 9 4 4" xfId="36029"/>
    <cellStyle name="Input [yellow] 2 20 9 4 5" xfId="47222"/>
    <cellStyle name="Input [yellow] 2 20 9 5" xfId="2924"/>
    <cellStyle name="Input [yellow] 2 20 9 5 2" xfId="14121"/>
    <cellStyle name="Input [yellow] 2 20 9 5 3" xfId="25289"/>
    <cellStyle name="Input [yellow] 2 20 9 5 4" xfId="36454"/>
    <cellStyle name="Input [yellow] 2 20 9 5 5" xfId="47647"/>
    <cellStyle name="Input [yellow] 2 20 9 6" xfId="3558"/>
    <cellStyle name="Input [yellow] 2 20 9 6 2" xfId="14755"/>
    <cellStyle name="Input [yellow] 2 20 9 6 3" xfId="25923"/>
    <cellStyle name="Input [yellow] 2 20 9 6 4" xfId="37088"/>
    <cellStyle name="Input [yellow] 2 20 9 6 5" xfId="48281"/>
    <cellStyle name="Input [yellow] 2 20 9 7" xfId="4192"/>
    <cellStyle name="Input [yellow] 2 20 9 7 2" xfId="15389"/>
    <cellStyle name="Input [yellow] 2 20 9 7 3" xfId="26557"/>
    <cellStyle name="Input [yellow] 2 20 9 7 4" xfId="37722"/>
    <cellStyle name="Input [yellow] 2 20 9 7 5" xfId="48915"/>
    <cellStyle name="Input [yellow] 2 20 9 8" xfId="4825"/>
    <cellStyle name="Input [yellow] 2 20 9 8 2" xfId="16022"/>
    <cellStyle name="Input [yellow] 2 20 9 8 3" xfId="27190"/>
    <cellStyle name="Input [yellow] 2 20 9 8 4" xfId="38355"/>
    <cellStyle name="Input [yellow] 2 20 9 8 5" xfId="49548"/>
    <cellStyle name="Input [yellow] 2 20 9 9" xfId="5456"/>
    <cellStyle name="Input [yellow] 2 20 9 9 2" xfId="16653"/>
    <cellStyle name="Input [yellow] 2 20 9 9 3" xfId="27821"/>
    <cellStyle name="Input [yellow] 2 20 9 9 4" xfId="38986"/>
    <cellStyle name="Input [yellow] 2 20 9 9 5" xfId="50179"/>
    <cellStyle name="Input [yellow] 2 21" xfId="111"/>
    <cellStyle name="Input [yellow] 2 21 10" xfId="6142"/>
    <cellStyle name="Input [yellow] 2 21 10 2" xfId="17339"/>
    <cellStyle name="Input [yellow] 2 21 10 3" xfId="28507"/>
    <cellStyle name="Input [yellow] 2 21 10 4" xfId="39672"/>
    <cellStyle name="Input [yellow] 2 21 10 5" xfId="50865"/>
    <cellStyle name="Input [yellow] 2 21 11" xfId="6057"/>
    <cellStyle name="Input [yellow] 2 21 11 2" xfId="17254"/>
    <cellStyle name="Input [yellow] 2 21 11 3" xfId="28422"/>
    <cellStyle name="Input [yellow] 2 21 11 4" xfId="39587"/>
    <cellStyle name="Input [yellow] 2 21 11 5" xfId="50780"/>
    <cellStyle name="Input [yellow] 2 21 12" xfId="6680"/>
    <cellStyle name="Input [yellow] 2 21 12 2" xfId="17877"/>
    <cellStyle name="Input [yellow] 2 21 12 3" xfId="29045"/>
    <cellStyle name="Input [yellow] 2 21 12 4" xfId="40210"/>
    <cellStyle name="Input [yellow] 2 21 12 5" xfId="51403"/>
    <cellStyle name="Input [yellow] 2 21 13" xfId="7314"/>
    <cellStyle name="Input [yellow] 2 21 13 2" xfId="18511"/>
    <cellStyle name="Input [yellow] 2 21 13 3" xfId="29679"/>
    <cellStyle name="Input [yellow] 2 21 13 4" xfId="40844"/>
    <cellStyle name="Input [yellow] 2 21 13 5" xfId="52037"/>
    <cellStyle name="Input [yellow] 2 21 14" xfId="7948"/>
    <cellStyle name="Input [yellow] 2 21 14 2" xfId="19145"/>
    <cellStyle name="Input [yellow] 2 21 14 3" xfId="30313"/>
    <cellStyle name="Input [yellow] 2 21 14 4" xfId="41478"/>
    <cellStyle name="Input [yellow] 2 21 14 5" xfId="52671"/>
    <cellStyle name="Input [yellow] 2 21 15" xfId="8579"/>
    <cellStyle name="Input [yellow] 2 21 15 2" xfId="19776"/>
    <cellStyle name="Input [yellow] 2 21 15 3" xfId="30944"/>
    <cellStyle name="Input [yellow] 2 21 15 4" xfId="42109"/>
    <cellStyle name="Input [yellow] 2 21 15 5" xfId="53302"/>
    <cellStyle name="Input [yellow] 2 21 16" xfId="8992"/>
    <cellStyle name="Input [yellow] 2 21 16 2" xfId="20189"/>
    <cellStyle name="Input [yellow] 2 21 16 3" xfId="31357"/>
    <cellStyle name="Input [yellow] 2 21 16 4" xfId="42522"/>
    <cellStyle name="Input [yellow] 2 21 16 5" xfId="53715"/>
    <cellStyle name="Input [yellow] 2 21 17" xfId="9632"/>
    <cellStyle name="Input [yellow] 2 21 17 2" xfId="20829"/>
    <cellStyle name="Input [yellow] 2 21 17 3" xfId="31997"/>
    <cellStyle name="Input [yellow] 2 21 17 4" xfId="43162"/>
    <cellStyle name="Input [yellow] 2 21 17 5" xfId="54355"/>
    <cellStyle name="Input [yellow] 2 21 18" xfId="10515"/>
    <cellStyle name="Input [yellow] 2 21 18 2" xfId="21712"/>
    <cellStyle name="Input [yellow] 2 21 18 3" xfId="32880"/>
    <cellStyle name="Input [yellow] 2 21 18 4" xfId="44045"/>
    <cellStyle name="Input [yellow] 2 21 18 5" xfId="55238"/>
    <cellStyle name="Input [yellow] 2 21 19" xfId="10664"/>
    <cellStyle name="Input [yellow] 2 21 19 2" xfId="21861"/>
    <cellStyle name="Input [yellow] 2 21 19 3" xfId="33029"/>
    <cellStyle name="Input [yellow] 2 21 19 4" xfId="44194"/>
    <cellStyle name="Input [yellow] 2 21 19 5" xfId="55387"/>
    <cellStyle name="Input [yellow] 2 21 2" xfId="760"/>
    <cellStyle name="Input [yellow] 2 21 2 2" xfId="11957"/>
    <cellStyle name="Input [yellow] 2 21 2 3" xfId="23125"/>
    <cellStyle name="Input [yellow] 2 21 2 4" xfId="34290"/>
    <cellStyle name="Input [yellow] 2 21 2 5" xfId="45483"/>
    <cellStyle name="Input [yellow] 2 21 20" xfId="11311"/>
    <cellStyle name="Input [yellow] 2 21 21" xfId="22481"/>
    <cellStyle name="Input [yellow] 2 21 22" xfId="33648"/>
    <cellStyle name="Input [yellow] 2 21 23" xfId="44834"/>
    <cellStyle name="Input [yellow] 2 21 3" xfId="1712"/>
    <cellStyle name="Input [yellow] 2 21 3 2" xfId="12909"/>
    <cellStyle name="Input [yellow] 2 21 3 3" xfId="24077"/>
    <cellStyle name="Input [yellow] 2 21 3 4" xfId="35242"/>
    <cellStyle name="Input [yellow] 2 21 3 5" xfId="46435"/>
    <cellStyle name="Input [yellow] 2 21 4" xfId="2037"/>
    <cellStyle name="Input [yellow] 2 21 4 2" xfId="13234"/>
    <cellStyle name="Input [yellow] 2 21 4 3" xfId="24402"/>
    <cellStyle name="Input [yellow] 2 21 4 4" xfId="35567"/>
    <cellStyle name="Input [yellow] 2 21 4 5" xfId="46760"/>
    <cellStyle name="Input [yellow] 2 21 5" xfId="2276"/>
    <cellStyle name="Input [yellow] 2 21 5 2" xfId="13473"/>
    <cellStyle name="Input [yellow] 2 21 5 3" xfId="24641"/>
    <cellStyle name="Input [yellow] 2 21 5 4" xfId="35806"/>
    <cellStyle name="Input [yellow] 2 21 5 5" xfId="46999"/>
    <cellStyle name="Input [yellow] 2 21 6" xfId="3095"/>
    <cellStyle name="Input [yellow] 2 21 6 2" xfId="14292"/>
    <cellStyle name="Input [yellow] 2 21 6 3" xfId="25460"/>
    <cellStyle name="Input [yellow] 2 21 6 4" xfId="36625"/>
    <cellStyle name="Input [yellow] 2 21 6 5" xfId="47818"/>
    <cellStyle name="Input [yellow] 2 21 7" xfId="3729"/>
    <cellStyle name="Input [yellow] 2 21 7 2" xfId="14926"/>
    <cellStyle name="Input [yellow] 2 21 7 3" xfId="26094"/>
    <cellStyle name="Input [yellow] 2 21 7 4" xfId="37259"/>
    <cellStyle name="Input [yellow] 2 21 7 5" xfId="48452"/>
    <cellStyle name="Input [yellow] 2 21 8" xfId="4362"/>
    <cellStyle name="Input [yellow] 2 21 8 2" xfId="15559"/>
    <cellStyle name="Input [yellow] 2 21 8 3" xfId="26727"/>
    <cellStyle name="Input [yellow] 2 21 8 4" xfId="37892"/>
    <cellStyle name="Input [yellow] 2 21 8 5" xfId="49085"/>
    <cellStyle name="Input [yellow] 2 21 9" xfId="4993"/>
    <cellStyle name="Input [yellow] 2 21 9 2" xfId="16190"/>
    <cellStyle name="Input [yellow] 2 21 9 3" xfId="27358"/>
    <cellStyle name="Input [yellow] 2 21 9 4" xfId="38523"/>
    <cellStyle name="Input [yellow] 2 21 9 5" xfId="49716"/>
    <cellStyle name="Input [yellow] 2 22" xfId="33"/>
    <cellStyle name="Input [yellow] 2 22 10" xfId="6038"/>
    <cellStyle name="Input [yellow] 2 22 10 2" xfId="17235"/>
    <cellStyle name="Input [yellow] 2 22 10 3" xfId="28403"/>
    <cellStyle name="Input [yellow] 2 22 10 4" xfId="39568"/>
    <cellStyle name="Input [yellow] 2 22 10 5" xfId="50761"/>
    <cellStyle name="Input [yellow] 2 22 11" xfId="5952"/>
    <cellStyle name="Input [yellow] 2 22 11 2" xfId="17149"/>
    <cellStyle name="Input [yellow] 2 22 11 3" xfId="28317"/>
    <cellStyle name="Input [yellow] 2 22 11 4" xfId="39482"/>
    <cellStyle name="Input [yellow] 2 22 11 5" xfId="50675"/>
    <cellStyle name="Input [yellow] 2 22 12" xfId="6028"/>
    <cellStyle name="Input [yellow] 2 22 12 2" xfId="17225"/>
    <cellStyle name="Input [yellow] 2 22 12 3" xfId="28393"/>
    <cellStyle name="Input [yellow] 2 22 12 4" xfId="39558"/>
    <cellStyle name="Input [yellow] 2 22 12 5" xfId="50751"/>
    <cellStyle name="Input [yellow] 2 22 13" xfId="5678"/>
    <cellStyle name="Input [yellow] 2 22 13 2" xfId="16875"/>
    <cellStyle name="Input [yellow] 2 22 13 3" xfId="28043"/>
    <cellStyle name="Input [yellow] 2 22 13 4" xfId="39208"/>
    <cellStyle name="Input [yellow] 2 22 13 5" xfId="50401"/>
    <cellStyle name="Input [yellow] 2 22 14" xfId="6621"/>
    <cellStyle name="Input [yellow] 2 22 14 2" xfId="17818"/>
    <cellStyle name="Input [yellow] 2 22 14 3" xfId="28986"/>
    <cellStyle name="Input [yellow] 2 22 14 4" xfId="40151"/>
    <cellStyle name="Input [yellow] 2 22 14 5" xfId="51344"/>
    <cellStyle name="Input [yellow] 2 22 15" xfId="5594"/>
    <cellStyle name="Input [yellow] 2 22 15 2" xfId="16791"/>
    <cellStyle name="Input [yellow] 2 22 15 3" xfId="27959"/>
    <cellStyle name="Input [yellow] 2 22 15 4" xfId="39124"/>
    <cellStyle name="Input [yellow] 2 22 15 5" xfId="50317"/>
    <cellStyle name="Input [yellow] 2 22 16" xfId="5966"/>
    <cellStyle name="Input [yellow] 2 22 16 2" xfId="17163"/>
    <cellStyle name="Input [yellow] 2 22 16 3" xfId="28331"/>
    <cellStyle name="Input [yellow] 2 22 16 4" xfId="39496"/>
    <cellStyle name="Input [yellow] 2 22 16 5" xfId="50689"/>
    <cellStyle name="Input [yellow] 2 22 17" xfId="8520"/>
    <cellStyle name="Input [yellow] 2 22 17 2" xfId="19717"/>
    <cellStyle name="Input [yellow] 2 22 17 3" xfId="30885"/>
    <cellStyle name="Input [yellow] 2 22 17 4" xfId="42050"/>
    <cellStyle name="Input [yellow] 2 22 17 5" xfId="53243"/>
    <cellStyle name="Input [yellow] 2 22 18" xfId="10472"/>
    <cellStyle name="Input [yellow] 2 22 18 2" xfId="21669"/>
    <cellStyle name="Input [yellow] 2 22 18 3" xfId="32837"/>
    <cellStyle name="Input [yellow] 2 22 18 4" xfId="44002"/>
    <cellStyle name="Input [yellow] 2 22 18 5" xfId="55195"/>
    <cellStyle name="Input [yellow] 2 22 19" xfId="9938"/>
    <cellStyle name="Input [yellow] 2 22 19 2" xfId="21135"/>
    <cellStyle name="Input [yellow] 2 22 19 3" xfId="32303"/>
    <cellStyle name="Input [yellow] 2 22 19 4" xfId="43468"/>
    <cellStyle name="Input [yellow] 2 22 19 5" xfId="54661"/>
    <cellStyle name="Input [yellow] 2 22 2" xfId="688"/>
    <cellStyle name="Input [yellow] 2 22 2 2" xfId="11887"/>
    <cellStyle name="Input [yellow] 2 22 2 3" xfId="23056"/>
    <cellStyle name="Input [yellow] 2 22 2 4" xfId="34223"/>
    <cellStyle name="Input [yellow] 2 22 2 5" xfId="45411"/>
    <cellStyle name="Input [yellow] 2 22 20" xfId="11235"/>
    <cellStyle name="Input [yellow] 2 22 21" xfId="11246"/>
    <cellStyle name="Input [yellow] 2 22 22" xfId="11241"/>
    <cellStyle name="Input [yellow] 2 22 23" xfId="44762"/>
    <cellStyle name="Input [yellow] 2 22 3" xfId="1769"/>
    <cellStyle name="Input [yellow] 2 22 3 2" xfId="12966"/>
    <cellStyle name="Input [yellow] 2 22 3 3" xfId="24134"/>
    <cellStyle name="Input [yellow] 2 22 3 4" xfId="35299"/>
    <cellStyle name="Input [yellow] 2 22 3 5" xfId="46492"/>
    <cellStyle name="Input [yellow] 2 22 4" xfId="1962"/>
    <cellStyle name="Input [yellow] 2 22 4 2" xfId="13159"/>
    <cellStyle name="Input [yellow] 2 22 4 3" xfId="24327"/>
    <cellStyle name="Input [yellow] 2 22 4 4" xfId="35492"/>
    <cellStyle name="Input [yellow] 2 22 4 5" xfId="46685"/>
    <cellStyle name="Input [yellow] 2 22 5" xfId="2348"/>
    <cellStyle name="Input [yellow] 2 22 5 2" xfId="13545"/>
    <cellStyle name="Input [yellow] 2 22 5 3" xfId="24713"/>
    <cellStyle name="Input [yellow] 2 22 5 4" xfId="35878"/>
    <cellStyle name="Input [yellow] 2 22 5 5" xfId="47071"/>
    <cellStyle name="Input [yellow] 2 22 6" xfId="1343"/>
    <cellStyle name="Input [yellow] 2 22 6 2" xfId="12540"/>
    <cellStyle name="Input [yellow] 2 22 6 3" xfId="23708"/>
    <cellStyle name="Input [yellow] 2 22 6 4" xfId="34873"/>
    <cellStyle name="Input [yellow] 2 22 6 5" xfId="46066"/>
    <cellStyle name="Input [yellow] 2 22 7" xfId="2593"/>
    <cellStyle name="Input [yellow] 2 22 7 2" xfId="13790"/>
    <cellStyle name="Input [yellow] 2 22 7 3" xfId="24958"/>
    <cellStyle name="Input [yellow] 2 22 7 4" xfId="36123"/>
    <cellStyle name="Input [yellow] 2 22 7 5" xfId="47316"/>
    <cellStyle name="Input [yellow] 2 22 8" xfId="1594"/>
    <cellStyle name="Input [yellow] 2 22 8 2" xfId="12791"/>
    <cellStyle name="Input [yellow] 2 22 8 3" xfId="23959"/>
    <cellStyle name="Input [yellow] 2 22 8 4" xfId="35124"/>
    <cellStyle name="Input [yellow] 2 22 8 5" xfId="46317"/>
    <cellStyle name="Input [yellow] 2 22 9" xfId="3663"/>
    <cellStyle name="Input [yellow] 2 22 9 2" xfId="14860"/>
    <cellStyle name="Input [yellow] 2 22 9 3" xfId="26028"/>
    <cellStyle name="Input [yellow] 2 22 9 4" xfId="37193"/>
    <cellStyle name="Input [yellow] 2 22 9 5" xfId="48386"/>
    <cellStyle name="Input [yellow] 2 23" xfId="266"/>
    <cellStyle name="Input [yellow] 2 23 10" xfId="5665"/>
    <cellStyle name="Input [yellow] 2 23 10 2" xfId="16862"/>
    <cellStyle name="Input [yellow] 2 23 10 3" xfId="28030"/>
    <cellStyle name="Input [yellow] 2 23 10 4" xfId="39195"/>
    <cellStyle name="Input [yellow] 2 23 10 5" xfId="50388"/>
    <cellStyle name="Input [yellow] 2 23 11" xfId="6202"/>
    <cellStyle name="Input [yellow] 2 23 11 2" xfId="17399"/>
    <cellStyle name="Input [yellow] 2 23 11 3" xfId="28567"/>
    <cellStyle name="Input [yellow] 2 23 11 4" xfId="39732"/>
    <cellStyle name="Input [yellow] 2 23 11 5" xfId="50925"/>
    <cellStyle name="Input [yellow] 2 23 12" xfId="6835"/>
    <cellStyle name="Input [yellow] 2 23 12 2" xfId="18032"/>
    <cellStyle name="Input [yellow] 2 23 12 3" xfId="29200"/>
    <cellStyle name="Input [yellow] 2 23 12 4" xfId="40365"/>
    <cellStyle name="Input [yellow] 2 23 12 5" xfId="51558"/>
    <cellStyle name="Input [yellow] 2 23 13" xfId="7469"/>
    <cellStyle name="Input [yellow] 2 23 13 2" xfId="18666"/>
    <cellStyle name="Input [yellow] 2 23 13 3" xfId="29834"/>
    <cellStyle name="Input [yellow] 2 23 13 4" xfId="40999"/>
    <cellStyle name="Input [yellow] 2 23 13 5" xfId="52192"/>
    <cellStyle name="Input [yellow] 2 23 14" xfId="8103"/>
    <cellStyle name="Input [yellow] 2 23 14 2" xfId="19300"/>
    <cellStyle name="Input [yellow] 2 23 14 3" xfId="30468"/>
    <cellStyle name="Input [yellow] 2 23 14 4" xfId="41633"/>
    <cellStyle name="Input [yellow] 2 23 14 5" xfId="52826"/>
    <cellStyle name="Input [yellow] 2 23 15" xfId="8732"/>
    <cellStyle name="Input [yellow] 2 23 15 2" xfId="19929"/>
    <cellStyle name="Input [yellow] 2 23 15 3" xfId="31097"/>
    <cellStyle name="Input [yellow] 2 23 15 4" xfId="42262"/>
    <cellStyle name="Input [yellow] 2 23 15 5" xfId="53455"/>
    <cellStyle name="Input [yellow] 2 23 16" xfId="9154"/>
    <cellStyle name="Input [yellow] 2 23 16 2" xfId="20351"/>
    <cellStyle name="Input [yellow] 2 23 16 3" xfId="31519"/>
    <cellStyle name="Input [yellow] 2 23 16 4" xfId="42684"/>
    <cellStyle name="Input [yellow] 2 23 16 5" xfId="53877"/>
    <cellStyle name="Input [yellow] 2 23 17" xfId="9781"/>
    <cellStyle name="Input [yellow] 2 23 17 2" xfId="20978"/>
    <cellStyle name="Input [yellow] 2 23 17 3" xfId="32146"/>
    <cellStyle name="Input [yellow] 2 23 17 4" xfId="43311"/>
    <cellStyle name="Input [yellow] 2 23 17 5" xfId="54504"/>
    <cellStyle name="Input [yellow] 2 23 18" xfId="10344"/>
    <cellStyle name="Input [yellow] 2 23 18 2" xfId="21541"/>
    <cellStyle name="Input [yellow] 2 23 18 3" xfId="32709"/>
    <cellStyle name="Input [yellow] 2 23 18 4" xfId="43874"/>
    <cellStyle name="Input [yellow] 2 23 18 5" xfId="55067"/>
    <cellStyle name="Input [yellow] 2 23 19" xfId="10819"/>
    <cellStyle name="Input [yellow] 2 23 19 2" xfId="22016"/>
    <cellStyle name="Input [yellow] 2 23 19 3" xfId="33184"/>
    <cellStyle name="Input [yellow] 2 23 19 4" xfId="44349"/>
    <cellStyle name="Input [yellow] 2 23 19 5" xfId="55542"/>
    <cellStyle name="Input [yellow] 2 23 2" xfId="915"/>
    <cellStyle name="Input [yellow] 2 23 2 2" xfId="12112"/>
    <cellStyle name="Input [yellow] 2 23 2 3" xfId="23280"/>
    <cellStyle name="Input [yellow] 2 23 2 4" xfId="34445"/>
    <cellStyle name="Input [yellow] 2 23 2 5" xfId="45638"/>
    <cellStyle name="Input [yellow] 2 23 20" xfId="11466"/>
    <cellStyle name="Input [yellow] 2 23 21" xfId="22636"/>
    <cellStyle name="Input [yellow] 2 23 22" xfId="33803"/>
    <cellStyle name="Input [yellow] 2 23 23" xfId="44989"/>
    <cellStyle name="Input [yellow] 2 23 3" xfId="1551"/>
    <cellStyle name="Input [yellow] 2 23 3 2" xfId="12748"/>
    <cellStyle name="Input [yellow] 2 23 3 3" xfId="23916"/>
    <cellStyle name="Input [yellow] 2 23 3 4" xfId="35081"/>
    <cellStyle name="Input [yellow] 2 23 3 5" xfId="46274"/>
    <cellStyle name="Input [yellow] 2 23 4" xfId="2192"/>
    <cellStyle name="Input [yellow] 2 23 4 2" xfId="13389"/>
    <cellStyle name="Input [yellow] 2 23 4 3" xfId="24557"/>
    <cellStyle name="Input [yellow] 2 23 4 4" xfId="35722"/>
    <cellStyle name="Input [yellow] 2 23 4 5" xfId="46915"/>
    <cellStyle name="Input [yellow] 2 23 5" xfId="2616"/>
    <cellStyle name="Input [yellow] 2 23 5 2" xfId="13813"/>
    <cellStyle name="Input [yellow] 2 23 5 3" xfId="24981"/>
    <cellStyle name="Input [yellow] 2 23 5 4" xfId="36146"/>
    <cellStyle name="Input [yellow] 2 23 5 5" xfId="47339"/>
    <cellStyle name="Input [yellow] 2 23 6" xfId="3250"/>
    <cellStyle name="Input [yellow] 2 23 6 2" xfId="14447"/>
    <cellStyle name="Input [yellow] 2 23 6 3" xfId="25615"/>
    <cellStyle name="Input [yellow] 2 23 6 4" xfId="36780"/>
    <cellStyle name="Input [yellow] 2 23 6 5" xfId="47973"/>
    <cellStyle name="Input [yellow] 2 23 7" xfId="3884"/>
    <cellStyle name="Input [yellow] 2 23 7 2" xfId="15081"/>
    <cellStyle name="Input [yellow] 2 23 7 3" xfId="26249"/>
    <cellStyle name="Input [yellow] 2 23 7 4" xfId="37414"/>
    <cellStyle name="Input [yellow] 2 23 7 5" xfId="48607"/>
    <cellStyle name="Input [yellow] 2 23 8" xfId="4517"/>
    <cellStyle name="Input [yellow] 2 23 8 2" xfId="15714"/>
    <cellStyle name="Input [yellow] 2 23 8 3" xfId="26882"/>
    <cellStyle name="Input [yellow] 2 23 8 4" xfId="38047"/>
    <cellStyle name="Input [yellow] 2 23 8 5" xfId="49240"/>
    <cellStyle name="Input [yellow] 2 23 9" xfId="5148"/>
    <cellStyle name="Input [yellow] 2 23 9 2" xfId="16345"/>
    <cellStyle name="Input [yellow] 2 23 9 3" xfId="27513"/>
    <cellStyle name="Input [yellow] 2 23 9 4" xfId="38678"/>
    <cellStyle name="Input [yellow] 2 23 9 5" xfId="49871"/>
    <cellStyle name="Input [yellow] 2 24" xfId="287"/>
    <cellStyle name="Input [yellow] 2 24 10" xfId="6053"/>
    <cellStyle name="Input [yellow] 2 24 10 2" xfId="17250"/>
    <cellStyle name="Input [yellow] 2 24 10 3" xfId="28418"/>
    <cellStyle name="Input [yellow] 2 24 10 4" xfId="39583"/>
    <cellStyle name="Input [yellow] 2 24 10 5" xfId="50776"/>
    <cellStyle name="Input [yellow] 2 24 11" xfId="6223"/>
    <cellStyle name="Input [yellow] 2 24 11 2" xfId="17420"/>
    <cellStyle name="Input [yellow] 2 24 11 3" xfId="28588"/>
    <cellStyle name="Input [yellow] 2 24 11 4" xfId="39753"/>
    <cellStyle name="Input [yellow] 2 24 11 5" xfId="50946"/>
    <cellStyle name="Input [yellow] 2 24 12" xfId="6856"/>
    <cellStyle name="Input [yellow] 2 24 12 2" xfId="18053"/>
    <cellStyle name="Input [yellow] 2 24 12 3" xfId="29221"/>
    <cellStyle name="Input [yellow] 2 24 12 4" xfId="40386"/>
    <cellStyle name="Input [yellow] 2 24 12 5" xfId="51579"/>
    <cellStyle name="Input [yellow] 2 24 13" xfId="7490"/>
    <cellStyle name="Input [yellow] 2 24 13 2" xfId="18687"/>
    <cellStyle name="Input [yellow] 2 24 13 3" xfId="29855"/>
    <cellStyle name="Input [yellow] 2 24 13 4" xfId="41020"/>
    <cellStyle name="Input [yellow] 2 24 13 5" xfId="52213"/>
    <cellStyle name="Input [yellow] 2 24 14" xfId="8124"/>
    <cellStyle name="Input [yellow] 2 24 14 2" xfId="19321"/>
    <cellStyle name="Input [yellow] 2 24 14 3" xfId="30489"/>
    <cellStyle name="Input [yellow] 2 24 14 4" xfId="41654"/>
    <cellStyle name="Input [yellow] 2 24 14 5" xfId="52847"/>
    <cellStyle name="Input [yellow] 2 24 15" xfId="8753"/>
    <cellStyle name="Input [yellow] 2 24 15 2" xfId="19950"/>
    <cellStyle name="Input [yellow] 2 24 15 3" xfId="31118"/>
    <cellStyle name="Input [yellow] 2 24 15 4" xfId="42283"/>
    <cellStyle name="Input [yellow] 2 24 15 5" xfId="53476"/>
    <cellStyle name="Input [yellow] 2 24 16" xfId="9175"/>
    <cellStyle name="Input [yellow] 2 24 16 2" xfId="20372"/>
    <cellStyle name="Input [yellow] 2 24 16 3" xfId="31540"/>
    <cellStyle name="Input [yellow] 2 24 16 4" xfId="42705"/>
    <cellStyle name="Input [yellow] 2 24 16 5" xfId="53898"/>
    <cellStyle name="Input [yellow] 2 24 17" xfId="9802"/>
    <cellStyle name="Input [yellow] 2 24 17 2" xfId="20999"/>
    <cellStyle name="Input [yellow] 2 24 17 3" xfId="32167"/>
    <cellStyle name="Input [yellow] 2 24 17 4" xfId="43332"/>
    <cellStyle name="Input [yellow] 2 24 17 5" xfId="54525"/>
    <cellStyle name="Input [yellow] 2 24 18" xfId="10396"/>
    <cellStyle name="Input [yellow] 2 24 18 2" xfId="21593"/>
    <cellStyle name="Input [yellow] 2 24 18 3" xfId="32761"/>
    <cellStyle name="Input [yellow] 2 24 18 4" xfId="43926"/>
    <cellStyle name="Input [yellow] 2 24 18 5" xfId="55119"/>
    <cellStyle name="Input [yellow] 2 24 19" xfId="10840"/>
    <cellStyle name="Input [yellow] 2 24 19 2" xfId="22037"/>
    <cellStyle name="Input [yellow] 2 24 19 3" xfId="33205"/>
    <cellStyle name="Input [yellow] 2 24 19 4" xfId="44370"/>
    <cellStyle name="Input [yellow] 2 24 19 5" xfId="55563"/>
    <cellStyle name="Input [yellow] 2 24 2" xfId="936"/>
    <cellStyle name="Input [yellow] 2 24 2 2" xfId="12133"/>
    <cellStyle name="Input [yellow] 2 24 2 3" xfId="23301"/>
    <cellStyle name="Input [yellow] 2 24 2 4" xfId="34466"/>
    <cellStyle name="Input [yellow] 2 24 2 5" xfId="45659"/>
    <cellStyle name="Input [yellow] 2 24 20" xfId="11487"/>
    <cellStyle name="Input [yellow] 2 24 21" xfId="22657"/>
    <cellStyle name="Input [yellow] 2 24 22" xfId="33824"/>
    <cellStyle name="Input [yellow] 2 24 23" xfId="45010"/>
    <cellStyle name="Input [yellow] 2 24 3" xfId="1703"/>
    <cellStyle name="Input [yellow] 2 24 3 2" xfId="12900"/>
    <cellStyle name="Input [yellow] 2 24 3 3" xfId="24068"/>
    <cellStyle name="Input [yellow] 2 24 3 4" xfId="35233"/>
    <cellStyle name="Input [yellow] 2 24 3 5" xfId="46426"/>
    <cellStyle name="Input [yellow] 2 24 4" xfId="2212"/>
    <cellStyle name="Input [yellow] 2 24 4 2" xfId="13409"/>
    <cellStyle name="Input [yellow] 2 24 4 3" xfId="24577"/>
    <cellStyle name="Input [yellow] 2 24 4 4" xfId="35742"/>
    <cellStyle name="Input [yellow] 2 24 4 5" xfId="46935"/>
    <cellStyle name="Input [yellow] 2 24 5" xfId="2637"/>
    <cellStyle name="Input [yellow] 2 24 5 2" xfId="13834"/>
    <cellStyle name="Input [yellow] 2 24 5 3" xfId="25002"/>
    <cellStyle name="Input [yellow] 2 24 5 4" xfId="36167"/>
    <cellStyle name="Input [yellow] 2 24 5 5" xfId="47360"/>
    <cellStyle name="Input [yellow] 2 24 6" xfId="3271"/>
    <cellStyle name="Input [yellow] 2 24 6 2" xfId="14468"/>
    <cellStyle name="Input [yellow] 2 24 6 3" xfId="25636"/>
    <cellStyle name="Input [yellow] 2 24 6 4" xfId="36801"/>
    <cellStyle name="Input [yellow] 2 24 6 5" xfId="47994"/>
    <cellStyle name="Input [yellow] 2 24 7" xfId="3905"/>
    <cellStyle name="Input [yellow] 2 24 7 2" xfId="15102"/>
    <cellStyle name="Input [yellow] 2 24 7 3" xfId="26270"/>
    <cellStyle name="Input [yellow] 2 24 7 4" xfId="37435"/>
    <cellStyle name="Input [yellow] 2 24 7 5" xfId="48628"/>
    <cellStyle name="Input [yellow] 2 24 8" xfId="4538"/>
    <cellStyle name="Input [yellow] 2 24 8 2" xfId="15735"/>
    <cellStyle name="Input [yellow] 2 24 8 3" xfId="26903"/>
    <cellStyle name="Input [yellow] 2 24 8 4" xfId="38068"/>
    <cellStyle name="Input [yellow] 2 24 8 5" xfId="49261"/>
    <cellStyle name="Input [yellow] 2 24 9" xfId="5169"/>
    <cellStyle name="Input [yellow] 2 24 9 2" xfId="16366"/>
    <cellStyle name="Input [yellow] 2 24 9 3" xfId="27534"/>
    <cellStyle name="Input [yellow] 2 24 9 4" xfId="38699"/>
    <cellStyle name="Input [yellow] 2 24 9 5" xfId="49892"/>
    <cellStyle name="Input [yellow] 2 25" xfId="384"/>
    <cellStyle name="Input [yellow] 2 25 10" xfId="5919"/>
    <cellStyle name="Input [yellow] 2 25 10 2" xfId="17116"/>
    <cellStyle name="Input [yellow] 2 25 10 3" xfId="28284"/>
    <cellStyle name="Input [yellow] 2 25 10 4" xfId="39449"/>
    <cellStyle name="Input [yellow] 2 25 10 5" xfId="50642"/>
    <cellStyle name="Input [yellow] 2 25 11" xfId="6320"/>
    <cellStyle name="Input [yellow] 2 25 11 2" xfId="17517"/>
    <cellStyle name="Input [yellow] 2 25 11 3" xfId="28685"/>
    <cellStyle name="Input [yellow] 2 25 11 4" xfId="39850"/>
    <cellStyle name="Input [yellow] 2 25 11 5" xfId="51043"/>
    <cellStyle name="Input [yellow] 2 25 12" xfId="6953"/>
    <cellStyle name="Input [yellow] 2 25 12 2" xfId="18150"/>
    <cellStyle name="Input [yellow] 2 25 12 3" xfId="29318"/>
    <cellStyle name="Input [yellow] 2 25 12 4" xfId="40483"/>
    <cellStyle name="Input [yellow] 2 25 12 5" xfId="51676"/>
    <cellStyle name="Input [yellow] 2 25 13" xfId="7587"/>
    <cellStyle name="Input [yellow] 2 25 13 2" xfId="18784"/>
    <cellStyle name="Input [yellow] 2 25 13 3" xfId="29952"/>
    <cellStyle name="Input [yellow] 2 25 13 4" xfId="41117"/>
    <cellStyle name="Input [yellow] 2 25 13 5" xfId="52310"/>
    <cellStyle name="Input [yellow] 2 25 14" xfId="8221"/>
    <cellStyle name="Input [yellow] 2 25 14 2" xfId="19418"/>
    <cellStyle name="Input [yellow] 2 25 14 3" xfId="30586"/>
    <cellStyle name="Input [yellow] 2 25 14 4" xfId="41751"/>
    <cellStyle name="Input [yellow] 2 25 14 5" xfId="52944"/>
    <cellStyle name="Input [yellow] 2 25 15" xfId="8849"/>
    <cellStyle name="Input [yellow] 2 25 15 2" xfId="20046"/>
    <cellStyle name="Input [yellow] 2 25 15 3" xfId="31214"/>
    <cellStyle name="Input [yellow] 2 25 15 4" xfId="42379"/>
    <cellStyle name="Input [yellow] 2 25 15 5" xfId="53572"/>
    <cellStyle name="Input [yellow] 2 25 16" xfId="9272"/>
    <cellStyle name="Input [yellow] 2 25 16 2" xfId="20469"/>
    <cellStyle name="Input [yellow] 2 25 16 3" xfId="31637"/>
    <cellStyle name="Input [yellow] 2 25 16 4" xfId="42802"/>
    <cellStyle name="Input [yellow] 2 25 16 5" xfId="53995"/>
    <cellStyle name="Input [yellow] 2 25 17" xfId="9898"/>
    <cellStyle name="Input [yellow] 2 25 17 2" xfId="21095"/>
    <cellStyle name="Input [yellow] 2 25 17 3" xfId="32263"/>
    <cellStyle name="Input [yellow] 2 25 17 4" xfId="43428"/>
    <cellStyle name="Input [yellow] 2 25 17 5" xfId="54621"/>
    <cellStyle name="Input [yellow] 2 25 18" xfId="10509"/>
    <cellStyle name="Input [yellow] 2 25 18 2" xfId="21706"/>
    <cellStyle name="Input [yellow] 2 25 18 3" xfId="32874"/>
    <cellStyle name="Input [yellow] 2 25 18 4" xfId="44039"/>
    <cellStyle name="Input [yellow] 2 25 18 5" xfId="55232"/>
    <cellStyle name="Input [yellow] 2 25 19" xfId="10937"/>
    <cellStyle name="Input [yellow] 2 25 19 2" xfId="22134"/>
    <cellStyle name="Input [yellow] 2 25 19 3" xfId="33302"/>
    <cellStyle name="Input [yellow] 2 25 19 4" xfId="44467"/>
    <cellStyle name="Input [yellow] 2 25 19 5" xfId="55660"/>
    <cellStyle name="Input [yellow] 2 25 2" xfId="1033"/>
    <cellStyle name="Input [yellow] 2 25 2 2" xfId="12230"/>
    <cellStyle name="Input [yellow] 2 25 2 3" xfId="23398"/>
    <cellStyle name="Input [yellow] 2 25 2 4" xfId="34563"/>
    <cellStyle name="Input [yellow] 2 25 2 5" xfId="45756"/>
    <cellStyle name="Input [yellow] 2 25 20" xfId="11584"/>
    <cellStyle name="Input [yellow] 2 25 21" xfId="22754"/>
    <cellStyle name="Input [yellow] 2 25 22" xfId="33921"/>
    <cellStyle name="Input [yellow] 2 25 23" xfId="45107"/>
    <cellStyle name="Input [yellow] 2 25 3" xfId="1387"/>
    <cellStyle name="Input [yellow] 2 25 3 2" xfId="12584"/>
    <cellStyle name="Input [yellow] 2 25 3 3" xfId="23752"/>
    <cellStyle name="Input [yellow] 2 25 3 4" xfId="34917"/>
    <cellStyle name="Input [yellow] 2 25 3 5" xfId="46110"/>
    <cellStyle name="Input [yellow] 2 25 4" xfId="2309"/>
    <cellStyle name="Input [yellow] 2 25 4 2" xfId="13506"/>
    <cellStyle name="Input [yellow] 2 25 4 3" xfId="24674"/>
    <cellStyle name="Input [yellow] 2 25 4 4" xfId="35839"/>
    <cellStyle name="Input [yellow] 2 25 4 5" xfId="47032"/>
    <cellStyle name="Input [yellow] 2 25 5" xfId="2734"/>
    <cellStyle name="Input [yellow] 2 25 5 2" xfId="13931"/>
    <cellStyle name="Input [yellow] 2 25 5 3" xfId="25099"/>
    <cellStyle name="Input [yellow] 2 25 5 4" xfId="36264"/>
    <cellStyle name="Input [yellow] 2 25 5 5" xfId="47457"/>
    <cellStyle name="Input [yellow] 2 25 6" xfId="3368"/>
    <cellStyle name="Input [yellow] 2 25 6 2" xfId="14565"/>
    <cellStyle name="Input [yellow] 2 25 6 3" xfId="25733"/>
    <cellStyle name="Input [yellow] 2 25 6 4" xfId="36898"/>
    <cellStyle name="Input [yellow] 2 25 6 5" xfId="48091"/>
    <cellStyle name="Input [yellow] 2 25 7" xfId="4002"/>
    <cellStyle name="Input [yellow] 2 25 7 2" xfId="15199"/>
    <cellStyle name="Input [yellow] 2 25 7 3" xfId="26367"/>
    <cellStyle name="Input [yellow] 2 25 7 4" xfId="37532"/>
    <cellStyle name="Input [yellow] 2 25 7 5" xfId="48725"/>
    <cellStyle name="Input [yellow] 2 25 8" xfId="4635"/>
    <cellStyle name="Input [yellow] 2 25 8 2" xfId="15832"/>
    <cellStyle name="Input [yellow] 2 25 8 3" xfId="27000"/>
    <cellStyle name="Input [yellow] 2 25 8 4" xfId="38165"/>
    <cellStyle name="Input [yellow] 2 25 8 5" xfId="49358"/>
    <cellStyle name="Input [yellow] 2 25 9" xfId="5266"/>
    <cellStyle name="Input [yellow] 2 25 9 2" xfId="16463"/>
    <cellStyle name="Input [yellow] 2 25 9 3" xfId="27631"/>
    <cellStyle name="Input [yellow] 2 25 9 4" xfId="38796"/>
    <cellStyle name="Input [yellow] 2 25 9 5" xfId="49989"/>
    <cellStyle name="Input [yellow] 2 26" xfId="400"/>
    <cellStyle name="Input [yellow] 2 26 10" xfId="6121"/>
    <cellStyle name="Input [yellow] 2 26 10 2" xfId="17318"/>
    <cellStyle name="Input [yellow] 2 26 10 3" xfId="28486"/>
    <cellStyle name="Input [yellow] 2 26 10 4" xfId="39651"/>
    <cellStyle name="Input [yellow] 2 26 10 5" xfId="50844"/>
    <cellStyle name="Input [yellow] 2 26 11" xfId="6336"/>
    <cellStyle name="Input [yellow] 2 26 11 2" xfId="17533"/>
    <cellStyle name="Input [yellow] 2 26 11 3" xfId="28701"/>
    <cellStyle name="Input [yellow] 2 26 11 4" xfId="39866"/>
    <cellStyle name="Input [yellow] 2 26 11 5" xfId="51059"/>
    <cellStyle name="Input [yellow] 2 26 12" xfId="6969"/>
    <cellStyle name="Input [yellow] 2 26 12 2" xfId="18166"/>
    <cellStyle name="Input [yellow] 2 26 12 3" xfId="29334"/>
    <cellStyle name="Input [yellow] 2 26 12 4" xfId="40499"/>
    <cellStyle name="Input [yellow] 2 26 12 5" xfId="51692"/>
    <cellStyle name="Input [yellow] 2 26 13" xfId="7603"/>
    <cellStyle name="Input [yellow] 2 26 13 2" xfId="18800"/>
    <cellStyle name="Input [yellow] 2 26 13 3" xfId="29968"/>
    <cellStyle name="Input [yellow] 2 26 13 4" xfId="41133"/>
    <cellStyle name="Input [yellow] 2 26 13 5" xfId="52326"/>
    <cellStyle name="Input [yellow] 2 26 14" xfId="8237"/>
    <cellStyle name="Input [yellow] 2 26 14 2" xfId="19434"/>
    <cellStyle name="Input [yellow] 2 26 14 3" xfId="30602"/>
    <cellStyle name="Input [yellow] 2 26 14 4" xfId="41767"/>
    <cellStyle name="Input [yellow] 2 26 14 5" xfId="52960"/>
    <cellStyle name="Input [yellow] 2 26 15" xfId="8865"/>
    <cellStyle name="Input [yellow] 2 26 15 2" xfId="20062"/>
    <cellStyle name="Input [yellow] 2 26 15 3" xfId="31230"/>
    <cellStyle name="Input [yellow] 2 26 15 4" xfId="42395"/>
    <cellStyle name="Input [yellow] 2 26 15 5" xfId="53588"/>
    <cellStyle name="Input [yellow] 2 26 16" xfId="9288"/>
    <cellStyle name="Input [yellow] 2 26 16 2" xfId="20485"/>
    <cellStyle name="Input [yellow] 2 26 16 3" xfId="31653"/>
    <cellStyle name="Input [yellow] 2 26 16 4" xfId="42818"/>
    <cellStyle name="Input [yellow] 2 26 16 5" xfId="54011"/>
    <cellStyle name="Input [yellow] 2 26 17" xfId="9914"/>
    <cellStyle name="Input [yellow] 2 26 17 2" xfId="21111"/>
    <cellStyle name="Input [yellow] 2 26 17 3" xfId="32279"/>
    <cellStyle name="Input [yellow] 2 26 17 4" xfId="43444"/>
    <cellStyle name="Input [yellow] 2 26 17 5" xfId="54637"/>
    <cellStyle name="Input [yellow] 2 26 18" xfId="10281"/>
    <cellStyle name="Input [yellow] 2 26 18 2" xfId="21478"/>
    <cellStyle name="Input [yellow] 2 26 18 3" xfId="32646"/>
    <cellStyle name="Input [yellow] 2 26 18 4" xfId="43811"/>
    <cellStyle name="Input [yellow] 2 26 18 5" xfId="55004"/>
    <cellStyle name="Input [yellow] 2 26 19" xfId="10953"/>
    <cellStyle name="Input [yellow] 2 26 19 2" xfId="22150"/>
    <cellStyle name="Input [yellow] 2 26 19 3" xfId="33318"/>
    <cellStyle name="Input [yellow] 2 26 19 4" xfId="44483"/>
    <cellStyle name="Input [yellow] 2 26 19 5" xfId="55676"/>
    <cellStyle name="Input [yellow] 2 26 2" xfId="1049"/>
    <cellStyle name="Input [yellow] 2 26 2 2" xfId="12246"/>
    <cellStyle name="Input [yellow] 2 26 2 3" xfId="23414"/>
    <cellStyle name="Input [yellow] 2 26 2 4" xfId="34579"/>
    <cellStyle name="Input [yellow] 2 26 2 5" xfId="45772"/>
    <cellStyle name="Input [yellow] 2 26 20" xfId="11600"/>
    <cellStyle name="Input [yellow] 2 26 21" xfId="22770"/>
    <cellStyle name="Input [yellow] 2 26 22" xfId="33937"/>
    <cellStyle name="Input [yellow] 2 26 23" xfId="45123"/>
    <cellStyle name="Input [yellow] 2 26 3" xfId="1624"/>
    <cellStyle name="Input [yellow] 2 26 3 2" xfId="12821"/>
    <cellStyle name="Input [yellow] 2 26 3 3" xfId="23989"/>
    <cellStyle name="Input [yellow] 2 26 3 4" xfId="35154"/>
    <cellStyle name="Input [yellow] 2 26 3 5" xfId="46347"/>
    <cellStyle name="Input [yellow] 2 26 4" xfId="2325"/>
    <cellStyle name="Input [yellow] 2 26 4 2" xfId="13522"/>
    <cellStyle name="Input [yellow] 2 26 4 3" xfId="24690"/>
    <cellStyle name="Input [yellow] 2 26 4 4" xfId="35855"/>
    <cellStyle name="Input [yellow] 2 26 4 5" xfId="47048"/>
    <cellStyle name="Input [yellow] 2 26 5" xfId="2750"/>
    <cellStyle name="Input [yellow] 2 26 5 2" xfId="13947"/>
    <cellStyle name="Input [yellow] 2 26 5 3" xfId="25115"/>
    <cellStyle name="Input [yellow] 2 26 5 4" xfId="36280"/>
    <cellStyle name="Input [yellow] 2 26 5 5" xfId="47473"/>
    <cellStyle name="Input [yellow] 2 26 6" xfId="3384"/>
    <cellStyle name="Input [yellow] 2 26 6 2" xfId="14581"/>
    <cellStyle name="Input [yellow] 2 26 6 3" xfId="25749"/>
    <cellStyle name="Input [yellow] 2 26 6 4" xfId="36914"/>
    <cellStyle name="Input [yellow] 2 26 6 5" xfId="48107"/>
    <cellStyle name="Input [yellow] 2 26 7" xfId="4018"/>
    <cellStyle name="Input [yellow] 2 26 7 2" xfId="15215"/>
    <cellStyle name="Input [yellow] 2 26 7 3" xfId="26383"/>
    <cellStyle name="Input [yellow] 2 26 7 4" xfId="37548"/>
    <cellStyle name="Input [yellow] 2 26 7 5" xfId="48741"/>
    <cellStyle name="Input [yellow] 2 26 8" xfId="4651"/>
    <cellStyle name="Input [yellow] 2 26 8 2" xfId="15848"/>
    <cellStyle name="Input [yellow] 2 26 8 3" xfId="27016"/>
    <cellStyle name="Input [yellow] 2 26 8 4" xfId="38181"/>
    <cellStyle name="Input [yellow] 2 26 8 5" xfId="49374"/>
    <cellStyle name="Input [yellow] 2 26 9" xfId="5282"/>
    <cellStyle name="Input [yellow] 2 26 9 2" xfId="16479"/>
    <cellStyle name="Input [yellow] 2 26 9 3" xfId="27647"/>
    <cellStyle name="Input [yellow] 2 26 9 4" xfId="38812"/>
    <cellStyle name="Input [yellow] 2 26 9 5" xfId="50005"/>
    <cellStyle name="Input [yellow] 2 27" xfId="366"/>
    <cellStyle name="Input [yellow] 2 27 10" xfId="5679"/>
    <cellStyle name="Input [yellow] 2 27 10 2" xfId="16876"/>
    <cellStyle name="Input [yellow] 2 27 10 3" xfId="28044"/>
    <cellStyle name="Input [yellow] 2 27 10 4" xfId="39209"/>
    <cellStyle name="Input [yellow] 2 27 10 5" xfId="50402"/>
    <cellStyle name="Input [yellow] 2 27 11" xfId="6302"/>
    <cellStyle name="Input [yellow] 2 27 11 2" xfId="17499"/>
    <cellStyle name="Input [yellow] 2 27 11 3" xfId="28667"/>
    <cellStyle name="Input [yellow] 2 27 11 4" xfId="39832"/>
    <cellStyle name="Input [yellow] 2 27 11 5" xfId="51025"/>
    <cellStyle name="Input [yellow] 2 27 12" xfId="6935"/>
    <cellStyle name="Input [yellow] 2 27 12 2" xfId="18132"/>
    <cellStyle name="Input [yellow] 2 27 12 3" xfId="29300"/>
    <cellStyle name="Input [yellow] 2 27 12 4" xfId="40465"/>
    <cellStyle name="Input [yellow] 2 27 12 5" xfId="51658"/>
    <cellStyle name="Input [yellow] 2 27 13" xfId="7569"/>
    <cellStyle name="Input [yellow] 2 27 13 2" xfId="18766"/>
    <cellStyle name="Input [yellow] 2 27 13 3" xfId="29934"/>
    <cellStyle name="Input [yellow] 2 27 13 4" xfId="41099"/>
    <cellStyle name="Input [yellow] 2 27 13 5" xfId="52292"/>
    <cellStyle name="Input [yellow] 2 27 14" xfId="8203"/>
    <cellStyle name="Input [yellow] 2 27 14 2" xfId="19400"/>
    <cellStyle name="Input [yellow] 2 27 14 3" xfId="30568"/>
    <cellStyle name="Input [yellow] 2 27 14 4" xfId="41733"/>
    <cellStyle name="Input [yellow] 2 27 14 5" xfId="52926"/>
    <cellStyle name="Input [yellow] 2 27 15" xfId="8831"/>
    <cellStyle name="Input [yellow] 2 27 15 2" xfId="20028"/>
    <cellStyle name="Input [yellow] 2 27 15 3" xfId="31196"/>
    <cellStyle name="Input [yellow] 2 27 15 4" xfId="42361"/>
    <cellStyle name="Input [yellow] 2 27 15 5" xfId="53554"/>
    <cellStyle name="Input [yellow] 2 27 16" xfId="9254"/>
    <cellStyle name="Input [yellow] 2 27 16 2" xfId="20451"/>
    <cellStyle name="Input [yellow] 2 27 16 3" xfId="31619"/>
    <cellStyle name="Input [yellow] 2 27 16 4" xfId="42784"/>
    <cellStyle name="Input [yellow] 2 27 16 5" xfId="53977"/>
    <cellStyle name="Input [yellow] 2 27 17" xfId="9880"/>
    <cellStyle name="Input [yellow] 2 27 17 2" xfId="21077"/>
    <cellStyle name="Input [yellow] 2 27 17 3" xfId="32245"/>
    <cellStyle name="Input [yellow] 2 27 17 4" xfId="43410"/>
    <cellStyle name="Input [yellow] 2 27 17 5" xfId="54603"/>
    <cellStyle name="Input [yellow] 2 27 18" xfId="10301"/>
    <cellStyle name="Input [yellow] 2 27 18 2" xfId="21498"/>
    <cellStyle name="Input [yellow] 2 27 18 3" xfId="32666"/>
    <cellStyle name="Input [yellow] 2 27 18 4" xfId="43831"/>
    <cellStyle name="Input [yellow] 2 27 18 5" xfId="55024"/>
    <cellStyle name="Input [yellow] 2 27 19" xfId="10919"/>
    <cellStyle name="Input [yellow] 2 27 19 2" xfId="22116"/>
    <cellStyle name="Input [yellow] 2 27 19 3" xfId="33284"/>
    <cellStyle name="Input [yellow] 2 27 19 4" xfId="44449"/>
    <cellStyle name="Input [yellow] 2 27 19 5" xfId="55642"/>
    <cellStyle name="Input [yellow] 2 27 2" xfId="1015"/>
    <cellStyle name="Input [yellow] 2 27 2 2" xfId="12212"/>
    <cellStyle name="Input [yellow] 2 27 2 3" xfId="23380"/>
    <cellStyle name="Input [yellow] 2 27 2 4" xfId="34545"/>
    <cellStyle name="Input [yellow] 2 27 2 5" xfId="45738"/>
    <cellStyle name="Input [yellow] 2 27 20" xfId="11566"/>
    <cellStyle name="Input [yellow] 2 27 21" xfId="22736"/>
    <cellStyle name="Input [yellow] 2 27 22" xfId="33903"/>
    <cellStyle name="Input [yellow] 2 27 23" xfId="45089"/>
    <cellStyle name="Input [yellow] 2 27 3" xfId="1667"/>
    <cellStyle name="Input [yellow] 2 27 3 2" xfId="12864"/>
    <cellStyle name="Input [yellow] 2 27 3 3" xfId="24032"/>
    <cellStyle name="Input [yellow] 2 27 3 4" xfId="35197"/>
    <cellStyle name="Input [yellow] 2 27 3 5" xfId="46390"/>
    <cellStyle name="Input [yellow] 2 27 4" xfId="2291"/>
    <cellStyle name="Input [yellow] 2 27 4 2" xfId="13488"/>
    <cellStyle name="Input [yellow] 2 27 4 3" xfId="24656"/>
    <cellStyle name="Input [yellow] 2 27 4 4" xfId="35821"/>
    <cellStyle name="Input [yellow] 2 27 4 5" xfId="47014"/>
    <cellStyle name="Input [yellow] 2 27 5" xfId="2716"/>
    <cellStyle name="Input [yellow] 2 27 5 2" xfId="13913"/>
    <cellStyle name="Input [yellow] 2 27 5 3" xfId="25081"/>
    <cellStyle name="Input [yellow] 2 27 5 4" xfId="36246"/>
    <cellStyle name="Input [yellow] 2 27 5 5" xfId="47439"/>
    <cellStyle name="Input [yellow] 2 27 6" xfId="3350"/>
    <cellStyle name="Input [yellow] 2 27 6 2" xfId="14547"/>
    <cellStyle name="Input [yellow] 2 27 6 3" xfId="25715"/>
    <cellStyle name="Input [yellow] 2 27 6 4" xfId="36880"/>
    <cellStyle name="Input [yellow] 2 27 6 5" xfId="48073"/>
    <cellStyle name="Input [yellow] 2 27 7" xfId="3984"/>
    <cellStyle name="Input [yellow] 2 27 7 2" xfId="15181"/>
    <cellStyle name="Input [yellow] 2 27 7 3" xfId="26349"/>
    <cellStyle name="Input [yellow] 2 27 7 4" xfId="37514"/>
    <cellStyle name="Input [yellow] 2 27 7 5" xfId="48707"/>
    <cellStyle name="Input [yellow] 2 27 8" xfId="4617"/>
    <cellStyle name="Input [yellow] 2 27 8 2" xfId="15814"/>
    <cellStyle name="Input [yellow] 2 27 8 3" xfId="26982"/>
    <cellStyle name="Input [yellow] 2 27 8 4" xfId="38147"/>
    <cellStyle name="Input [yellow] 2 27 8 5" xfId="49340"/>
    <cellStyle name="Input [yellow] 2 27 9" xfId="5248"/>
    <cellStyle name="Input [yellow] 2 27 9 2" xfId="16445"/>
    <cellStyle name="Input [yellow] 2 27 9 3" xfId="27613"/>
    <cellStyle name="Input [yellow] 2 27 9 4" xfId="38778"/>
    <cellStyle name="Input [yellow] 2 27 9 5" xfId="49971"/>
    <cellStyle name="Input [yellow] 2 28" xfId="439"/>
    <cellStyle name="Input [yellow] 2 28 10" xfId="5714"/>
    <cellStyle name="Input [yellow] 2 28 10 2" xfId="16911"/>
    <cellStyle name="Input [yellow] 2 28 10 3" xfId="28079"/>
    <cellStyle name="Input [yellow] 2 28 10 4" xfId="39244"/>
    <cellStyle name="Input [yellow] 2 28 10 5" xfId="50437"/>
    <cellStyle name="Input [yellow] 2 28 11" xfId="6375"/>
    <cellStyle name="Input [yellow] 2 28 11 2" xfId="17572"/>
    <cellStyle name="Input [yellow] 2 28 11 3" xfId="28740"/>
    <cellStyle name="Input [yellow] 2 28 11 4" xfId="39905"/>
    <cellStyle name="Input [yellow] 2 28 11 5" xfId="51098"/>
    <cellStyle name="Input [yellow] 2 28 12" xfId="7008"/>
    <cellStyle name="Input [yellow] 2 28 12 2" xfId="18205"/>
    <cellStyle name="Input [yellow] 2 28 12 3" xfId="29373"/>
    <cellStyle name="Input [yellow] 2 28 12 4" xfId="40538"/>
    <cellStyle name="Input [yellow] 2 28 12 5" xfId="51731"/>
    <cellStyle name="Input [yellow] 2 28 13" xfId="7642"/>
    <cellStyle name="Input [yellow] 2 28 13 2" xfId="18839"/>
    <cellStyle name="Input [yellow] 2 28 13 3" xfId="30007"/>
    <cellStyle name="Input [yellow] 2 28 13 4" xfId="41172"/>
    <cellStyle name="Input [yellow] 2 28 13 5" xfId="52365"/>
    <cellStyle name="Input [yellow] 2 28 14" xfId="8276"/>
    <cellStyle name="Input [yellow] 2 28 14 2" xfId="19473"/>
    <cellStyle name="Input [yellow] 2 28 14 3" xfId="30641"/>
    <cellStyle name="Input [yellow] 2 28 14 4" xfId="41806"/>
    <cellStyle name="Input [yellow] 2 28 14 5" xfId="52999"/>
    <cellStyle name="Input [yellow] 2 28 15" xfId="8904"/>
    <cellStyle name="Input [yellow] 2 28 15 2" xfId="20101"/>
    <cellStyle name="Input [yellow] 2 28 15 3" xfId="31269"/>
    <cellStyle name="Input [yellow] 2 28 15 4" xfId="42434"/>
    <cellStyle name="Input [yellow] 2 28 15 5" xfId="53627"/>
    <cellStyle name="Input [yellow] 2 28 16" xfId="9327"/>
    <cellStyle name="Input [yellow] 2 28 16 2" xfId="20524"/>
    <cellStyle name="Input [yellow] 2 28 16 3" xfId="31692"/>
    <cellStyle name="Input [yellow] 2 28 16 4" xfId="42857"/>
    <cellStyle name="Input [yellow] 2 28 16 5" xfId="54050"/>
    <cellStyle name="Input [yellow] 2 28 17" xfId="9953"/>
    <cellStyle name="Input [yellow] 2 28 17 2" xfId="21150"/>
    <cellStyle name="Input [yellow] 2 28 17 3" xfId="32318"/>
    <cellStyle name="Input [yellow] 2 28 17 4" xfId="43483"/>
    <cellStyle name="Input [yellow] 2 28 17 5" xfId="54676"/>
    <cellStyle name="Input [yellow] 2 28 18" xfId="10375"/>
    <cellStyle name="Input [yellow] 2 28 18 2" xfId="21572"/>
    <cellStyle name="Input [yellow] 2 28 18 3" xfId="32740"/>
    <cellStyle name="Input [yellow] 2 28 18 4" xfId="43905"/>
    <cellStyle name="Input [yellow] 2 28 18 5" xfId="55098"/>
    <cellStyle name="Input [yellow] 2 28 19" xfId="10992"/>
    <cellStyle name="Input [yellow] 2 28 19 2" xfId="22189"/>
    <cellStyle name="Input [yellow] 2 28 19 3" xfId="33357"/>
    <cellStyle name="Input [yellow] 2 28 19 4" xfId="44522"/>
    <cellStyle name="Input [yellow] 2 28 19 5" xfId="55715"/>
    <cellStyle name="Input [yellow] 2 28 2" xfId="1088"/>
    <cellStyle name="Input [yellow] 2 28 2 2" xfId="12285"/>
    <cellStyle name="Input [yellow] 2 28 2 3" xfId="23453"/>
    <cellStyle name="Input [yellow] 2 28 2 4" xfId="34618"/>
    <cellStyle name="Input [yellow] 2 28 2 5" xfId="45811"/>
    <cellStyle name="Input [yellow] 2 28 20" xfId="11639"/>
    <cellStyle name="Input [yellow] 2 28 21" xfId="22809"/>
    <cellStyle name="Input [yellow] 2 28 22" xfId="33976"/>
    <cellStyle name="Input [yellow] 2 28 23" xfId="45162"/>
    <cellStyle name="Input [yellow] 2 28 3" xfId="1372"/>
    <cellStyle name="Input [yellow] 2 28 3 2" xfId="12569"/>
    <cellStyle name="Input [yellow] 2 28 3 3" xfId="23737"/>
    <cellStyle name="Input [yellow] 2 28 3 4" xfId="34902"/>
    <cellStyle name="Input [yellow] 2 28 3 5" xfId="46095"/>
    <cellStyle name="Input [yellow] 2 28 4" xfId="2364"/>
    <cellStyle name="Input [yellow] 2 28 4 2" xfId="13561"/>
    <cellStyle name="Input [yellow] 2 28 4 3" xfId="24729"/>
    <cellStyle name="Input [yellow] 2 28 4 4" xfId="35894"/>
    <cellStyle name="Input [yellow] 2 28 4 5" xfId="47087"/>
    <cellStyle name="Input [yellow] 2 28 5" xfId="2789"/>
    <cellStyle name="Input [yellow] 2 28 5 2" xfId="13986"/>
    <cellStyle name="Input [yellow] 2 28 5 3" xfId="25154"/>
    <cellStyle name="Input [yellow] 2 28 5 4" xfId="36319"/>
    <cellStyle name="Input [yellow] 2 28 5 5" xfId="47512"/>
    <cellStyle name="Input [yellow] 2 28 6" xfId="3423"/>
    <cellStyle name="Input [yellow] 2 28 6 2" xfId="14620"/>
    <cellStyle name="Input [yellow] 2 28 6 3" xfId="25788"/>
    <cellStyle name="Input [yellow] 2 28 6 4" xfId="36953"/>
    <cellStyle name="Input [yellow] 2 28 6 5" xfId="48146"/>
    <cellStyle name="Input [yellow] 2 28 7" xfId="4057"/>
    <cellStyle name="Input [yellow] 2 28 7 2" xfId="15254"/>
    <cellStyle name="Input [yellow] 2 28 7 3" xfId="26422"/>
    <cellStyle name="Input [yellow] 2 28 7 4" xfId="37587"/>
    <cellStyle name="Input [yellow] 2 28 7 5" xfId="48780"/>
    <cellStyle name="Input [yellow] 2 28 8" xfId="4690"/>
    <cellStyle name="Input [yellow] 2 28 8 2" xfId="15887"/>
    <cellStyle name="Input [yellow] 2 28 8 3" xfId="27055"/>
    <cellStyle name="Input [yellow] 2 28 8 4" xfId="38220"/>
    <cellStyle name="Input [yellow] 2 28 8 5" xfId="49413"/>
    <cellStyle name="Input [yellow] 2 28 9" xfId="5321"/>
    <cellStyle name="Input [yellow] 2 28 9 2" xfId="16518"/>
    <cellStyle name="Input [yellow] 2 28 9 3" xfId="27686"/>
    <cellStyle name="Input [yellow] 2 28 9 4" xfId="38851"/>
    <cellStyle name="Input [yellow] 2 28 9 5" xfId="50044"/>
    <cellStyle name="Input [yellow] 2 29" xfId="429"/>
    <cellStyle name="Input [yellow] 2 29 10" xfId="5937"/>
    <cellStyle name="Input [yellow] 2 29 10 2" xfId="17134"/>
    <cellStyle name="Input [yellow] 2 29 10 3" xfId="28302"/>
    <cellStyle name="Input [yellow] 2 29 10 4" xfId="39467"/>
    <cellStyle name="Input [yellow] 2 29 10 5" xfId="50660"/>
    <cellStyle name="Input [yellow] 2 29 11" xfId="6365"/>
    <cellStyle name="Input [yellow] 2 29 11 2" xfId="17562"/>
    <cellStyle name="Input [yellow] 2 29 11 3" xfId="28730"/>
    <cellStyle name="Input [yellow] 2 29 11 4" xfId="39895"/>
    <cellStyle name="Input [yellow] 2 29 11 5" xfId="51088"/>
    <cellStyle name="Input [yellow] 2 29 12" xfId="6998"/>
    <cellStyle name="Input [yellow] 2 29 12 2" xfId="18195"/>
    <cellStyle name="Input [yellow] 2 29 12 3" xfId="29363"/>
    <cellStyle name="Input [yellow] 2 29 12 4" xfId="40528"/>
    <cellStyle name="Input [yellow] 2 29 12 5" xfId="51721"/>
    <cellStyle name="Input [yellow] 2 29 13" xfId="7632"/>
    <cellStyle name="Input [yellow] 2 29 13 2" xfId="18829"/>
    <cellStyle name="Input [yellow] 2 29 13 3" xfId="29997"/>
    <cellStyle name="Input [yellow] 2 29 13 4" xfId="41162"/>
    <cellStyle name="Input [yellow] 2 29 13 5" xfId="52355"/>
    <cellStyle name="Input [yellow] 2 29 14" xfId="8266"/>
    <cellStyle name="Input [yellow] 2 29 14 2" xfId="19463"/>
    <cellStyle name="Input [yellow] 2 29 14 3" xfId="30631"/>
    <cellStyle name="Input [yellow] 2 29 14 4" xfId="41796"/>
    <cellStyle name="Input [yellow] 2 29 14 5" xfId="52989"/>
    <cellStyle name="Input [yellow] 2 29 15" xfId="8894"/>
    <cellStyle name="Input [yellow] 2 29 15 2" xfId="20091"/>
    <cellStyle name="Input [yellow] 2 29 15 3" xfId="31259"/>
    <cellStyle name="Input [yellow] 2 29 15 4" xfId="42424"/>
    <cellStyle name="Input [yellow] 2 29 15 5" xfId="53617"/>
    <cellStyle name="Input [yellow] 2 29 16" xfId="9317"/>
    <cellStyle name="Input [yellow] 2 29 16 2" xfId="20514"/>
    <cellStyle name="Input [yellow] 2 29 16 3" xfId="31682"/>
    <cellStyle name="Input [yellow] 2 29 16 4" xfId="42847"/>
    <cellStyle name="Input [yellow] 2 29 16 5" xfId="54040"/>
    <cellStyle name="Input [yellow] 2 29 17" xfId="9943"/>
    <cellStyle name="Input [yellow] 2 29 17 2" xfId="21140"/>
    <cellStyle name="Input [yellow] 2 29 17 3" xfId="32308"/>
    <cellStyle name="Input [yellow] 2 29 17 4" xfId="43473"/>
    <cellStyle name="Input [yellow] 2 29 17 5" xfId="54666"/>
    <cellStyle name="Input [yellow] 2 29 18" xfId="9710"/>
    <cellStyle name="Input [yellow] 2 29 18 2" xfId="20907"/>
    <cellStyle name="Input [yellow] 2 29 18 3" xfId="32075"/>
    <cellStyle name="Input [yellow] 2 29 18 4" xfId="43240"/>
    <cellStyle name="Input [yellow] 2 29 18 5" xfId="54433"/>
    <cellStyle name="Input [yellow] 2 29 19" xfId="10982"/>
    <cellStyle name="Input [yellow] 2 29 19 2" xfId="22179"/>
    <cellStyle name="Input [yellow] 2 29 19 3" xfId="33347"/>
    <cellStyle name="Input [yellow] 2 29 19 4" xfId="44512"/>
    <cellStyle name="Input [yellow] 2 29 19 5" xfId="55705"/>
    <cellStyle name="Input [yellow] 2 29 2" xfId="1078"/>
    <cellStyle name="Input [yellow] 2 29 2 2" xfId="12275"/>
    <cellStyle name="Input [yellow] 2 29 2 3" xfId="23443"/>
    <cellStyle name="Input [yellow] 2 29 2 4" xfId="34608"/>
    <cellStyle name="Input [yellow] 2 29 2 5" xfId="45801"/>
    <cellStyle name="Input [yellow] 2 29 20" xfId="11629"/>
    <cellStyle name="Input [yellow] 2 29 21" xfId="22799"/>
    <cellStyle name="Input [yellow] 2 29 22" xfId="33966"/>
    <cellStyle name="Input [yellow] 2 29 23" xfId="45152"/>
    <cellStyle name="Input [yellow] 2 29 3" xfId="1831"/>
    <cellStyle name="Input [yellow] 2 29 3 2" xfId="13028"/>
    <cellStyle name="Input [yellow] 2 29 3 3" xfId="24196"/>
    <cellStyle name="Input [yellow] 2 29 3 4" xfId="35361"/>
    <cellStyle name="Input [yellow] 2 29 3 5" xfId="46554"/>
    <cellStyle name="Input [yellow] 2 29 4" xfId="2354"/>
    <cellStyle name="Input [yellow] 2 29 4 2" xfId="13551"/>
    <cellStyle name="Input [yellow] 2 29 4 3" xfId="24719"/>
    <cellStyle name="Input [yellow] 2 29 4 4" xfId="35884"/>
    <cellStyle name="Input [yellow] 2 29 4 5" xfId="47077"/>
    <cellStyle name="Input [yellow] 2 29 5" xfId="2779"/>
    <cellStyle name="Input [yellow] 2 29 5 2" xfId="13976"/>
    <cellStyle name="Input [yellow] 2 29 5 3" xfId="25144"/>
    <cellStyle name="Input [yellow] 2 29 5 4" xfId="36309"/>
    <cellStyle name="Input [yellow] 2 29 5 5" xfId="47502"/>
    <cellStyle name="Input [yellow] 2 29 6" xfId="3413"/>
    <cellStyle name="Input [yellow] 2 29 6 2" xfId="14610"/>
    <cellStyle name="Input [yellow] 2 29 6 3" xfId="25778"/>
    <cellStyle name="Input [yellow] 2 29 6 4" xfId="36943"/>
    <cellStyle name="Input [yellow] 2 29 6 5" xfId="48136"/>
    <cellStyle name="Input [yellow] 2 29 7" xfId="4047"/>
    <cellStyle name="Input [yellow] 2 29 7 2" xfId="15244"/>
    <cellStyle name="Input [yellow] 2 29 7 3" xfId="26412"/>
    <cellStyle name="Input [yellow] 2 29 7 4" xfId="37577"/>
    <cellStyle name="Input [yellow] 2 29 7 5" xfId="48770"/>
    <cellStyle name="Input [yellow] 2 29 8" xfId="4680"/>
    <cellStyle name="Input [yellow] 2 29 8 2" xfId="15877"/>
    <cellStyle name="Input [yellow] 2 29 8 3" xfId="27045"/>
    <cellStyle name="Input [yellow] 2 29 8 4" xfId="38210"/>
    <cellStyle name="Input [yellow] 2 29 8 5" xfId="49403"/>
    <cellStyle name="Input [yellow] 2 29 9" xfId="5311"/>
    <cellStyle name="Input [yellow] 2 29 9 2" xfId="16508"/>
    <cellStyle name="Input [yellow] 2 29 9 3" xfId="27676"/>
    <cellStyle name="Input [yellow] 2 29 9 4" xfId="38841"/>
    <cellStyle name="Input [yellow] 2 29 9 5" xfId="50034"/>
    <cellStyle name="Input [yellow] 2 3" xfId="53"/>
    <cellStyle name="Input [yellow] 2 3 10" xfId="539"/>
    <cellStyle name="Input [yellow] 2 3 10 10" xfId="6046"/>
    <cellStyle name="Input [yellow] 2 3 10 10 2" xfId="17243"/>
    <cellStyle name="Input [yellow] 2 3 10 10 3" xfId="28411"/>
    <cellStyle name="Input [yellow] 2 3 10 10 4" xfId="39576"/>
    <cellStyle name="Input [yellow] 2 3 10 10 5" xfId="50769"/>
    <cellStyle name="Input [yellow] 2 3 10 11" xfId="6475"/>
    <cellStyle name="Input [yellow] 2 3 10 11 2" xfId="17672"/>
    <cellStyle name="Input [yellow] 2 3 10 11 3" xfId="28840"/>
    <cellStyle name="Input [yellow] 2 3 10 11 4" xfId="40005"/>
    <cellStyle name="Input [yellow] 2 3 10 11 5" xfId="51198"/>
    <cellStyle name="Input [yellow] 2 3 10 12" xfId="7108"/>
    <cellStyle name="Input [yellow] 2 3 10 12 2" xfId="18305"/>
    <cellStyle name="Input [yellow] 2 3 10 12 3" xfId="29473"/>
    <cellStyle name="Input [yellow] 2 3 10 12 4" xfId="40638"/>
    <cellStyle name="Input [yellow] 2 3 10 12 5" xfId="51831"/>
    <cellStyle name="Input [yellow] 2 3 10 13" xfId="7742"/>
    <cellStyle name="Input [yellow] 2 3 10 13 2" xfId="18939"/>
    <cellStyle name="Input [yellow] 2 3 10 13 3" xfId="30107"/>
    <cellStyle name="Input [yellow] 2 3 10 13 4" xfId="41272"/>
    <cellStyle name="Input [yellow] 2 3 10 13 5" xfId="52465"/>
    <cellStyle name="Input [yellow] 2 3 10 14" xfId="8376"/>
    <cellStyle name="Input [yellow] 2 3 10 14 2" xfId="19573"/>
    <cellStyle name="Input [yellow] 2 3 10 14 3" xfId="30741"/>
    <cellStyle name="Input [yellow] 2 3 10 14 4" xfId="41906"/>
    <cellStyle name="Input [yellow] 2 3 10 14 5" xfId="53099"/>
    <cellStyle name="Input [yellow] 2 3 10 15" xfId="9004"/>
    <cellStyle name="Input [yellow] 2 3 10 15 2" xfId="20201"/>
    <cellStyle name="Input [yellow] 2 3 10 15 3" xfId="31369"/>
    <cellStyle name="Input [yellow] 2 3 10 15 4" xfId="42534"/>
    <cellStyle name="Input [yellow] 2 3 10 15 5" xfId="53727"/>
    <cellStyle name="Input [yellow] 2 3 10 16" xfId="9427"/>
    <cellStyle name="Input [yellow] 2 3 10 16 2" xfId="20624"/>
    <cellStyle name="Input [yellow] 2 3 10 16 3" xfId="31792"/>
    <cellStyle name="Input [yellow] 2 3 10 16 4" xfId="42957"/>
    <cellStyle name="Input [yellow] 2 3 10 16 5" xfId="54150"/>
    <cellStyle name="Input [yellow] 2 3 10 17" xfId="10052"/>
    <cellStyle name="Input [yellow] 2 3 10 17 2" xfId="21249"/>
    <cellStyle name="Input [yellow] 2 3 10 17 3" xfId="32417"/>
    <cellStyle name="Input [yellow] 2 3 10 17 4" xfId="43582"/>
    <cellStyle name="Input [yellow] 2 3 10 17 5" xfId="54775"/>
    <cellStyle name="Input [yellow] 2 3 10 18" xfId="10197"/>
    <cellStyle name="Input [yellow] 2 3 10 18 2" xfId="21394"/>
    <cellStyle name="Input [yellow] 2 3 10 18 3" xfId="32562"/>
    <cellStyle name="Input [yellow] 2 3 10 18 4" xfId="43727"/>
    <cellStyle name="Input [yellow] 2 3 10 18 5" xfId="54920"/>
    <cellStyle name="Input [yellow] 2 3 10 19" xfId="11092"/>
    <cellStyle name="Input [yellow] 2 3 10 19 2" xfId="22289"/>
    <cellStyle name="Input [yellow] 2 3 10 19 3" xfId="33457"/>
    <cellStyle name="Input [yellow] 2 3 10 19 4" xfId="44622"/>
    <cellStyle name="Input [yellow] 2 3 10 19 5" xfId="55815"/>
    <cellStyle name="Input [yellow] 2 3 10 2" xfId="1188"/>
    <cellStyle name="Input [yellow] 2 3 10 2 2" xfId="12385"/>
    <cellStyle name="Input [yellow] 2 3 10 2 3" xfId="23553"/>
    <cellStyle name="Input [yellow] 2 3 10 2 4" xfId="34718"/>
    <cellStyle name="Input [yellow] 2 3 10 2 5" xfId="45911"/>
    <cellStyle name="Input [yellow] 2 3 10 20" xfId="11739"/>
    <cellStyle name="Input [yellow] 2 3 10 21" xfId="22909"/>
    <cellStyle name="Input [yellow] 2 3 10 22" xfId="34076"/>
    <cellStyle name="Input [yellow] 2 3 10 23" xfId="45262"/>
    <cellStyle name="Input [yellow] 2 3 10 3" xfId="1469"/>
    <cellStyle name="Input [yellow] 2 3 10 3 2" xfId="12666"/>
    <cellStyle name="Input [yellow] 2 3 10 3 3" xfId="23834"/>
    <cellStyle name="Input [yellow] 2 3 10 3 4" xfId="34999"/>
    <cellStyle name="Input [yellow] 2 3 10 3 5" xfId="46192"/>
    <cellStyle name="Input [yellow] 2 3 10 4" xfId="2464"/>
    <cellStyle name="Input [yellow] 2 3 10 4 2" xfId="13661"/>
    <cellStyle name="Input [yellow] 2 3 10 4 3" xfId="24829"/>
    <cellStyle name="Input [yellow] 2 3 10 4 4" xfId="35994"/>
    <cellStyle name="Input [yellow] 2 3 10 4 5" xfId="47187"/>
    <cellStyle name="Input [yellow] 2 3 10 5" xfId="2889"/>
    <cellStyle name="Input [yellow] 2 3 10 5 2" xfId="14086"/>
    <cellStyle name="Input [yellow] 2 3 10 5 3" xfId="25254"/>
    <cellStyle name="Input [yellow] 2 3 10 5 4" xfId="36419"/>
    <cellStyle name="Input [yellow] 2 3 10 5 5" xfId="47612"/>
    <cellStyle name="Input [yellow] 2 3 10 6" xfId="3523"/>
    <cellStyle name="Input [yellow] 2 3 10 6 2" xfId="14720"/>
    <cellStyle name="Input [yellow] 2 3 10 6 3" xfId="25888"/>
    <cellStyle name="Input [yellow] 2 3 10 6 4" xfId="37053"/>
    <cellStyle name="Input [yellow] 2 3 10 6 5" xfId="48246"/>
    <cellStyle name="Input [yellow] 2 3 10 7" xfId="4157"/>
    <cellStyle name="Input [yellow] 2 3 10 7 2" xfId="15354"/>
    <cellStyle name="Input [yellow] 2 3 10 7 3" xfId="26522"/>
    <cellStyle name="Input [yellow] 2 3 10 7 4" xfId="37687"/>
    <cellStyle name="Input [yellow] 2 3 10 7 5" xfId="48880"/>
    <cellStyle name="Input [yellow] 2 3 10 8" xfId="4790"/>
    <cellStyle name="Input [yellow] 2 3 10 8 2" xfId="15987"/>
    <cellStyle name="Input [yellow] 2 3 10 8 3" xfId="27155"/>
    <cellStyle name="Input [yellow] 2 3 10 8 4" xfId="38320"/>
    <cellStyle name="Input [yellow] 2 3 10 8 5" xfId="49513"/>
    <cellStyle name="Input [yellow] 2 3 10 9" xfId="5421"/>
    <cellStyle name="Input [yellow] 2 3 10 9 2" xfId="16618"/>
    <cellStyle name="Input [yellow] 2 3 10 9 3" xfId="27786"/>
    <cellStyle name="Input [yellow] 2 3 10 9 4" xfId="38951"/>
    <cellStyle name="Input [yellow] 2 3 10 9 5" xfId="50144"/>
    <cellStyle name="Input [yellow] 2 3 11" xfId="667"/>
    <cellStyle name="Input [yellow] 2 3 11 10" xfId="6055"/>
    <cellStyle name="Input [yellow] 2 3 11 10 2" xfId="17252"/>
    <cellStyle name="Input [yellow] 2 3 11 10 3" xfId="28420"/>
    <cellStyle name="Input [yellow] 2 3 11 10 4" xfId="39585"/>
    <cellStyle name="Input [yellow] 2 3 11 10 5" xfId="50778"/>
    <cellStyle name="Input [yellow] 2 3 11 11" xfId="6603"/>
    <cellStyle name="Input [yellow] 2 3 11 11 2" xfId="17800"/>
    <cellStyle name="Input [yellow] 2 3 11 11 3" xfId="28968"/>
    <cellStyle name="Input [yellow] 2 3 11 11 4" xfId="40133"/>
    <cellStyle name="Input [yellow] 2 3 11 11 5" xfId="51326"/>
    <cellStyle name="Input [yellow] 2 3 11 12" xfId="7236"/>
    <cellStyle name="Input [yellow] 2 3 11 12 2" xfId="18433"/>
    <cellStyle name="Input [yellow] 2 3 11 12 3" xfId="29601"/>
    <cellStyle name="Input [yellow] 2 3 11 12 4" xfId="40766"/>
    <cellStyle name="Input [yellow] 2 3 11 12 5" xfId="51959"/>
    <cellStyle name="Input [yellow] 2 3 11 13" xfId="7870"/>
    <cellStyle name="Input [yellow] 2 3 11 13 2" xfId="19067"/>
    <cellStyle name="Input [yellow] 2 3 11 13 3" xfId="30235"/>
    <cellStyle name="Input [yellow] 2 3 11 13 4" xfId="41400"/>
    <cellStyle name="Input [yellow] 2 3 11 13 5" xfId="52593"/>
    <cellStyle name="Input [yellow] 2 3 11 14" xfId="8504"/>
    <cellStyle name="Input [yellow] 2 3 11 14 2" xfId="19701"/>
    <cellStyle name="Input [yellow] 2 3 11 14 3" xfId="30869"/>
    <cellStyle name="Input [yellow] 2 3 11 14 4" xfId="42034"/>
    <cellStyle name="Input [yellow] 2 3 11 14 5" xfId="53227"/>
    <cellStyle name="Input [yellow] 2 3 11 15" xfId="9132"/>
    <cellStyle name="Input [yellow] 2 3 11 15 2" xfId="20329"/>
    <cellStyle name="Input [yellow] 2 3 11 15 3" xfId="31497"/>
    <cellStyle name="Input [yellow] 2 3 11 15 4" xfId="42662"/>
    <cellStyle name="Input [yellow] 2 3 11 15 5" xfId="53855"/>
    <cellStyle name="Input [yellow] 2 3 11 16" xfId="9555"/>
    <cellStyle name="Input [yellow] 2 3 11 16 2" xfId="20752"/>
    <cellStyle name="Input [yellow] 2 3 11 16 3" xfId="31920"/>
    <cellStyle name="Input [yellow] 2 3 11 16 4" xfId="43085"/>
    <cellStyle name="Input [yellow] 2 3 11 16 5" xfId="54278"/>
    <cellStyle name="Input [yellow] 2 3 11 17" xfId="10179"/>
    <cellStyle name="Input [yellow] 2 3 11 17 2" xfId="21376"/>
    <cellStyle name="Input [yellow] 2 3 11 17 3" xfId="32544"/>
    <cellStyle name="Input [yellow] 2 3 11 17 4" xfId="43709"/>
    <cellStyle name="Input [yellow] 2 3 11 17 5" xfId="54902"/>
    <cellStyle name="Input [yellow] 2 3 11 18" xfId="10149"/>
    <cellStyle name="Input [yellow] 2 3 11 18 2" xfId="21346"/>
    <cellStyle name="Input [yellow] 2 3 11 18 3" xfId="32514"/>
    <cellStyle name="Input [yellow] 2 3 11 18 4" xfId="43679"/>
    <cellStyle name="Input [yellow] 2 3 11 18 5" xfId="54872"/>
    <cellStyle name="Input [yellow] 2 3 11 19" xfId="11220"/>
    <cellStyle name="Input [yellow] 2 3 11 19 2" xfId="22417"/>
    <cellStyle name="Input [yellow] 2 3 11 19 3" xfId="33585"/>
    <cellStyle name="Input [yellow] 2 3 11 19 4" xfId="44750"/>
    <cellStyle name="Input [yellow] 2 3 11 19 5" xfId="55943"/>
    <cellStyle name="Input [yellow] 2 3 11 2" xfId="1316"/>
    <cellStyle name="Input [yellow] 2 3 11 2 2" xfId="12513"/>
    <cellStyle name="Input [yellow] 2 3 11 2 3" xfId="23681"/>
    <cellStyle name="Input [yellow] 2 3 11 2 4" xfId="34846"/>
    <cellStyle name="Input [yellow] 2 3 11 2 5" xfId="46039"/>
    <cellStyle name="Input [yellow] 2 3 11 20" xfId="11867"/>
    <cellStyle name="Input [yellow] 2 3 11 21" xfId="23037"/>
    <cellStyle name="Input [yellow] 2 3 11 22" xfId="34204"/>
    <cellStyle name="Input [yellow] 2 3 11 23" xfId="45390"/>
    <cellStyle name="Input [yellow] 2 3 11 3" xfId="677"/>
    <cellStyle name="Input [yellow] 2 3 11 3 2" xfId="11877"/>
    <cellStyle name="Input [yellow] 2 3 11 3 3" xfId="23047"/>
    <cellStyle name="Input [yellow] 2 3 11 3 4" xfId="34214"/>
    <cellStyle name="Input [yellow] 2 3 11 3 5" xfId="45400"/>
    <cellStyle name="Input [yellow] 2 3 11 4" xfId="2591"/>
    <cellStyle name="Input [yellow] 2 3 11 4 2" xfId="13788"/>
    <cellStyle name="Input [yellow] 2 3 11 4 3" xfId="24956"/>
    <cellStyle name="Input [yellow] 2 3 11 4 4" xfId="36121"/>
    <cellStyle name="Input [yellow] 2 3 11 4 5" xfId="47314"/>
    <cellStyle name="Input [yellow] 2 3 11 5" xfId="3017"/>
    <cellStyle name="Input [yellow] 2 3 11 5 2" xfId="14214"/>
    <cellStyle name="Input [yellow] 2 3 11 5 3" xfId="25382"/>
    <cellStyle name="Input [yellow] 2 3 11 5 4" xfId="36547"/>
    <cellStyle name="Input [yellow] 2 3 11 5 5" xfId="47740"/>
    <cellStyle name="Input [yellow] 2 3 11 6" xfId="3651"/>
    <cellStyle name="Input [yellow] 2 3 11 6 2" xfId="14848"/>
    <cellStyle name="Input [yellow] 2 3 11 6 3" xfId="26016"/>
    <cellStyle name="Input [yellow] 2 3 11 6 4" xfId="37181"/>
    <cellStyle name="Input [yellow] 2 3 11 6 5" xfId="48374"/>
    <cellStyle name="Input [yellow] 2 3 11 7" xfId="4285"/>
    <cellStyle name="Input [yellow] 2 3 11 7 2" xfId="15482"/>
    <cellStyle name="Input [yellow] 2 3 11 7 3" xfId="26650"/>
    <cellStyle name="Input [yellow] 2 3 11 7 4" xfId="37815"/>
    <cellStyle name="Input [yellow] 2 3 11 7 5" xfId="49008"/>
    <cellStyle name="Input [yellow] 2 3 11 8" xfId="4918"/>
    <cellStyle name="Input [yellow] 2 3 11 8 2" xfId="16115"/>
    <cellStyle name="Input [yellow] 2 3 11 8 3" xfId="27283"/>
    <cellStyle name="Input [yellow] 2 3 11 8 4" xfId="38448"/>
    <cellStyle name="Input [yellow] 2 3 11 8 5" xfId="49641"/>
    <cellStyle name="Input [yellow] 2 3 11 9" xfId="5549"/>
    <cellStyle name="Input [yellow] 2 3 11 9 2" xfId="16746"/>
    <cellStyle name="Input [yellow] 2 3 11 9 3" xfId="27914"/>
    <cellStyle name="Input [yellow] 2 3 11 9 4" xfId="39079"/>
    <cellStyle name="Input [yellow] 2 3 11 9 5" xfId="50272"/>
    <cellStyle name="Input [yellow] 2 3 12" xfId="704"/>
    <cellStyle name="Input [yellow] 2 3 12 2" xfId="11902"/>
    <cellStyle name="Input [yellow] 2 3 12 3" xfId="23071"/>
    <cellStyle name="Input [yellow] 2 3 12 4" xfId="34236"/>
    <cellStyle name="Input [yellow] 2 3 12 5" xfId="45427"/>
    <cellStyle name="Input [yellow] 2 3 13" xfId="1364"/>
    <cellStyle name="Input [yellow] 2 3 13 2" xfId="12561"/>
    <cellStyle name="Input [yellow] 2 3 13 3" xfId="23729"/>
    <cellStyle name="Input [yellow] 2 3 13 4" xfId="34894"/>
    <cellStyle name="Input [yellow] 2 3 13 5" xfId="46087"/>
    <cellStyle name="Input [yellow] 2 3 14" xfId="1979"/>
    <cellStyle name="Input [yellow] 2 3 14 2" xfId="13176"/>
    <cellStyle name="Input [yellow] 2 3 14 3" xfId="24344"/>
    <cellStyle name="Input [yellow] 2 3 14 4" xfId="35509"/>
    <cellStyle name="Input [yellow] 2 3 14 5" xfId="46702"/>
    <cellStyle name="Input [yellow] 2 3 15" xfId="2469"/>
    <cellStyle name="Input [yellow] 2 3 15 2" xfId="13666"/>
    <cellStyle name="Input [yellow] 2 3 15 3" xfId="24834"/>
    <cellStyle name="Input [yellow] 2 3 15 4" xfId="35999"/>
    <cellStyle name="Input [yellow] 2 3 15 5" xfId="47192"/>
    <cellStyle name="Input [yellow] 2 3 16" xfId="3037"/>
    <cellStyle name="Input [yellow] 2 3 16 2" xfId="14234"/>
    <cellStyle name="Input [yellow] 2 3 16 3" xfId="25402"/>
    <cellStyle name="Input [yellow] 2 3 16 4" xfId="36567"/>
    <cellStyle name="Input [yellow] 2 3 16 5" xfId="47760"/>
    <cellStyle name="Input [yellow] 2 3 17" xfId="3672"/>
    <cellStyle name="Input [yellow] 2 3 17 2" xfId="14869"/>
    <cellStyle name="Input [yellow] 2 3 17 3" xfId="26037"/>
    <cellStyle name="Input [yellow] 2 3 17 4" xfId="37202"/>
    <cellStyle name="Input [yellow] 2 3 17 5" xfId="48395"/>
    <cellStyle name="Input [yellow] 2 3 18" xfId="4304"/>
    <cellStyle name="Input [yellow] 2 3 18 2" xfId="15501"/>
    <cellStyle name="Input [yellow] 2 3 18 3" xfId="26669"/>
    <cellStyle name="Input [yellow] 2 3 18 4" xfId="37834"/>
    <cellStyle name="Input [yellow] 2 3 18 5" xfId="49027"/>
    <cellStyle name="Input [yellow] 2 3 19" xfId="4937"/>
    <cellStyle name="Input [yellow] 2 3 19 2" xfId="16134"/>
    <cellStyle name="Input [yellow] 2 3 19 3" xfId="27302"/>
    <cellStyle name="Input [yellow] 2 3 19 4" xfId="38467"/>
    <cellStyle name="Input [yellow] 2 3 19 5" xfId="49660"/>
    <cellStyle name="Input [yellow] 2 3 2" xfId="119"/>
    <cellStyle name="Input [yellow] 2 3 2 10" xfId="6149"/>
    <cellStyle name="Input [yellow] 2 3 2 10 2" xfId="17346"/>
    <cellStyle name="Input [yellow] 2 3 2 10 3" xfId="28514"/>
    <cellStyle name="Input [yellow] 2 3 2 10 4" xfId="39679"/>
    <cellStyle name="Input [yellow] 2 3 2 10 5" xfId="50872"/>
    <cellStyle name="Input [yellow] 2 3 2 11" xfId="5747"/>
    <cellStyle name="Input [yellow] 2 3 2 11 2" xfId="16944"/>
    <cellStyle name="Input [yellow] 2 3 2 11 3" xfId="28112"/>
    <cellStyle name="Input [yellow] 2 3 2 11 4" xfId="39277"/>
    <cellStyle name="Input [yellow] 2 3 2 11 5" xfId="50470"/>
    <cellStyle name="Input [yellow] 2 3 2 12" xfId="6688"/>
    <cellStyle name="Input [yellow] 2 3 2 12 2" xfId="17885"/>
    <cellStyle name="Input [yellow] 2 3 2 12 3" xfId="29053"/>
    <cellStyle name="Input [yellow] 2 3 2 12 4" xfId="40218"/>
    <cellStyle name="Input [yellow] 2 3 2 12 5" xfId="51411"/>
    <cellStyle name="Input [yellow] 2 3 2 13" xfId="7322"/>
    <cellStyle name="Input [yellow] 2 3 2 13 2" xfId="18519"/>
    <cellStyle name="Input [yellow] 2 3 2 13 3" xfId="29687"/>
    <cellStyle name="Input [yellow] 2 3 2 13 4" xfId="40852"/>
    <cellStyle name="Input [yellow] 2 3 2 13 5" xfId="52045"/>
    <cellStyle name="Input [yellow] 2 3 2 14" xfId="7956"/>
    <cellStyle name="Input [yellow] 2 3 2 14 2" xfId="19153"/>
    <cellStyle name="Input [yellow] 2 3 2 14 3" xfId="30321"/>
    <cellStyle name="Input [yellow] 2 3 2 14 4" xfId="41486"/>
    <cellStyle name="Input [yellow] 2 3 2 14 5" xfId="52679"/>
    <cellStyle name="Input [yellow] 2 3 2 15" xfId="8587"/>
    <cellStyle name="Input [yellow] 2 3 2 15 2" xfId="19784"/>
    <cellStyle name="Input [yellow] 2 3 2 15 3" xfId="30952"/>
    <cellStyle name="Input [yellow] 2 3 2 15 4" xfId="42117"/>
    <cellStyle name="Input [yellow] 2 3 2 15 5" xfId="53310"/>
    <cellStyle name="Input [yellow] 2 3 2 16" xfId="9113"/>
    <cellStyle name="Input [yellow] 2 3 2 16 2" xfId="20310"/>
    <cellStyle name="Input [yellow] 2 3 2 16 3" xfId="31478"/>
    <cellStyle name="Input [yellow] 2 3 2 16 4" xfId="42643"/>
    <cellStyle name="Input [yellow] 2 3 2 16 5" xfId="53836"/>
    <cellStyle name="Input [yellow] 2 3 2 17" xfId="9640"/>
    <cellStyle name="Input [yellow] 2 3 2 17 2" xfId="20837"/>
    <cellStyle name="Input [yellow] 2 3 2 17 3" xfId="32005"/>
    <cellStyle name="Input [yellow] 2 3 2 17 4" xfId="43170"/>
    <cellStyle name="Input [yellow] 2 3 2 17 5" xfId="54363"/>
    <cellStyle name="Input [yellow] 2 3 2 18" xfId="10448"/>
    <cellStyle name="Input [yellow] 2 3 2 18 2" xfId="21645"/>
    <cellStyle name="Input [yellow] 2 3 2 18 3" xfId="32813"/>
    <cellStyle name="Input [yellow] 2 3 2 18 4" xfId="43978"/>
    <cellStyle name="Input [yellow] 2 3 2 18 5" xfId="55171"/>
    <cellStyle name="Input [yellow] 2 3 2 19" xfId="10672"/>
    <cellStyle name="Input [yellow] 2 3 2 19 2" xfId="21869"/>
    <cellStyle name="Input [yellow] 2 3 2 19 3" xfId="33037"/>
    <cellStyle name="Input [yellow] 2 3 2 19 4" xfId="44202"/>
    <cellStyle name="Input [yellow] 2 3 2 19 5" xfId="55395"/>
    <cellStyle name="Input [yellow] 2 3 2 2" xfId="768"/>
    <cellStyle name="Input [yellow] 2 3 2 2 2" xfId="11965"/>
    <cellStyle name="Input [yellow] 2 3 2 2 3" xfId="23133"/>
    <cellStyle name="Input [yellow] 2 3 2 2 4" xfId="34298"/>
    <cellStyle name="Input [yellow] 2 3 2 2 5" xfId="45491"/>
    <cellStyle name="Input [yellow] 2 3 2 20" xfId="11319"/>
    <cellStyle name="Input [yellow] 2 3 2 21" xfId="22489"/>
    <cellStyle name="Input [yellow] 2 3 2 22" xfId="33656"/>
    <cellStyle name="Input [yellow] 2 3 2 23" xfId="44842"/>
    <cellStyle name="Input [yellow] 2 3 2 3" xfId="1744"/>
    <cellStyle name="Input [yellow] 2 3 2 3 2" xfId="12941"/>
    <cellStyle name="Input [yellow] 2 3 2 3 3" xfId="24109"/>
    <cellStyle name="Input [yellow] 2 3 2 3 4" xfId="35274"/>
    <cellStyle name="Input [yellow] 2 3 2 3 5" xfId="46467"/>
    <cellStyle name="Input [yellow] 2 3 2 4" xfId="2045"/>
    <cellStyle name="Input [yellow] 2 3 2 4 2" xfId="13242"/>
    <cellStyle name="Input [yellow] 2 3 2 4 3" xfId="24410"/>
    <cellStyle name="Input [yellow] 2 3 2 4 4" xfId="35575"/>
    <cellStyle name="Input [yellow] 2 3 2 4 5" xfId="46768"/>
    <cellStyle name="Input [yellow] 2 3 2 5" xfId="2448"/>
    <cellStyle name="Input [yellow] 2 3 2 5 2" xfId="13645"/>
    <cellStyle name="Input [yellow] 2 3 2 5 3" xfId="24813"/>
    <cellStyle name="Input [yellow] 2 3 2 5 4" xfId="35978"/>
    <cellStyle name="Input [yellow] 2 3 2 5 5" xfId="47171"/>
    <cellStyle name="Input [yellow] 2 3 2 6" xfId="3103"/>
    <cellStyle name="Input [yellow] 2 3 2 6 2" xfId="14300"/>
    <cellStyle name="Input [yellow] 2 3 2 6 3" xfId="25468"/>
    <cellStyle name="Input [yellow] 2 3 2 6 4" xfId="36633"/>
    <cellStyle name="Input [yellow] 2 3 2 6 5" xfId="47826"/>
    <cellStyle name="Input [yellow] 2 3 2 7" xfId="3737"/>
    <cellStyle name="Input [yellow] 2 3 2 7 2" xfId="14934"/>
    <cellStyle name="Input [yellow] 2 3 2 7 3" xfId="26102"/>
    <cellStyle name="Input [yellow] 2 3 2 7 4" xfId="37267"/>
    <cellStyle name="Input [yellow] 2 3 2 7 5" xfId="48460"/>
    <cellStyle name="Input [yellow] 2 3 2 8" xfId="4370"/>
    <cellStyle name="Input [yellow] 2 3 2 8 2" xfId="15567"/>
    <cellStyle name="Input [yellow] 2 3 2 8 3" xfId="26735"/>
    <cellStyle name="Input [yellow] 2 3 2 8 4" xfId="37900"/>
    <cellStyle name="Input [yellow] 2 3 2 8 5" xfId="49093"/>
    <cellStyle name="Input [yellow] 2 3 2 9" xfId="5001"/>
    <cellStyle name="Input [yellow] 2 3 2 9 2" xfId="16198"/>
    <cellStyle name="Input [yellow] 2 3 2 9 3" xfId="27366"/>
    <cellStyle name="Input [yellow] 2 3 2 9 4" xfId="38531"/>
    <cellStyle name="Input [yellow] 2 3 2 9 5" xfId="49724"/>
    <cellStyle name="Input [yellow] 2 3 20" xfId="6150"/>
    <cellStyle name="Input [yellow] 2 3 20 2" xfId="17347"/>
    <cellStyle name="Input [yellow] 2 3 20 3" xfId="28515"/>
    <cellStyle name="Input [yellow] 2 3 20 4" xfId="39680"/>
    <cellStyle name="Input [yellow] 2 3 20 5" xfId="50873"/>
    <cellStyle name="Input [yellow] 2 3 21" xfId="5871"/>
    <cellStyle name="Input [yellow] 2 3 21 2" xfId="17068"/>
    <cellStyle name="Input [yellow] 2 3 21 3" xfId="28236"/>
    <cellStyle name="Input [yellow] 2 3 21 4" xfId="39401"/>
    <cellStyle name="Input [yellow] 2 3 21 5" xfId="50594"/>
    <cellStyle name="Input [yellow] 2 3 22" xfId="6624"/>
    <cellStyle name="Input [yellow] 2 3 22 2" xfId="17821"/>
    <cellStyle name="Input [yellow] 2 3 22 3" xfId="28989"/>
    <cellStyle name="Input [yellow] 2 3 22 4" xfId="40154"/>
    <cellStyle name="Input [yellow] 2 3 22 5" xfId="51347"/>
    <cellStyle name="Input [yellow] 2 3 23" xfId="7256"/>
    <cellStyle name="Input [yellow] 2 3 23 2" xfId="18453"/>
    <cellStyle name="Input [yellow] 2 3 23 3" xfId="29621"/>
    <cellStyle name="Input [yellow] 2 3 23 4" xfId="40786"/>
    <cellStyle name="Input [yellow] 2 3 23 5" xfId="51979"/>
    <cellStyle name="Input [yellow] 2 3 24" xfId="7890"/>
    <cellStyle name="Input [yellow] 2 3 24 2" xfId="19087"/>
    <cellStyle name="Input [yellow] 2 3 24 3" xfId="30255"/>
    <cellStyle name="Input [yellow] 2 3 24 4" xfId="41420"/>
    <cellStyle name="Input [yellow] 2 3 24 5" xfId="52613"/>
    <cellStyle name="Input [yellow] 2 3 25" xfId="8523"/>
    <cellStyle name="Input [yellow] 2 3 25 2" xfId="19720"/>
    <cellStyle name="Input [yellow] 2 3 25 3" xfId="30888"/>
    <cellStyle name="Input [yellow] 2 3 25 4" xfId="42053"/>
    <cellStyle name="Input [yellow] 2 3 25 5" xfId="53246"/>
    <cellStyle name="Input [yellow] 2 3 26" xfId="9134"/>
    <cellStyle name="Input [yellow] 2 3 26 2" xfId="20331"/>
    <cellStyle name="Input [yellow] 2 3 26 3" xfId="31499"/>
    <cellStyle name="Input [yellow] 2 3 26 4" xfId="42664"/>
    <cellStyle name="Input [yellow] 2 3 26 5" xfId="53857"/>
    <cellStyle name="Input [yellow] 2 3 27" xfId="9575"/>
    <cellStyle name="Input [yellow] 2 3 27 2" xfId="20772"/>
    <cellStyle name="Input [yellow] 2 3 27 3" xfId="31940"/>
    <cellStyle name="Input [yellow] 2 3 27 4" xfId="43105"/>
    <cellStyle name="Input [yellow] 2 3 27 5" xfId="54298"/>
    <cellStyle name="Input [yellow] 2 3 28" xfId="10393"/>
    <cellStyle name="Input [yellow] 2 3 28 2" xfId="21590"/>
    <cellStyle name="Input [yellow] 2 3 28 3" xfId="32758"/>
    <cellStyle name="Input [yellow] 2 3 28 4" xfId="43923"/>
    <cellStyle name="Input [yellow] 2 3 28 5" xfId="55116"/>
    <cellStyle name="Input [yellow] 2 3 29" xfId="10610"/>
    <cellStyle name="Input [yellow] 2 3 29 2" xfId="21807"/>
    <cellStyle name="Input [yellow] 2 3 29 3" xfId="32975"/>
    <cellStyle name="Input [yellow] 2 3 29 4" xfId="44140"/>
    <cellStyle name="Input [yellow] 2 3 29 5" xfId="55333"/>
    <cellStyle name="Input [yellow] 2 3 3" xfId="174"/>
    <cellStyle name="Input [yellow] 2 3 3 10" xfId="6134"/>
    <cellStyle name="Input [yellow] 2 3 3 10 2" xfId="17331"/>
    <cellStyle name="Input [yellow] 2 3 3 10 3" xfId="28499"/>
    <cellStyle name="Input [yellow] 2 3 3 10 4" xfId="39664"/>
    <cellStyle name="Input [yellow] 2 3 3 10 5" xfId="50857"/>
    <cellStyle name="Input [yellow] 2 3 3 11" xfId="5837"/>
    <cellStyle name="Input [yellow] 2 3 3 11 2" xfId="17034"/>
    <cellStyle name="Input [yellow] 2 3 3 11 3" xfId="28202"/>
    <cellStyle name="Input [yellow] 2 3 3 11 4" xfId="39367"/>
    <cellStyle name="Input [yellow] 2 3 3 11 5" xfId="50560"/>
    <cellStyle name="Input [yellow] 2 3 3 12" xfId="6743"/>
    <cellStyle name="Input [yellow] 2 3 3 12 2" xfId="17940"/>
    <cellStyle name="Input [yellow] 2 3 3 12 3" xfId="29108"/>
    <cellStyle name="Input [yellow] 2 3 3 12 4" xfId="40273"/>
    <cellStyle name="Input [yellow] 2 3 3 12 5" xfId="51466"/>
    <cellStyle name="Input [yellow] 2 3 3 13" xfId="7377"/>
    <cellStyle name="Input [yellow] 2 3 3 13 2" xfId="18574"/>
    <cellStyle name="Input [yellow] 2 3 3 13 3" xfId="29742"/>
    <cellStyle name="Input [yellow] 2 3 3 13 4" xfId="40907"/>
    <cellStyle name="Input [yellow] 2 3 3 13 5" xfId="52100"/>
    <cellStyle name="Input [yellow] 2 3 3 14" xfId="8011"/>
    <cellStyle name="Input [yellow] 2 3 3 14 2" xfId="19208"/>
    <cellStyle name="Input [yellow] 2 3 3 14 3" xfId="30376"/>
    <cellStyle name="Input [yellow] 2 3 3 14 4" xfId="41541"/>
    <cellStyle name="Input [yellow] 2 3 3 14 5" xfId="52734"/>
    <cellStyle name="Input [yellow] 2 3 3 15" xfId="8642"/>
    <cellStyle name="Input [yellow] 2 3 3 15 2" xfId="19839"/>
    <cellStyle name="Input [yellow] 2 3 3 15 3" xfId="31007"/>
    <cellStyle name="Input [yellow] 2 3 3 15 4" xfId="42172"/>
    <cellStyle name="Input [yellow] 2 3 3 15 5" xfId="53365"/>
    <cellStyle name="Input [yellow] 2 3 3 16" xfId="8633"/>
    <cellStyle name="Input [yellow] 2 3 3 16 2" xfId="19830"/>
    <cellStyle name="Input [yellow] 2 3 3 16 3" xfId="30998"/>
    <cellStyle name="Input [yellow] 2 3 3 16 4" xfId="42163"/>
    <cellStyle name="Input [yellow] 2 3 3 16 5" xfId="53356"/>
    <cellStyle name="Input [yellow] 2 3 3 17" xfId="9694"/>
    <cellStyle name="Input [yellow] 2 3 3 17 2" xfId="20891"/>
    <cellStyle name="Input [yellow] 2 3 3 17 3" xfId="32059"/>
    <cellStyle name="Input [yellow] 2 3 3 17 4" xfId="43224"/>
    <cellStyle name="Input [yellow] 2 3 3 17 5" xfId="54417"/>
    <cellStyle name="Input [yellow] 2 3 3 18" xfId="9707"/>
    <cellStyle name="Input [yellow] 2 3 3 18 2" xfId="20904"/>
    <cellStyle name="Input [yellow] 2 3 3 18 3" xfId="32072"/>
    <cellStyle name="Input [yellow] 2 3 3 18 4" xfId="43237"/>
    <cellStyle name="Input [yellow] 2 3 3 18 5" xfId="54430"/>
    <cellStyle name="Input [yellow] 2 3 3 19" xfId="10727"/>
    <cellStyle name="Input [yellow] 2 3 3 19 2" xfId="21924"/>
    <cellStyle name="Input [yellow] 2 3 3 19 3" xfId="33092"/>
    <cellStyle name="Input [yellow] 2 3 3 19 4" xfId="44257"/>
    <cellStyle name="Input [yellow] 2 3 3 19 5" xfId="55450"/>
    <cellStyle name="Input [yellow] 2 3 3 2" xfId="823"/>
    <cellStyle name="Input [yellow] 2 3 3 2 2" xfId="12020"/>
    <cellStyle name="Input [yellow] 2 3 3 2 3" xfId="23188"/>
    <cellStyle name="Input [yellow] 2 3 3 2 4" xfId="34353"/>
    <cellStyle name="Input [yellow] 2 3 3 2 5" xfId="45546"/>
    <cellStyle name="Input [yellow] 2 3 3 20" xfId="11374"/>
    <cellStyle name="Input [yellow] 2 3 3 21" xfId="22544"/>
    <cellStyle name="Input [yellow] 2 3 3 22" xfId="33711"/>
    <cellStyle name="Input [yellow] 2 3 3 23" xfId="44897"/>
    <cellStyle name="Input [yellow] 2 3 3 3" xfId="1842"/>
    <cellStyle name="Input [yellow] 2 3 3 3 2" xfId="13039"/>
    <cellStyle name="Input [yellow] 2 3 3 3 3" xfId="24207"/>
    <cellStyle name="Input [yellow] 2 3 3 3 4" xfId="35372"/>
    <cellStyle name="Input [yellow] 2 3 3 3 5" xfId="46565"/>
    <cellStyle name="Input [yellow] 2 3 3 4" xfId="2100"/>
    <cellStyle name="Input [yellow] 2 3 3 4 2" xfId="13297"/>
    <cellStyle name="Input [yellow] 2 3 3 4 3" xfId="24465"/>
    <cellStyle name="Input [yellow] 2 3 3 4 4" xfId="35630"/>
    <cellStyle name="Input [yellow] 2 3 3 4 5" xfId="46823"/>
    <cellStyle name="Input [yellow] 2 3 3 5" xfId="2028"/>
    <cellStyle name="Input [yellow] 2 3 3 5 2" xfId="13225"/>
    <cellStyle name="Input [yellow] 2 3 3 5 3" xfId="24393"/>
    <cellStyle name="Input [yellow] 2 3 3 5 4" xfId="35558"/>
    <cellStyle name="Input [yellow] 2 3 3 5 5" xfId="46751"/>
    <cellStyle name="Input [yellow] 2 3 3 6" xfId="3158"/>
    <cellStyle name="Input [yellow] 2 3 3 6 2" xfId="14355"/>
    <cellStyle name="Input [yellow] 2 3 3 6 3" xfId="25523"/>
    <cellStyle name="Input [yellow] 2 3 3 6 4" xfId="36688"/>
    <cellStyle name="Input [yellow] 2 3 3 6 5" xfId="47881"/>
    <cellStyle name="Input [yellow] 2 3 3 7" xfId="3792"/>
    <cellStyle name="Input [yellow] 2 3 3 7 2" xfId="14989"/>
    <cellStyle name="Input [yellow] 2 3 3 7 3" xfId="26157"/>
    <cellStyle name="Input [yellow] 2 3 3 7 4" xfId="37322"/>
    <cellStyle name="Input [yellow] 2 3 3 7 5" xfId="48515"/>
    <cellStyle name="Input [yellow] 2 3 3 8" xfId="4425"/>
    <cellStyle name="Input [yellow] 2 3 3 8 2" xfId="15622"/>
    <cellStyle name="Input [yellow] 2 3 3 8 3" xfId="26790"/>
    <cellStyle name="Input [yellow] 2 3 3 8 4" xfId="37955"/>
    <cellStyle name="Input [yellow] 2 3 3 8 5" xfId="49148"/>
    <cellStyle name="Input [yellow] 2 3 3 9" xfId="5056"/>
    <cellStyle name="Input [yellow] 2 3 3 9 2" xfId="16253"/>
    <cellStyle name="Input [yellow] 2 3 3 9 3" xfId="27421"/>
    <cellStyle name="Input [yellow] 2 3 3 9 4" xfId="38586"/>
    <cellStyle name="Input [yellow] 2 3 3 9 5" xfId="49779"/>
    <cellStyle name="Input [yellow] 2 3 30" xfId="11254"/>
    <cellStyle name="Input [yellow] 2 3 31" xfId="22427"/>
    <cellStyle name="Input [yellow] 2 3 32" xfId="33594"/>
    <cellStyle name="Input [yellow] 2 3 33" xfId="44778"/>
    <cellStyle name="Input [yellow] 2 3 4" xfId="271"/>
    <cellStyle name="Input [yellow] 2 3 4 10" xfId="6087"/>
    <cellStyle name="Input [yellow] 2 3 4 10 2" xfId="17284"/>
    <cellStyle name="Input [yellow] 2 3 4 10 3" xfId="28452"/>
    <cellStyle name="Input [yellow] 2 3 4 10 4" xfId="39617"/>
    <cellStyle name="Input [yellow] 2 3 4 10 5" xfId="50810"/>
    <cellStyle name="Input [yellow] 2 3 4 11" xfId="6207"/>
    <cellStyle name="Input [yellow] 2 3 4 11 2" xfId="17404"/>
    <cellStyle name="Input [yellow] 2 3 4 11 3" xfId="28572"/>
    <cellStyle name="Input [yellow] 2 3 4 11 4" xfId="39737"/>
    <cellStyle name="Input [yellow] 2 3 4 11 5" xfId="50930"/>
    <cellStyle name="Input [yellow] 2 3 4 12" xfId="6840"/>
    <cellStyle name="Input [yellow] 2 3 4 12 2" xfId="18037"/>
    <cellStyle name="Input [yellow] 2 3 4 12 3" xfId="29205"/>
    <cellStyle name="Input [yellow] 2 3 4 12 4" xfId="40370"/>
    <cellStyle name="Input [yellow] 2 3 4 12 5" xfId="51563"/>
    <cellStyle name="Input [yellow] 2 3 4 13" xfId="7474"/>
    <cellStyle name="Input [yellow] 2 3 4 13 2" xfId="18671"/>
    <cellStyle name="Input [yellow] 2 3 4 13 3" xfId="29839"/>
    <cellStyle name="Input [yellow] 2 3 4 13 4" xfId="41004"/>
    <cellStyle name="Input [yellow] 2 3 4 13 5" xfId="52197"/>
    <cellStyle name="Input [yellow] 2 3 4 14" xfId="8108"/>
    <cellStyle name="Input [yellow] 2 3 4 14 2" xfId="19305"/>
    <cellStyle name="Input [yellow] 2 3 4 14 3" xfId="30473"/>
    <cellStyle name="Input [yellow] 2 3 4 14 4" xfId="41638"/>
    <cellStyle name="Input [yellow] 2 3 4 14 5" xfId="52831"/>
    <cellStyle name="Input [yellow] 2 3 4 15" xfId="8737"/>
    <cellStyle name="Input [yellow] 2 3 4 15 2" xfId="19934"/>
    <cellStyle name="Input [yellow] 2 3 4 15 3" xfId="31102"/>
    <cellStyle name="Input [yellow] 2 3 4 15 4" xfId="42267"/>
    <cellStyle name="Input [yellow] 2 3 4 15 5" xfId="53460"/>
    <cellStyle name="Input [yellow] 2 3 4 16" xfId="9159"/>
    <cellStyle name="Input [yellow] 2 3 4 16 2" xfId="20356"/>
    <cellStyle name="Input [yellow] 2 3 4 16 3" xfId="31524"/>
    <cellStyle name="Input [yellow] 2 3 4 16 4" xfId="42689"/>
    <cellStyle name="Input [yellow] 2 3 4 16 5" xfId="53882"/>
    <cellStyle name="Input [yellow] 2 3 4 17" xfId="9786"/>
    <cellStyle name="Input [yellow] 2 3 4 17 2" xfId="20983"/>
    <cellStyle name="Input [yellow] 2 3 4 17 3" xfId="32151"/>
    <cellStyle name="Input [yellow] 2 3 4 17 4" xfId="43316"/>
    <cellStyle name="Input [yellow] 2 3 4 17 5" xfId="54509"/>
    <cellStyle name="Input [yellow] 2 3 4 18" xfId="9642"/>
    <cellStyle name="Input [yellow] 2 3 4 18 2" xfId="20839"/>
    <cellStyle name="Input [yellow] 2 3 4 18 3" xfId="32007"/>
    <cellStyle name="Input [yellow] 2 3 4 18 4" xfId="43172"/>
    <cellStyle name="Input [yellow] 2 3 4 18 5" xfId="54365"/>
    <cellStyle name="Input [yellow] 2 3 4 19" xfId="10824"/>
    <cellStyle name="Input [yellow] 2 3 4 19 2" xfId="22021"/>
    <cellStyle name="Input [yellow] 2 3 4 19 3" xfId="33189"/>
    <cellStyle name="Input [yellow] 2 3 4 19 4" xfId="44354"/>
    <cellStyle name="Input [yellow] 2 3 4 19 5" xfId="55547"/>
    <cellStyle name="Input [yellow] 2 3 4 2" xfId="920"/>
    <cellStyle name="Input [yellow] 2 3 4 2 2" xfId="12117"/>
    <cellStyle name="Input [yellow] 2 3 4 2 3" xfId="23285"/>
    <cellStyle name="Input [yellow] 2 3 4 2 4" xfId="34450"/>
    <cellStyle name="Input [yellow] 2 3 4 2 5" xfId="45643"/>
    <cellStyle name="Input [yellow] 2 3 4 20" xfId="11471"/>
    <cellStyle name="Input [yellow] 2 3 4 21" xfId="22641"/>
    <cellStyle name="Input [yellow] 2 3 4 22" xfId="33808"/>
    <cellStyle name="Input [yellow] 2 3 4 23" xfId="44994"/>
    <cellStyle name="Input [yellow] 2 3 4 3" xfId="1922"/>
    <cellStyle name="Input [yellow] 2 3 4 3 2" xfId="13119"/>
    <cellStyle name="Input [yellow] 2 3 4 3 3" xfId="24287"/>
    <cellStyle name="Input [yellow] 2 3 4 3 4" xfId="35452"/>
    <cellStyle name="Input [yellow] 2 3 4 3 5" xfId="46645"/>
    <cellStyle name="Input [yellow] 2 3 4 4" xfId="2196"/>
    <cellStyle name="Input [yellow] 2 3 4 4 2" xfId="13393"/>
    <cellStyle name="Input [yellow] 2 3 4 4 3" xfId="24561"/>
    <cellStyle name="Input [yellow] 2 3 4 4 4" xfId="35726"/>
    <cellStyle name="Input [yellow] 2 3 4 4 5" xfId="46919"/>
    <cellStyle name="Input [yellow] 2 3 4 5" xfId="2621"/>
    <cellStyle name="Input [yellow] 2 3 4 5 2" xfId="13818"/>
    <cellStyle name="Input [yellow] 2 3 4 5 3" xfId="24986"/>
    <cellStyle name="Input [yellow] 2 3 4 5 4" xfId="36151"/>
    <cellStyle name="Input [yellow] 2 3 4 5 5" xfId="47344"/>
    <cellStyle name="Input [yellow] 2 3 4 6" xfId="3255"/>
    <cellStyle name="Input [yellow] 2 3 4 6 2" xfId="14452"/>
    <cellStyle name="Input [yellow] 2 3 4 6 3" xfId="25620"/>
    <cellStyle name="Input [yellow] 2 3 4 6 4" xfId="36785"/>
    <cellStyle name="Input [yellow] 2 3 4 6 5" xfId="47978"/>
    <cellStyle name="Input [yellow] 2 3 4 7" xfId="3889"/>
    <cellStyle name="Input [yellow] 2 3 4 7 2" xfId="15086"/>
    <cellStyle name="Input [yellow] 2 3 4 7 3" xfId="26254"/>
    <cellStyle name="Input [yellow] 2 3 4 7 4" xfId="37419"/>
    <cellStyle name="Input [yellow] 2 3 4 7 5" xfId="48612"/>
    <cellStyle name="Input [yellow] 2 3 4 8" xfId="4522"/>
    <cellStyle name="Input [yellow] 2 3 4 8 2" xfId="15719"/>
    <cellStyle name="Input [yellow] 2 3 4 8 3" xfId="26887"/>
    <cellStyle name="Input [yellow] 2 3 4 8 4" xfId="38052"/>
    <cellStyle name="Input [yellow] 2 3 4 8 5" xfId="49245"/>
    <cellStyle name="Input [yellow] 2 3 4 9" xfId="5153"/>
    <cellStyle name="Input [yellow] 2 3 4 9 2" xfId="16350"/>
    <cellStyle name="Input [yellow] 2 3 4 9 3" xfId="27518"/>
    <cellStyle name="Input [yellow] 2 3 4 9 4" xfId="38683"/>
    <cellStyle name="Input [yellow] 2 3 4 9 5" xfId="49876"/>
    <cellStyle name="Input [yellow] 2 3 5" xfId="282"/>
    <cellStyle name="Input [yellow] 2 3 5 10" xfId="6094"/>
    <cellStyle name="Input [yellow] 2 3 5 10 2" xfId="17291"/>
    <cellStyle name="Input [yellow] 2 3 5 10 3" xfId="28459"/>
    <cellStyle name="Input [yellow] 2 3 5 10 4" xfId="39624"/>
    <cellStyle name="Input [yellow] 2 3 5 10 5" xfId="50817"/>
    <cellStyle name="Input [yellow] 2 3 5 11" xfId="6218"/>
    <cellStyle name="Input [yellow] 2 3 5 11 2" xfId="17415"/>
    <cellStyle name="Input [yellow] 2 3 5 11 3" xfId="28583"/>
    <cellStyle name="Input [yellow] 2 3 5 11 4" xfId="39748"/>
    <cellStyle name="Input [yellow] 2 3 5 11 5" xfId="50941"/>
    <cellStyle name="Input [yellow] 2 3 5 12" xfId="6851"/>
    <cellStyle name="Input [yellow] 2 3 5 12 2" xfId="18048"/>
    <cellStyle name="Input [yellow] 2 3 5 12 3" xfId="29216"/>
    <cellStyle name="Input [yellow] 2 3 5 12 4" xfId="40381"/>
    <cellStyle name="Input [yellow] 2 3 5 12 5" xfId="51574"/>
    <cellStyle name="Input [yellow] 2 3 5 13" xfId="7485"/>
    <cellStyle name="Input [yellow] 2 3 5 13 2" xfId="18682"/>
    <cellStyle name="Input [yellow] 2 3 5 13 3" xfId="29850"/>
    <cellStyle name="Input [yellow] 2 3 5 13 4" xfId="41015"/>
    <cellStyle name="Input [yellow] 2 3 5 13 5" xfId="52208"/>
    <cellStyle name="Input [yellow] 2 3 5 14" xfId="8119"/>
    <cellStyle name="Input [yellow] 2 3 5 14 2" xfId="19316"/>
    <cellStyle name="Input [yellow] 2 3 5 14 3" xfId="30484"/>
    <cellStyle name="Input [yellow] 2 3 5 14 4" xfId="41649"/>
    <cellStyle name="Input [yellow] 2 3 5 14 5" xfId="52842"/>
    <cellStyle name="Input [yellow] 2 3 5 15" xfId="8748"/>
    <cellStyle name="Input [yellow] 2 3 5 15 2" xfId="19945"/>
    <cellStyle name="Input [yellow] 2 3 5 15 3" xfId="31113"/>
    <cellStyle name="Input [yellow] 2 3 5 15 4" xfId="42278"/>
    <cellStyle name="Input [yellow] 2 3 5 15 5" xfId="53471"/>
    <cellStyle name="Input [yellow] 2 3 5 16" xfId="9170"/>
    <cellStyle name="Input [yellow] 2 3 5 16 2" xfId="20367"/>
    <cellStyle name="Input [yellow] 2 3 5 16 3" xfId="31535"/>
    <cellStyle name="Input [yellow] 2 3 5 16 4" xfId="42700"/>
    <cellStyle name="Input [yellow] 2 3 5 16 5" xfId="53893"/>
    <cellStyle name="Input [yellow] 2 3 5 17" xfId="9797"/>
    <cellStyle name="Input [yellow] 2 3 5 17 2" xfId="20994"/>
    <cellStyle name="Input [yellow] 2 3 5 17 3" xfId="32162"/>
    <cellStyle name="Input [yellow] 2 3 5 17 4" xfId="43327"/>
    <cellStyle name="Input [yellow] 2 3 5 17 5" xfId="54520"/>
    <cellStyle name="Input [yellow] 2 3 5 18" xfId="9853"/>
    <cellStyle name="Input [yellow] 2 3 5 18 2" xfId="21050"/>
    <cellStyle name="Input [yellow] 2 3 5 18 3" xfId="32218"/>
    <cellStyle name="Input [yellow] 2 3 5 18 4" xfId="43383"/>
    <cellStyle name="Input [yellow] 2 3 5 18 5" xfId="54576"/>
    <cellStyle name="Input [yellow] 2 3 5 19" xfId="10835"/>
    <cellStyle name="Input [yellow] 2 3 5 19 2" xfId="22032"/>
    <cellStyle name="Input [yellow] 2 3 5 19 3" xfId="33200"/>
    <cellStyle name="Input [yellow] 2 3 5 19 4" xfId="44365"/>
    <cellStyle name="Input [yellow] 2 3 5 19 5" xfId="55558"/>
    <cellStyle name="Input [yellow] 2 3 5 2" xfId="931"/>
    <cellStyle name="Input [yellow] 2 3 5 2 2" xfId="12128"/>
    <cellStyle name="Input [yellow] 2 3 5 2 3" xfId="23296"/>
    <cellStyle name="Input [yellow] 2 3 5 2 4" xfId="34461"/>
    <cellStyle name="Input [yellow] 2 3 5 2 5" xfId="45654"/>
    <cellStyle name="Input [yellow] 2 3 5 20" xfId="11482"/>
    <cellStyle name="Input [yellow] 2 3 5 21" xfId="22652"/>
    <cellStyle name="Input [yellow] 2 3 5 22" xfId="33819"/>
    <cellStyle name="Input [yellow] 2 3 5 23" xfId="45005"/>
    <cellStyle name="Input [yellow] 2 3 5 3" xfId="1809"/>
    <cellStyle name="Input [yellow] 2 3 5 3 2" xfId="13006"/>
    <cellStyle name="Input [yellow] 2 3 5 3 3" xfId="24174"/>
    <cellStyle name="Input [yellow] 2 3 5 3 4" xfId="35339"/>
    <cellStyle name="Input [yellow] 2 3 5 3 5" xfId="46532"/>
    <cellStyle name="Input [yellow] 2 3 5 4" xfId="2207"/>
    <cellStyle name="Input [yellow] 2 3 5 4 2" xfId="13404"/>
    <cellStyle name="Input [yellow] 2 3 5 4 3" xfId="24572"/>
    <cellStyle name="Input [yellow] 2 3 5 4 4" xfId="35737"/>
    <cellStyle name="Input [yellow] 2 3 5 4 5" xfId="46930"/>
    <cellStyle name="Input [yellow] 2 3 5 5" xfId="2632"/>
    <cellStyle name="Input [yellow] 2 3 5 5 2" xfId="13829"/>
    <cellStyle name="Input [yellow] 2 3 5 5 3" xfId="24997"/>
    <cellStyle name="Input [yellow] 2 3 5 5 4" xfId="36162"/>
    <cellStyle name="Input [yellow] 2 3 5 5 5" xfId="47355"/>
    <cellStyle name="Input [yellow] 2 3 5 6" xfId="3266"/>
    <cellStyle name="Input [yellow] 2 3 5 6 2" xfId="14463"/>
    <cellStyle name="Input [yellow] 2 3 5 6 3" xfId="25631"/>
    <cellStyle name="Input [yellow] 2 3 5 6 4" xfId="36796"/>
    <cellStyle name="Input [yellow] 2 3 5 6 5" xfId="47989"/>
    <cellStyle name="Input [yellow] 2 3 5 7" xfId="3900"/>
    <cellStyle name="Input [yellow] 2 3 5 7 2" xfId="15097"/>
    <cellStyle name="Input [yellow] 2 3 5 7 3" xfId="26265"/>
    <cellStyle name="Input [yellow] 2 3 5 7 4" xfId="37430"/>
    <cellStyle name="Input [yellow] 2 3 5 7 5" xfId="48623"/>
    <cellStyle name="Input [yellow] 2 3 5 8" xfId="4533"/>
    <cellStyle name="Input [yellow] 2 3 5 8 2" xfId="15730"/>
    <cellStyle name="Input [yellow] 2 3 5 8 3" xfId="26898"/>
    <cellStyle name="Input [yellow] 2 3 5 8 4" xfId="38063"/>
    <cellStyle name="Input [yellow] 2 3 5 8 5" xfId="49256"/>
    <cellStyle name="Input [yellow] 2 3 5 9" xfId="5164"/>
    <cellStyle name="Input [yellow] 2 3 5 9 2" xfId="16361"/>
    <cellStyle name="Input [yellow] 2 3 5 9 3" xfId="27529"/>
    <cellStyle name="Input [yellow] 2 3 5 9 4" xfId="38694"/>
    <cellStyle name="Input [yellow] 2 3 5 9 5" xfId="49887"/>
    <cellStyle name="Input [yellow] 2 3 6" xfId="267"/>
    <cellStyle name="Input [yellow] 2 3 6 10" xfId="5929"/>
    <cellStyle name="Input [yellow] 2 3 6 10 2" xfId="17126"/>
    <cellStyle name="Input [yellow] 2 3 6 10 3" xfId="28294"/>
    <cellStyle name="Input [yellow] 2 3 6 10 4" xfId="39459"/>
    <cellStyle name="Input [yellow] 2 3 6 10 5" xfId="50652"/>
    <cellStyle name="Input [yellow] 2 3 6 11" xfId="6203"/>
    <cellStyle name="Input [yellow] 2 3 6 11 2" xfId="17400"/>
    <cellStyle name="Input [yellow] 2 3 6 11 3" xfId="28568"/>
    <cellStyle name="Input [yellow] 2 3 6 11 4" xfId="39733"/>
    <cellStyle name="Input [yellow] 2 3 6 11 5" xfId="50926"/>
    <cellStyle name="Input [yellow] 2 3 6 12" xfId="6836"/>
    <cellStyle name="Input [yellow] 2 3 6 12 2" xfId="18033"/>
    <cellStyle name="Input [yellow] 2 3 6 12 3" xfId="29201"/>
    <cellStyle name="Input [yellow] 2 3 6 12 4" xfId="40366"/>
    <cellStyle name="Input [yellow] 2 3 6 12 5" xfId="51559"/>
    <cellStyle name="Input [yellow] 2 3 6 13" xfId="7470"/>
    <cellStyle name="Input [yellow] 2 3 6 13 2" xfId="18667"/>
    <cellStyle name="Input [yellow] 2 3 6 13 3" xfId="29835"/>
    <cellStyle name="Input [yellow] 2 3 6 13 4" xfId="41000"/>
    <cellStyle name="Input [yellow] 2 3 6 13 5" xfId="52193"/>
    <cellStyle name="Input [yellow] 2 3 6 14" xfId="8104"/>
    <cellStyle name="Input [yellow] 2 3 6 14 2" xfId="19301"/>
    <cellStyle name="Input [yellow] 2 3 6 14 3" xfId="30469"/>
    <cellStyle name="Input [yellow] 2 3 6 14 4" xfId="41634"/>
    <cellStyle name="Input [yellow] 2 3 6 14 5" xfId="52827"/>
    <cellStyle name="Input [yellow] 2 3 6 15" xfId="8733"/>
    <cellStyle name="Input [yellow] 2 3 6 15 2" xfId="19930"/>
    <cellStyle name="Input [yellow] 2 3 6 15 3" xfId="31098"/>
    <cellStyle name="Input [yellow] 2 3 6 15 4" xfId="42263"/>
    <cellStyle name="Input [yellow] 2 3 6 15 5" xfId="53456"/>
    <cellStyle name="Input [yellow] 2 3 6 16" xfId="9155"/>
    <cellStyle name="Input [yellow] 2 3 6 16 2" xfId="20352"/>
    <cellStyle name="Input [yellow] 2 3 6 16 3" xfId="31520"/>
    <cellStyle name="Input [yellow] 2 3 6 16 4" xfId="42685"/>
    <cellStyle name="Input [yellow] 2 3 6 16 5" xfId="53878"/>
    <cellStyle name="Input [yellow] 2 3 6 17" xfId="9782"/>
    <cellStyle name="Input [yellow] 2 3 6 17 2" xfId="20979"/>
    <cellStyle name="Input [yellow] 2 3 6 17 3" xfId="32147"/>
    <cellStyle name="Input [yellow] 2 3 6 17 4" xfId="43312"/>
    <cellStyle name="Input [yellow] 2 3 6 17 5" xfId="54505"/>
    <cellStyle name="Input [yellow] 2 3 6 18" xfId="10199"/>
    <cellStyle name="Input [yellow] 2 3 6 18 2" xfId="21396"/>
    <cellStyle name="Input [yellow] 2 3 6 18 3" xfId="32564"/>
    <cellStyle name="Input [yellow] 2 3 6 18 4" xfId="43729"/>
    <cellStyle name="Input [yellow] 2 3 6 18 5" xfId="54922"/>
    <cellStyle name="Input [yellow] 2 3 6 19" xfId="10820"/>
    <cellStyle name="Input [yellow] 2 3 6 19 2" xfId="22017"/>
    <cellStyle name="Input [yellow] 2 3 6 19 3" xfId="33185"/>
    <cellStyle name="Input [yellow] 2 3 6 19 4" xfId="44350"/>
    <cellStyle name="Input [yellow] 2 3 6 19 5" xfId="55543"/>
    <cellStyle name="Input [yellow] 2 3 6 2" xfId="916"/>
    <cellStyle name="Input [yellow] 2 3 6 2 2" xfId="12113"/>
    <cellStyle name="Input [yellow] 2 3 6 2 3" xfId="23281"/>
    <cellStyle name="Input [yellow] 2 3 6 2 4" xfId="34446"/>
    <cellStyle name="Input [yellow] 2 3 6 2 5" xfId="45639"/>
    <cellStyle name="Input [yellow] 2 3 6 20" xfId="11467"/>
    <cellStyle name="Input [yellow] 2 3 6 21" xfId="22637"/>
    <cellStyle name="Input [yellow] 2 3 6 22" xfId="33804"/>
    <cellStyle name="Input [yellow] 2 3 6 23" xfId="44990"/>
    <cellStyle name="Input [yellow] 2 3 6 3" xfId="1398"/>
    <cellStyle name="Input [yellow] 2 3 6 3 2" xfId="12595"/>
    <cellStyle name="Input [yellow] 2 3 6 3 3" xfId="23763"/>
    <cellStyle name="Input [yellow] 2 3 6 3 4" xfId="34928"/>
    <cellStyle name="Input [yellow] 2 3 6 3 5" xfId="46121"/>
    <cellStyle name="Input [yellow] 2 3 6 4" xfId="2193"/>
    <cellStyle name="Input [yellow] 2 3 6 4 2" xfId="13390"/>
    <cellStyle name="Input [yellow] 2 3 6 4 3" xfId="24558"/>
    <cellStyle name="Input [yellow] 2 3 6 4 4" xfId="35723"/>
    <cellStyle name="Input [yellow] 2 3 6 4 5" xfId="46916"/>
    <cellStyle name="Input [yellow] 2 3 6 5" xfId="2617"/>
    <cellStyle name="Input [yellow] 2 3 6 5 2" xfId="13814"/>
    <cellStyle name="Input [yellow] 2 3 6 5 3" xfId="24982"/>
    <cellStyle name="Input [yellow] 2 3 6 5 4" xfId="36147"/>
    <cellStyle name="Input [yellow] 2 3 6 5 5" xfId="47340"/>
    <cellStyle name="Input [yellow] 2 3 6 6" xfId="3251"/>
    <cellStyle name="Input [yellow] 2 3 6 6 2" xfId="14448"/>
    <cellStyle name="Input [yellow] 2 3 6 6 3" xfId="25616"/>
    <cellStyle name="Input [yellow] 2 3 6 6 4" xfId="36781"/>
    <cellStyle name="Input [yellow] 2 3 6 6 5" xfId="47974"/>
    <cellStyle name="Input [yellow] 2 3 6 7" xfId="3885"/>
    <cellStyle name="Input [yellow] 2 3 6 7 2" xfId="15082"/>
    <cellStyle name="Input [yellow] 2 3 6 7 3" xfId="26250"/>
    <cellStyle name="Input [yellow] 2 3 6 7 4" xfId="37415"/>
    <cellStyle name="Input [yellow] 2 3 6 7 5" xfId="48608"/>
    <cellStyle name="Input [yellow] 2 3 6 8" xfId="4518"/>
    <cellStyle name="Input [yellow] 2 3 6 8 2" xfId="15715"/>
    <cellStyle name="Input [yellow] 2 3 6 8 3" xfId="26883"/>
    <cellStyle name="Input [yellow] 2 3 6 8 4" xfId="38048"/>
    <cellStyle name="Input [yellow] 2 3 6 8 5" xfId="49241"/>
    <cellStyle name="Input [yellow] 2 3 6 9" xfId="5149"/>
    <cellStyle name="Input [yellow] 2 3 6 9 2" xfId="16346"/>
    <cellStyle name="Input [yellow] 2 3 6 9 3" xfId="27514"/>
    <cellStyle name="Input [yellow] 2 3 6 9 4" xfId="38679"/>
    <cellStyle name="Input [yellow] 2 3 6 9 5" xfId="49872"/>
    <cellStyle name="Input [yellow] 2 3 7" xfId="433"/>
    <cellStyle name="Input [yellow] 2 3 7 10" xfId="5787"/>
    <cellStyle name="Input [yellow] 2 3 7 10 2" xfId="16984"/>
    <cellStyle name="Input [yellow] 2 3 7 10 3" xfId="28152"/>
    <cellStyle name="Input [yellow] 2 3 7 10 4" xfId="39317"/>
    <cellStyle name="Input [yellow] 2 3 7 10 5" xfId="50510"/>
    <cellStyle name="Input [yellow] 2 3 7 11" xfId="6369"/>
    <cellStyle name="Input [yellow] 2 3 7 11 2" xfId="17566"/>
    <cellStyle name="Input [yellow] 2 3 7 11 3" xfId="28734"/>
    <cellStyle name="Input [yellow] 2 3 7 11 4" xfId="39899"/>
    <cellStyle name="Input [yellow] 2 3 7 11 5" xfId="51092"/>
    <cellStyle name="Input [yellow] 2 3 7 12" xfId="7002"/>
    <cellStyle name="Input [yellow] 2 3 7 12 2" xfId="18199"/>
    <cellStyle name="Input [yellow] 2 3 7 12 3" xfId="29367"/>
    <cellStyle name="Input [yellow] 2 3 7 12 4" xfId="40532"/>
    <cellStyle name="Input [yellow] 2 3 7 12 5" xfId="51725"/>
    <cellStyle name="Input [yellow] 2 3 7 13" xfId="7636"/>
    <cellStyle name="Input [yellow] 2 3 7 13 2" xfId="18833"/>
    <cellStyle name="Input [yellow] 2 3 7 13 3" xfId="30001"/>
    <cellStyle name="Input [yellow] 2 3 7 13 4" xfId="41166"/>
    <cellStyle name="Input [yellow] 2 3 7 13 5" xfId="52359"/>
    <cellStyle name="Input [yellow] 2 3 7 14" xfId="8270"/>
    <cellStyle name="Input [yellow] 2 3 7 14 2" xfId="19467"/>
    <cellStyle name="Input [yellow] 2 3 7 14 3" xfId="30635"/>
    <cellStyle name="Input [yellow] 2 3 7 14 4" xfId="41800"/>
    <cellStyle name="Input [yellow] 2 3 7 14 5" xfId="52993"/>
    <cellStyle name="Input [yellow] 2 3 7 15" xfId="8898"/>
    <cellStyle name="Input [yellow] 2 3 7 15 2" xfId="20095"/>
    <cellStyle name="Input [yellow] 2 3 7 15 3" xfId="31263"/>
    <cellStyle name="Input [yellow] 2 3 7 15 4" xfId="42428"/>
    <cellStyle name="Input [yellow] 2 3 7 15 5" xfId="53621"/>
    <cellStyle name="Input [yellow] 2 3 7 16" xfId="9321"/>
    <cellStyle name="Input [yellow] 2 3 7 16 2" xfId="20518"/>
    <cellStyle name="Input [yellow] 2 3 7 16 3" xfId="31686"/>
    <cellStyle name="Input [yellow] 2 3 7 16 4" xfId="42851"/>
    <cellStyle name="Input [yellow] 2 3 7 16 5" xfId="54044"/>
    <cellStyle name="Input [yellow] 2 3 7 17" xfId="9947"/>
    <cellStyle name="Input [yellow] 2 3 7 17 2" xfId="21144"/>
    <cellStyle name="Input [yellow] 2 3 7 17 3" xfId="32312"/>
    <cellStyle name="Input [yellow] 2 3 7 17 4" xfId="43477"/>
    <cellStyle name="Input [yellow] 2 3 7 17 5" xfId="54670"/>
    <cellStyle name="Input [yellow] 2 3 7 18" xfId="10237"/>
    <cellStyle name="Input [yellow] 2 3 7 18 2" xfId="21434"/>
    <cellStyle name="Input [yellow] 2 3 7 18 3" xfId="32602"/>
    <cellStyle name="Input [yellow] 2 3 7 18 4" xfId="43767"/>
    <cellStyle name="Input [yellow] 2 3 7 18 5" xfId="54960"/>
    <cellStyle name="Input [yellow] 2 3 7 19" xfId="10986"/>
    <cellStyle name="Input [yellow] 2 3 7 19 2" xfId="22183"/>
    <cellStyle name="Input [yellow] 2 3 7 19 3" xfId="33351"/>
    <cellStyle name="Input [yellow] 2 3 7 19 4" xfId="44516"/>
    <cellStyle name="Input [yellow] 2 3 7 19 5" xfId="55709"/>
    <cellStyle name="Input [yellow] 2 3 7 2" xfId="1082"/>
    <cellStyle name="Input [yellow] 2 3 7 2 2" xfId="12279"/>
    <cellStyle name="Input [yellow] 2 3 7 2 3" xfId="23447"/>
    <cellStyle name="Input [yellow] 2 3 7 2 4" xfId="34612"/>
    <cellStyle name="Input [yellow] 2 3 7 2 5" xfId="45805"/>
    <cellStyle name="Input [yellow] 2 3 7 20" xfId="11633"/>
    <cellStyle name="Input [yellow] 2 3 7 21" xfId="22803"/>
    <cellStyle name="Input [yellow] 2 3 7 22" xfId="33970"/>
    <cellStyle name="Input [yellow] 2 3 7 23" xfId="45156"/>
    <cellStyle name="Input [yellow] 2 3 7 3" xfId="1592"/>
    <cellStyle name="Input [yellow] 2 3 7 3 2" xfId="12789"/>
    <cellStyle name="Input [yellow] 2 3 7 3 3" xfId="23957"/>
    <cellStyle name="Input [yellow] 2 3 7 3 4" xfId="35122"/>
    <cellStyle name="Input [yellow] 2 3 7 3 5" xfId="46315"/>
    <cellStyle name="Input [yellow] 2 3 7 4" xfId="2358"/>
    <cellStyle name="Input [yellow] 2 3 7 4 2" xfId="13555"/>
    <cellStyle name="Input [yellow] 2 3 7 4 3" xfId="24723"/>
    <cellStyle name="Input [yellow] 2 3 7 4 4" xfId="35888"/>
    <cellStyle name="Input [yellow] 2 3 7 4 5" xfId="47081"/>
    <cellStyle name="Input [yellow] 2 3 7 5" xfId="2783"/>
    <cellStyle name="Input [yellow] 2 3 7 5 2" xfId="13980"/>
    <cellStyle name="Input [yellow] 2 3 7 5 3" xfId="25148"/>
    <cellStyle name="Input [yellow] 2 3 7 5 4" xfId="36313"/>
    <cellStyle name="Input [yellow] 2 3 7 5 5" xfId="47506"/>
    <cellStyle name="Input [yellow] 2 3 7 6" xfId="3417"/>
    <cellStyle name="Input [yellow] 2 3 7 6 2" xfId="14614"/>
    <cellStyle name="Input [yellow] 2 3 7 6 3" xfId="25782"/>
    <cellStyle name="Input [yellow] 2 3 7 6 4" xfId="36947"/>
    <cellStyle name="Input [yellow] 2 3 7 6 5" xfId="48140"/>
    <cellStyle name="Input [yellow] 2 3 7 7" xfId="4051"/>
    <cellStyle name="Input [yellow] 2 3 7 7 2" xfId="15248"/>
    <cellStyle name="Input [yellow] 2 3 7 7 3" xfId="26416"/>
    <cellStyle name="Input [yellow] 2 3 7 7 4" xfId="37581"/>
    <cellStyle name="Input [yellow] 2 3 7 7 5" xfId="48774"/>
    <cellStyle name="Input [yellow] 2 3 7 8" xfId="4684"/>
    <cellStyle name="Input [yellow] 2 3 7 8 2" xfId="15881"/>
    <cellStyle name="Input [yellow] 2 3 7 8 3" xfId="27049"/>
    <cellStyle name="Input [yellow] 2 3 7 8 4" xfId="38214"/>
    <cellStyle name="Input [yellow] 2 3 7 8 5" xfId="49407"/>
    <cellStyle name="Input [yellow] 2 3 7 9" xfId="5315"/>
    <cellStyle name="Input [yellow] 2 3 7 9 2" xfId="16512"/>
    <cellStyle name="Input [yellow] 2 3 7 9 3" xfId="27680"/>
    <cellStyle name="Input [yellow] 2 3 7 9 4" xfId="38845"/>
    <cellStyle name="Input [yellow] 2 3 7 9 5" xfId="50038"/>
    <cellStyle name="Input [yellow] 2 3 8" xfId="462"/>
    <cellStyle name="Input [yellow] 2 3 8 10" xfId="6104"/>
    <cellStyle name="Input [yellow] 2 3 8 10 2" xfId="17301"/>
    <cellStyle name="Input [yellow] 2 3 8 10 3" xfId="28469"/>
    <cellStyle name="Input [yellow] 2 3 8 10 4" xfId="39634"/>
    <cellStyle name="Input [yellow] 2 3 8 10 5" xfId="50827"/>
    <cellStyle name="Input [yellow] 2 3 8 11" xfId="6398"/>
    <cellStyle name="Input [yellow] 2 3 8 11 2" xfId="17595"/>
    <cellStyle name="Input [yellow] 2 3 8 11 3" xfId="28763"/>
    <cellStyle name="Input [yellow] 2 3 8 11 4" xfId="39928"/>
    <cellStyle name="Input [yellow] 2 3 8 11 5" xfId="51121"/>
    <cellStyle name="Input [yellow] 2 3 8 12" xfId="7031"/>
    <cellStyle name="Input [yellow] 2 3 8 12 2" xfId="18228"/>
    <cellStyle name="Input [yellow] 2 3 8 12 3" xfId="29396"/>
    <cellStyle name="Input [yellow] 2 3 8 12 4" xfId="40561"/>
    <cellStyle name="Input [yellow] 2 3 8 12 5" xfId="51754"/>
    <cellStyle name="Input [yellow] 2 3 8 13" xfId="7665"/>
    <cellStyle name="Input [yellow] 2 3 8 13 2" xfId="18862"/>
    <cellStyle name="Input [yellow] 2 3 8 13 3" xfId="30030"/>
    <cellStyle name="Input [yellow] 2 3 8 13 4" xfId="41195"/>
    <cellStyle name="Input [yellow] 2 3 8 13 5" xfId="52388"/>
    <cellStyle name="Input [yellow] 2 3 8 14" xfId="8299"/>
    <cellStyle name="Input [yellow] 2 3 8 14 2" xfId="19496"/>
    <cellStyle name="Input [yellow] 2 3 8 14 3" xfId="30664"/>
    <cellStyle name="Input [yellow] 2 3 8 14 4" xfId="41829"/>
    <cellStyle name="Input [yellow] 2 3 8 14 5" xfId="53022"/>
    <cellStyle name="Input [yellow] 2 3 8 15" xfId="8927"/>
    <cellStyle name="Input [yellow] 2 3 8 15 2" xfId="20124"/>
    <cellStyle name="Input [yellow] 2 3 8 15 3" xfId="31292"/>
    <cellStyle name="Input [yellow] 2 3 8 15 4" xfId="42457"/>
    <cellStyle name="Input [yellow] 2 3 8 15 5" xfId="53650"/>
    <cellStyle name="Input [yellow] 2 3 8 16" xfId="9350"/>
    <cellStyle name="Input [yellow] 2 3 8 16 2" xfId="20547"/>
    <cellStyle name="Input [yellow] 2 3 8 16 3" xfId="31715"/>
    <cellStyle name="Input [yellow] 2 3 8 16 4" xfId="42880"/>
    <cellStyle name="Input [yellow] 2 3 8 16 5" xfId="54073"/>
    <cellStyle name="Input [yellow] 2 3 8 17" xfId="9976"/>
    <cellStyle name="Input [yellow] 2 3 8 17 2" xfId="21173"/>
    <cellStyle name="Input [yellow] 2 3 8 17 3" xfId="32341"/>
    <cellStyle name="Input [yellow] 2 3 8 17 4" xfId="43506"/>
    <cellStyle name="Input [yellow] 2 3 8 17 5" xfId="54699"/>
    <cellStyle name="Input [yellow] 2 3 8 18" xfId="10195"/>
    <cellStyle name="Input [yellow] 2 3 8 18 2" xfId="21392"/>
    <cellStyle name="Input [yellow] 2 3 8 18 3" xfId="32560"/>
    <cellStyle name="Input [yellow] 2 3 8 18 4" xfId="43725"/>
    <cellStyle name="Input [yellow] 2 3 8 18 5" xfId="54918"/>
    <cellStyle name="Input [yellow] 2 3 8 19" xfId="11015"/>
    <cellStyle name="Input [yellow] 2 3 8 19 2" xfId="22212"/>
    <cellStyle name="Input [yellow] 2 3 8 19 3" xfId="33380"/>
    <cellStyle name="Input [yellow] 2 3 8 19 4" xfId="44545"/>
    <cellStyle name="Input [yellow] 2 3 8 19 5" xfId="55738"/>
    <cellStyle name="Input [yellow] 2 3 8 2" xfId="1111"/>
    <cellStyle name="Input [yellow] 2 3 8 2 2" xfId="12308"/>
    <cellStyle name="Input [yellow] 2 3 8 2 3" xfId="23476"/>
    <cellStyle name="Input [yellow] 2 3 8 2 4" xfId="34641"/>
    <cellStyle name="Input [yellow] 2 3 8 2 5" xfId="45834"/>
    <cellStyle name="Input [yellow] 2 3 8 20" xfId="11662"/>
    <cellStyle name="Input [yellow] 2 3 8 21" xfId="22832"/>
    <cellStyle name="Input [yellow] 2 3 8 22" xfId="33999"/>
    <cellStyle name="Input [yellow] 2 3 8 23" xfId="45185"/>
    <cellStyle name="Input [yellow] 2 3 8 3" xfId="1498"/>
    <cellStyle name="Input [yellow] 2 3 8 3 2" xfId="12695"/>
    <cellStyle name="Input [yellow] 2 3 8 3 3" xfId="23863"/>
    <cellStyle name="Input [yellow] 2 3 8 3 4" xfId="35028"/>
    <cellStyle name="Input [yellow] 2 3 8 3 5" xfId="46221"/>
    <cellStyle name="Input [yellow] 2 3 8 4" xfId="2387"/>
    <cellStyle name="Input [yellow] 2 3 8 4 2" xfId="13584"/>
    <cellStyle name="Input [yellow] 2 3 8 4 3" xfId="24752"/>
    <cellStyle name="Input [yellow] 2 3 8 4 4" xfId="35917"/>
    <cellStyle name="Input [yellow] 2 3 8 4 5" xfId="47110"/>
    <cellStyle name="Input [yellow] 2 3 8 5" xfId="2812"/>
    <cellStyle name="Input [yellow] 2 3 8 5 2" xfId="14009"/>
    <cellStyle name="Input [yellow] 2 3 8 5 3" xfId="25177"/>
    <cellStyle name="Input [yellow] 2 3 8 5 4" xfId="36342"/>
    <cellStyle name="Input [yellow] 2 3 8 5 5" xfId="47535"/>
    <cellStyle name="Input [yellow] 2 3 8 6" xfId="3446"/>
    <cellStyle name="Input [yellow] 2 3 8 6 2" xfId="14643"/>
    <cellStyle name="Input [yellow] 2 3 8 6 3" xfId="25811"/>
    <cellStyle name="Input [yellow] 2 3 8 6 4" xfId="36976"/>
    <cellStyle name="Input [yellow] 2 3 8 6 5" xfId="48169"/>
    <cellStyle name="Input [yellow] 2 3 8 7" xfId="4080"/>
    <cellStyle name="Input [yellow] 2 3 8 7 2" xfId="15277"/>
    <cellStyle name="Input [yellow] 2 3 8 7 3" xfId="26445"/>
    <cellStyle name="Input [yellow] 2 3 8 7 4" xfId="37610"/>
    <cellStyle name="Input [yellow] 2 3 8 7 5" xfId="48803"/>
    <cellStyle name="Input [yellow] 2 3 8 8" xfId="4713"/>
    <cellStyle name="Input [yellow] 2 3 8 8 2" xfId="15910"/>
    <cellStyle name="Input [yellow] 2 3 8 8 3" xfId="27078"/>
    <cellStyle name="Input [yellow] 2 3 8 8 4" xfId="38243"/>
    <cellStyle name="Input [yellow] 2 3 8 8 5" xfId="49436"/>
    <cellStyle name="Input [yellow] 2 3 8 9" xfId="5344"/>
    <cellStyle name="Input [yellow] 2 3 8 9 2" xfId="16541"/>
    <cellStyle name="Input [yellow] 2 3 8 9 3" xfId="27709"/>
    <cellStyle name="Input [yellow] 2 3 8 9 4" xfId="38874"/>
    <cellStyle name="Input [yellow] 2 3 8 9 5" xfId="50067"/>
    <cellStyle name="Input [yellow] 2 3 9" xfId="520"/>
    <cellStyle name="Input [yellow] 2 3 9 10" xfId="5902"/>
    <cellStyle name="Input [yellow] 2 3 9 10 2" xfId="17099"/>
    <cellStyle name="Input [yellow] 2 3 9 10 3" xfId="28267"/>
    <cellStyle name="Input [yellow] 2 3 9 10 4" xfId="39432"/>
    <cellStyle name="Input [yellow] 2 3 9 10 5" xfId="50625"/>
    <cellStyle name="Input [yellow] 2 3 9 11" xfId="6456"/>
    <cellStyle name="Input [yellow] 2 3 9 11 2" xfId="17653"/>
    <cellStyle name="Input [yellow] 2 3 9 11 3" xfId="28821"/>
    <cellStyle name="Input [yellow] 2 3 9 11 4" xfId="39986"/>
    <cellStyle name="Input [yellow] 2 3 9 11 5" xfId="51179"/>
    <cellStyle name="Input [yellow] 2 3 9 12" xfId="7089"/>
    <cellStyle name="Input [yellow] 2 3 9 12 2" xfId="18286"/>
    <cellStyle name="Input [yellow] 2 3 9 12 3" xfId="29454"/>
    <cellStyle name="Input [yellow] 2 3 9 12 4" xfId="40619"/>
    <cellStyle name="Input [yellow] 2 3 9 12 5" xfId="51812"/>
    <cellStyle name="Input [yellow] 2 3 9 13" xfId="7723"/>
    <cellStyle name="Input [yellow] 2 3 9 13 2" xfId="18920"/>
    <cellStyle name="Input [yellow] 2 3 9 13 3" xfId="30088"/>
    <cellStyle name="Input [yellow] 2 3 9 13 4" xfId="41253"/>
    <cellStyle name="Input [yellow] 2 3 9 13 5" xfId="52446"/>
    <cellStyle name="Input [yellow] 2 3 9 14" xfId="8357"/>
    <cellStyle name="Input [yellow] 2 3 9 14 2" xfId="19554"/>
    <cellStyle name="Input [yellow] 2 3 9 14 3" xfId="30722"/>
    <cellStyle name="Input [yellow] 2 3 9 14 4" xfId="41887"/>
    <cellStyle name="Input [yellow] 2 3 9 14 5" xfId="53080"/>
    <cellStyle name="Input [yellow] 2 3 9 15" xfId="8985"/>
    <cellStyle name="Input [yellow] 2 3 9 15 2" xfId="20182"/>
    <cellStyle name="Input [yellow] 2 3 9 15 3" xfId="31350"/>
    <cellStyle name="Input [yellow] 2 3 9 15 4" xfId="42515"/>
    <cellStyle name="Input [yellow] 2 3 9 15 5" xfId="53708"/>
    <cellStyle name="Input [yellow] 2 3 9 16" xfId="9408"/>
    <cellStyle name="Input [yellow] 2 3 9 16 2" xfId="20605"/>
    <cellStyle name="Input [yellow] 2 3 9 16 3" xfId="31773"/>
    <cellStyle name="Input [yellow] 2 3 9 16 4" xfId="42938"/>
    <cellStyle name="Input [yellow] 2 3 9 16 5" xfId="54131"/>
    <cellStyle name="Input [yellow] 2 3 9 17" xfId="10033"/>
    <cellStyle name="Input [yellow] 2 3 9 17 2" xfId="21230"/>
    <cellStyle name="Input [yellow] 2 3 9 17 3" xfId="32398"/>
    <cellStyle name="Input [yellow] 2 3 9 17 4" xfId="43563"/>
    <cellStyle name="Input [yellow] 2 3 9 17 5" xfId="54756"/>
    <cellStyle name="Input [yellow] 2 3 9 18" xfId="10564"/>
    <cellStyle name="Input [yellow] 2 3 9 18 2" xfId="21761"/>
    <cellStyle name="Input [yellow] 2 3 9 18 3" xfId="32929"/>
    <cellStyle name="Input [yellow] 2 3 9 18 4" xfId="44094"/>
    <cellStyle name="Input [yellow] 2 3 9 18 5" xfId="55287"/>
    <cellStyle name="Input [yellow] 2 3 9 19" xfId="11073"/>
    <cellStyle name="Input [yellow] 2 3 9 19 2" xfId="22270"/>
    <cellStyle name="Input [yellow] 2 3 9 19 3" xfId="33438"/>
    <cellStyle name="Input [yellow] 2 3 9 19 4" xfId="44603"/>
    <cellStyle name="Input [yellow] 2 3 9 19 5" xfId="55796"/>
    <cellStyle name="Input [yellow] 2 3 9 2" xfId="1169"/>
    <cellStyle name="Input [yellow] 2 3 9 2 2" xfId="12366"/>
    <cellStyle name="Input [yellow] 2 3 9 2 3" xfId="23534"/>
    <cellStyle name="Input [yellow] 2 3 9 2 4" xfId="34699"/>
    <cellStyle name="Input [yellow] 2 3 9 2 5" xfId="45892"/>
    <cellStyle name="Input [yellow] 2 3 9 20" xfId="11720"/>
    <cellStyle name="Input [yellow] 2 3 9 21" xfId="22890"/>
    <cellStyle name="Input [yellow] 2 3 9 22" xfId="34057"/>
    <cellStyle name="Input [yellow] 2 3 9 23" xfId="45243"/>
    <cellStyle name="Input [yellow] 2 3 9 3" xfId="1907"/>
    <cellStyle name="Input [yellow] 2 3 9 3 2" xfId="13104"/>
    <cellStyle name="Input [yellow] 2 3 9 3 3" xfId="24272"/>
    <cellStyle name="Input [yellow] 2 3 9 3 4" xfId="35437"/>
    <cellStyle name="Input [yellow] 2 3 9 3 5" xfId="46630"/>
    <cellStyle name="Input [yellow] 2 3 9 4" xfId="2445"/>
    <cellStyle name="Input [yellow] 2 3 9 4 2" xfId="13642"/>
    <cellStyle name="Input [yellow] 2 3 9 4 3" xfId="24810"/>
    <cellStyle name="Input [yellow] 2 3 9 4 4" xfId="35975"/>
    <cellStyle name="Input [yellow] 2 3 9 4 5" xfId="47168"/>
    <cellStyle name="Input [yellow] 2 3 9 5" xfId="2870"/>
    <cellStyle name="Input [yellow] 2 3 9 5 2" xfId="14067"/>
    <cellStyle name="Input [yellow] 2 3 9 5 3" xfId="25235"/>
    <cellStyle name="Input [yellow] 2 3 9 5 4" xfId="36400"/>
    <cellStyle name="Input [yellow] 2 3 9 5 5" xfId="47593"/>
    <cellStyle name="Input [yellow] 2 3 9 6" xfId="3504"/>
    <cellStyle name="Input [yellow] 2 3 9 6 2" xfId="14701"/>
    <cellStyle name="Input [yellow] 2 3 9 6 3" xfId="25869"/>
    <cellStyle name="Input [yellow] 2 3 9 6 4" xfId="37034"/>
    <cellStyle name="Input [yellow] 2 3 9 6 5" xfId="48227"/>
    <cellStyle name="Input [yellow] 2 3 9 7" xfId="4138"/>
    <cellStyle name="Input [yellow] 2 3 9 7 2" xfId="15335"/>
    <cellStyle name="Input [yellow] 2 3 9 7 3" xfId="26503"/>
    <cellStyle name="Input [yellow] 2 3 9 7 4" xfId="37668"/>
    <cellStyle name="Input [yellow] 2 3 9 7 5" xfId="48861"/>
    <cellStyle name="Input [yellow] 2 3 9 8" xfId="4771"/>
    <cellStyle name="Input [yellow] 2 3 9 8 2" xfId="15968"/>
    <cellStyle name="Input [yellow] 2 3 9 8 3" xfId="27136"/>
    <cellStyle name="Input [yellow] 2 3 9 8 4" xfId="38301"/>
    <cellStyle name="Input [yellow] 2 3 9 8 5" xfId="49494"/>
    <cellStyle name="Input [yellow] 2 3 9 9" xfId="5402"/>
    <cellStyle name="Input [yellow] 2 3 9 9 2" xfId="16599"/>
    <cellStyle name="Input [yellow] 2 3 9 9 3" xfId="27767"/>
    <cellStyle name="Input [yellow] 2 3 9 9 4" xfId="38932"/>
    <cellStyle name="Input [yellow] 2 3 9 9 5" xfId="50125"/>
    <cellStyle name="Input [yellow] 2 30" xfId="603"/>
    <cellStyle name="Input [yellow] 2 30 10" xfId="5600"/>
    <cellStyle name="Input [yellow] 2 30 10 2" xfId="16797"/>
    <cellStyle name="Input [yellow] 2 30 10 3" xfId="27965"/>
    <cellStyle name="Input [yellow] 2 30 10 4" xfId="39130"/>
    <cellStyle name="Input [yellow] 2 30 10 5" xfId="50323"/>
    <cellStyle name="Input [yellow] 2 30 11" xfId="6539"/>
    <cellStyle name="Input [yellow] 2 30 11 2" xfId="17736"/>
    <cellStyle name="Input [yellow] 2 30 11 3" xfId="28904"/>
    <cellStyle name="Input [yellow] 2 30 11 4" xfId="40069"/>
    <cellStyle name="Input [yellow] 2 30 11 5" xfId="51262"/>
    <cellStyle name="Input [yellow] 2 30 12" xfId="7172"/>
    <cellStyle name="Input [yellow] 2 30 12 2" xfId="18369"/>
    <cellStyle name="Input [yellow] 2 30 12 3" xfId="29537"/>
    <cellStyle name="Input [yellow] 2 30 12 4" xfId="40702"/>
    <cellStyle name="Input [yellow] 2 30 12 5" xfId="51895"/>
    <cellStyle name="Input [yellow] 2 30 13" xfId="7806"/>
    <cellStyle name="Input [yellow] 2 30 13 2" xfId="19003"/>
    <cellStyle name="Input [yellow] 2 30 13 3" xfId="30171"/>
    <cellStyle name="Input [yellow] 2 30 13 4" xfId="41336"/>
    <cellStyle name="Input [yellow] 2 30 13 5" xfId="52529"/>
    <cellStyle name="Input [yellow] 2 30 14" xfId="8440"/>
    <cellStyle name="Input [yellow] 2 30 14 2" xfId="19637"/>
    <cellStyle name="Input [yellow] 2 30 14 3" xfId="30805"/>
    <cellStyle name="Input [yellow] 2 30 14 4" xfId="41970"/>
    <cellStyle name="Input [yellow] 2 30 14 5" xfId="53163"/>
    <cellStyle name="Input [yellow] 2 30 15" xfId="9068"/>
    <cellStyle name="Input [yellow] 2 30 15 2" xfId="20265"/>
    <cellStyle name="Input [yellow] 2 30 15 3" xfId="31433"/>
    <cellStyle name="Input [yellow] 2 30 15 4" xfId="42598"/>
    <cellStyle name="Input [yellow] 2 30 15 5" xfId="53791"/>
    <cellStyle name="Input [yellow] 2 30 16" xfId="9491"/>
    <cellStyle name="Input [yellow] 2 30 16 2" xfId="20688"/>
    <cellStyle name="Input [yellow] 2 30 16 3" xfId="31856"/>
    <cellStyle name="Input [yellow] 2 30 16 4" xfId="43021"/>
    <cellStyle name="Input [yellow] 2 30 16 5" xfId="54214"/>
    <cellStyle name="Input [yellow] 2 30 17" xfId="10116"/>
    <cellStyle name="Input [yellow] 2 30 17 2" xfId="21313"/>
    <cellStyle name="Input [yellow] 2 30 17 3" xfId="32481"/>
    <cellStyle name="Input [yellow] 2 30 17 4" xfId="43646"/>
    <cellStyle name="Input [yellow] 2 30 17 5" xfId="54839"/>
    <cellStyle name="Input [yellow] 2 30 18" xfId="10358"/>
    <cellStyle name="Input [yellow] 2 30 18 2" xfId="21555"/>
    <cellStyle name="Input [yellow] 2 30 18 3" xfId="32723"/>
    <cellStyle name="Input [yellow] 2 30 18 4" xfId="43888"/>
    <cellStyle name="Input [yellow] 2 30 18 5" xfId="55081"/>
    <cellStyle name="Input [yellow] 2 30 19" xfId="11156"/>
    <cellStyle name="Input [yellow] 2 30 19 2" xfId="22353"/>
    <cellStyle name="Input [yellow] 2 30 19 3" xfId="33521"/>
    <cellStyle name="Input [yellow] 2 30 19 4" xfId="44686"/>
    <cellStyle name="Input [yellow] 2 30 19 5" xfId="55879"/>
    <cellStyle name="Input [yellow] 2 30 2" xfId="1252"/>
    <cellStyle name="Input [yellow] 2 30 2 2" xfId="12449"/>
    <cellStyle name="Input [yellow] 2 30 2 3" xfId="23617"/>
    <cellStyle name="Input [yellow] 2 30 2 4" xfId="34782"/>
    <cellStyle name="Input [yellow] 2 30 2 5" xfId="45975"/>
    <cellStyle name="Input [yellow] 2 30 20" xfId="11803"/>
    <cellStyle name="Input [yellow] 2 30 21" xfId="22973"/>
    <cellStyle name="Input [yellow] 2 30 22" xfId="34140"/>
    <cellStyle name="Input [yellow] 2 30 23" xfId="45326"/>
    <cellStyle name="Input [yellow] 2 30 3" xfId="1632"/>
    <cellStyle name="Input [yellow] 2 30 3 2" xfId="12829"/>
    <cellStyle name="Input [yellow] 2 30 3 3" xfId="23997"/>
    <cellStyle name="Input [yellow] 2 30 3 4" xfId="35162"/>
    <cellStyle name="Input [yellow] 2 30 3 5" xfId="46355"/>
    <cellStyle name="Input [yellow] 2 30 4" xfId="2528"/>
    <cellStyle name="Input [yellow] 2 30 4 2" xfId="13725"/>
    <cellStyle name="Input [yellow] 2 30 4 3" xfId="24893"/>
    <cellStyle name="Input [yellow] 2 30 4 4" xfId="36058"/>
    <cellStyle name="Input [yellow] 2 30 4 5" xfId="47251"/>
    <cellStyle name="Input [yellow] 2 30 5" xfId="2953"/>
    <cellStyle name="Input [yellow] 2 30 5 2" xfId="14150"/>
    <cellStyle name="Input [yellow] 2 30 5 3" xfId="25318"/>
    <cellStyle name="Input [yellow] 2 30 5 4" xfId="36483"/>
    <cellStyle name="Input [yellow] 2 30 5 5" xfId="47676"/>
    <cellStyle name="Input [yellow] 2 30 6" xfId="3587"/>
    <cellStyle name="Input [yellow] 2 30 6 2" xfId="14784"/>
    <cellStyle name="Input [yellow] 2 30 6 3" xfId="25952"/>
    <cellStyle name="Input [yellow] 2 30 6 4" xfId="37117"/>
    <cellStyle name="Input [yellow] 2 30 6 5" xfId="48310"/>
    <cellStyle name="Input [yellow] 2 30 7" xfId="4221"/>
    <cellStyle name="Input [yellow] 2 30 7 2" xfId="15418"/>
    <cellStyle name="Input [yellow] 2 30 7 3" xfId="26586"/>
    <cellStyle name="Input [yellow] 2 30 7 4" xfId="37751"/>
    <cellStyle name="Input [yellow] 2 30 7 5" xfId="48944"/>
    <cellStyle name="Input [yellow] 2 30 8" xfId="4854"/>
    <cellStyle name="Input [yellow] 2 30 8 2" xfId="16051"/>
    <cellStyle name="Input [yellow] 2 30 8 3" xfId="27219"/>
    <cellStyle name="Input [yellow] 2 30 8 4" xfId="38384"/>
    <cellStyle name="Input [yellow] 2 30 8 5" xfId="49577"/>
    <cellStyle name="Input [yellow] 2 30 9" xfId="5485"/>
    <cellStyle name="Input [yellow] 2 30 9 2" xfId="16682"/>
    <cellStyle name="Input [yellow] 2 30 9 3" xfId="27850"/>
    <cellStyle name="Input [yellow] 2 30 9 4" xfId="39015"/>
    <cellStyle name="Input [yellow] 2 30 9 5" xfId="50208"/>
    <cellStyle name="Input [yellow] 2 31" xfId="618"/>
    <cellStyle name="Input [yellow] 2 31 10" xfId="5997"/>
    <cellStyle name="Input [yellow] 2 31 10 2" xfId="17194"/>
    <cellStyle name="Input [yellow] 2 31 10 3" xfId="28362"/>
    <cellStyle name="Input [yellow] 2 31 10 4" xfId="39527"/>
    <cellStyle name="Input [yellow] 2 31 10 5" xfId="50720"/>
    <cellStyle name="Input [yellow] 2 31 11" xfId="6554"/>
    <cellStyle name="Input [yellow] 2 31 11 2" xfId="17751"/>
    <cellStyle name="Input [yellow] 2 31 11 3" xfId="28919"/>
    <cellStyle name="Input [yellow] 2 31 11 4" xfId="40084"/>
    <cellStyle name="Input [yellow] 2 31 11 5" xfId="51277"/>
    <cellStyle name="Input [yellow] 2 31 12" xfId="7187"/>
    <cellStyle name="Input [yellow] 2 31 12 2" xfId="18384"/>
    <cellStyle name="Input [yellow] 2 31 12 3" xfId="29552"/>
    <cellStyle name="Input [yellow] 2 31 12 4" xfId="40717"/>
    <cellStyle name="Input [yellow] 2 31 12 5" xfId="51910"/>
    <cellStyle name="Input [yellow] 2 31 13" xfId="7821"/>
    <cellStyle name="Input [yellow] 2 31 13 2" xfId="19018"/>
    <cellStyle name="Input [yellow] 2 31 13 3" xfId="30186"/>
    <cellStyle name="Input [yellow] 2 31 13 4" xfId="41351"/>
    <cellStyle name="Input [yellow] 2 31 13 5" xfId="52544"/>
    <cellStyle name="Input [yellow] 2 31 14" xfId="8455"/>
    <cellStyle name="Input [yellow] 2 31 14 2" xfId="19652"/>
    <cellStyle name="Input [yellow] 2 31 14 3" xfId="30820"/>
    <cellStyle name="Input [yellow] 2 31 14 4" xfId="41985"/>
    <cellStyle name="Input [yellow] 2 31 14 5" xfId="53178"/>
    <cellStyle name="Input [yellow] 2 31 15" xfId="9083"/>
    <cellStyle name="Input [yellow] 2 31 15 2" xfId="20280"/>
    <cellStyle name="Input [yellow] 2 31 15 3" xfId="31448"/>
    <cellStyle name="Input [yellow] 2 31 15 4" xfId="42613"/>
    <cellStyle name="Input [yellow] 2 31 15 5" xfId="53806"/>
    <cellStyle name="Input [yellow] 2 31 16" xfId="9506"/>
    <cellStyle name="Input [yellow] 2 31 16 2" xfId="20703"/>
    <cellStyle name="Input [yellow] 2 31 16 3" xfId="31871"/>
    <cellStyle name="Input [yellow] 2 31 16 4" xfId="43036"/>
    <cellStyle name="Input [yellow] 2 31 16 5" xfId="54229"/>
    <cellStyle name="Input [yellow] 2 31 17" xfId="10131"/>
    <cellStyle name="Input [yellow] 2 31 17 2" xfId="21328"/>
    <cellStyle name="Input [yellow] 2 31 17 3" xfId="32496"/>
    <cellStyle name="Input [yellow] 2 31 17 4" xfId="43661"/>
    <cellStyle name="Input [yellow] 2 31 17 5" xfId="54854"/>
    <cellStyle name="Input [yellow] 2 31 18" xfId="9837"/>
    <cellStyle name="Input [yellow] 2 31 18 2" xfId="21034"/>
    <cellStyle name="Input [yellow] 2 31 18 3" xfId="32202"/>
    <cellStyle name="Input [yellow] 2 31 18 4" xfId="43367"/>
    <cellStyle name="Input [yellow] 2 31 18 5" xfId="54560"/>
    <cellStyle name="Input [yellow] 2 31 19" xfId="11171"/>
    <cellStyle name="Input [yellow] 2 31 19 2" xfId="22368"/>
    <cellStyle name="Input [yellow] 2 31 19 3" xfId="33536"/>
    <cellStyle name="Input [yellow] 2 31 19 4" xfId="44701"/>
    <cellStyle name="Input [yellow] 2 31 19 5" xfId="55894"/>
    <cellStyle name="Input [yellow] 2 31 2" xfId="1267"/>
    <cellStyle name="Input [yellow] 2 31 2 2" xfId="12464"/>
    <cellStyle name="Input [yellow] 2 31 2 3" xfId="23632"/>
    <cellStyle name="Input [yellow] 2 31 2 4" xfId="34797"/>
    <cellStyle name="Input [yellow] 2 31 2 5" xfId="45990"/>
    <cellStyle name="Input [yellow] 2 31 20" xfId="11818"/>
    <cellStyle name="Input [yellow] 2 31 21" xfId="22988"/>
    <cellStyle name="Input [yellow] 2 31 22" xfId="34155"/>
    <cellStyle name="Input [yellow] 2 31 23" xfId="45341"/>
    <cellStyle name="Input [yellow] 2 31 3" xfId="1447"/>
    <cellStyle name="Input [yellow] 2 31 3 2" xfId="12644"/>
    <cellStyle name="Input [yellow] 2 31 3 3" xfId="23812"/>
    <cellStyle name="Input [yellow] 2 31 3 4" xfId="34977"/>
    <cellStyle name="Input [yellow] 2 31 3 5" xfId="46170"/>
    <cellStyle name="Input [yellow] 2 31 4" xfId="2543"/>
    <cellStyle name="Input [yellow] 2 31 4 2" xfId="13740"/>
    <cellStyle name="Input [yellow] 2 31 4 3" xfId="24908"/>
    <cellStyle name="Input [yellow] 2 31 4 4" xfId="36073"/>
    <cellStyle name="Input [yellow] 2 31 4 5" xfId="47266"/>
    <cellStyle name="Input [yellow] 2 31 5" xfId="2968"/>
    <cellStyle name="Input [yellow] 2 31 5 2" xfId="14165"/>
    <cellStyle name="Input [yellow] 2 31 5 3" xfId="25333"/>
    <cellStyle name="Input [yellow] 2 31 5 4" xfId="36498"/>
    <cellStyle name="Input [yellow] 2 31 5 5" xfId="47691"/>
    <cellStyle name="Input [yellow] 2 31 6" xfId="3602"/>
    <cellStyle name="Input [yellow] 2 31 6 2" xfId="14799"/>
    <cellStyle name="Input [yellow] 2 31 6 3" xfId="25967"/>
    <cellStyle name="Input [yellow] 2 31 6 4" xfId="37132"/>
    <cellStyle name="Input [yellow] 2 31 6 5" xfId="48325"/>
    <cellStyle name="Input [yellow] 2 31 7" xfId="4236"/>
    <cellStyle name="Input [yellow] 2 31 7 2" xfId="15433"/>
    <cellStyle name="Input [yellow] 2 31 7 3" xfId="26601"/>
    <cellStyle name="Input [yellow] 2 31 7 4" xfId="37766"/>
    <cellStyle name="Input [yellow] 2 31 7 5" xfId="48959"/>
    <cellStyle name="Input [yellow] 2 31 8" xfId="4869"/>
    <cellStyle name="Input [yellow] 2 31 8 2" xfId="16066"/>
    <cellStyle name="Input [yellow] 2 31 8 3" xfId="27234"/>
    <cellStyle name="Input [yellow] 2 31 8 4" xfId="38399"/>
    <cellStyle name="Input [yellow] 2 31 8 5" xfId="49592"/>
    <cellStyle name="Input [yellow] 2 31 9" xfId="5500"/>
    <cellStyle name="Input [yellow] 2 31 9 2" xfId="16697"/>
    <cellStyle name="Input [yellow] 2 31 9 3" xfId="27865"/>
    <cellStyle name="Input [yellow] 2 31 9 4" xfId="39030"/>
    <cellStyle name="Input [yellow] 2 31 9 5" xfId="50223"/>
    <cellStyle name="Input [yellow] 2 32" xfId="600"/>
    <cellStyle name="Input [yellow] 2 32 10" xfId="5751"/>
    <cellStyle name="Input [yellow] 2 32 10 2" xfId="16948"/>
    <cellStyle name="Input [yellow] 2 32 10 3" xfId="28116"/>
    <cellStyle name="Input [yellow] 2 32 10 4" xfId="39281"/>
    <cellStyle name="Input [yellow] 2 32 10 5" xfId="50474"/>
    <cellStyle name="Input [yellow] 2 32 11" xfId="6536"/>
    <cellStyle name="Input [yellow] 2 32 11 2" xfId="17733"/>
    <cellStyle name="Input [yellow] 2 32 11 3" xfId="28901"/>
    <cellStyle name="Input [yellow] 2 32 11 4" xfId="40066"/>
    <cellStyle name="Input [yellow] 2 32 11 5" xfId="51259"/>
    <cellStyle name="Input [yellow] 2 32 12" xfId="7169"/>
    <cellStyle name="Input [yellow] 2 32 12 2" xfId="18366"/>
    <cellStyle name="Input [yellow] 2 32 12 3" xfId="29534"/>
    <cellStyle name="Input [yellow] 2 32 12 4" xfId="40699"/>
    <cellStyle name="Input [yellow] 2 32 12 5" xfId="51892"/>
    <cellStyle name="Input [yellow] 2 32 13" xfId="7803"/>
    <cellStyle name="Input [yellow] 2 32 13 2" xfId="19000"/>
    <cellStyle name="Input [yellow] 2 32 13 3" xfId="30168"/>
    <cellStyle name="Input [yellow] 2 32 13 4" xfId="41333"/>
    <cellStyle name="Input [yellow] 2 32 13 5" xfId="52526"/>
    <cellStyle name="Input [yellow] 2 32 14" xfId="8437"/>
    <cellStyle name="Input [yellow] 2 32 14 2" xfId="19634"/>
    <cellStyle name="Input [yellow] 2 32 14 3" xfId="30802"/>
    <cellStyle name="Input [yellow] 2 32 14 4" xfId="41967"/>
    <cellStyle name="Input [yellow] 2 32 14 5" xfId="53160"/>
    <cellStyle name="Input [yellow] 2 32 15" xfId="9065"/>
    <cellStyle name="Input [yellow] 2 32 15 2" xfId="20262"/>
    <cellStyle name="Input [yellow] 2 32 15 3" xfId="31430"/>
    <cellStyle name="Input [yellow] 2 32 15 4" xfId="42595"/>
    <cellStyle name="Input [yellow] 2 32 15 5" xfId="53788"/>
    <cellStyle name="Input [yellow] 2 32 16" xfId="9488"/>
    <cellStyle name="Input [yellow] 2 32 16 2" xfId="20685"/>
    <cellStyle name="Input [yellow] 2 32 16 3" xfId="31853"/>
    <cellStyle name="Input [yellow] 2 32 16 4" xfId="43018"/>
    <cellStyle name="Input [yellow] 2 32 16 5" xfId="54211"/>
    <cellStyle name="Input [yellow] 2 32 17" xfId="10113"/>
    <cellStyle name="Input [yellow] 2 32 17 2" xfId="21310"/>
    <cellStyle name="Input [yellow] 2 32 17 3" xfId="32478"/>
    <cellStyle name="Input [yellow] 2 32 17 4" xfId="43643"/>
    <cellStyle name="Input [yellow] 2 32 17 5" xfId="54836"/>
    <cellStyle name="Input [yellow] 2 32 18" xfId="9804"/>
    <cellStyle name="Input [yellow] 2 32 18 2" xfId="21001"/>
    <cellStyle name="Input [yellow] 2 32 18 3" xfId="32169"/>
    <cellStyle name="Input [yellow] 2 32 18 4" xfId="43334"/>
    <cellStyle name="Input [yellow] 2 32 18 5" xfId="54527"/>
    <cellStyle name="Input [yellow] 2 32 19" xfId="11153"/>
    <cellStyle name="Input [yellow] 2 32 19 2" xfId="22350"/>
    <cellStyle name="Input [yellow] 2 32 19 3" xfId="33518"/>
    <cellStyle name="Input [yellow] 2 32 19 4" xfId="44683"/>
    <cellStyle name="Input [yellow] 2 32 19 5" xfId="55876"/>
    <cellStyle name="Input [yellow] 2 32 2" xfId="1249"/>
    <cellStyle name="Input [yellow] 2 32 2 2" xfId="12446"/>
    <cellStyle name="Input [yellow] 2 32 2 3" xfId="23614"/>
    <cellStyle name="Input [yellow] 2 32 2 4" xfId="34779"/>
    <cellStyle name="Input [yellow] 2 32 2 5" xfId="45972"/>
    <cellStyle name="Input [yellow] 2 32 20" xfId="11800"/>
    <cellStyle name="Input [yellow] 2 32 21" xfId="22970"/>
    <cellStyle name="Input [yellow] 2 32 22" xfId="34137"/>
    <cellStyle name="Input [yellow] 2 32 23" xfId="45323"/>
    <cellStyle name="Input [yellow] 2 32 3" xfId="1849"/>
    <cellStyle name="Input [yellow] 2 32 3 2" xfId="13046"/>
    <cellStyle name="Input [yellow] 2 32 3 3" xfId="24214"/>
    <cellStyle name="Input [yellow] 2 32 3 4" xfId="35379"/>
    <cellStyle name="Input [yellow] 2 32 3 5" xfId="46572"/>
    <cellStyle name="Input [yellow] 2 32 4" xfId="2525"/>
    <cellStyle name="Input [yellow] 2 32 4 2" xfId="13722"/>
    <cellStyle name="Input [yellow] 2 32 4 3" xfId="24890"/>
    <cellStyle name="Input [yellow] 2 32 4 4" xfId="36055"/>
    <cellStyle name="Input [yellow] 2 32 4 5" xfId="47248"/>
    <cellStyle name="Input [yellow] 2 32 5" xfId="2950"/>
    <cellStyle name="Input [yellow] 2 32 5 2" xfId="14147"/>
    <cellStyle name="Input [yellow] 2 32 5 3" xfId="25315"/>
    <cellStyle name="Input [yellow] 2 32 5 4" xfId="36480"/>
    <cellStyle name="Input [yellow] 2 32 5 5" xfId="47673"/>
    <cellStyle name="Input [yellow] 2 32 6" xfId="3584"/>
    <cellStyle name="Input [yellow] 2 32 6 2" xfId="14781"/>
    <cellStyle name="Input [yellow] 2 32 6 3" xfId="25949"/>
    <cellStyle name="Input [yellow] 2 32 6 4" xfId="37114"/>
    <cellStyle name="Input [yellow] 2 32 6 5" xfId="48307"/>
    <cellStyle name="Input [yellow] 2 32 7" xfId="4218"/>
    <cellStyle name="Input [yellow] 2 32 7 2" xfId="15415"/>
    <cellStyle name="Input [yellow] 2 32 7 3" xfId="26583"/>
    <cellStyle name="Input [yellow] 2 32 7 4" xfId="37748"/>
    <cellStyle name="Input [yellow] 2 32 7 5" xfId="48941"/>
    <cellStyle name="Input [yellow] 2 32 8" xfId="4851"/>
    <cellStyle name="Input [yellow] 2 32 8 2" xfId="16048"/>
    <cellStyle name="Input [yellow] 2 32 8 3" xfId="27216"/>
    <cellStyle name="Input [yellow] 2 32 8 4" xfId="38381"/>
    <cellStyle name="Input [yellow] 2 32 8 5" xfId="49574"/>
    <cellStyle name="Input [yellow] 2 32 9" xfId="5482"/>
    <cellStyle name="Input [yellow] 2 32 9 2" xfId="16679"/>
    <cellStyle name="Input [yellow] 2 32 9 3" xfId="27847"/>
    <cellStyle name="Input [yellow] 2 32 9 4" xfId="39012"/>
    <cellStyle name="Input [yellow] 2 32 9 5" xfId="50205"/>
    <cellStyle name="Input [yellow] 2 33" xfId="698"/>
    <cellStyle name="Input [yellow] 2 33 2" xfId="11896"/>
    <cellStyle name="Input [yellow] 2 33 3" xfId="23065"/>
    <cellStyle name="Input [yellow] 2 33 4" xfId="34232"/>
    <cellStyle name="Input [yellow] 2 33 5" xfId="45421"/>
    <cellStyle name="Input [yellow] 2 34" xfId="1823"/>
    <cellStyle name="Input [yellow] 2 34 2" xfId="13020"/>
    <cellStyle name="Input [yellow] 2 34 3" xfId="24188"/>
    <cellStyle name="Input [yellow] 2 34 4" xfId="35353"/>
    <cellStyle name="Input [yellow] 2 34 5" xfId="46546"/>
    <cellStyle name="Input [yellow] 2 35" xfId="1972"/>
    <cellStyle name="Input [yellow] 2 35 2" xfId="13169"/>
    <cellStyle name="Input [yellow] 2 35 3" xfId="24337"/>
    <cellStyle name="Input [yellow] 2 35 4" xfId="35502"/>
    <cellStyle name="Input [yellow] 2 35 5" xfId="46695"/>
    <cellStyle name="Input [yellow] 2 36" xfId="2405"/>
    <cellStyle name="Input [yellow] 2 36 2" xfId="13602"/>
    <cellStyle name="Input [yellow] 2 36 3" xfId="24770"/>
    <cellStyle name="Input [yellow] 2 36 4" xfId="35935"/>
    <cellStyle name="Input [yellow] 2 36 5" xfId="47128"/>
    <cellStyle name="Input [yellow] 2 37" xfId="3028"/>
    <cellStyle name="Input [yellow] 2 37 2" xfId="14225"/>
    <cellStyle name="Input [yellow] 2 37 3" xfId="25393"/>
    <cellStyle name="Input [yellow] 2 37 4" xfId="36558"/>
    <cellStyle name="Input [yellow] 2 37 5" xfId="47751"/>
    <cellStyle name="Input [yellow] 2 38" xfId="3662"/>
    <cellStyle name="Input [yellow] 2 38 2" xfId="14859"/>
    <cellStyle name="Input [yellow] 2 38 3" xfId="26027"/>
    <cellStyle name="Input [yellow] 2 38 4" xfId="37192"/>
    <cellStyle name="Input [yellow] 2 38 5" xfId="48385"/>
    <cellStyle name="Input [yellow] 2 39" xfId="4294"/>
    <cellStyle name="Input [yellow] 2 39 2" xfId="15491"/>
    <cellStyle name="Input [yellow] 2 39 3" xfId="26659"/>
    <cellStyle name="Input [yellow] 2 39 4" xfId="37824"/>
    <cellStyle name="Input [yellow] 2 39 5" xfId="49017"/>
    <cellStyle name="Input [yellow] 2 4" xfId="57"/>
    <cellStyle name="Input [yellow] 2 4 10" xfId="409"/>
    <cellStyle name="Input [yellow] 2 4 10 10" xfId="5710"/>
    <cellStyle name="Input [yellow] 2 4 10 10 2" xfId="16907"/>
    <cellStyle name="Input [yellow] 2 4 10 10 3" xfId="28075"/>
    <cellStyle name="Input [yellow] 2 4 10 10 4" xfId="39240"/>
    <cellStyle name="Input [yellow] 2 4 10 10 5" xfId="50433"/>
    <cellStyle name="Input [yellow] 2 4 10 11" xfId="6345"/>
    <cellStyle name="Input [yellow] 2 4 10 11 2" xfId="17542"/>
    <cellStyle name="Input [yellow] 2 4 10 11 3" xfId="28710"/>
    <cellStyle name="Input [yellow] 2 4 10 11 4" xfId="39875"/>
    <cellStyle name="Input [yellow] 2 4 10 11 5" xfId="51068"/>
    <cellStyle name="Input [yellow] 2 4 10 12" xfId="6978"/>
    <cellStyle name="Input [yellow] 2 4 10 12 2" xfId="18175"/>
    <cellStyle name="Input [yellow] 2 4 10 12 3" xfId="29343"/>
    <cellStyle name="Input [yellow] 2 4 10 12 4" xfId="40508"/>
    <cellStyle name="Input [yellow] 2 4 10 12 5" xfId="51701"/>
    <cellStyle name="Input [yellow] 2 4 10 13" xfId="7612"/>
    <cellStyle name="Input [yellow] 2 4 10 13 2" xfId="18809"/>
    <cellStyle name="Input [yellow] 2 4 10 13 3" xfId="29977"/>
    <cellStyle name="Input [yellow] 2 4 10 13 4" xfId="41142"/>
    <cellStyle name="Input [yellow] 2 4 10 13 5" xfId="52335"/>
    <cellStyle name="Input [yellow] 2 4 10 14" xfId="8246"/>
    <cellStyle name="Input [yellow] 2 4 10 14 2" xfId="19443"/>
    <cellStyle name="Input [yellow] 2 4 10 14 3" xfId="30611"/>
    <cellStyle name="Input [yellow] 2 4 10 14 4" xfId="41776"/>
    <cellStyle name="Input [yellow] 2 4 10 14 5" xfId="52969"/>
    <cellStyle name="Input [yellow] 2 4 10 15" xfId="8874"/>
    <cellStyle name="Input [yellow] 2 4 10 15 2" xfId="20071"/>
    <cellStyle name="Input [yellow] 2 4 10 15 3" xfId="31239"/>
    <cellStyle name="Input [yellow] 2 4 10 15 4" xfId="42404"/>
    <cellStyle name="Input [yellow] 2 4 10 15 5" xfId="53597"/>
    <cellStyle name="Input [yellow] 2 4 10 16" xfId="9297"/>
    <cellStyle name="Input [yellow] 2 4 10 16 2" xfId="20494"/>
    <cellStyle name="Input [yellow] 2 4 10 16 3" xfId="31662"/>
    <cellStyle name="Input [yellow] 2 4 10 16 4" xfId="42827"/>
    <cellStyle name="Input [yellow] 2 4 10 16 5" xfId="54020"/>
    <cellStyle name="Input [yellow] 2 4 10 17" xfId="9923"/>
    <cellStyle name="Input [yellow] 2 4 10 17 2" xfId="21120"/>
    <cellStyle name="Input [yellow] 2 4 10 17 3" xfId="32288"/>
    <cellStyle name="Input [yellow] 2 4 10 17 4" xfId="43453"/>
    <cellStyle name="Input [yellow] 2 4 10 17 5" xfId="54646"/>
    <cellStyle name="Input [yellow] 2 4 10 18" xfId="10424"/>
    <cellStyle name="Input [yellow] 2 4 10 18 2" xfId="21621"/>
    <cellStyle name="Input [yellow] 2 4 10 18 3" xfId="32789"/>
    <cellStyle name="Input [yellow] 2 4 10 18 4" xfId="43954"/>
    <cellStyle name="Input [yellow] 2 4 10 18 5" xfId="55147"/>
    <cellStyle name="Input [yellow] 2 4 10 19" xfId="10962"/>
    <cellStyle name="Input [yellow] 2 4 10 19 2" xfId="22159"/>
    <cellStyle name="Input [yellow] 2 4 10 19 3" xfId="33327"/>
    <cellStyle name="Input [yellow] 2 4 10 19 4" xfId="44492"/>
    <cellStyle name="Input [yellow] 2 4 10 19 5" xfId="55685"/>
    <cellStyle name="Input [yellow] 2 4 10 2" xfId="1058"/>
    <cellStyle name="Input [yellow] 2 4 10 2 2" xfId="12255"/>
    <cellStyle name="Input [yellow] 2 4 10 2 3" xfId="23423"/>
    <cellStyle name="Input [yellow] 2 4 10 2 4" xfId="34588"/>
    <cellStyle name="Input [yellow] 2 4 10 2 5" xfId="45781"/>
    <cellStyle name="Input [yellow] 2 4 10 20" xfId="11609"/>
    <cellStyle name="Input [yellow] 2 4 10 21" xfId="22779"/>
    <cellStyle name="Input [yellow] 2 4 10 22" xfId="33946"/>
    <cellStyle name="Input [yellow] 2 4 10 23" xfId="45132"/>
    <cellStyle name="Input [yellow] 2 4 10 3" xfId="1739"/>
    <cellStyle name="Input [yellow] 2 4 10 3 2" xfId="12936"/>
    <cellStyle name="Input [yellow] 2 4 10 3 3" xfId="24104"/>
    <cellStyle name="Input [yellow] 2 4 10 3 4" xfId="35269"/>
    <cellStyle name="Input [yellow] 2 4 10 3 5" xfId="46462"/>
    <cellStyle name="Input [yellow] 2 4 10 4" xfId="2334"/>
    <cellStyle name="Input [yellow] 2 4 10 4 2" xfId="13531"/>
    <cellStyle name="Input [yellow] 2 4 10 4 3" xfId="24699"/>
    <cellStyle name="Input [yellow] 2 4 10 4 4" xfId="35864"/>
    <cellStyle name="Input [yellow] 2 4 10 4 5" xfId="47057"/>
    <cellStyle name="Input [yellow] 2 4 10 5" xfId="2759"/>
    <cellStyle name="Input [yellow] 2 4 10 5 2" xfId="13956"/>
    <cellStyle name="Input [yellow] 2 4 10 5 3" xfId="25124"/>
    <cellStyle name="Input [yellow] 2 4 10 5 4" xfId="36289"/>
    <cellStyle name="Input [yellow] 2 4 10 5 5" xfId="47482"/>
    <cellStyle name="Input [yellow] 2 4 10 6" xfId="3393"/>
    <cellStyle name="Input [yellow] 2 4 10 6 2" xfId="14590"/>
    <cellStyle name="Input [yellow] 2 4 10 6 3" xfId="25758"/>
    <cellStyle name="Input [yellow] 2 4 10 6 4" xfId="36923"/>
    <cellStyle name="Input [yellow] 2 4 10 6 5" xfId="48116"/>
    <cellStyle name="Input [yellow] 2 4 10 7" xfId="4027"/>
    <cellStyle name="Input [yellow] 2 4 10 7 2" xfId="15224"/>
    <cellStyle name="Input [yellow] 2 4 10 7 3" xfId="26392"/>
    <cellStyle name="Input [yellow] 2 4 10 7 4" xfId="37557"/>
    <cellStyle name="Input [yellow] 2 4 10 7 5" xfId="48750"/>
    <cellStyle name="Input [yellow] 2 4 10 8" xfId="4660"/>
    <cellStyle name="Input [yellow] 2 4 10 8 2" xfId="15857"/>
    <cellStyle name="Input [yellow] 2 4 10 8 3" xfId="27025"/>
    <cellStyle name="Input [yellow] 2 4 10 8 4" xfId="38190"/>
    <cellStyle name="Input [yellow] 2 4 10 8 5" xfId="49383"/>
    <cellStyle name="Input [yellow] 2 4 10 9" xfId="5291"/>
    <cellStyle name="Input [yellow] 2 4 10 9 2" xfId="16488"/>
    <cellStyle name="Input [yellow] 2 4 10 9 3" xfId="27656"/>
    <cellStyle name="Input [yellow] 2 4 10 9 4" xfId="38821"/>
    <cellStyle name="Input [yellow] 2 4 10 9 5" xfId="50014"/>
    <cellStyle name="Input [yellow] 2 4 11" xfId="657"/>
    <cellStyle name="Input [yellow] 2 4 11 10" xfId="5999"/>
    <cellStyle name="Input [yellow] 2 4 11 10 2" xfId="17196"/>
    <cellStyle name="Input [yellow] 2 4 11 10 3" xfId="28364"/>
    <cellStyle name="Input [yellow] 2 4 11 10 4" xfId="39529"/>
    <cellStyle name="Input [yellow] 2 4 11 10 5" xfId="50722"/>
    <cellStyle name="Input [yellow] 2 4 11 11" xfId="6593"/>
    <cellStyle name="Input [yellow] 2 4 11 11 2" xfId="17790"/>
    <cellStyle name="Input [yellow] 2 4 11 11 3" xfId="28958"/>
    <cellStyle name="Input [yellow] 2 4 11 11 4" xfId="40123"/>
    <cellStyle name="Input [yellow] 2 4 11 11 5" xfId="51316"/>
    <cellStyle name="Input [yellow] 2 4 11 12" xfId="7226"/>
    <cellStyle name="Input [yellow] 2 4 11 12 2" xfId="18423"/>
    <cellStyle name="Input [yellow] 2 4 11 12 3" xfId="29591"/>
    <cellStyle name="Input [yellow] 2 4 11 12 4" xfId="40756"/>
    <cellStyle name="Input [yellow] 2 4 11 12 5" xfId="51949"/>
    <cellStyle name="Input [yellow] 2 4 11 13" xfId="7860"/>
    <cellStyle name="Input [yellow] 2 4 11 13 2" xfId="19057"/>
    <cellStyle name="Input [yellow] 2 4 11 13 3" xfId="30225"/>
    <cellStyle name="Input [yellow] 2 4 11 13 4" xfId="41390"/>
    <cellStyle name="Input [yellow] 2 4 11 13 5" xfId="52583"/>
    <cellStyle name="Input [yellow] 2 4 11 14" xfId="8494"/>
    <cellStyle name="Input [yellow] 2 4 11 14 2" xfId="19691"/>
    <cellStyle name="Input [yellow] 2 4 11 14 3" xfId="30859"/>
    <cellStyle name="Input [yellow] 2 4 11 14 4" xfId="42024"/>
    <cellStyle name="Input [yellow] 2 4 11 14 5" xfId="53217"/>
    <cellStyle name="Input [yellow] 2 4 11 15" xfId="9122"/>
    <cellStyle name="Input [yellow] 2 4 11 15 2" xfId="20319"/>
    <cellStyle name="Input [yellow] 2 4 11 15 3" xfId="31487"/>
    <cellStyle name="Input [yellow] 2 4 11 15 4" xfId="42652"/>
    <cellStyle name="Input [yellow] 2 4 11 15 5" xfId="53845"/>
    <cellStyle name="Input [yellow] 2 4 11 16" xfId="9545"/>
    <cellStyle name="Input [yellow] 2 4 11 16 2" xfId="20742"/>
    <cellStyle name="Input [yellow] 2 4 11 16 3" xfId="31910"/>
    <cellStyle name="Input [yellow] 2 4 11 16 4" xfId="43075"/>
    <cellStyle name="Input [yellow] 2 4 11 16 5" xfId="54268"/>
    <cellStyle name="Input [yellow] 2 4 11 17" xfId="10169"/>
    <cellStyle name="Input [yellow] 2 4 11 17 2" xfId="21366"/>
    <cellStyle name="Input [yellow] 2 4 11 17 3" xfId="32534"/>
    <cellStyle name="Input [yellow] 2 4 11 17 4" xfId="43699"/>
    <cellStyle name="Input [yellow] 2 4 11 17 5" xfId="54892"/>
    <cellStyle name="Input [yellow] 2 4 11 18" xfId="10419"/>
    <cellStyle name="Input [yellow] 2 4 11 18 2" xfId="21616"/>
    <cellStyle name="Input [yellow] 2 4 11 18 3" xfId="32784"/>
    <cellStyle name="Input [yellow] 2 4 11 18 4" xfId="43949"/>
    <cellStyle name="Input [yellow] 2 4 11 18 5" xfId="55142"/>
    <cellStyle name="Input [yellow] 2 4 11 19" xfId="11210"/>
    <cellStyle name="Input [yellow] 2 4 11 19 2" xfId="22407"/>
    <cellStyle name="Input [yellow] 2 4 11 19 3" xfId="33575"/>
    <cellStyle name="Input [yellow] 2 4 11 19 4" xfId="44740"/>
    <cellStyle name="Input [yellow] 2 4 11 19 5" xfId="55933"/>
    <cellStyle name="Input [yellow] 2 4 11 2" xfId="1306"/>
    <cellStyle name="Input [yellow] 2 4 11 2 2" xfId="12503"/>
    <cellStyle name="Input [yellow] 2 4 11 2 3" xfId="23671"/>
    <cellStyle name="Input [yellow] 2 4 11 2 4" xfId="34836"/>
    <cellStyle name="Input [yellow] 2 4 11 2 5" xfId="46029"/>
    <cellStyle name="Input [yellow] 2 4 11 20" xfId="11857"/>
    <cellStyle name="Input [yellow] 2 4 11 21" xfId="23027"/>
    <cellStyle name="Input [yellow] 2 4 11 22" xfId="34194"/>
    <cellStyle name="Input [yellow] 2 4 11 23" xfId="45380"/>
    <cellStyle name="Input [yellow] 2 4 11 3" xfId="1721"/>
    <cellStyle name="Input [yellow] 2 4 11 3 2" xfId="12918"/>
    <cellStyle name="Input [yellow] 2 4 11 3 3" xfId="24086"/>
    <cellStyle name="Input [yellow] 2 4 11 3 4" xfId="35251"/>
    <cellStyle name="Input [yellow] 2 4 11 3 5" xfId="46444"/>
    <cellStyle name="Input [yellow] 2 4 11 4" xfId="2582"/>
    <cellStyle name="Input [yellow] 2 4 11 4 2" xfId="13779"/>
    <cellStyle name="Input [yellow] 2 4 11 4 3" xfId="24947"/>
    <cellStyle name="Input [yellow] 2 4 11 4 4" xfId="36112"/>
    <cellStyle name="Input [yellow] 2 4 11 4 5" xfId="47305"/>
    <cellStyle name="Input [yellow] 2 4 11 5" xfId="3007"/>
    <cellStyle name="Input [yellow] 2 4 11 5 2" xfId="14204"/>
    <cellStyle name="Input [yellow] 2 4 11 5 3" xfId="25372"/>
    <cellStyle name="Input [yellow] 2 4 11 5 4" xfId="36537"/>
    <cellStyle name="Input [yellow] 2 4 11 5 5" xfId="47730"/>
    <cellStyle name="Input [yellow] 2 4 11 6" xfId="3641"/>
    <cellStyle name="Input [yellow] 2 4 11 6 2" xfId="14838"/>
    <cellStyle name="Input [yellow] 2 4 11 6 3" xfId="26006"/>
    <cellStyle name="Input [yellow] 2 4 11 6 4" xfId="37171"/>
    <cellStyle name="Input [yellow] 2 4 11 6 5" xfId="48364"/>
    <cellStyle name="Input [yellow] 2 4 11 7" xfId="4275"/>
    <cellStyle name="Input [yellow] 2 4 11 7 2" xfId="15472"/>
    <cellStyle name="Input [yellow] 2 4 11 7 3" xfId="26640"/>
    <cellStyle name="Input [yellow] 2 4 11 7 4" xfId="37805"/>
    <cellStyle name="Input [yellow] 2 4 11 7 5" xfId="48998"/>
    <cellStyle name="Input [yellow] 2 4 11 8" xfId="4908"/>
    <cellStyle name="Input [yellow] 2 4 11 8 2" xfId="16105"/>
    <cellStyle name="Input [yellow] 2 4 11 8 3" xfId="27273"/>
    <cellStyle name="Input [yellow] 2 4 11 8 4" xfId="38438"/>
    <cellStyle name="Input [yellow] 2 4 11 8 5" xfId="49631"/>
    <cellStyle name="Input [yellow] 2 4 11 9" xfId="5539"/>
    <cellStyle name="Input [yellow] 2 4 11 9 2" xfId="16736"/>
    <cellStyle name="Input [yellow] 2 4 11 9 3" xfId="27904"/>
    <cellStyle name="Input [yellow] 2 4 11 9 4" xfId="39069"/>
    <cellStyle name="Input [yellow] 2 4 11 9 5" xfId="50262"/>
    <cellStyle name="Input [yellow] 2 4 12" xfId="707"/>
    <cellStyle name="Input [yellow] 2 4 12 2" xfId="11905"/>
    <cellStyle name="Input [yellow] 2 4 12 3" xfId="23074"/>
    <cellStyle name="Input [yellow] 2 4 12 4" xfId="34239"/>
    <cellStyle name="Input [yellow] 2 4 12 5" xfId="45430"/>
    <cellStyle name="Input [yellow] 2 4 13" xfId="1626"/>
    <cellStyle name="Input [yellow] 2 4 13 2" xfId="12823"/>
    <cellStyle name="Input [yellow] 2 4 13 3" xfId="23991"/>
    <cellStyle name="Input [yellow] 2 4 13 4" xfId="35156"/>
    <cellStyle name="Input [yellow] 2 4 13 5" xfId="46349"/>
    <cellStyle name="Input [yellow] 2 4 14" xfId="1983"/>
    <cellStyle name="Input [yellow] 2 4 14 2" xfId="13180"/>
    <cellStyle name="Input [yellow] 2 4 14 3" xfId="24348"/>
    <cellStyle name="Input [yellow] 2 4 14 4" xfId="35513"/>
    <cellStyle name="Input [yellow] 2 4 14 5" xfId="46706"/>
    <cellStyle name="Input [yellow] 2 4 15" xfId="2232"/>
    <cellStyle name="Input [yellow] 2 4 15 2" xfId="13429"/>
    <cellStyle name="Input [yellow] 2 4 15 3" xfId="24597"/>
    <cellStyle name="Input [yellow] 2 4 15 4" xfId="35762"/>
    <cellStyle name="Input [yellow] 2 4 15 5" xfId="46955"/>
    <cellStyle name="Input [yellow] 2 4 16" xfId="3041"/>
    <cellStyle name="Input [yellow] 2 4 16 2" xfId="14238"/>
    <cellStyle name="Input [yellow] 2 4 16 3" xfId="25406"/>
    <cellStyle name="Input [yellow] 2 4 16 4" xfId="36571"/>
    <cellStyle name="Input [yellow] 2 4 16 5" xfId="47764"/>
    <cellStyle name="Input [yellow] 2 4 17" xfId="3676"/>
    <cellStyle name="Input [yellow] 2 4 17 2" xfId="14873"/>
    <cellStyle name="Input [yellow] 2 4 17 3" xfId="26041"/>
    <cellStyle name="Input [yellow] 2 4 17 4" xfId="37206"/>
    <cellStyle name="Input [yellow] 2 4 17 5" xfId="48399"/>
    <cellStyle name="Input [yellow] 2 4 18" xfId="4308"/>
    <cellStyle name="Input [yellow] 2 4 18 2" xfId="15505"/>
    <cellStyle name="Input [yellow] 2 4 18 3" xfId="26673"/>
    <cellStyle name="Input [yellow] 2 4 18 4" xfId="37838"/>
    <cellStyle name="Input [yellow] 2 4 18 5" xfId="49031"/>
    <cellStyle name="Input [yellow] 2 4 19" xfId="4941"/>
    <cellStyle name="Input [yellow] 2 4 19 2" xfId="16138"/>
    <cellStyle name="Input [yellow] 2 4 19 3" xfId="27306"/>
    <cellStyle name="Input [yellow] 2 4 19 4" xfId="38471"/>
    <cellStyle name="Input [yellow] 2 4 19 5" xfId="49664"/>
    <cellStyle name="Input [yellow] 2 4 2" xfId="122"/>
    <cellStyle name="Input [yellow] 2 4 2 10" xfId="6018"/>
    <cellStyle name="Input [yellow] 2 4 2 10 2" xfId="17215"/>
    <cellStyle name="Input [yellow] 2 4 2 10 3" xfId="28383"/>
    <cellStyle name="Input [yellow] 2 4 2 10 4" xfId="39548"/>
    <cellStyle name="Input [yellow] 2 4 2 10 5" xfId="50741"/>
    <cellStyle name="Input [yellow] 2 4 2 11" xfId="6133"/>
    <cellStyle name="Input [yellow] 2 4 2 11 2" xfId="17330"/>
    <cellStyle name="Input [yellow] 2 4 2 11 3" xfId="28498"/>
    <cellStyle name="Input [yellow] 2 4 2 11 4" xfId="39663"/>
    <cellStyle name="Input [yellow] 2 4 2 11 5" xfId="50856"/>
    <cellStyle name="Input [yellow] 2 4 2 12" xfId="6691"/>
    <cellStyle name="Input [yellow] 2 4 2 12 2" xfId="17888"/>
    <cellStyle name="Input [yellow] 2 4 2 12 3" xfId="29056"/>
    <cellStyle name="Input [yellow] 2 4 2 12 4" xfId="40221"/>
    <cellStyle name="Input [yellow] 2 4 2 12 5" xfId="51414"/>
    <cellStyle name="Input [yellow] 2 4 2 13" xfId="7325"/>
    <cellStyle name="Input [yellow] 2 4 2 13 2" xfId="18522"/>
    <cellStyle name="Input [yellow] 2 4 2 13 3" xfId="29690"/>
    <cellStyle name="Input [yellow] 2 4 2 13 4" xfId="40855"/>
    <cellStyle name="Input [yellow] 2 4 2 13 5" xfId="52048"/>
    <cellStyle name="Input [yellow] 2 4 2 14" xfId="7959"/>
    <cellStyle name="Input [yellow] 2 4 2 14 2" xfId="19156"/>
    <cellStyle name="Input [yellow] 2 4 2 14 3" xfId="30324"/>
    <cellStyle name="Input [yellow] 2 4 2 14 4" xfId="41489"/>
    <cellStyle name="Input [yellow] 2 4 2 14 5" xfId="52682"/>
    <cellStyle name="Input [yellow] 2 4 2 15" xfId="8590"/>
    <cellStyle name="Input [yellow] 2 4 2 15 2" xfId="19787"/>
    <cellStyle name="Input [yellow] 2 4 2 15 3" xfId="30955"/>
    <cellStyle name="Input [yellow] 2 4 2 15 4" xfId="42120"/>
    <cellStyle name="Input [yellow] 2 4 2 15 5" xfId="53313"/>
    <cellStyle name="Input [yellow] 2 4 2 16" xfId="8988"/>
    <cellStyle name="Input [yellow] 2 4 2 16 2" xfId="20185"/>
    <cellStyle name="Input [yellow] 2 4 2 16 3" xfId="31353"/>
    <cellStyle name="Input [yellow] 2 4 2 16 4" xfId="42518"/>
    <cellStyle name="Input [yellow] 2 4 2 16 5" xfId="53711"/>
    <cellStyle name="Input [yellow] 2 4 2 17" xfId="9643"/>
    <cellStyle name="Input [yellow] 2 4 2 17 2" xfId="20840"/>
    <cellStyle name="Input [yellow] 2 4 2 17 3" xfId="32008"/>
    <cellStyle name="Input [yellow] 2 4 2 17 4" xfId="43173"/>
    <cellStyle name="Input [yellow] 2 4 2 17 5" xfId="54366"/>
    <cellStyle name="Input [yellow] 2 4 2 18" xfId="10316"/>
    <cellStyle name="Input [yellow] 2 4 2 18 2" xfId="21513"/>
    <cellStyle name="Input [yellow] 2 4 2 18 3" xfId="32681"/>
    <cellStyle name="Input [yellow] 2 4 2 18 4" xfId="43846"/>
    <cellStyle name="Input [yellow] 2 4 2 18 5" xfId="55039"/>
    <cellStyle name="Input [yellow] 2 4 2 19" xfId="10675"/>
    <cellStyle name="Input [yellow] 2 4 2 19 2" xfId="21872"/>
    <cellStyle name="Input [yellow] 2 4 2 19 3" xfId="33040"/>
    <cellStyle name="Input [yellow] 2 4 2 19 4" xfId="44205"/>
    <cellStyle name="Input [yellow] 2 4 2 19 5" xfId="55398"/>
    <cellStyle name="Input [yellow] 2 4 2 2" xfId="771"/>
    <cellStyle name="Input [yellow] 2 4 2 2 2" xfId="11968"/>
    <cellStyle name="Input [yellow] 2 4 2 2 3" xfId="23136"/>
    <cellStyle name="Input [yellow] 2 4 2 2 4" xfId="34301"/>
    <cellStyle name="Input [yellow] 2 4 2 2 5" xfId="45494"/>
    <cellStyle name="Input [yellow] 2 4 2 20" xfId="11322"/>
    <cellStyle name="Input [yellow] 2 4 2 21" xfId="22492"/>
    <cellStyle name="Input [yellow] 2 4 2 22" xfId="33659"/>
    <cellStyle name="Input [yellow] 2 4 2 23" xfId="44845"/>
    <cellStyle name="Input [yellow] 2 4 2 3" xfId="1620"/>
    <cellStyle name="Input [yellow] 2 4 2 3 2" xfId="12817"/>
    <cellStyle name="Input [yellow] 2 4 2 3 3" xfId="23985"/>
    <cellStyle name="Input [yellow] 2 4 2 3 4" xfId="35150"/>
    <cellStyle name="Input [yellow] 2 4 2 3 5" xfId="46343"/>
    <cellStyle name="Input [yellow] 2 4 2 4" xfId="2048"/>
    <cellStyle name="Input [yellow] 2 4 2 4 2" xfId="13245"/>
    <cellStyle name="Input [yellow] 2 4 2 4 3" xfId="24413"/>
    <cellStyle name="Input [yellow] 2 4 2 4 4" xfId="35578"/>
    <cellStyle name="Input [yellow] 2 4 2 4 5" xfId="46771"/>
    <cellStyle name="Input [yellow] 2 4 2 5" xfId="2267"/>
    <cellStyle name="Input [yellow] 2 4 2 5 2" xfId="13464"/>
    <cellStyle name="Input [yellow] 2 4 2 5 3" xfId="24632"/>
    <cellStyle name="Input [yellow] 2 4 2 5 4" xfId="35797"/>
    <cellStyle name="Input [yellow] 2 4 2 5 5" xfId="46990"/>
    <cellStyle name="Input [yellow] 2 4 2 6" xfId="3106"/>
    <cellStyle name="Input [yellow] 2 4 2 6 2" xfId="14303"/>
    <cellStyle name="Input [yellow] 2 4 2 6 3" xfId="25471"/>
    <cellStyle name="Input [yellow] 2 4 2 6 4" xfId="36636"/>
    <cellStyle name="Input [yellow] 2 4 2 6 5" xfId="47829"/>
    <cellStyle name="Input [yellow] 2 4 2 7" xfId="3740"/>
    <cellStyle name="Input [yellow] 2 4 2 7 2" xfId="14937"/>
    <cellStyle name="Input [yellow] 2 4 2 7 3" xfId="26105"/>
    <cellStyle name="Input [yellow] 2 4 2 7 4" xfId="37270"/>
    <cellStyle name="Input [yellow] 2 4 2 7 5" xfId="48463"/>
    <cellStyle name="Input [yellow] 2 4 2 8" xfId="4373"/>
    <cellStyle name="Input [yellow] 2 4 2 8 2" xfId="15570"/>
    <cellStyle name="Input [yellow] 2 4 2 8 3" xfId="26738"/>
    <cellStyle name="Input [yellow] 2 4 2 8 4" xfId="37903"/>
    <cellStyle name="Input [yellow] 2 4 2 8 5" xfId="49096"/>
    <cellStyle name="Input [yellow] 2 4 2 9" xfId="5004"/>
    <cellStyle name="Input [yellow] 2 4 2 9 2" xfId="16201"/>
    <cellStyle name="Input [yellow] 2 4 2 9 3" xfId="27369"/>
    <cellStyle name="Input [yellow] 2 4 2 9 4" xfId="38534"/>
    <cellStyle name="Input [yellow] 2 4 2 9 5" xfId="49727"/>
    <cellStyle name="Input [yellow] 2 4 20" xfId="4930"/>
    <cellStyle name="Input [yellow] 2 4 20 2" xfId="16127"/>
    <cellStyle name="Input [yellow] 2 4 20 3" xfId="27295"/>
    <cellStyle name="Input [yellow] 2 4 20 4" xfId="38460"/>
    <cellStyle name="Input [yellow] 2 4 20 5" xfId="49653"/>
    <cellStyle name="Input [yellow] 2 4 21" xfId="5704"/>
    <cellStyle name="Input [yellow] 2 4 21 2" xfId="16901"/>
    <cellStyle name="Input [yellow] 2 4 21 3" xfId="28069"/>
    <cellStyle name="Input [yellow] 2 4 21 4" xfId="39234"/>
    <cellStyle name="Input [yellow] 2 4 21 5" xfId="50427"/>
    <cellStyle name="Input [yellow] 2 4 22" xfId="6628"/>
    <cellStyle name="Input [yellow] 2 4 22 2" xfId="17825"/>
    <cellStyle name="Input [yellow] 2 4 22 3" xfId="28993"/>
    <cellStyle name="Input [yellow] 2 4 22 4" xfId="40158"/>
    <cellStyle name="Input [yellow] 2 4 22 5" xfId="51351"/>
    <cellStyle name="Input [yellow] 2 4 23" xfId="7260"/>
    <cellStyle name="Input [yellow] 2 4 23 2" xfId="18457"/>
    <cellStyle name="Input [yellow] 2 4 23 3" xfId="29625"/>
    <cellStyle name="Input [yellow] 2 4 23 4" xfId="40790"/>
    <cellStyle name="Input [yellow] 2 4 23 5" xfId="51983"/>
    <cellStyle name="Input [yellow] 2 4 24" xfId="7894"/>
    <cellStyle name="Input [yellow] 2 4 24 2" xfId="19091"/>
    <cellStyle name="Input [yellow] 2 4 24 3" xfId="30259"/>
    <cellStyle name="Input [yellow] 2 4 24 4" xfId="41424"/>
    <cellStyle name="Input [yellow] 2 4 24 5" xfId="52617"/>
    <cellStyle name="Input [yellow] 2 4 25" xfId="8527"/>
    <cellStyle name="Input [yellow] 2 4 25 2" xfId="19724"/>
    <cellStyle name="Input [yellow] 2 4 25 3" xfId="30892"/>
    <cellStyle name="Input [yellow] 2 4 25 4" xfId="42057"/>
    <cellStyle name="Input [yellow] 2 4 25 5" xfId="53250"/>
    <cellStyle name="Input [yellow] 2 4 26" xfId="8951"/>
    <cellStyle name="Input [yellow] 2 4 26 2" xfId="20148"/>
    <cellStyle name="Input [yellow] 2 4 26 3" xfId="31316"/>
    <cellStyle name="Input [yellow] 2 4 26 4" xfId="42481"/>
    <cellStyle name="Input [yellow] 2 4 26 5" xfId="53674"/>
    <cellStyle name="Input [yellow] 2 4 27" xfId="9579"/>
    <cellStyle name="Input [yellow] 2 4 27 2" xfId="20776"/>
    <cellStyle name="Input [yellow] 2 4 27 3" xfId="31944"/>
    <cellStyle name="Input [yellow] 2 4 27 4" xfId="43109"/>
    <cellStyle name="Input [yellow] 2 4 27 5" xfId="54302"/>
    <cellStyle name="Input [yellow] 2 4 28" xfId="10383"/>
    <cellStyle name="Input [yellow] 2 4 28 2" xfId="21580"/>
    <cellStyle name="Input [yellow] 2 4 28 3" xfId="32748"/>
    <cellStyle name="Input [yellow] 2 4 28 4" xfId="43913"/>
    <cellStyle name="Input [yellow] 2 4 28 5" xfId="55106"/>
    <cellStyle name="Input [yellow] 2 4 29" xfId="10613"/>
    <cellStyle name="Input [yellow] 2 4 29 2" xfId="21810"/>
    <cellStyle name="Input [yellow] 2 4 29 3" xfId="32978"/>
    <cellStyle name="Input [yellow] 2 4 29 4" xfId="44143"/>
    <cellStyle name="Input [yellow] 2 4 29 5" xfId="55336"/>
    <cellStyle name="Input [yellow] 2 4 3" xfId="178"/>
    <cellStyle name="Input [yellow] 2 4 3 10" xfId="6184"/>
    <cellStyle name="Input [yellow] 2 4 3 10 2" xfId="17381"/>
    <cellStyle name="Input [yellow] 2 4 3 10 3" xfId="28549"/>
    <cellStyle name="Input [yellow] 2 4 3 10 4" xfId="39714"/>
    <cellStyle name="Input [yellow] 2 4 3 10 5" xfId="50907"/>
    <cellStyle name="Input [yellow] 2 4 3 11" xfId="5915"/>
    <cellStyle name="Input [yellow] 2 4 3 11 2" xfId="17112"/>
    <cellStyle name="Input [yellow] 2 4 3 11 3" xfId="28280"/>
    <cellStyle name="Input [yellow] 2 4 3 11 4" xfId="39445"/>
    <cellStyle name="Input [yellow] 2 4 3 11 5" xfId="50638"/>
    <cellStyle name="Input [yellow] 2 4 3 12" xfId="6747"/>
    <cellStyle name="Input [yellow] 2 4 3 12 2" xfId="17944"/>
    <cellStyle name="Input [yellow] 2 4 3 12 3" xfId="29112"/>
    <cellStyle name="Input [yellow] 2 4 3 12 4" xfId="40277"/>
    <cellStyle name="Input [yellow] 2 4 3 12 5" xfId="51470"/>
    <cellStyle name="Input [yellow] 2 4 3 13" xfId="7381"/>
    <cellStyle name="Input [yellow] 2 4 3 13 2" xfId="18578"/>
    <cellStyle name="Input [yellow] 2 4 3 13 3" xfId="29746"/>
    <cellStyle name="Input [yellow] 2 4 3 13 4" xfId="40911"/>
    <cellStyle name="Input [yellow] 2 4 3 13 5" xfId="52104"/>
    <cellStyle name="Input [yellow] 2 4 3 14" xfId="8015"/>
    <cellStyle name="Input [yellow] 2 4 3 14 2" xfId="19212"/>
    <cellStyle name="Input [yellow] 2 4 3 14 3" xfId="30380"/>
    <cellStyle name="Input [yellow] 2 4 3 14 4" xfId="41545"/>
    <cellStyle name="Input [yellow] 2 4 3 14 5" xfId="52738"/>
    <cellStyle name="Input [yellow] 2 4 3 15" xfId="8646"/>
    <cellStyle name="Input [yellow] 2 4 3 15 2" xfId="19843"/>
    <cellStyle name="Input [yellow] 2 4 3 15 3" xfId="31011"/>
    <cellStyle name="Input [yellow] 2 4 3 15 4" xfId="42176"/>
    <cellStyle name="Input [yellow] 2 4 3 15 5" xfId="53369"/>
    <cellStyle name="Input [yellow] 2 4 3 16" xfId="9031"/>
    <cellStyle name="Input [yellow] 2 4 3 16 2" xfId="20228"/>
    <cellStyle name="Input [yellow] 2 4 3 16 3" xfId="31396"/>
    <cellStyle name="Input [yellow] 2 4 3 16 4" xfId="42561"/>
    <cellStyle name="Input [yellow] 2 4 3 16 5" xfId="53754"/>
    <cellStyle name="Input [yellow] 2 4 3 17" xfId="9698"/>
    <cellStyle name="Input [yellow] 2 4 3 17 2" xfId="20895"/>
    <cellStyle name="Input [yellow] 2 4 3 17 3" xfId="32063"/>
    <cellStyle name="Input [yellow] 2 4 3 17 4" xfId="43228"/>
    <cellStyle name="Input [yellow] 2 4 3 17 5" xfId="54421"/>
    <cellStyle name="Input [yellow] 2 4 3 18" xfId="10323"/>
    <cellStyle name="Input [yellow] 2 4 3 18 2" xfId="21520"/>
    <cellStyle name="Input [yellow] 2 4 3 18 3" xfId="32688"/>
    <cellStyle name="Input [yellow] 2 4 3 18 4" xfId="43853"/>
    <cellStyle name="Input [yellow] 2 4 3 18 5" xfId="55046"/>
    <cellStyle name="Input [yellow] 2 4 3 19" xfId="10731"/>
    <cellStyle name="Input [yellow] 2 4 3 19 2" xfId="21928"/>
    <cellStyle name="Input [yellow] 2 4 3 19 3" xfId="33096"/>
    <cellStyle name="Input [yellow] 2 4 3 19 4" xfId="44261"/>
    <cellStyle name="Input [yellow] 2 4 3 19 5" xfId="55454"/>
    <cellStyle name="Input [yellow] 2 4 3 2" xfId="827"/>
    <cellStyle name="Input [yellow] 2 4 3 2 2" xfId="12024"/>
    <cellStyle name="Input [yellow] 2 4 3 2 3" xfId="23192"/>
    <cellStyle name="Input [yellow] 2 4 3 2 4" xfId="34357"/>
    <cellStyle name="Input [yellow] 2 4 3 2 5" xfId="45550"/>
    <cellStyle name="Input [yellow] 2 4 3 20" xfId="11378"/>
    <cellStyle name="Input [yellow] 2 4 3 21" xfId="22548"/>
    <cellStyle name="Input [yellow] 2 4 3 22" xfId="33715"/>
    <cellStyle name="Input [yellow] 2 4 3 23" xfId="44901"/>
    <cellStyle name="Input [yellow] 2 4 3 3" xfId="1605"/>
    <cellStyle name="Input [yellow] 2 4 3 3 2" xfId="12802"/>
    <cellStyle name="Input [yellow] 2 4 3 3 3" xfId="23970"/>
    <cellStyle name="Input [yellow] 2 4 3 3 4" xfId="35135"/>
    <cellStyle name="Input [yellow] 2 4 3 3 5" xfId="46328"/>
    <cellStyle name="Input [yellow] 2 4 3 4" xfId="2104"/>
    <cellStyle name="Input [yellow] 2 4 3 4 2" xfId="13301"/>
    <cellStyle name="Input [yellow] 2 4 3 4 3" xfId="24469"/>
    <cellStyle name="Input [yellow] 2 4 3 4 4" xfId="35634"/>
    <cellStyle name="Input [yellow] 2 4 3 4 5" xfId="46827"/>
    <cellStyle name="Input [yellow] 2 4 3 5" xfId="2272"/>
    <cellStyle name="Input [yellow] 2 4 3 5 2" xfId="13469"/>
    <cellStyle name="Input [yellow] 2 4 3 5 3" xfId="24637"/>
    <cellStyle name="Input [yellow] 2 4 3 5 4" xfId="35802"/>
    <cellStyle name="Input [yellow] 2 4 3 5 5" xfId="46995"/>
    <cellStyle name="Input [yellow] 2 4 3 6" xfId="3162"/>
    <cellStyle name="Input [yellow] 2 4 3 6 2" xfId="14359"/>
    <cellStyle name="Input [yellow] 2 4 3 6 3" xfId="25527"/>
    <cellStyle name="Input [yellow] 2 4 3 6 4" xfId="36692"/>
    <cellStyle name="Input [yellow] 2 4 3 6 5" xfId="47885"/>
    <cellStyle name="Input [yellow] 2 4 3 7" xfId="3796"/>
    <cellStyle name="Input [yellow] 2 4 3 7 2" xfId="14993"/>
    <cellStyle name="Input [yellow] 2 4 3 7 3" xfId="26161"/>
    <cellStyle name="Input [yellow] 2 4 3 7 4" xfId="37326"/>
    <cellStyle name="Input [yellow] 2 4 3 7 5" xfId="48519"/>
    <cellStyle name="Input [yellow] 2 4 3 8" xfId="4429"/>
    <cellStyle name="Input [yellow] 2 4 3 8 2" xfId="15626"/>
    <cellStyle name="Input [yellow] 2 4 3 8 3" xfId="26794"/>
    <cellStyle name="Input [yellow] 2 4 3 8 4" xfId="37959"/>
    <cellStyle name="Input [yellow] 2 4 3 8 5" xfId="49152"/>
    <cellStyle name="Input [yellow] 2 4 3 9" xfId="5060"/>
    <cellStyle name="Input [yellow] 2 4 3 9 2" xfId="16257"/>
    <cellStyle name="Input [yellow] 2 4 3 9 3" xfId="27425"/>
    <cellStyle name="Input [yellow] 2 4 3 9 4" xfId="38590"/>
    <cellStyle name="Input [yellow] 2 4 3 9 5" xfId="49783"/>
    <cellStyle name="Input [yellow] 2 4 30" xfId="11258"/>
    <cellStyle name="Input [yellow] 2 4 31" xfId="22430"/>
    <cellStyle name="Input [yellow] 2 4 32" xfId="33597"/>
    <cellStyle name="Input [yellow] 2 4 33" xfId="44781"/>
    <cellStyle name="Input [yellow] 2 4 4" xfId="249"/>
    <cellStyle name="Input [yellow] 2 4 4 10" xfId="5740"/>
    <cellStyle name="Input [yellow] 2 4 4 10 2" xfId="16937"/>
    <cellStyle name="Input [yellow] 2 4 4 10 3" xfId="28105"/>
    <cellStyle name="Input [yellow] 2 4 4 10 4" xfId="39270"/>
    <cellStyle name="Input [yellow] 2 4 4 10 5" xfId="50463"/>
    <cellStyle name="Input [yellow] 2 4 4 11" xfId="5709"/>
    <cellStyle name="Input [yellow] 2 4 4 11 2" xfId="16906"/>
    <cellStyle name="Input [yellow] 2 4 4 11 3" xfId="28074"/>
    <cellStyle name="Input [yellow] 2 4 4 11 4" xfId="39239"/>
    <cellStyle name="Input [yellow] 2 4 4 11 5" xfId="50432"/>
    <cellStyle name="Input [yellow] 2 4 4 12" xfId="6818"/>
    <cellStyle name="Input [yellow] 2 4 4 12 2" xfId="18015"/>
    <cellStyle name="Input [yellow] 2 4 4 12 3" xfId="29183"/>
    <cellStyle name="Input [yellow] 2 4 4 12 4" xfId="40348"/>
    <cellStyle name="Input [yellow] 2 4 4 12 5" xfId="51541"/>
    <cellStyle name="Input [yellow] 2 4 4 13" xfId="7452"/>
    <cellStyle name="Input [yellow] 2 4 4 13 2" xfId="18649"/>
    <cellStyle name="Input [yellow] 2 4 4 13 3" xfId="29817"/>
    <cellStyle name="Input [yellow] 2 4 4 13 4" xfId="40982"/>
    <cellStyle name="Input [yellow] 2 4 4 13 5" xfId="52175"/>
    <cellStyle name="Input [yellow] 2 4 4 14" xfId="8086"/>
    <cellStyle name="Input [yellow] 2 4 4 14 2" xfId="19283"/>
    <cellStyle name="Input [yellow] 2 4 4 14 3" xfId="30451"/>
    <cellStyle name="Input [yellow] 2 4 4 14 4" xfId="41616"/>
    <cellStyle name="Input [yellow] 2 4 4 14 5" xfId="52809"/>
    <cellStyle name="Input [yellow] 2 4 4 15" xfId="8716"/>
    <cellStyle name="Input [yellow] 2 4 4 15 2" xfId="19913"/>
    <cellStyle name="Input [yellow] 2 4 4 15 3" xfId="31081"/>
    <cellStyle name="Input [yellow] 2 4 4 15 4" xfId="42246"/>
    <cellStyle name="Input [yellow] 2 4 4 15 5" xfId="53439"/>
    <cellStyle name="Input [yellow] 2 4 4 16" xfId="7294"/>
    <cellStyle name="Input [yellow] 2 4 4 16 2" xfId="18491"/>
    <cellStyle name="Input [yellow] 2 4 4 16 3" xfId="29659"/>
    <cellStyle name="Input [yellow] 2 4 4 16 4" xfId="40824"/>
    <cellStyle name="Input [yellow] 2 4 4 16 5" xfId="52017"/>
    <cellStyle name="Input [yellow] 2 4 4 17" xfId="9766"/>
    <cellStyle name="Input [yellow] 2 4 4 17 2" xfId="20963"/>
    <cellStyle name="Input [yellow] 2 4 4 17 3" xfId="32131"/>
    <cellStyle name="Input [yellow] 2 4 4 17 4" xfId="43296"/>
    <cellStyle name="Input [yellow] 2 4 4 17 5" xfId="54489"/>
    <cellStyle name="Input [yellow] 2 4 4 18" xfId="10104"/>
    <cellStyle name="Input [yellow] 2 4 4 18 2" xfId="21301"/>
    <cellStyle name="Input [yellow] 2 4 4 18 3" xfId="32469"/>
    <cellStyle name="Input [yellow] 2 4 4 18 4" xfId="43634"/>
    <cellStyle name="Input [yellow] 2 4 4 18 5" xfId="54827"/>
    <cellStyle name="Input [yellow] 2 4 4 19" xfId="10802"/>
    <cellStyle name="Input [yellow] 2 4 4 19 2" xfId="21999"/>
    <cellStyle name="Input [yellow] 2 4 4 19 3" xfId="33167"/>
    <cellStyle name="Input [yellow] 2 4 4 19 4" xfId="44332"/>
    <cellStyle name="Input [yellow] 2 4 4 19 5" xfId="55525"/>
    <cellStyle name="Input [yellow] 2 4 4 2" xfId="898"/>
    <cellStyle name="Input [yellow] 2 4 4 2 2" xfId="12095"/>
    <cellStyle name="Input [yellow] 2 4 4 2 3" xfId="23263"/>
    <cellStyle name="Input [yellow] 2 4 4 2 4" xfId="34428"/>
    <cellStyle name="Input [yellow] 2 4 4 2 5" xfId="45621"/>
    <cellStyle name="Input [yellow] 2 4 4 20" xfId="11449"/>
    <cellStyle name="Input [yellow] 2 4 4 21" xfId="22619"/>
    <cellStyle name="Input [yellow] 2 4 4 22" xfId="33786"/>
    <cellStyle name="Input [yellow] 2 4 4 23" xfId="44972"/>
    <cellStyle name="Input [yellow] 2 4 4 3" xfId="1893"/>
    <cellStyle name="Input [yellow] 2 4 4 3 2" xfId="13090"/>
    <cellStyle name="Input [yellow] 2 4 4 3 3" xfId="24258"/>
    <cellStyle name="Input [yellow] 2 4 4 3 4" xfId="35423"/>
    <cellStyle name="Input [yellow] 2 4 4 3 5" xfId="46616"/>
    <cellStyle name="Input [yellow] 2 4 4 4" xfId="2175"/>
    <cellStyle name="Input [yellow] 2 4 4 4 2" xfId="13372"/>
    <cellStyle name="Input [yellow] 2 4 4 4 3" xfId="24540"/>
    <cellStyle name="Input [yellow] 2 4 4 4 4" xfId="35705"/>
    <cellStyle name="Input [yellow] 2 4 4 4 5" xfId="46898"/>
    <cellStyle name="Input [yellow] 2 4 4 5" xfId="2599"/>
    <cellStyle name="Input [yellow] 2 4 4 5 2" xfId="13796"/>
    <cellStyle name="Input [yellow] 2 4 4 5 3" xfId="24964"/>
    <cellStyle name="Input [yellow] 2 4 4 5 4" xfId="36129"/>
    <cellStyle name="Input [yellow] 2 4 4 5 5" xfId="47322"/>
    <cellStyle name="Input [yellow] 2 4 4 6" xfId="3233"/>
    <cellStyle name="Input [yellow] 2 4 4 6 2" xfId="14430"/>
    <cellStyle name="Input [yellow] 2 4 4 6 3" xfId="25598"/>
    <cellStyle name="Input [yellow] 2 4 4 6 4" xfId="36763"/>
    <cellStyle name="Input [yellow] 2 4 4 6 5" xfId="47956"/>
    <cellStyle name="Input [yellow] 2 4 4 7" xfId="3867"/>
    <cellStyle name="Input [yellow] 2 4 4 7 2" xfId="15064"/>
    <cellStyle name="Input [yellow] 2 4 4 7 3" xfId="26232"/>
    <cellStyle name="Input [yellow] 2 4 4 7 4" xfId="37397"/>
    <cellStyle name="Input [yellow] 2 4 4 7 5" xfId="48590"/>
    <cellStyle name="Input [yellow] 2 4 4 8" xfId="4500"/>
    <cellStyle name="Input [yellow] 2 4 4 8 2" xfId="15697"/>
    <cellStyle name="Input [yellow] 2 4 4 8 3" xfId="26865"/>
    <cellStyle name="Input [yellow] 2 4 4 8 4" xfId="38030"/>
    <cellStyle name="Input [yellow] 2 4 4 8 5" xfId="49223"/>
    <cellStyle name="Input [yellow] 2 4 4 9" xfId="5131"/>
    <cellStyle name="Input [yellow] 2 4 4 9 2" xfId="16328"/>
    <cellStyle name="Input [yellow] 2 4 4 9 3" xfId="27496"/>
    <cellStyle name="Input [yellow] 2 4 4 9 4" xfId="38661"/>
    <cellStyle name="Input [yellow] 2 4 4 9 5" xfId="49854"/>
    <cellStyle name="Input [yellow] 2 4 5" xfId="294"/>
    <cellStyle name="Input [yellow] 2 4 5 10" xfId="5820"/>
    <cellStyle name="Input [yellow] 2 4 5 10 2" xfId="17017"/>
    <cellStyle name="Input [yellow] 2 4 5 10 3" xfId="28185"/>
    <cellStyle name="Input [yellow] 2 4 5 10 4" xfId="39350"/>
    <cellStyle name="Input [yellow] 2 4 5 10 5" xfId="50543"/>
    <cellStyle name="Input [yellow] 2 4 5 11" xfId="6230"/>
    <cellStyle name="Input [yellow] 2 4 5 11 2" xfId="17427"/>
    <cellStyle name="Input [yellow] 2 4 5 11 3" xfId="28595"/>
    <cellStyle name="Input [yellow] 2 4 5 11 4" xfId="39760"/>
    <cellStyle name="Input [yellow] 2 4 5 11 5" xfId="50953"/>
    <cellStyle name="Input [yellow] 2 4 5 12" xfId="6863"/>
    <cellStyle name="Input [yellow] 2 4 5 12 2" xfId="18060"/>
    <cellStyle name="Input [yellow] 2 4 5 12 3" xfId="29228"/>
    <cellStyle name="Input [yellow] 2 4 5 12 4" xfId="40393"/>
    <cellStyle name="Input [yellow] 2 4 5 12 5" xfId="51586"/>
    <cellStyle name="Input [yellow] 2 4 5 13" xfId="7497"/>
    <cellStyle name="Input [yellow] 2 4 5 13 2" xfId="18694"/>
    <cellStyle name="Input [yellow] 2 4 5 13 3" xfId="29862"/>
    <cellStyle name="Input [yellow] 2 4 5 13 4" xfId="41027"/>
    <cellStyle name="Input [yellow] 2 4 5 13 5" xfId="52220"/>
    <cellStyle name="Input [yellow] 2 4 5 14" xfId="8131"/>
    <cellStyle name="Input [yellow] 2 4 5 14 2" xfId="19328"/>
    <cellStyle name="Input [yellow] 2 4 5 14 3" xfId="30496"/>
    <cellStyle name="Input [yellow] 2 4 5 14 4" xfId="41661"/>
    <cellStyle name="Input [yellow] 2 4 5 14 5" xfId="52854"/>
    <cellStyle name="Input [yellow] 2 4 5 15" xfId="8760"/>
    <cellStyle name="Input [yellow] 2 4 5 15 2" xfId="19957"/>
    <cellStyle name="Input [yellow] 2 4 5 15 3" xfId="31125"/>
    <cellStyle name="Input [yellow] 2 4 5 15 4" xfId="42290"/>
    <cellStyle name="Input [yellow] 2 4 5 15 5" xfId="53483"/>
    <cellStyle name="Input [yellow] 2 4 5 16" xfId="9182"/>
    <cellStyle name="Input [yellow] 2 4 5 16 2" xfId="20379"/>
    <cellStyle name="Input [yellow] 2 4 5 16 3" xfId="31547"/>
    <cellStyle name="Input [yellow] 2 4 5 16 4" xfId="42712"/>
    <cellStyle name="Input [yellow] 2 4 5 16 5" xfId="53905"/>
    <cellStyle name="Input [yellow] 2 4 5 17" xfId="9809"/>
    <cellStyle name="Input [yellow] 2 4 5 17 2" xfId="21006"/>
    <cellStyle name="Input [yellow] 2 4 5 17 3" xfId="32174"/>
    <cellStyle name="Input [yellow] 2 4 5 17 4" xfId="43339"/>
    <cellStyle name="Input [yellow] 2 4 5 17 5" xfId="54532"/>
    <cellStyle name="Input [yellow] 2 4 5 18" xfId="10586"/>
    <cellStyle name="Input [yellow] 2 4 5 18 2" xfId="21783"/>
    <cellStyle name="Input [yellow] 2 4 5 18 3" xfId="32951"/>
    <cellStyle name="Input [yellow] 2 4 5 18 4" xfId="44116"/>
    <cellStyle name="Input [yellow] 2 4 5 18 5" xfId="55309"/>
    <cellStyle name="Input [yellow] 2 4 5 19" xfId="10847"/>
    <cellStyle name="Input [yellow] 2 4 5 19 2" xfId="22044"/>
    <cellStyle name="Input [yellow] 2 4 5 19 3" xfId="33212"/>
    <cellStyle name="Input [yellow] 2 4 5 19 4" xfId="44377"/>
    <cellStyle name="Input [yellow] 2 4 5 19 5" xfId="55570"/>
    <cellStyle name="Input [yellow] 2 4 5 2" xfId="943"/>
    <cellStyle name="Input [yellow] 2 4 5 2 2" xfId="12140"/>
    <cellStyle name="Input [yellow] 2 4 5 2 3" xfId="23308"/>
    <cellStyle name="Input [yellow] 2 4 5 2 4" xfId="34473"/>
    <cellStyle name="Input [yellow] 2 4 5 2 5" xfId="45666"/>
    <cellStyle name="Input [yellow] 2 4 5 20" xfId="11494"/>
    <cellStyle name="Input [yellow] 2 4 5 21" xfId="22664"/>
    <cellStyle name="Input [yellow] 2 4 5 22" xfId="33831"/>
    <cellStyle name="Input [yellow] 2 4 5 23" xfId="45017"/>
    <cellStyle name="Input [yellow] 2 4 5 3" xfId="1693"/>
    <cellStyle name="Input [yellow] 2 4 5 3 2" xfId="12890"/>
    <cellStyle name="Input [yellow] 2 4 5 3 3" xfId="24058"/>
    <cellStyle name="Input [yellow] 2 4 5 3 4" xfId="35223"/>
    <cellStyle name="Input [yellow] 2 4 5 3 5" xfId="46416"/>
    <cellStyle name="Input [yellow] 2 4 5 4" xfId="2219"/>
    <cellStyle name="Input [yellow] 2 4 5 4 2" xfId="13416"/>
    <cellStyle name="Input [yellow] 2 4 5 4 3" xfId="24584"/>
    <cellStyle name="Input [yellow] 2 4 5 4 4" xfId="35749"/>
    <cellStyle name="Input [yellow] 2 4 5 4 5" xfId="46942"/>
    <cellStyle name="Input [yellow] 2 4 5 5" xfId="2644"/>
    <cellStyle name="Input [yellow] 2 4 5 5 2" xfId="13841"/>
    <cellStyle name="Input [yellow] 2 4 5 5 3" xfId="25009"/>
    <cellStyle name="Input [yellow] 2 4 5 5 4" xfId="36174"/>
    <cellStyle name="Input [yellow] 2 4 5 5 5" xfId="47367"/>
    <cellStyle name="Input [yellow] 2 4 5 6" xfId="3278"/>
    <cellStyle name="Input [yellow] 2 4 5 6 2" xfId="14475"/>
    <cellStyle name="Input [yellow] 2 4 5 6 3" xfId="25643"/>
    <cellStyle name="Input [yellow] 2 4 5 6 4" xfId="36808"/>
    <cellStyle name="Input [yellow] 2 4 5 6 5" xfId="48001"/>
    <cellStyle name="Input [yellow] 2 4 5 7" xfId="3912"/>
    <cellStyle name="Input [yellow] 2 4 5 7 2" xfId="15109"/>
    <cellStyle name="Input [yellow] 2 4 5 7 3" xfId="26277"/>
    <cellStyle name="Input [yellow] 2 4 5 7 4" xfId="37442"/>
    <cellStyle name="Input [yellow] 2 4 5 7 5" xfId="48635"/>
    <cellStyle name="Input [yellow] 2 4 5 8" xfId="4545"/>
    <cellStyle name="Input [yellow] 2 4 5 8 2" xfId="15742"/>
    <cellStyle name="Input [yellow] 2 4 5 8 3" xfId="26910"/>
    <cellStyle name="Input [yellow] 2 4 5 8 4" xfId="38075"/>
    <cellStyle name="Input [yellow] 2 4 5 8 5" xfId="49268"/>
    <cellStyle name="Input [yellow] 2 4 5 9" xfId="5176"/>
    <cellStyle name="Input [yellow] 2 4 5 9 2" xfId="16373"/>
    <cellStyle name="Input [yellow] 2 4 5 9 3" xfId="27541"/>
    <cellStyle name="Input [yellow] 2 4 5 9 4" xfId="38706"/>
    <cellStyle name="Input [yellow] 2 4 5 9 5" xfId="49899"/>
    <cellStyle name="Input [yellow] 2 4 6" xfId="37"/>
    <cellStyle name="Input [yellow] 2 4 6 10" xfId="6035"/>
    <cellStyle name="Input [yellow] 2 4 6 10 2" xfId="17232"/>
    <cellStyle name="Input [yellow] 2 4 6 10 3" xfId="28400"/>
    <cellStyle name="Input [yellow] 2 4 6 10 4" xfId="39565"/>
    <cellStyle name="Input [yellow] 2 4 6 10 5" xfId="50758"/>
    <cellStyle name="Input [yellow] 2 4 6 11" xfId="5754"/>
    <cellStyle name="Input [yellow] 2 4 6 11 2" xfId="16951"/>
    <cellStyle name="Input [yellow] 2 4 6 11 3" xfId="28119"/>
    <cellStyle name="Input [yellow] 2 4 6 11 4" xfId="39284"/>
    <cellStyle name="Input [yellow] 2 4 6 11 5" xfId="50477"/>
    <cellStyle name="Input [yellow] 2 4 6 12" xfId="5561"/>
    <cellStyle name="Input [yellow] 2 4 6 12 2" xfId="16758"/>
    <cellStyle name="Input [yellow] 2 4 6 12 3" xfId="27926"/>
    <cellStyle name="Input [yellow] 2 4 6 12 4" xfId="39091"/>
    <cellStyle name="Input [yellow] 2 4 6 12 5" xfId="50284"/>
    <cellStyle name="Input [yellow] 2 4 6 13" xfId="6124"/>
    <cellStyle name="Input [yellow] 2 4 6 13 2" xfId="17321"/>
    <cellStyle name="Input [yellow] 2 4 6 13 3" xfId="28489"/>
    <cellStyle name="Input [yellow] 2 4 6 13 4" xfId="39654"/>
    <cellStyle name="Input [yellow] 2 4 6 13 5" xfId="50847"/>
    <cellStyle name="Input [yellow] 2 4 6 14" xfId="6619"/>
    <cellStyle name="Input [yellow] 2 4 6 14 2" xfId="17816"/>
    <cellStyle name="Input [yellow] 2 4 6 14 3" xfId="28984"/>
    <cellStyle name="Input [yellow] 2 4 6 14 4" xfId="40149"/>
    <cellStyle name="Input [yellow] 2 4 6 14 5" xfId="51342"/>
    <cellStyle name="Input [yellow] 2 4 6 15" xfId="7261"/>
    <cellStyle name="Input [yellow] 2 4 6 15 2" xfId="18458"/>
    <cellStyle name="Input [yellow] 2 4 6 15 3" xfId="29626"/>
    <cellStyle name="Input [yellow] 2 4 6 15 4" xfId="40791"/>
    <cellStyle name="Input [yellow] 2 4 6 15 5" xfId="51984"/>
    <cellStyle name="Input [yellow] 2 4 6 16" xfId="8847"/>
    <cellStyle name="Input [yellow] 2 4 6 16 2" xfId="20044"/>
    <cellStyle name="Input [yellow] 2 4 6 16 3" xfId="31212"/>
    <cellStyle name="Input [yellow] 2 4 6 16 4" xfId="42377"/>
    <cellStyle name="Input [yellow] 2 4 6 16 5" xfId="53570"/>
    <cellStyle name="Input [yellow] 2 4 6 17" xfId="8518"/>
    <cellStyle name="Input [yellow] 2 4 6 17 2" xfId="19715"/>
    <cellStyle name="Input [yellow] 2 4 6 17 3" xfId="30883"/>
    <cellStyle name="Input [yellow] 2 4 6 17 4" xfId="42048"/>
    <cellStyle name="Input [yellow] 2 4 6 17 5" xfId="53241"/>
    <cellStyle name="Input [yellow] 2 4 6 18" xfId="10232"/>
    <cellStyle name="Input [yellow] 2 4 6 18 2" xfId="21429"/>
    <cellStyle name="Input [yellow] 2 4 6 18 3" xfId="32597"/>
    <cellStyle name="Input [yellow] 2 4 6 18 4" xfId="43762"/>
    <cellStyle name="Input [yellow] 2 4 6 18 5" xfId="54955"/>
    <cellStyle name="Input [yellow] 2 4 6 19" xfId="9612"/>
    <cellStyle name="Input [yellow] 2 4 6 19 2" xfId="20809"/>
    <cellStyle name="Input [yellow] 2 4 6 19 3" xfId="31977"/>
    <cellStyle name="Input [yellow] 2 4 6 19 4" xfId="43142"/>
    <cellStyle name="Input [yellow] 2 4 6 19 5" xfId="54335"/>
    <cellStyle name="Input [yellow] 2 4 6 2" xfId="692"/>
    <cellStyle name="Input [yellow] 2 4 6 2 2" xfId="11891"/>
    <cellStyle name="Input [yellow] 2 4 6 2 3" xfId="23060"/>
    <cellStyle name="Input [yellow] 2 4 6 2 4" xfId="34227"/>
    <cellStyle name="Input [yellow] 2 4 6 2 5" xfId="45415"/>
    <cellStyle name="Input [yellow] 2 4 6 20" xfId="11239"/>
    <cellStyle name="Input [yellow] 2 4 6 21" xfId="18"/>
    <cellStyle name="Input [yellow] 2 4 6 22" xfId="11919"/>
    <cellStyle name="Input [yellow] 2 4 6 23" xfId="44766"/>
    <cellStyle name="Input [yellow] 2 4 6 3" xfId="1539"/>
    <cellStyle name="Input [yellow] 2 4 6 3 2" xfId="12736"/>
    <cellStyle name="Input [yellow] 2 4 6 3 3" xfId="23904"/>
    <cellStyle name="Input [yellow] 2 4 6 3 4" xfId="35069"/>
    <cellStyle name="Input [yellow] 2 4 6 3 5" xfId="46262"/>
    <cellStyle name="Input [yellow] 2 4 6 4" xfId="1966"/>
    <cellStyle name="Input [yellow] 2 4 6 4 2" xfId="13163"/>
    <cellStyle name="Input [yellow] 2 4 6 4 3" xfId="24331"/>
    <cellStyle name="Input [yellow] 2 4 6 4 4" xfId="35496"/>
    <cellStyle name="Input [yellow] 2 4 6 4 5" xfId="46689"/>
    <cellStyle name="Input [yellow] 2 4 6 5" xfId="2136"/>
    <cellStyle name="Input [yellow] 2 4 6 5 2" xfId="13333"/>
    <cellStyle name="Input [yellow] 2 4 6 5 3" xfId="24501"/>
    <cellStyle name="Input [yellow] 2 4 6 5 4" xfId="35666"/>
    <cellStyle name="Input [yellow] 2 4 6 5 5" xfId="46859"/>
    <cellStyle name="Input [yellow] 2 4 6 6" xfId="1980"/>
    <cellStyle name="Input [yellow] 2 4 6 6 2" xfId="13177"/>
    <cellStyle name="Input [yellow] 2 4 6 6 3" xfId="24345"/>
    <cellStyle name="Input [yellow] 2 4 6 6 4" xfId="35510"/>
    <cellStyle name="Input [yellow] 2 4 6 6 5" xfId="46703"/>
    <cellStyle name="Input [yellow] 2 4 6 7" xfId="2118"/>
    <cellStyle name="Input [yellow] 2 4 6 7 2" xfId="13315"/>
    <cellStyle name="Input [yellow] 2 4 6 7 3" xfId="24483"/>
    <cellStyle name="Input [yellow] 2 4 6 7 4" xfId="35648"/>
    <cellStyle name="Input [yellow] 2 4 6 7 5" xfId="46841"/>
    <cellStyle name="Input [yellow] 2 4 6 8" xfId="3042"/>
    <cellStyle name="Input [yellow] 2 4 6 8 2" xfId="14239"/>
    <cellStyle name="Input [yellow] 2 4 6 8 3" xfId="25407"/>
    <cellStyle name="Input [yellow] 2 4 6 8 4" xfId="36572"/>
    <cellStyle name="Input [yellow] 2 4 6 8 5" xfId="47765"/>
    <cellStyle name="Input [yellow] 2 4 6 9" xfId="3667"/>
    <cellStyle name="Input [yellow] 2 4 6 9 2" xfId="14864"/>
    <cellStyle name="Input [yellow] 2 4 6 9 3" xfId="26032"/>
    <cellStyle name="Input [yellow] 2 4 6 9 4" xfId="37197"/>
    <cellStyle name="Input [yellow] 2 4 6 9 5" xfId="48390"/>
    <cellStyle name="Input [yellow] 2 4 7" xfId="419"/>
    <cellStyle name="Input [yellow] 2 4 7 10" xfId="6172"/>
    <cellStyle name="Input [yellow] 2 4 7 10 2" xfId="17369"/>
    <cellStyle name="Input [yellow] 2 4 7 10 3" xfId="28537"/>
    <cellStyle name="Input [yellow] 2 4 7 10 4" xfId="39702"/>
    <cellStyle name="Input [yellow] 2 4 7 10 5" xfId="50895"/>
    <cellStyle name="Input [yellow] 2 4 7 11" xfId="6355"/>
    <cellStyle name="Input [yellow] 2 4 7 11 2" xfId="17552"/>
    <cellStyle name="Input [yellow] 2 4 7 11 3" xfId="28720"/>
    <cellStyle name="Input [yellow] 2 4 7 11 4" xfId="39885"/>
    <cellStyle name="Input [yellow] 2 4 7 11 5" xfId="51078"/>
    <cellStyle name="Input [yellow] 2 4 7 12" xfId="6988"/>
    <cellStyle name="Input [yellow] 2 4 7 12 2" xfId="18185"/>
    <cellStyle name="Input [yellow] 2 4 7 12 3" xfId="29353"/>
    <cellStyle name="Input [yellow] 2 4 7 12 4" xfId="40518"/>
    <cellStyle name="Input [yellow] 2 4 7 12 5" xfId="51711"/>
    <cellStyle name="Input [yellow] 2 4 7 13" xfId="7622"/>
    <cellStyle name="Input [yellow] 2 4 7 13 2" xfId="18819"/>
    <cellStyle name="Input [yellow] 2 4 7 13 3" xfId="29987"/>
    <cellStyle name="Input [yellow] 2 4 7 13 4" xfId="41152"/>
    <cellStyle name="Input [yellow] 2 4 7 13 5" xfId="52345"/>
    <cellStyle name="Input [yellow] 2 4 7 14" xfId="8256"/>
    <cellStyle name="Input [yellow] 2 4 7 14 2" xfId="19453"/>
    <cellStyle name="Input [yellow] 2 4 7 14 3" xfId="30621"/>
    <cellStyle name="Input [yellow] 2 4 7 14 4" xfId="41786"/>
    <cellStyle name="Input [yellow] 2 4 7 14 5" xfId="52979"/>
    <cellStyle name="Input [yellow] 2 4 7 15" xfId="8884"/>
    <cellStyle name="Input [yellow] 2 4 7 15 2" xfId="20081"/>
    <cellStyle name="Input [yellow] 2 4 7 15 3" xfId="31249"/>
    <cellStyle name="Input [yellow] 2 4 7 15 4" xfId="42414"/>
    <cellStyle name="Input [yellow] 2 4 7 15 5" xfId="53607"/>
    <cellStyle name="Input [yellow] 2 4 7 16" xfId="9307"/>
    <cellStyle name="Input [yellow] 2 4 7 16 2" xfId="20504"/>
    <cellStyle name="Input [yellow] 2 4 7 16 3" xfId="31672"/>
    <cellStyle name="Input [yellow] 2 4 7 16 4" xfId="42837"/>
    <cellStyle name="Input [yellow] 2 4 7 16 5" xfId="54030"/>
    <cellStyle name="Input [yellow] 2 4 7 17" xfId="9933"/>
    <cellStyle name="Input [yellow] 2 4 7 17 2" xfId="21130"/>
    <cellStyle name="Input [yellow] 2 4 7 17 3" xfId="32298"/>
    <cellStyle name="Input [yellow] 2 4 7 17 4" xfId="43463"/>
    <cellStyle name="Input [yellow] 2 4 7 17 5" xfId="54656"/>
    <cellStyle name="Input [yellow] 2 4 7 18" xfId="10480"/>
    <cellStyle name="Input [yellow] 2 4 7 18 2" xfId="21677"/>
    <cellStyle name="Input [yellow] 2 4 7 18 3" xfId="32845"/>
    <cellStyle name="Input [yellow] 2 4 7 18 4" xfId="44010"/>
    <cellStyle name="Input [yellow] 2 4 7 18 5" xfId="55203"/>
    <cellStyle name="Input [yellow] 2 4 7 19" xfId="10972"/>
    <cellStyle name="Input [yellow] 2 4 7 19 2" xfId="22169"/>
    <cellStyle name="Input [yellow] 2 4 7 19 3" xfId="33337"/>
    <cellStyle name="Input [yellow] 2 4 7 19 4" xfId="44502"/>
    <cellStyle name="Input [yellow] 2 4 7 19 5" xfId="55695"/>
    <cellStyle name="Input [yellow] 2 4 7 2" xfId="1068"/>
    <cellStyle name="Input [yellow] 2 4 7 2 2" xfId="12265"/>
    <cellStyle name="Input [yellow] 2 4 7 2 3" xfId="23433"/>
    <cellStyle name="Input [yellow] 2 4 7 2 4" xfId="34598"/>
    <cellStyle name="Input [yellow] 2 4 7 2 5" xfId="45791"/>
    <cellStyle name="Input [yellow] 2 4 7 20" xfId="11619"/>
    <cellStyle name="Input [yellow] 2 4 7 21" xfId="22789"/>
    <cellStyle name="Input [yellow] 2 4 7 22" xfId="33956"/>
    <cellStyle name="Input [yellow] 2 4 7 23" xfId="45142"/>
    <cellStyle name="Input [yellow] 2 4 7 3" xfId="1777"/>
    <cellStyle name="Input [yellow] 2 4 7 3 2" xfId="12974"/>
    <cellStyle name="Input [yellow] 2 4 7 3 3" xfId="24142"/>
    <cellStyle name="Input [yellow] 2 4 7 3 4" xfId="35307"/>
    <cellStyle name="Input [yellow] 2 4 7 3 5" xfId="46500"/>
    <cellStyle name="Input [yellow] 2 4 7 4" xfId="2344"/>
    <cellStyle name="Input [yellow] 2 4 7 4 2" xfId="13541"/>
    <cellStyle name="Input [yellow] 2 4 7 4 3" xfId="24709"/>
    <cellStyle name="Input [yellow] 2 4 7 4 4" xfId="35874"/>
    <cellStyle name="Input [yellow] 2 4 7 4 5" xfId="47067"/>
    <cellStyle name="Input [yellow] 2 4 7 5" xfId="2769"/>
    <cellStyle name="Input [yellow] 2 4 7 5 2" xfId="13966"/>
    <cellStyle name="Input [yellow] 2 4 7 5 3" xfId="25134"/>
    <cellStyle name="Input [yellow] 2 4 7 5 4" xfId="36299"/>
    <cellStyle name="Input [yellow] 2 4 7 5 5" xfId="47492"/>
    <cellStyle name="Input [yellow] 2 4 7 6" xfId="3403"/>
    <cellStyle name="Input [yellow] 2 4 7 6 2" xfId="14600"/>
    <cellStyle name="Input [yellow] 2 4 7 6 3" xfId="25768"/>
    <cellStyle name="Input [yellow] 2 4 7 6 4" xfId="36933"/>
    <cellStyle name="Input [yellow] 2 4 7 6 5" xfId="48126"/>
    <cellStyle name="Input [yellow] 2 4 7 7" xfId="4037"/>
    <cellStyle name="Input [yellow] 2 4 7 7 2" xfId="15234"/>
    <cellStyle name="Input [yellow] 2 4 7 7 3" xfId="26402"/>
    <cellStyle name="Input [yellow] 2 4 7 7 4" xfId="37567"/>
    <cellStyle name="Input [yellow] 2 4 7 7 5" xfId="48760"/>
    <cellStyle name="Input [yellow] 2 4 7 8" xfId="4670"/>
    <cellStyle name="Input [yellow] 2 4 7 8 2" xfId="15867"/>
    <cellStyle name="Input [yellow] 2 4 7 8 3" xfId="27035"/>
    <cellStyle name="Input [yellow] 2 4 7 8 4" xfId="38200"/>
    <cellStyle name="Input [yellow] 2 4 7 8 5" xfId="49393"/>
    <cellStyle name="Input [yellow] 2 4 7 9" xfId="5301"/>
    <cellStyle name="Input [yellow] 2 4 7 9 2" xfId="16498"/>
    <cellStyle name="Input [yellow] 2 4 7 9 3" xfId="27666"/>
    <cellStyle name="Input [yellow] 2 4 7 9 4" xfId="38831"/>
    <cellStyle name="Input [yellow] 2 4 7 9 5" xfId="50024"/>
    <cellStyle name="Input [yellow] 2 4 8" xfId="466"/>
    <cellStyle name="Input [yellow] 2 4 8 10" xfId="5972"/>
    <cellStyle name="Input [yellow] 2 4 8 10 2" xfId="17169"/>
    <cellStyle name="Input [yellow] 2 4 8 10 3" xfId="28337"/>
    <cellStyle name="Input [yellow] 2 4 8 10 4" xfId="39502"/>
    <cellStyle name="Input [yellow] 2 4 8 10 5" xfId="50695"/>
    <cellStyle name="Input [yellow] 2 4 8 11" xfId="6402"/>
    <cellStyle name="Input [yellow] 2 4 8 11 2" xfId="17599"/>
    <cellStyle name="Input [yellow] 2 4 8 11 3" xfId="28767"/>
    <cellStyle name="Input [yellow] 2 4 8 11 4" xfId="39932"/>
    <cellStyle name="Input [yellow] 2 4 8 11 5" xfId="51125"/>
    <cellStyle name="Input [yellow] 2 4 8 12" xfId="7035"/>
    <cellStyle name="Input [yellow] 2 4 8 12 2" xfId="18232"/>
    <cellStyle name="Input [yellow] 2 4 8 12 3" xfId="29400"/>
    <cellStyle name="Input [yellow] 2 4 8 12 4" xfId="40565"/>
    <cellStyle name="Input [yellow] 2 4 8 12 5" xfId="51758"/>
    <cellStyle name="Input [yellow] 2 4 8 13" xfId="7669"/>
    <cellStyle name="Input [yellow] 2 4 8 13 2" xfId="18866"/>
    <cellStyle name="Input [yellow] 2 4 8 13 3" xfId="30034"/>
    <cellStyle name="Input [yellow] 2 4 8 13 4" xfId="41199"/>
    <cellStyle name="Input [yellow] 2 4 8 13 5" xfId="52392"/>
    <cellStyle name="Input [yellow] 2 4 8 14" xfId="8303"/>
    <cellStyle name="Input [yellow] 2 4 8 14 2" xfId="19500"/>
    <cellStyle name="Input [yellow] 2 4 8 14 3" xfId="30668"/>
    <cellStyle name="Input [yellow] 2 4 8 14 4" xfId="41833"/>
    <cellStyle name="Input [yellow] 2 4 8 14 5" xfId="53026"/>
    <cellStyle name="Input [yellow] 2 4 8 15" xfId="8931"/>
    <cellStyle name="Input [yellow] 2 4 8 15 2" xfId="20128"/>
    <cellStyle name="Input [yellow] 2 4 8 15 3" xfId="31296"/>
    <cellStyle name="Input [yellow] 2 4 8 15 4" xfId="42461"/>
    <cellStyle name="Input [yellow] 2 4 8 15 5" xfId="53654"/>
    <cellStyle name="Input [yellow] 2 4 8 16" xfId="9354"/>
    <cellStyle name="Input [yellow] 2 4 8 16 2" xfId="20551"/>
    <cellStyle name="Input [yellow] 2 4 8 16 3" xfId="31719"/>
    <cellStyle name="Input [yellow] 2 4 8 16 4" xfId="42884"/>
    <cellStyle name="Input [yellow] 2 4 8 16 5" xfId="54077"/>
    <cellStyle name="Input [yellow] 2 4 8 17" xfId="9980"/>
    <cellStyle name="Input [yellow] 2 4 8 17 2" xfId="21177"/>
    <cellStyle name="Input [yellow] 2 4 8 17 3" xfId="32345"/>
    <cellStyle name="Input [yellow] 2 4 8 17 4" xfId="43510"/>
    <cellStyle name="Input [yellow] 2 4 8 17 5" xfId="54703"/>
    <cellStyle name="Input [yellow] 2 4 8 18" xfId="10552"/>
    <cellStyle name="Input [yellow] 2 4 8 18 2" xfId="21749"/>
    <cellStyle name="Input [yellow] 2 4 8 18 3" xfId="32917"/>
    <cellStyle name="Input [yellow] 2 4 8 18 4" xfId="44082"/>
    <cellStyle name="Input [yellow] 2 4 8 18 5" xfId="55275"/>
    <cellStyle name="Input [yellow] 2 4 8 19" xfId="11019"/>
    <cellStyle name="Input [yellow] 2 4 8 19 2" xfId="22216"/>
    <cellStyle name="Input [yellow] 2 4 8 19 3" xfId="33384"/>
    <cellStyle name="Input [yellow] 2 4 8 19 4" xfId="44549"/>
    <cellStyle name="Input [yellow] 2 4 8 19 5" xfId="55742"/>
    <cellStyle name="Input [yellow] 2 4 8 2" xfId="1115"/>
    <cellStyle name="Input [yellow] 2 4 8 2 2" xfId="12312"/>
    <cellStyle name="Input [yellow] 2 4 8 2 3" xfId="23480"/>
    <cellStyle name="Input [yellow] 2 4 8 2 4" xfId="34645"/>
    <cellStyle name="Input [yellow] 2 4 8 2 5" xfId="45838"/>
    <cellStyle name="Input [yellow] 2 4 8 20" xfId="11666"/>
    <cellStyle name="Input [yellow] 2 4 8 21" xfId="22836"/>
    <cellStyle name="Input [yellow] 2 4 8 22" xfId="34003"/>
    <cellStyle name="Input [yellow] 2 4 8 23" xfId="45189"/>
    <cellStyle name="Input [yellow] 2 4 8 3" xfId="1381"/>
    <cellStyle name="Input [yellow] 2 4 8 3 2" xfId="12578"/>
    <cellStyle name="Input [yellow] 2 4 8 3 3" xfId="23746"/>
    <cellStyle name="Input [yellow] 2 4 8 3 4" xfId="34911"/>
    <cellStyle name="Input [yellow] 2 4 8 3 5" xfId="46104"/>
    <cellStyle name="Input [yellow] 2 4 8 4" xfId="2391"/>
    <cellStyle name="Input [yellow] 2 4 8 4 2" xfId="13588"/>
    <cellStyle name="Input [yellow] 2 4 8 4 3" xfId="24756"/>
    <cellStyle name="Input [yellow] 2 4 8 4 4" xfId="35921"/>
    <cellStyle name="Input [yellow] 2 4 8 4 5" xfId="47114"/>
    <cellStyle name="Input [yellow] 2 4 8 5" xfId="2816"/>
    <cellStyle name="Input [yellow] 2 4 8 5 2" xfId="14013"/>
    <cellStyle name="Input [yellow] 2 4 8 5 3" xfId="25181"/>
    <cellStyle name="Input [yellow] 2 4 8 5 4" xfId="36346"/>
    <cellStyle name="Input [yellow] 2 4 8 5 5" xfId="47539"/>
    <cellStyle name="Input [yellow] 2 4 8 6" xfId="3450"/>
    <cellStyle name="Input [yellow] 2 4 8 6 2" xfId="14647"/>
    <cellStyle name="Input [yellow] 2 4 8 6 3" xfId="25815"/>
    <cellStyle name="Input [yellow] 2 4 8 6 4" xfId="36980"/>
    <cellStyle name="Input [yellow] 2 4 8 6 5" xfId="48173"/>
    <cellStyle name="Input [yellow] 2 4 8 7" xfId="4084"/>
    <cellStyle name="Input [yellow] 2 4 8 7 2" xfId="15281"/>
    <cellStyle name="Input [yellow] 2 4 8 7 3" xfId="26449"/>
    <cellStyle name="Input [yellow] 2 4 8 7 4" xfId="37614"/>
    <cellStyle name="Input [yellow] 2 4 8 7 5" xfId="48807"/>
    <cellStyle name="Input [yellow] 2 4 8 8" xfId="4717"/>
    <cellStyle name="Input [yellow] 2 4 8 8 2" xfId="15914"/>
    <cellStyle name="Input [yellow] 2 4 8 8 3" xfId="27082"/>
    <cellStyle name="Input [yellow] 2 4 8 8 4" xfId="38247"/>
    <cellStyle name="Input [yellow] 2 4 8 8 5" xfId="49440"/>
    <cellStyle name="Input [yellow] 2 4 8 9" xfId="5348"/>
    <cellStyle name="Input [yellow] 2 4 8 9 2" xfId="16545"/>
    <cellStyle name="Input [yellow] 2 4 8 9 3" xfId="27713"/>
    <cellStyle name="Input [yellow] 2 4 8 9 4" xfId="38878"/>
    <cellStyle name="Input [yellow] 2 4 8 9 5" xfId="50071"/>
    <cellStyle name="Input [yellow] 2 4 9" xfId="524"/>
    <cellStyle name="Input [yellow] 2 4 9 10" xfId="5708"/>
    <cellStyle name="Input [yellow] 2 4 9 10 2" xfId="16905"/>
    <cellStyle name="Input [yellow] 2 4 9 10 3" xfId="28073"/>
    <cellStyle name="Input [yellow] 2 4 9 10 4" xfId="39238"/>
    <cellStyle name="Input [yellow] 2 4 9 10 5" xfId="50431"/>
    <cellStyle name="Input [yellow] 2 4 9 11" xfId="6460"/>
    <cellStyle name="Input [yellow] 2 4 9 11 2" xfId="17657"/>
    <cellStyle name="Input [yellow] 2 4 9 11 3" xfId="28825"/>
    <cellStyle name="Input [yellow] 2 4 9 11 4" xfId="39990"/>
    <cellStyle name="Input [yellow] 2 4 9 11 5" xfId="51183"/>
    <cellStyle name="Input [yellow] 2 4 9 12" xfId="7093"/>
    <cellStyle name="Input [yellow] 2 4 9 12 2" xfId="18290"/>
    <cellStyle name="Input [yellow] 2 4 9 12 3" xfId="29458"/>
    <cellStyle name="Input [yellow] 2 4 9 12 4" xfId="40623"/>
    <cellStyle name="Input [yellow] 2 4 9 12 5" xfId="51816"/>
    <cellStyle name="Input [yellow] 2 4 9 13" xfId="7727"/>
    <cellStyle name="Input [yellow] 2 4 9 13 2" xfId="18924"/>
    <cellStyle name="Input [yellow] 2 4 9 13 3" xfId="30092"/>
    <cellStyle name="Input [yellow] 2 4 9 13 4" xfId="41257"/>
    <cellStyle name="Input [yellow] 2 4 9 13 5" xfId="52450"/>
    <cellStyle name="Input [yellow] 2 4 9 14" xfId="8361"/>
    <cellStyle name="Input [yellow] 2 4 9 14 2" xfId="19558"/>
    <cellStyle name="Input [yellow] 2 4 9 14 3" xfId="30726"/>
    <cellStyle name="Input [yellow] 2 4 9 14 4" xfId="41891"/>
    <cellStyle name="Input [yellow] 2 4 9 14 5" xfId="53084"/>
    <cellStyle name="Input [yellow] 2 4 9 15" xfId="8989"/>
    <cellStyle name="Input [yellow] 2 4 9 15 2" xfId="20186"/>
    <cellStyle name="Input [yellow] 2 4 9 15 3" xfId="31354"/>
    <cellStyle name="Input [yellow] 2 4 9 15 4" xfId="42519"/>
    <cellStyle name="Input [yellow] 2 4 9 15 5" xfId="53712"/>
    <cellStyle name="Input [yellow] 2 4 9 16" xfId="9412"/>
    <cellStyle name="Input [yellow] 2 4 9 16 2" xfId="20609"/>
    <cellStyle name="Input [yellow] 2 4 9 16 3" xfId="31777"/>
    <cellStyle name="Input [yellow] 2 4 9 16 4" xfId="42942"/>
    <cellStyle name="Input [yellow] 2 4 9 16 5" xfId="54135"/>
    <cellStyle name="Input [yellow] 2 4 9 17" xfId="10037"/>
    <cellStyle name="Input [yellow] 2 4 9 17 2" xfId="21234"/>
    <cellStyle name="Input [yellow] 2 4 9 17 3" xfId="32402"/>
    <cellStyle name="Input [yellow] 2 4 9 17 4" xfId="43567"/>
    <cellStyle name="Input [yellow] 2 4 9 17 5" xfId="54760"/>
    <cellStyle name="Input [yellow] 2 4 9 18" xfId="10402"/>
    <cellStyle name="Input [yellow] 2 4 9 18 2" xfId="21599"/>
    <cellStyle name="Input [yellow] 2 4 9 18 3" xfId="32767"/>
    <cellStyle name="Input [yellow] 2 4 9 18 4" xfId="43932"/>
    <cellStyle name="Input [yellow] 2 4 9 18 5" xfId="55125"/>
    <cellStyle name="Input [yellow] 2 4 9 19" xfId="11077"/>
    <cellStyle name="Input [yellow] 2 4 9 19 2" xfId="22274"/>
    <cellStyle name="Input [yellow] 2 4 9 19 3" xfId="33442"/>
    <cellStyle name="Input [yellow] 2 4 9 19 4" xfId="44607"/>
    <cellStyle name="Input [yellow] 2 4 9 19 5" xfId="55800"/>
    <cellStyle name="Input [yellow] 2 4 9 2" xfId="1173"/>
    <cellStyle name="Input [yellow] 2 4 9 2 2" xfId="12370"/>
    <cellStyle name="Input [yellow] 2 4 9 2 3" xfId="23538"/>
    <cellStyle name="Input [yellow] 2 4 9 2 4" xfId="34703"/>
    <cellStyle name="Input [yellow] 2 4 9 2 5" xfId="45896"/>
    <cellStyle name="Input [yellow] 2 4 9 20" xfId="11724"/>
    <cellStyle name="Input [yellow] 2 4 9 21" xfId="22894"/>
    <cellStyle name="Input [yellow] 2 4 9 22" xfId="34061"/>
    <cellStyle name="Input [yellow] 2 4 9 23" xfId="45247"/>
    <cellStyle name="Input [yellow] 2 4 9 3" xfId="1575"/>
    <cellStyle name="Input [yellow] 2 4 9 3 2" xfId="12772"/>
    <cellStyle name="Input [yellow] 2 4 9 3 3" xfId="23940"/>
    <cellStyle name="Input [yellow] 2 4 9 3 4" xfId="35105"/>
    <cellStyle name="Input [yellow] 2 4 9 3 5" xfId="46298"/>
    <cellStyle name="Input [yellow] 2 4 9 4" xfId="2449"/>
    <cellStyle name="Input [yellow] 2 4 9 4 2" xfId="13646"/>
    <cellStyle name="Input [yellow] 2 4 9 4 3" xfId="24814"/>
    <cellStyle name="Input [yellow] 2 4 9 4 4" xfId="35979"/>
    <cellStyle name="Input [yellow] 2 4 9 4 5" xfId="47172"/>
    <cellStyle name="Input [yellow] 2 4 9 5" xfId="2874"/>
    <cellStyle name="Input [yellow] 2 4 9 5 2" xfId="14071"/>
    <cellStyle name="Input [yellow] 2 4 9 5 3" xfId="25239"/>
    <cellStyle name="Input [yellow] 2 4 9 5 4" xfId="36404"/>
    <cellStyle name="Input [yellow] 2 4 9 5 5" xfId="47597"/>
    <cellStyle name="Input [yellow] 2 4 9 6" xfId="3508"/>
    <cellStyle name="Input [yellow] 2 4 9 6 2" xfId="14705"/>
    <cellStyle name="Input [yellow] 2 4 9 6 3" xfId="25873"/>
    <cellStyle name="Input [yellow] 2 4 9 6 4" xfId="37038"/>
    <cellStyle name="Input [yellow] 2 4 9 6 5" xfId="48231"/>
    <cellStyle name="Input [yellow] 2 4 9 7" xfId="4142"/>
    <cellStyle name="Input [yellow] 2 4 9 7 2" xfId="15339"/>
    <cellStyle name="Input [yellow] 2 4 9 7 3" xfId="26507"/>
    <cellStyle name="Input [yellow] 2 4 9 7 4" xfId="37672"/>
    <cellStyle name="Input [yellow] 2 4 9 7 5" xfId="48865"/>
    <cellStyle name="Input [yellow] 2 4 9 8" xfId="4775"/>
    <cellStyle name="Input [yellow] 2 4 9 8 2" xfId="15972"/>
    <cellStyle name="Input [yellow] 2 4 9 8 3" xfId="27140"/>
    <cellStyle name="Input [yellow] 2 4 9 8 4" xfId="38305"/>
    <cellStyle name="Input [yellow] 2 4 9 8 5" xfId="49498"/>
    <cellStyle name="Input [yellow] 2 4 9 9" xfId="5406"/>
    <cellStyle name="Input [yellow] 2 4 9 9 2" xfId="16603"/>
    <cellStyle name="Input [yellow] 2 4 9 9 3" xfId="27771"/>
    <cellStyle name="Input [yellow] 2 4 9 9 4" xfId="38936"/>
    <cellStyle name="Input [yellow] 2 4 9 9 5" xfId="50129"/>
    <cellStyle name="Input [yellow] 2 40" xfId="4927"/>
    <cellStyle name="Input [yellow] 2 40 2" xfId="16124"/>
    <cellStyle name="Input [yellow] 2 40 3" xfId="27292"/>
    <cellStyle name="Input [yellow] 2 40 4" xfId="38457"/>
    <cellStyle name="Input [yellow] 2 40 5" xfId="49650"/>
    <cellStyle name="Input [yellow] 2 41" xfId="5987"/>
    <cellStyle name="Input [yellow] 2 41 2" xfId="17184"/>
    <cellStyle name="Input [yellow] 2 41 3" xfId="28352"/>
    <cellStyle name="Input [yellow] 2 41 4" xfId="39517"/>
    <cellStyle name="Input [yellow] 2 41 5" xfId="50710"/>
    <cellStyle name="Input [yellow] 2 42" xfId="6185"/>
    <cellStyle name="Input [yellow] 2 42 2" xfId="17382"/>
    <cellStyle name="Input [yellow] 2 42 3" xfId="28550"/>
    <cellStyle name="Input [yellow] 2 42 4" xfId="39715"/>
    <cellStyle name="Input [yellow] 2 42 5" xfId="50908"/>
    <cellStyle name="Input [yellow] 2 43" xfId="6614"/>
    <cellStyle name="Input [yellow] 2 43 2" xfId="17811"/>
    <cellStyle name="Input [yellow] 2 43 3" xfId="28979"/>
    <cellStyle name="Input [yellow] 2 43 4" xfId="40144"/>
    <cellStyle name="Input [yellow] 2 43 5" xfId="51337"/>
    <cellStyle name="Input [yellow] 2 44" xfId="7247"/>
    <cellStyle name="Input [yellow] 2 44 2" xfId="18444"/>
    <cellStyle name="Input [yellow] 2 44 3" xfId="29612"/>
    <cellStyle name="Input [yellow] 2 44 4" xfId="40777"/>
    <cellStyle name="Input [yellow] 2 44 5" xfId="51970"/>
    <cellStyle name="Input [yellow] 2 45" xfId="7880"/>
    <cellStyle name="Input [yellow] 2 45 2" xfId="19077"/>
    <cellStyle name="Input [yellow] 2 45 3" xfId="30245"/>
    <cellStyle name="Input [yellow] 2 45 4" xfId="41410"/>
    <cellStyle name="Input [yellow] 2 45 5" xfId="52603"/>
    <cellStyle name="Input [yellow] 2 46" xfId="8513"/>
    <cellStyle name="Input [yellow] 2 46 2" xfId="19710"/>
    <cellStyle name="Input [yellow] 2 46 3" xfId="30878"/>
    <cellStyle name="Input [yellow] 2 46 4" xfId="42043"/>
    <cellStyle name="Input [yellow] 2 46 5" xfId="53236"/>
    <cellStyle name="Input [yellow] 2 47" xfId="9088"/>
    <cellStyle name="Input [yellow] 2 47 2" xfId="20285"/>
    <cellStyle name="Input [yellow] 2 47 3" xfId="31453"/>
    <cellStyle name="Input [yellow] 2 47 4" xfId="42618"/>
    <cellStyle name="Input [yellow] 2 47 5" xfId="53811"/>
    <cellStyle name="Input [yellow] 2 48" xfId="9566"/>
    <cellStyle name="Input [yellow] 2 48 2" xfId="20763"/>
    <cellStyle name="Input [yellow] 2 48 3" xfId="31931"/>
    <cellStyle name="Input [yellow] 2 48 4" xfId="43096"/>
    <cellStyle name="Input [yellow] 2 48 5" xfId="54289"/>
    <cellStyle name="Input [yellow] 2 49" xfId="10127"/>
    <cellStyle name="Input [yellow] 2 49 2" xfId="21324"/>
    <cellStyle name="Input [yellow] 2 49 3" xfId="32492"/>
    <cellStyle name="Input [yellow] 2 49 4" xfId="43657"/>
    <cellStyle name="Input [yellow] 2 49 5" xfId="54850"/>
    <cellStyle name="Input [yellow] 2 5" xfId="61"/>
    <cellStyle name="Input [yellow] 2 5 10" xfId="517"/>
    <cellStyle name="Input [yellow] 2 5 10 10" xfId="6152"/>
    <cellStyle name="Input [yellow] 2 5 10 10 2" xfId="17349"/>
    <cellStyle name="Input [yellow] 2 5 10 10 3" xfId="28517"/>
    <cellStyle name="Input [yellow] 2 5 10 10 4" xfId="39682"/>
    <cellStyle name="Input [yellow] 2 5 10 10 5" xfId="50875"/>
    <cellStyle name="Input [yellow] 2 5 10 11" xfId="6453"/>
    <cellStyle name="Input [yellow] 2 5 10 11 2" xfId="17650"/>
    <cellStyle name="Input [yellow] 2 5 10 11 3" xfId="28818"/>
    <cellStyle name="Input [yellow] 2 5 10 11 4" xfId="39983"/>
    <cellStyle name="Input [yellow] 2 5 10 11 5" xfId="51176"/>
    <cellStyle name="Input [yellow] 2 5 10 12" xfId="7086"/>
    <cellStyle name="Input [yellow] 2 5 10 12 2" xfId="18283"/>
    <cellStyle name="Input [yellow] 2 5 10 12 3" xfId="29451"/>
    <cellStyle name="Input [yellow] 2 5 10 12 4" xfId="40616"/>
    <cellStyle name="Input [yellow] 2 5 10 12 5" xfId="51809"/>
    <cellStyle name="Input [yellow] 2 5 10 13" xfId="7720"/>
    <cellStyle name="Input [yellow] 2 5 10 13 2" xfId="18917"/>
    <cellStyle name="Input [yellow] 2 5 10 13 3" xfId="30085"/>
    <cellStyle name="Input [yellow] 2 5 10 13 4" xfId="41250"/>
    <cellStyle name="Input [yellow] 2 5 10 13 5" xfId="52443"/>
    <cellStyle name="Input [yellow] 2 5 10 14" xfId="8354"/>
    <cellStyle name="Input [yellow] 2 5 10 14 2" xfId="19551"/>
    <cellStyle name="Input [yellow] 2 5 10 14 3" xfId="30719"/>
    <cellStyle name="Input [yellow] 2 5 10 14 4" xfId="41884"/>
    <cellStyle name="Input [yellow] 2 5 10 14 5" xfId="53077"/>
    <cellStyle name="Input [yellow] 2 5 10 15" xfId="8982"/>
    <cellStyle name="Input [yellow] 2 5 10 15 2" xfId="20179"/>
    <cellStyle name="Input [yellow] 2 5 10 15 3" xfId="31347"/>
    <cellStyle name="Input [yellow] 2 5 10 15 4" xfId="42512"/>
    <cellStyle name="Input [yellow] 2 5 10 15 5" xfId="53705"/>
    <cellStyle name="Input [yellow] 2 5 10 16" xfId="9405"/>
    <cellStyle name="Input [yellow] 2 5 10 16 2" xfId="20602"/>
    <cellStyle name="Input [yellow] 2 5 10 16 3" xfId="31770"/>
    <cellStyle name="Input [yellow] 2 5 10 16 4" xfId="42935"/>
    <cellStyle name="Input [yellow] 2 5 10 16 5" xfId="54128"/>
    <cellStyle name="Input [yellow] 2 5 10 17" xfId="10030"/>
    <cellStyle name="Input [yellow] 2 5 10 17 2" xfId="21227"/>
    <cellStyle name="Input [yellow] 2 5 10 17 3" xfId="32395"/>
    <cellStyle name="Input [yellow] 2 5 10 17 4" xfId="43560"/>
    <cellStyle name="Input [yellow] 2 5 10 17 5" xfId="54753"/>
    <cellStyle name="Input [yellow] 2 5 10 18" xfId="10205"/>
    <cellStyle name="Input [yellow] 2 5 10 18 2" xfId="21402"/>
    <cellStyle name="Input [yellow] 2 5 10 18 3" xfId="32570"/>
    <cellStyle name="Input [yellow] 2 5 10 18 4" xfId="43735"/>
    <cellStyle name="Input [yellow] 2 5 10 18 5" xfId="54928"/>
    <cellStyle name="Input [yellow] 2 5 10 19" xfId="11070"/>
    <cellStyle name="Input [yellow] 2 5 10 19 2" xfId="22267"/>
    <cellStyle name="Input [yellow] 2 5 10 19 3" xfId="33435"/>
    <cellStyle name="Input [yellow] 2 5 10 19 4" xfId="44600"/>
    <cellStyle name="Input [yellow] 2 5 10 19 5" xfId="55793"/>
    <cellStyle name="Input [yellow] 2 5 10 2" xfId="1166"/>
    <cellStyle name="Input [yellow] 2 5 10 2 2" xfId="12363"/>
    <cellStyle name="Input [yellow] 2 5 10 2 3" xfId="23531"/>
    <cellStyle name="Input [yellow] 2 5 10 2 4" xfId="34696"/>
    <cellStyle name="Input [yellow] 2 5 10 2 5" xfId="45889"/>
    <cellStyle name="Input [yellow] 2 5 10 20" xfId="11717"/>
    <cellStyle name="Input [yellow] 2 5 10 21" xfId="22887"/>
    <cellStyle name="Input [yellow] 2 5 10 22" xfId="34054"/>
    <cellStyle name="Input [yellow] 2 5 10 23" xfId="45240"/>
    <cellStyle name="Input [yellow] 2 5 10 3" xfId="1475"/>
    <cellStyle name="Input [yellow] 2 5 10 3 2" xfId="12672"/>
    <cellStyle name="Input [yellow] 2 5 10 3 3" xfId="23840"/>
    <cellStyle name="Input [yellow] 2 5 10 3 4" xfId="35005"/>
    <cellStyle name="Input [yellow] 2 5 10 3 5" xfId="46198"/>
    <cellStyle name="Input [yellow] 2 5 10 4" xfId="2442"/>
    <cellStyle name="Input [yellow] 2 5 10 4 2" xfId="13639"/>
    <cellStyle name="Input [yellow] 2 5 10 4 3" xfId="24807"/>
    <cellStyle name="Input [yellow] 2 5 10 4 4" xfId="35972"/>
    <cellStyle name="Input [yellow] 2 5 10 4 5" xfId="47165"/>
    <cellStyle name="Input [yellow] 2 5 10 5" xfId="2867"/>
    <cellStyle name="Input [yellow] 2 5 10 5 2" xfId="14064"/>
    <cellStyle name="Input [yellow] 2 5 10 5 3" xfId="25232"/>
    <cellStyle name="Input [yellow] 2 5 10 5 4" xfId="36397"/>
    <cellStyle name="Input [yellow] 2 5 10 5 5" xfId="47590"/>
    <cellStyle name="Input [yellow] 2 5 10 6" xfId="3501"/>
    <cellStyle name="Input [yellow] 2 5 10 6 2" xfId="14698"/>
    <cellStyle name="Input [yellow] 2 5 10 6 3" xfId="25866"/>
    <cellStyle name="Input [yellow] 2 5 10 6 4" xfId="37031"/>
    <cellStyle name="Input [yellow] 2 5 10 6 5" xfId="48224"/>
    <cellStyle name="Input [yellow] 2 5 10 7" xfId="4135"/>
    <cellStyle name="Input [yellow] 2 5 10 7 2" xfId="15332"/>
    <cellStyle name="Input [yellow] 2 5 10 7 3" xfId="26500"/>
    <cellStyle name="Input [yellow] 2 5 10 7 4" xfId="37665"/>
    <cellStyle name="Input [yellow] 2 5 10 7 5" xfId="48858"/>
    <cellStyle name="Input [yellow] 2 5 10 8" xfId="4768"/>
    <cellStyle name="Input [yellow] 2 5 10 8 2" xfId="15965"/>
    <cellStyle name="Input [yellow] 2 5 10 8 3" xfId="27133"/>
    <cellStyle name="Input [yellow] 2 5 10 8 4" xfId="38298"/>
    <cellStyle name="Input [yellow] 2 5 10 8 5" xfId="49491"/>
    <cellStyle name="Input [yellow] 2 5 10 9" xfId="5399"/>
    <cellStyle name="Input [yellow] 2 5 10 9 2" xfId="16596"/>
    <cellStyle name="Input [yellow] 2 5 10 9 3" xfId="27764"/>
    <cellStyle name="Input [yellow] 2 5 10 9 4" xfId="38929"/>
    <cellStyle name="Input [yellow] 2 5 10 9 5" xfId="50122"/>
    <cellStyle name="Input [yellow] 2 5 11" xfId="525"/>
    <cellStyle name="Input [yellow] 2 5 11 10" xfId="5765"/>
    <cellStyle name="Input [yellow] 2 5 11 10 2" xfId="16962"/>
    <cellStyle name="Input [yellow] 2 5 11 10 3" xfId="28130"/>
    <cellStyle name="Input [yellow] 2 5 11 10 4" xfId="39295"/>
    <cellStyle name="Input [yellow] 2 5 11 10 5" xfId="50488"/>
    <cellStyle name="Input [yellow] 2 5 11 11" xfId="6461"/>
    <cellStyle name="Input [yellow] 2 5 11 11 2" xfId="17658"/>
    <cellStyle name="Input [yellow] 2 5 11 11 3" xfId="28826"/>
    <cellStyle name="Input [yellow] 2 5 11 11 4" xfId="39991"/>
    <cellStyle name="Input [yellow] 2 5 11 11 5" xfId="51184"/>
    <cellStyle name="Input [yellow] 2 5 11 12" xfId="7094"/>
    <cellStyle name="Input [yellow] 2 5 11 12 2" xfId="18291"/>
    <cellStyle name="Input [yellow] 2 5 11 12 3" xfId="29459"/>
    <cellStyle name="Input [yellow] 2 5 11 12 4" xfId="40624"/>
    <cellStyle name="Input [yellow] 2 5 11 12 5" xfId="51817"/>
    <cellStyle name="Input [yellow] 2 5 11 13" xfId="7728"/>
    <cellStyle name="Input [yellow] 2 5 11 13 2" xfId="18925"/>
    <cellStyle name="Input [yellow] 2 5 11 13 3" xfId="30093"/>
    <cellStyle name="Input [yellow] 2 5 11 13 4" xfId="41258"/>
    <cellStyle name="Input [yellow] 2 5 11 13 5" xfId="52451"/>
    <cellStyle name="Input [yellow] 2 5 11 14" xfId="8362"/>
    <cellStyle name="Input [yellow] 2 5 11 14 2" xfId="19559"/>
    <cellStyle name="Input [yellow] 2 5 11 14 3" xfId="30727"/>
    <cellStyle name="Input [yellow] 2 5 11 14 4" xfId="41892"/>
    <cellStyle name="Input [yellow] 2 5 11 14 5" xfId="53085"/>
    <cellStyle name="Input [yellow] 2 5 11 15" xfId="8990"/>
    <cellStyle name="Input [yellow] 2 5 11 15 2" xfId="20187"/>
    <cellStyle name="Input [yellow] 2 5 11 15 3" xfId="31355"/>
    <cellStyle name="Input [yellow] 2 5 11 15 4" xfId="42520"/>
    <cellStyle name="Input [yellow] 2 5 11 15 5" xfId="53713"/>
    <cellStyle name="Input [yellow] 2 5 11 16" xfId="9413"/>
    <cellStyle name="Input [yellow] 2 5 11 16 2" xfId="20610"/>
    <cellStyle name="Input [yellow] 2 5 11 16 3" xfId="31778"/>
    <cellStyle name="Input [yellow] 2 5 11 16 4" xfId="42943"/>
    <cellStyle name="Input [yellow] 2 5 11 16 5" xfId="54136"/>
    <cellStyle name="Input [yellow] 2 5 11 17" xfId="10038"/>
    <cellStyle name="Input [yellow] 2 5 11 17 2" xfId="21235"/>
    <cellStyle name="Input [yellow] 2 5 11 17 3" xfId="32403"/>
    <cellStyle name="Input [yellow] 2 5 11 17 4" xfId="43568"/>
    <cellStyle name="Input [yellow] 2 5 11 17 5" xfId="54761"/>
    <cellStyle name="Input [yellow] 2 5 11 18" xfId="10223"/>
    <cellStyle name="Input [yellow] 2 5 11 18 2" xfId="21420"/>
    <cellStyle name="Input [yellow] 2 5 11 18 3" xfId="32588"/>
    <cellStyle name="Input [yellow] 2 5 11 18 4" xfId="43753"/>
    <cellStyle name="Input [yellow] 2 5 11 18 5" xfId="54946"/>
    <cellStyle name="Input [yellow] 2 5 11 19" xfId="11078"/>
    <cellStyle name="Input [yellow] 2 5 11 19 2" xfId="22275"/>
    <cellStyle name="Input [yellow] 2 5 11 19 3" xfId="33443"/>
    <cellStyle name="Input [yellow] 2 5 11 19 4" xfId="44608"/>
    <cellStyle name="Input [yellow] 2 5 11 19 5" xfId="55801"/>
    <cellStyle name="Input [yellow] 2 5 11 2" xfId="1174"/>
    <cellStyle name="Input [yellow] 2 5 11 2 2" xfId="12371"/>
    <cellStyle name="Input [yellow] 2 5 11 2 3" xfId="23539"/>
    <cellStyle name="Input [yellow] 2 5 11 2 4" xfId="34704"/>
    <cellStyle name="Input [yellow] 2 5 11 2 5" xfId="45897"/>
    <cellStyle name="Input [yellow] 2 5 11 20" xfId="11725"/>
    <cellStyle name="Input [yellow] 2 5 11 21" xfId="22895"/>
    <cellStyle name="Input [yellow] 2 5 11 22" xfId="34062"/>
    <cellStyle name="Input [yellow] 2 5 11 23" xfId="45248"/>
    <cellStyle name="Input [yellow] 2 5 11 3" xfId="1644"/>
    <cellStyle name="Input [yellow] 2 5 11 3 2" xfId="12841"/>
    <cellStyle name="Input [yellow] 2 5 11 3 3" xfId="24009"/>
    <cellStyle name="Input [yellow] 2 5 11 3 4" xfId="35174"/>
    <cellStyle name="Input [yellow] 2 5 11 3 5" xfId="46367"/>
    <cellStyle name="Input [yellow] 2 5 11 4" xfId="2450"/>
    <cellStyle name="Input [yellow] 2 5 11 4 2" xfId="13647"/>
    <cellStyle name="Input [yellow] 2 5 11 4 3" xfId="24815"/>
    <cellStyle name="Input [yellow] 2 5 11 4 4" xfId="35980"/>
    <cellStyle name="Input [yellow] 2 5 11 4 5" xfId="47173"/>
    <cellStyle name="Input [yellow] 2 5 11 5" xfId="2875"/>
    <cellStyle name="Input [yellow] 2 5 11 5 2" xfId="14072"/>
    <cellStyle name="Input [yellow] 2 5 11 5 3" xfId="25240"/>
    <cellStyle name="Input [yellow] 2 5 11 5 4" xfId="36405"/>
    <cellStyle name="Input [yellow] 2 5 11 5 5" xfId="47598"/>
    <cellStyle name="Input [yellow] 2 5 11 6" xfId="3509"/>
    <cellStyle name="Input [yellow] 2 5 11 6 2" xfId="14706"/>
    <cellStyle name="Input [yellow] 2 5 11 6 3" xfId="25874"/>
    <cellStyle name="Input [yellow] 2 5 11 6 4" xfId="37039"/>
    <cellStyle name="Input [yellow] 2 5 11 6 5" xfId="48232"/>
    <cellStyle name="Input [yellow] 2 5 11 7" xfId="4143"/>
    <cellStyle name="Input [yellow] 2 5 11 7 2" xfId="15340"/>
    <cellStyle name="Input [yellow] 2 5 11 7 3" xfId="26508"/>
    <cellStyle name="Input [yellow] 2 5 11 7 4" xfId="37673"/>
    <cellStyle name="Input [yellow] 2 5 11 7 5" xfId="48866"/>
    <cellStyle name="Input [yellow] 2 5 11 8" xfId="4776"/>
    <cellStyle name="Input [yellow] 2 5 11 8 2" xfId="15973"/>
    <cellStyle name="Input [yellow] 2 5 11 8 3" xfId="27141"/>
    <cellStyle name="Input [yellow] 2 5 11 8 4" xfId="38306"/>
    <cellStyle name="Input [yellow] 2 5 11 8 5" xfId="49499"/>
    <cellStyle name="Input [yellow] 2 5 11 9" xfId="5407"/>
    <cellStyle name="Input [yellow] 2 5 11 9 2" xfId="16604"/>
    <cellStyle name="Input [yellow] 2 5 11 9 3" xfId="27772"/>
    <cellStyle name="Input [yellow] 2 5 11 9 4" xfId="38937"/>
    <cellStyle name="Input [yellow] 2 5 11 9 5" xfId="50130"/>
    <cellStyle name="Input [yellow] 2 5 12" xfId="710"/>
    <cellStyle name="Input [yellow] 2 5 12 2" xfId="11908"/>
    <cellStyle name="Input [yellow] 2 5 12 3" xfId="23077"/>
    <cellStyle name="Input [yellow] 2 5 12 4" xfId="34242"/>
    <cellStyle name="Input [yellow] 2 5 12 5" xfId="45433"/>
    <cellStyle name="Input [yellow] 2 5 13" xfId="1423"/>
    <cellStyle name="Input [yellow] 2 5 13 2" xfId="12620"/>
    <cellStyle name="Input [yellow] 2 5 13 3" xfId="23788"/>
    <cellStyle name="Input [yellow] 2 5 13 4" xfId="34953"/>
    <cellStyle name="Input [yellow] 2 5 13 5" xfId="46146"/>
    <cellStyle name="Input [yellow] 2 5 14" xfId="1987"/>
    <cellStyle name="Input [yellow] 2 5 14 2" xfId="13184"/>
    <cellStyle name="Input [yellow] 2 5 14 3" xfId="24352"/>
    <cellStyle name="Input [yellow] 2 5 14 4" xfId="35517"/>
    <cellStyle name="Input [yellow] 2 5 14 5" xfId="46710"/>
    <cellStyle name="Input [yellow] 2 5 15" xfId="2579"/>
    <cellStyle name="Input [yellow] 2 5 15 2" xfId="13776"/>
    <cellStyle name="Input [yellow] 2 5 15 3" xfId="24944"/>
    <cellStyle name="Input [yellow] 2 5 15 4" xfId="36109"/>
    <cellStyle name="Input [yellow] 2 5 15 5" xfId="47302"/>
    <cellStyle name="Input [yellow] 2 5 16" xfId="3045"/>
    <cellStyle name="Input [yellow] 2 5 16 2" xfId="14242"/>
    <cellStyle name="Input [yellow] 2 5 16 3" xfId="25410"/>
    <cellStyle name="Input [yellow] 2 5 16 4" xfId="36575"/>
    <cellStyle name="Input [yellow] 2 5 16 5" xfId="47768"/>
    <cellStyle name="Input [yellow] 2 5 17" xfId="3680"/>
    <cellStyle name="Input [yellow] 2 5 17 2" xfId="14877"/>
    <cellStyle name="Input [yellow] 2 5 17 3" xfId="26045"/>
    <cellStyle name="Input [yellow] 2 5 17 4" xfId="37210"/>
    <cellStyle name="Input [yellow] 2 5 17 5" xfId="48403"/>
    <cellStyle name="Input [yellow] 2 5 18" xfId="4312"/>
    <cellStyle name="Input [yellow] 2 5 18 2" xfId="15509"/>
    <cellStyle name="Input [yellow] 2 5 18 3" xfId="26677"/>
    <cellStyle name="Input [yellow] 2 5 18 4" xfId="37842"/>
    <cellStyle name="Input [yellow] 2 5 18 5" xfId="49035"/>
    <cellStyle name="Input [yellow] 2 5 19" xfId="4945"/>
    <cellStyle name="Input [yellow] 2 5 19 2" xfId="16142"/>
    <cellStyle name="Input [yellow] 2 5 19 3" xfId="27310"/>
    <cellStyle name="Input [yellow] 2 5 19 4" xfId="38475"/>
    <cellStyle name="Input [yellow] 2 5 19 5" xfId="49668"/>
    <cellStyle name="Input [yellow] 2 5 2" xfId="126"/>
    <cellStyle name="Input [yellow] 2 5 2 10" xfId="6033"/>
    <cellStyle name="Input [yellow] 2 5 2 10 2" xfId="17230"/>
    <cellStyle name="Input [yellow] 2 5 2 10 3" xfId="28398"/>
    <cellStyle name="Input [yellow] 2 5 2 10 4" xfId="39563"/>
    <cellStyle name="Input [yellow] 2 5 2 10 5" xfId="50756"/>
    <cellStyle name="Input [yellow] 2 5 2 11" xfId="5748"/>
    <cellStyle name="Input [yellow] 2 5 2 11 2" xfId="16945"/>
    <cellStyle name="Input [yellow] 2 5 2 11 3" xfId="28113"/>
    <cellStyle name="Input [yellow] 2 5 2 11 4" xfId="39278"/>
    <cellStyle name="Input [yellow] 2 5 2 11 5" xfId="50471"/>
    <cellStyle name="Input [yellow] 2 5 2 12" xfId="6695"/>
    <cellStyle name="Input [yellow] 2 5 2 12 2" xfId="17892"/>
    <cellStyle name="Input [yellow] 2 5 2 12 3" xfId="29060"/>
    <cellStyle name="Input [yellow] 2 5 2 12 4" xfId="40225"/>
    <cellStyle name="Input [yellow] 2 5 2 12 5" xfId="51418"/>
    <cellStyle name="Input [yellow] 2 5 2 13" xfId="7329"/>
    <cellStyle name="Input [yellow] 2 5 2 13 2" xfId="18526"/>
    <cellStyle name="Input [yellow] 2 5 2 13 3" xfId="29694"/>
    <cellStyle name="Input [yellow] 2 5 2 13 4" xfId="40859"/>
    <cellStyle name="Input [yellow] 2 5 2 13 5" xfId="52052"/>
    <cellStyle name="Input [yellow] 2 5 2 14" xfId="7963"/>
    <cellStyle name="Input [yellow] 2 5 2 14 2" xfId="19160"/>
    <cellStyle name="Input [yellow] 2 5 2 14 3" xfId="30328"/>
    <cellStyle name="Input [yellow] 2 5 2 14 4" xfId="41493"/>
    <cellStyle name="Input [yellow] 2 5 2 14 5" xfId="52686"/>
    <cellStyle name="Input [yellow] 2 5 2 15" xfId="8594"/>
    <cellStyle name="Input [yellow] 2 5 2 15 2" xfId="19791"/>
    <cellStyle name="Input [yellow] 2 5 2 15 3" xfId="30959"/>
    <cellStyle name="Input [yellow] 2 5 2 15 4" xfId="42124"/>
    <cellStyle name="Input [yellow] 2 5 2 15 5" xfId="53317"/>
    <cellStyle name="Input [yellow] 2 5 2 16" xfId="8804"/>
    <cellStyle name="Input [yellow] 2 5 2 16 2" xfId="20001"/>
    <cellStyle name="Input [yellow] 2 5 2 16 3" xfId="31169"/>
    <cellStyle name="Input [yellow] 2 5 2 16 4" xfId="42334"/>
    <cellStyle name="Input [yellow] 2 5 2 16 5" xfId="53527"/>
    <cellStyle name="Input [yellow] 2 5 2 17" xfId="9647"/>
    <cellStyle name="Input [yellow] 2 5 2 17 2" xfId="20844"/>
    <cellStyle name="Input [yellow] 2 5 2 17 3" xfId="32012"/>
    <cellStyle name="Input [yellow] 2 5 2 17 4" xfId="43177"/>
    <cellStyle name="Input [yellow] 2 5 2 17 5" xfId="54370"/>
    <cellStyle name="Input [yellow] 2 5 2 18" xfId="9701"/>
    <cellStyle name="Input [yellow] 2 5 2 18 2" xfId="20898"/>
    <cellStyle name="Input [yellow] 2 5 2 18 3" xfId="32066"/>
    <cellStyle name="Input [yellow] 2 5 2 18 4" xfId="43231"/>
    <cellStyle name="Input [yellow] 2 5 2 18 5" xfId="54424"/>
    <cellStyle name="Input [yellow] 2 5 2 19" xfId="10679"/>
    <cellStyle name="Input [yellow] 2 5 2 19 2" xfId="21876"/>
    <cellStyle name="Input [yellow] 2 5 2 19 3" xfId="33044"/>
    <cellStyle name="Input [yellow] 2 5 2 19 4" xfId="44209"/>
    <cellStyle name="Input [yellow] 2 5 2 19 5" xfId="55402"/>
    <cellStyle name="Input [yellow] 2 5 2 2" xfId="775"/>
    <cellStyle name="Input [yellow] 2 5 2 2 2" xfId="11972"/>
    <cellStyle name="Input [yellow] 2 5 2 2 3" xfId="23140"/>
    <cellStyle name="Input [yellow] 2 5 2 2 4" xfId="34305"/>
    <cellStyle name="Input [yellow] 2 5 2 2 5" xfId="45498"/>
    <cellStyle name="Input [yellow] 2 5 2 20" xfId="11326"/>
    <cellStyle name="Input [yellow] 2 5 2 21" xfId="22496"/>
    <cellStyle name="Input [yellow] 2 5 2 22" xfId="33663"/>
    <cellStyle name="Input [yellow] 2 5 2 23" xfId="44849"/>
    <cellStyle name="Input [yellow] 2 5 2 3" xfId="1913"/>
    <cellStyle name="Input [yellow] 2 5 2 3 2" xfId="13110"/>
    <cellStyle name="Input [yellow] 2 5 2 3 3" xfId="24278"/>
    <cellStyle name="Input [yellow] 2 5 2 3 4" xfId="35443"/>
    <cellStyle name="Input [yellow] 2 5 2 3 5" xfId="46636"/>
    <cellStyle name="Input [yellow] 2 5 2 4" xfId="2052"/>
    <cellStyle name="Input [yellow] 2 5 2 4 2" xfId="13249"/>
    <cellStyle name="Input [yellow] 2 5 2 4 3" xfId="24417"/>
    <cellStyle name="Input [yellow] 2 5 2 4 4" xfId="35582"/>
    <cellStyle name="Input [yellow] 2 5 2 4 5" xfId="46775"/>
    <cellStyle name="Input [yellow] 2 5 2 5" xfId="2047"/>
    <cellStyle name="Input [yellow] 2 5 2 5 2" xfId="13244"/>
    <cellStyle name="Input [yellow] 2 5 2 5 3" xfId="24412"/>
    <cellStyle name="Input [yellow] 2 5 2 5 4" xfId="35577"/>
    <cellStyle name="Input [yellow] 2 5 2 5 5" xfId="46770"/>
    <cellStyle name="Input [yellow] 2 5 2 6" xfId="3110"/>
    <cellStyle name="Input [yellow] 2 5 2 6 2" xfId="14307"/>
    <cellStyle name="Input [yellow] 2 5 2 6 3" xfId="25475"/>
    <cellStyle name="Input [yellow] 2 5 2 6 4" xfId="36640"/>
    <cellStyle name="Input [yellow] 2 5 2 6 5" xfId="47833"/>
    <cellStyle name="Input [yellow] 2 5 2 7" xfId="3744"/>
    <cellStyle name="Input [yellow] 2 5 2 7 2" xfId="14941"/>
    <cellStyle name="Input [yellow] 2 5 2 7 3" xfId="26109"/>
    <cellStyle name="Input [yellow] 2 5 2 7 4" xfId="37274"/>
    <cellStyle name="Input [yellow] 2 5 2 7 5" xfId="48467"/>
    <cellStyle name="Input [yellow] 2 5 2 8" xfId="4377"/>
    <cellStyle name="Input [yellow] 2 5 2 8 2" xfId="15574"/>
    <cellStyle name="Input [yellow] 2 5 2 8 3" xfId="26742"/>
    <cellStyle name="Input [yellow] 2 5 2 8 4" xfId="37907"/>
    <cellStyle name="Input [yellow] 2 5 2 8 5" xfId="49100"/>
    <cellStyle name="Input [yellow] 2 5 2 9" xfId="5008"/>
    <cellStyle name="Input [yellow] 2 5 2 9 2" xfId="16205"/>
    <cellStyle name="Input [yellow] 2 5 2 9 3" xfId="27373"/>
    <cellStyle name="Input [yellow] 2 5 2 9 4" xfId="38538"/>
    <cellStyle name="Input [yellow] 2 5 2 9 5" xfId="49731"/>
    <cellStyle name="Input [yellow] 2 5 20" xfId="5764"/>
    <cellStyle name="Input [yellow] 2 5 20 2" xfId="16961"/>
    <cellStyle name="Input [yellow] 2 5 20 3" xfId="28129"/>
    <cellStyle name="Input [yellow] 2 5 20 4" xfId="39294"/>
    <cellStyle name="Input [yellow] 2 5 20 5" xfId="50487"/>
    <cellStyle name="Input [yellow] 2 5 21" xfId="5763"/>
    <cellStyle name="Input [yellow] 2 5 21 2" xfId="16960"/>
    <cellStyle name="Input [yellow] 2 5 21 3" xfId="28128"/>
    <cellStyle name="Input [yellow] 2 5 21 4" xfId="39293"/>
    <cellStyle name="Input [yellow] 2 5 21 5" xfId="50486"/>
    <cellStyle name="Input [yellow] 2 5 22" xfId="6632"/>
    <cellStyle name="Input [yellow] 2 5 22 2" xfId="17829"/>
    <cellStyle name="Input [yellow] 2 5 22 3" xfId="28997"/>
    <cellStyle name="Input [yellow] 2 5 22 4" xfId="40162"/>
    <cellStyle name="Input [yellow] 2 5 22 5" xfId="51355"/>
    <cellStyle name="Input [yellow] 2 5 23" xfId="7264"/>
    <cellStyle name="Input [yellow] 2 5 23 2" xfId="18461"/>
    <cellStyle name="Input [yellow] 2 5 23 3" xfId="29629"/>
    <cellStyle name="Input [yellow] 2 5 23 4" xfId="40794"/>
    <cellStyle name="Input [yellow] 2 5 23 5" xfId="51987"/>
    <cellStyle name="Input [yellow] 2 5 24" xfId="7898"/>
    <cellStyle name="Input [yellow] 2 5 24 2" xfId="19095"/>
    <cellStyle name="Input [yellow] 2 5 24 3" xfId="30263"/>
    <cellStyle name="Input [yellow] 2 5 24 4" xfId="41428"/>
    <cellStyle name="Input [yellow] 2 5 24 5" xfId="52621"/>
    <cellStyle name="Input [yellow] 2 5 25" xfId="8531"/>
    <cellStyle name="Input [yellow] 2 5 25 2" xfId="19728"/>
    <cellStyle name="Input [yellow] 2 5 25 3" xfId="30896"/>
    <cellStyle name="Input [yellow] 2 5 25 4" xfId="42061"/>
    <cellStyle name="Input [yellow] 2 5 25 5" xfId="53254"/>
    <cellStyle name="Input [yellow] 2 5 26" xfId="8734"/>
    <cellStyle name="Input [yellow] 2 5 26 2" xfId="19931"/>
    <cellStyle name="Input [yellow] 2 5 26 3" xfId="31099"/>
    <cellStyle name="Input [yellow] 2 5 26 4" xfId="42264"/>
    <cellStyle name="Input [yellow] 2 5 26 5" xfId="53457"/>
    <cellStyle name="Input [yellow] 2 5 27" xfId="9583"/>
    <cellStyle name="Input [yellow] 2 5 27 2" xfId="20780"/>
    <cellStyle name="Input [yellow] 2 5 27 3" xfId="31948"/>
    <cellStyle name="Input [yellow] 2 5 27 4" xfId="43113"/>
    <cellStyle name="Input [yellow] 2 5 27 5" xfId="54306"/>
    <cellStyle name="Input [yellow] 2 5 28" xfId="10076"/>
    <cellStyle name="Input [yellow] 2 5 28 2" xfId="21273"/>
    <cellStyle name="Input [yellow] 2 5 28 3" xfId="32441"/>
    <cellStyle name="Input [yellow] 2 5 28 4" xfId="43606"/>
    <cellStyle name="Input [yellow] 2 5 28 5" xfId="54799"/>
    <cellStyle name="Input [yellow] 2 5 29" xfId="10616"/>
    <cellStyle name="Input [yellow] 2 5 29 2" xfId="21813"/>
    <cellStyle name="Input [yellow] 2 5 29 3" xfId="32981"/>
    <cellStyle name="Input [yellow] 2 5 29 4" xfId="44146"/>
    <cellStyle name="Input [yellow] 2 5 29 5" xfId="55339"/>
    <cellStyle name="Input [yellow] 2 5 3" xfId="182"/>
    <cellStyle name="Input [yellow] 2 5 3 10" xfId="5852"/>
    <cellStyle name="Input [yellow] 2 5 3 10 2" xfId="17049"/>
    <cellStyle name="Input [yellow] 2 5 3 10 3" xfId="28217"/>
    <cellStyle name="Input [yellow] 2 5 3 10 4" xfId="39382"/>
    <cellStyle name="Input [yellow] 2 5 3 10 5" xfId="50575"/>
    <cellStyle name="Input [yellow] 2 5 3 11" xfId="5793"/>
    <cellStyle name="Input [yellow] 2 5 3 11 2" xfId="16990"/>
    <cellStyle name="Input [yellow] 2 5 3 11 3" xfId="28158"/>
    <cellStyle name="Input [yellow] 2 5 3 11 4" xfId="39323"/>
    <cellStyle name="Input [yellow] 2 5 3 11 5" xfId="50516"/>
    <cellStyle name="Input [yellow] 2 5 3 12" xfId="6751"/>
    <cellStyle name="Input [yellow] 2 5 3 12 2" xfId="17948"/>
    <cellStyle name="Input [yellow] 2 5 3 12 3" xfId="29116"/>
    <cellStyle name="Input [yellow] 2 5 3 12 4" xfId="40281"/>
    <cellStyle name="Input [yellow] 2 5 3 12 5" xfId="51474"/>
    <cellStyle name="Input [yellow] 2 5 3 13" xfId="7385"/>
    <cellStyle name="Input [yellow] 2 5 3 13 2" xfId="18582"/>
    <cellStyle name="Input [yellow] 2 5 3 13 3" xfId="29750"/>
    <cellStyle name="Input [yellow] 2 5 3 13 4" xfId="40915"/>
    <cellStyle name="Input [yellow] 2 5 3 13 5" xfId="52108"/>
    <cellStyle name="Input [yellow] 2 5 3 14" xfId="8019"/>
    <cellStyle name="Input [yellow] 2 5 3 14 2" xfId="19216"/>
    <cellStyle name="Input [yellow] 2 5 3 14 3" xfId="30384"/>
    <cellStyle name="Input [yellow] 2 5 3 14 4" xfId="41549"/>
    <cellStyle name="Input [yellow] 2 5 3 14 5" xfId="52742"/>
    <cellStyle name="Input [yellow] 2 5 3 15" xfId="8650"/>
    <cellStyle name="Input [yellow] 2 5 3 15 2" xfId="19847"/>
    <cellStyle name="Input [yellow] 2 5 3 15 3" xfId="31015"/>
    <cellStyle name="Input [yellow] 2 5 3 15 4" xfId="42180"/>
    <cellStyle name="Input [yellow] 2 5 3 15 5" xfId="53373"/>
    <cellStyle name="Input [yellow] 2 5 3 16" xfId="8767"/>
    <cellStyle name="Input [yellow] 2 5 3 16 2" xfId="19964"/>
    <cellStyle name="Input [yellow] 2 5 3 16 3" xfId="31132"/>
    <cellStyle name="Input [yellow] 2 5 3 16 4" xfId="42297"/>
    <cellStyle name="Input [yellow] 2 5 3 16 5" xfId="53490"/>
    <cellStyle name="Input [yellow] 2 5 3 17" xfId="9702"/>
    <cellStyle name="Input [yellow] 2 5 3 17 2" xfId="20899"/>
    <cellStyle name="Input [yellow] 2 5 3 17 3" xfId="32067"/>
    <cellStyle name="Input [yellow] 2 5 3 17 4" xfId="43232"/>
    <cellStyle name="Input [yellow] 2 5 3 17 5" xfId="54425"/>
    <cellStyle name="Input [yellow] 2 5 3 18" xfId="9631"/>
    <cellStyle name="Input [yellow] 2 5 3 18 2" xfId="20828"/>
    <cellStyle name="Input [yellow] 2 5 3 18 3" xfId="31996"/>
    <cellStyle name="Input [yellow] 2 5 3 18 4" xfId="43161"/>
    <cellStyle name="Input [yellow] 2 5 3 18 5" xfId="54354"/>
    <cellStyle name="Input [yellow] 2 5 3 19" xfId="10735"/>
    <cellStyle name="Input [yellow] 2 5 3 19 2" xfId="21932"/>
    <cellStyle name="Input [yellow] 2 5 3 19 3" xfId="33100"/>
    <cellStyle name="Input [yellow] 2 5 3 19 4" xfId="44265"/>
    <cellStyle name="Input [yellow] 2 5 3 19 5" xfId="55458"/>
    <cellStyle name="Input [yellow] 2 5 3 2" xfId="831"/>
    <cellStyle name="Input [yellow] 2 5 3 2 2" xfId="12028"/>
    <cellStyle name="Input [yellow] 2 5 3 2 3" xfId="23196"/>
    <cellStyle name="Input [yellow] 2 5 3 2 4" xfId="34361"/>
    <cellStyle name="Input [yellow] 2 5 3 2 5" xfId="45554"/>
    <cellStyle name="Input [yellow] 2 5 3 20" xfId="11382"/>
    <cellStyle name="Input [yellow] 2 5 3 21" xfId="22552"/>
    <cellStyle name="Input [yellow] 2 5 3 22" xfId="33719"/>
    <cellStyle name="Input [yellow] 2 5 3 23" xfId="44905"/>
    <cellStyle name="Input [yellow] 2 5 3 3" xfId="1916"/>
    <cellStyle name="Input [yellow] 2 5 3 3 2" xfId="13113"/>
    <cellStyle name="Input [yellow] 2 5 3 3 3" xfId="24281"/>
    <cellStyle name="Input [yellow] 2 5 3 3 4" xfId="35446"/>
    <cellStyle name="Input [yellow] 2 5 3 3 5" xfId="46639"/>
    <cellStyle name="Input [yellow] 2 5 3 4" xfId="2108"/>
    <cellStyle name="Input [yellow] 2 5 3 4 2" xfId="13305"/>
    <cellStyle name="Input [yellow] 2 5 3 4 3" xfId="24473"/>
    <cellStyle name="Input [yellow] 2 5 3 4 4" xfId="35638"/>
    <cellStyle name="Input [yellow] 2 5 3 4 5" xfId="46831"/>
    <cellStyle name="Input [yellow] 2 5 3 5" xfId="2088"/>
    <cellStyle name="Input [yellow] 2 5 3 5 2" xfId="13285"/>
    <cellStyle name="Input [yellow] 2 5 3 5 3" xfId="24453"/>
    <cellStyle name="Input [yellow] 2 5 3 5 4" xfId="35618"/>
    <cellStyle name="Input [yellow] 2 5 3 5 5" xfId="46811"/>
    <cellStyle name="Input [yellow] 2 5 3 6" xfId="3166"/>
    <cellStyle name="Input [yellow] 2 5 3 6 2" xfId="14363"/>
    <cellStyle name="Input [yellow] 2 5 3 6 3" xfId="25531"/>
    <cellStyle name="Input [yellow] 2 5 3 6 4" xfId="36696"/>
    <cellStyle name="Input [yellow] 2 5 3 6 5" xfId="47889"/>
    <cellStyle name="Input [yellow] 2 5 3 7" xfId="3800"/>
    <cellStyle name="Input [yellow] 2 5 3 7 2" xfId="14997"/>
    <cellStyle name="Input [yellow] 2 5 3 7 3" xfId="26165"/>
    <cellStyle name="Input [yellow] 2 5 3 7 4" xfId="37330"/>
    <cellStyle name="Input [yellow] 2 5 3 7 5" xfId="48523"/>
    <cellStyle name="Input [yellow] 2 5 3 8" xfId="4433"/>
    <cellStyle name="Input [yellow] 2 5 3 8 2" xfId="15630"/>
    <cellStyle name="Input [yellow] 2 5 3 8 3" xfId="26798"/>
    <cellStyle name="Input [yellow] 2 5 3 8 4" xfId="37963"/>
    <cellStyle name="Input [yellow] 2 5 3 8 5" xfId="49156"/>
    <cellStyle name="Input [yellow] 2 5 3 9" xfId="5064"/>
    <cellStyle name="Input [yellow] 2 5 3 9 2" xfId="16261"/>
    <cellStyle name="Input [yellow] 2 5 3 9 3" xfId="27429"/>
    <cellStyle name="Input [yellow] 2 5 3 9 4" xfId="38594"/>
    <cellStyle name="Input [yellow] 2 5 3 9 5" xfId="49787"/>
    <cellStyle name="Input [yellow] 2 5 30" xfId="11262"/>
    <cellStyle name="Input [yellow] 2 5 31" xfId="22433"/>
    <cellStyle name="Input [yellow] 2 5 32" xfId="33600"/>
    <cellStyle name="Input [yellow] 2 5 33" xfId="44784"/>
    <cellStyle name="Input [yellow] 2 5 4" xfId="276"/>
    <cellStyle name="Input [yellow] 2 5 4 10" xfId="5769"/>
    <cellStyle name="Input [yellow] 2 5 4 10 2" xfId="16966"/>
    <cellStyle name="Input [yellow] 2 5 4 10 3" xfId="28134"/>
    <cellStyle name="Input [yellow] 2 5 4 10 4" xfId="39299"/>
    <cellStyle name="Input [yellow] 2 5 4 10 5" xfId="50492"/>
    <cellStyle name="Input [yellow] 2 5 4 11" xfId="6212"/>
    <cellStyle name="Input [yellow] 2 5 4 11 2" xfId="17409"/>
    <cellStyle name="Input [yellow] 2 5 4 11 3" xfId="28577"/>
    <cellStyle name="Input [yellow] 2 5 4 11 4" xfId="39742"/>
    <cellStyle name="Input [yellow] 2 5 4 11 5" xfId="50935"/>
    <cellStyle name="Input [yellow] 2 5 4 12" xfId="6845"/>
    <cellStyle name="Input [yellow] 2 5 4 12 2" xfId="18042"/>
    <cellStyle name="Input [yellow] 2 5 4 12 3" xfId="29210"/>
    <cellStyle name="Input [yellow] 2 5 4 12 4" xfId="40375"/>
    <cellStyle name="Input [yellow] 2 5 4 12 5" xfId="51568"/>
    <cellStyle name="Input [yellow] 2 5 4 13" xfId="7479"/>
    <cellStyle name="Input [yellow] 2 5 4 13 2" xfId="18676"/>
    <cellStyle name="Input [yellow] 2 5 4 13 3" xfId="29844"/>
    <cellStyle name="Input [yellow] 2 5 4 13 4" xfId="41009"/>
    <cellStyle name="Input [yellow] 2 5 4 13 5" xfId="52202"/>
    <cellStyle name="Input [yellow] 2 5 4 14" xfId="8113"/>
    <cellStyle name="Input [yellow] 2 5 4 14 2" xfId="19310"/>
    <cellStyle name="Input [yellow] 2 5 4 14 3" xfId="30478"/>
    <cellStyle name="Input [yellow] 2 5 4 14 4" xfId="41643"/>
    <cellStyle name="Input [yellow] 2 5 4 14 5" xfId="52836"/>
    <cellStyle name="Input [yellow] 2 5 4 15" xfId="8742"/>
    <cellStyle name="Input [yellow] 2 5 4 15 2" xfId="19939"/>
    <cellStyle name="Input [yellow] 2 5 4 15 3" xfId="31107"/>
    <cellStyle name="Input [yellow] 2 5 4 15 4" xfId="42272"/>
    <cellStyle name="Input [yellow] 2 5 4 15 5" xfId="53465"/>
    <cellStyle name="Input [yellow] 2 5 4 16" xfId="9164"/>
    <cellStyle name="Input [yellow] 2 5 4 16 2" xfId="20361"/>
    <cellStyle name="Input [yellow] 2 5 4 16 3" xfId="31529"/>
    <cellStyle name="Input [yellow] 2 5 4 16 4" xfId="42694"/>
    <cellStyle name="Input [yellow] 2 5 4 16 5" xfId="53887"/>
    <cellStyle name="Input [yellow] 2 5 4 17" xfId="9791"/>
    <cellStyle name="Input [yellow] 2 5 4 17 2" xfId="20988"/>
    <cellStyle name="Input [yellow] 2 5 4 17 3" xfId="32156"/>
    <cellStyle name="Input [yellow] 2 5 4 17 4" xfId="43321"/>
    <cellStyle name="Input [yellow] 2 5 4 17 5" xfId="54514"/>
    <cellStyle name="Input [yellow] 2 5 4 18" xfId="10400"/>
    <cellStyle name="Input [yellow] 2 5 4 18 2" xfId="21597"/>
    <cellStyle name="Input [yellow] 2 5 4 18 3" xfId="32765"/>
    <cellStyle name="Input [yellow] 2 5 4 18 4" xfId="43930"/>
    <cellStyle name="Input [yellow] 2 5 4 18 5" xfId="55123"/>
    <cellStyle name="Input [yellow] 2 5 4 19" xfId="10829"/>
    <cellStyle name="Input [yellow] 2 5 4 19 2" xfId="22026"/>
    <cellStyle name="Input [yellow] 2 5 4 19 3" xfId="33194"/>
    <cellStyle name="Input [yellow] 2 5 4 19 4" xfId="44359"/>
    <cellStyle name="Input [yellow] 2 5 4 19 5" xfId="55552"/>
    <cellStyle name="Input [yellow] 2 5 4 2" xfId="925"/>
    <cellStyle name="Input [yellow] 2 5 4 2 2" xfId="12122"/>
    <cellStyle name="Input [yellow] 2 5 4 2 3" xfId="23290"/>
    <cellStyle name="Input [yellow] 2 5 4 2 4" xfId="34455"/>
    <cellStyle name="Input [yellow] 2 5 4 2 5" xfId="45648"/>
    <cellStyle name="Input [yellow] 2 5 4 20" xfId="11476"/>
    <cellStyle name="Input [yellow] 2 5 4 21" xfId="22646"/>
    <cellStyle name="Input [yellow] 2 5 4 22" xfId="33813"/>
    <cellStyle name="Input [yellow] 2 5 4 23" xfId="44999"/>
    <cellStyle name="Input [yellow] 2 5 4 3" xfId="1598"/>
    <cellStyle name="Input [yellow] 2 5 4 3 2" xfId="12795"/>
    <cellStyle name="Input [yellow] 2 5 4 3 3" xfId="23963"/>
    <cellStyle name="Input [yellow] 2 5 4 3 4" xfId="35128"/>
    <cellStyle name="Input [yellow] 2 5 4 3 5" xfId="46321"/>
    <cellStyle name="Input [yellow] 2 5 4 4" xfId="2201"/>
    <cellStyle name="Input [yellow] 2 5 4 4 2" xfId="13398"/>
    <cellStyle name="Input [yellow] 2 5 4 4 3" xfId="24566"/>
    <cellStyle name="Input [yellow] 2 5 4 4 4" xfId="35731"/>
    <cellStyle name="Input [yellow] 2 5 4 4 5" xfId="46924"/>
    <cellStyle name="Input [yellow] 2 5 4 5" xfId="2626"/>
    <cellStyle name="Input [yellow] 2 5 4 5 2" xfId="13823"/>
    <cellStyle name="Input [yellow] 2 5 4 5 3" xfId="24991"/>
    <cellStyle name="Input [yellow] 2 5 4 5 4" xfId="36156"/>
    <cellStyle name="Input [yellow] 2 5 4 5 5" xfId="47349"/>
    <cellStyle name="Input [yellow] 2 5 4 6" xfId="3260"/>
    <cellStyle name="Input [yellow] 2 5 4 6 2" xfId="14457"/>
    <cellStyle name="Input [yellow] 2 5 4 6 3" xfId="25625"/>
    <cellStyle name="Input [yellow] 2 5 4 6 4" xfId="36790"/>
    <cellStyle name="Input [yellow] 2 5 4 6 5" xfId="47983"/>
    <cellStyle name="Input [yellow] 2 5 4 7" xfId="3894"/>
    <cellStyle name="Input [yellow] 2 5 4 7 2" xfId="15091"/>
    <cellStyle name="Input [yellow] 2 5 4 7 3" xfId="26259"/>
    <cellStyle name="Input [yellow] 2 5 4 7 4" xfId="37424"/>
    <cellStyle name="Input [yellow] 2 5 4 7 5" xfId="48617"/>
    <cellStyle name="Input [yellow] 2 5 4 8" xfId="4527"/>
    <cellStyle name="Input [yellow] 2 5 4 8 2" xfId="15724"/>
    <cellStyle name="Input [yellow] 2 5 4 8 3" xfId="26892"/>
    <cellStyle name="Input [yellow] 2 5 4 8 4" xfId="38057"/>
    <cellStyle name="Input [yellow] 2 5 4 8 5" xfId="49250"/>
    <cellStyle name="Input [yellow] 2 5 4 9" xfId="5158"/>
    <cellStyle name="Input [yellow] 2 5 4 9 2" xfId="16355"/>
    <cellStyle name="Input [yellow] 2 5 4 9 3" xfId="27523"/>
    <cellStyle name="Input [yellow] 2 5 4 9 4" xfId="38688"/>
    <cellStyle name="Input [yellow] 2 5 4 9 5" xfId="49881"/>
    <cellStyle name="Input [yellow] 2 5 5" xfId="313"/>
    <cellStyle name="Input [yellow] 2 5 5 10" xfId="5830"/>
    <cellStyle name="Input [yellow] 2 5 5 10 2" xfId="17027"/>
    <cellStyle name="Input [yellow] 2 5 5 10 3" xfId="28195"/>
    <cellStyle name="Input [yellow] 2 5 5 10 4" xfId="39360"/>
    <cellStyle name="Input [yellow] 2 5 5 10 5" xfId="50553"/>
    <cellStyle name="Input [yellow] 2 5 5 11" xfId="6249"/>
    <cellStyle name="Input [yellow] 2 5 5 11 2" xfId="17446"/>
    <cellStyle name="Input [yellow] 2 5 5 11 3" xfId="28614"/>
    <cellStyle name="Input [yellow] 2 5 5 11 4" xfId="39779"/>
    <cellStyle name="Input [yellow] 2 5 5 11 5" xfId="50972"/>
    <cellStyle name="Input [yellow] 2 5 5 12" xfId="6882"/>
    <cellStyle name="Input [yellow] 2 5 5 12 2" xfId="18079"/>
    <cellStyle name="Input [yellow] 2 5 5 12 3" xfId="29247"/>
    <cellStyle name="Input [yellow] 2 5 5 12 4" xfId="40412"/>
    <cellStyle name="Input [yellow] 2 5 5 12 5" xfId="51605"/>
    <cellStyle name="Input [yellow] 2 5 5 13" xfId="7516"/>
    <cellStyle name="Input [yellow] 2 5 5 13 2" xfId="18713"/>
    <cellStyle name="Input [yellow] 2 5 5 13 3" xfId="29881"/>
    <cellStyle name="Input [yellow] 2 5 5 13 4" xfId="41046"/>
    <cellStyle name="Input [yellow] 2 5 5 13 5" xfId="52239"/>
    <cellStyle name="Input [yellow] 2 5 5 14" xfId="8150"/>
    <cellStyle name="Input [yellow] 2 5 5 14 2" xfId="19347"/>
    <cellStyle name="Input [yellow] 2 5 5 14 3" xfId="30515"/>
    <cellStyle name="Input [yellow] 2 5 5 14 4" xfId="41680"/>
    <cellStyle name="Input [yellow] 2 5 5 14 5" xfId="52873"/>
    <cellStyle name="Input [yellow] 2 5 5 15" xfId="8779"/>
    <cellStyle name="Input [yellow] 2 5 5 15 2" xfId="19976"/>
    <cellStyle name="Input [yellow] 2 5 5 15 3" xfId="31144"/>
    <cellStyle name="Input [yellow] 2 5 5 15 4" xfId="42309"/>
    <cellStyle name="Input [yellow] 2 5 5 15 5" xfId="53502"/>
    <cellStyle name="Input [yellow] 2 5 5 16" xfId="9201"/>
    <cellStyle name="Input [yellow] 2 5 5 16 2" xfId="20398"/>
    <cellStyle name="Input [yellow] 2 5 5 16 3" xfId="31566"/>
    <cellStyle name="Input [yellow] 2 5 5 16 4" xfId="42731"/>
    <cellStyle name="Input [yellow] 2 5 5 16 5" xfId="53924"/>
    <cellStyle name="Input [yellow] 2 5 5 17" xfId="9828"/>
    <cellStyle name="Input [yellow] 2 5 5 17 2" xfId="21025"/>
    <cellStyle name="Input [yellow] 2 5 5 17 3" xfId="32193"/>
    <cellStyle name="Input [yellow] 2 5 5 17 4" xfId="43358"/>
    <cellStyle name="Input [yellow] 2 5 5 17 5" xfId="54551"/>
    <cellStyle name="Input [yellow] 2 5 5 18" xfId="10298"/>
    <cellStyle name="Input [yellow] 2 5 5 18 2" xfId="21495"/>
    <cellStyle name="Input [yellow] 2 5 5 18 3" xfId="32663"/>
    <cellStyle name="Input [yellow] 2 5 5 18 4" xfId="43828"/>
    <cellStyle name="Input [yellow] 2 5 5 18 5" xfId="55021"/>
    <cellStyle name="Input [yellow] 2 5 5 19" xfId="10866"/>
    <cellStyle name="Input [yellow] 2 5 5 19 2" xfId="22063"/>
    <cellStyle name="Input [yellow] 2 5 5 19 3" xfId="33231"/>
    <cellStyle name="Input [yellow] 2 5 5 19 4" xfId="44396"/>
    <cellStyle name="Input [yellow] 2 5 5 19 5" xfId="55589"/>
    <cellStyle name="Input [yellow] 2 5 5 2" xfId="962"/>
    <cellStyle name="Input [yellow] 2 5 5 2 2" xfId="12159"/>
    <cellStyle name="Input [yellow] 2 5 5 2 3" xfId="23327"/>
    <cellStyle name="Input [yellow] 2 5 5 2 4" xfId="34492"/>
    <cellStyle name="Input [yellow] 2 5 5 2 5" xfId="45685"/>
    <cellStyle name="Input [yellow] 2 5 5 20" xfId="11513"/>
    <cellStyle name="Input [yellow] 2 5 5 21" xfId="22683"/>
    <cellStyle name="Input [yellow] 2 5 5 22" xfId="33850"/>
    <cellStyle name="Input [yellow] 2 5 5 23" xfId="45036"/>
    <cellStyle name="Input [yellow] 2 5 5 3" xfId="1684"/>
    <cellStyle name="Input [yellow] 2 5 5 3 2" xfId="12881"/>
    <cellStyle name="Input [yellow] 2 5 5 3 3" xfId="24049"/>
    <cellStyle name="Input [yellow] 2 5 5 3 4" xfId="35214"/>
    <cellStyle name="Input [yellow] 2 5 5 3 5" xfId="46407"/>
    <cellStyle name="Input [yellow] 2 5 5 4" xfId="2238"/>
    <cellStyle name="Input [yellow] 2 5 5 4 2" xfId="13435"/>
    <cellStyle name="Input [yellow] 2 5 5 4 3" xfId="24603"/>
    <cellStyle name="Input [yellow] 2 5 5 4 4" xfId="35768"/>
    <cellStyle name="Input [yellow] 2 5 5 4 5" xfId="46961"/>
    <cellStyle name="Input [yellow] 2 5 5 5" xfId="2663"/>
    <cellStyle name="Input [yellow] 2 5 5 5 2" xfId="13860"/>
    <cellStyle name="Input [yellow] 2 5 5 5 3" xfId="25028"/>
    <cellStyle name="Input [yellow] 2 5 5 5 4" xfId="36193"/>
    <cellStyle name="Input [yellow] 2 5 5 5 5" xfId="47386"/>
    <cellStyle name="Input [yellow] 2 5 5 6" xfId="3297"/>
    <cellStyle name="Input [yellow] 2 5 5 6 2" xfId="14494"/>
    <cellStyle name="Input [yellow] 2 5 5 6 3" xfId="25662"/>
    <cellStyle name="Input [yellow] 2 5 5 6 4" xfId="36827"/>
    <cellStyle name="Input [yellow] 2 5 5 6 5" xfId="48020"/>
    <cellStyle name="Input [yellow] 2 5 5 7" xfId="3931"/>
    <cellStyle name="Input [yellow] 2 5 5 7 2" xfId="15128"/>
    <cellStyle name="Input [yellow] 2 5 5 7 3" xfId="26296"/>
    <cellStyle name="Input [yellow] 2 5 5 7 4" xfId="37461"/>
    <cellStyle name="Input [yellow] 2 5 5 7 5" xfId="48654"/>
    <cellStyle name="Input [yellow] 2 5 5 8" xfId="4564"/>
    <cellStyle name="Input [yellow] 2 5 5 8 2" xfId="15761"/>
    <cellStyle name="Input [yellow] 2 5 5 8 3" xfId="26929"/>
    <cellStyle name="Input [yellow] 2 5 5 8 4" xfId="38094"/>
    <cellStyle name="Input [yellow] 2 5 5 8 5" xfId="49287"/>
    <cellStyle name="Input [yellow] 2 5 5 9" xfId="5195"/>
    <cellStyle name="Input [yellow] 2 5 5 9 2" xfId="16392"/>
    <cellStyle name="Input [yellow] 2 5 5 9 3" xfId="27560"/>
    <cellStyle name="Input [yellow] 2 5 5 9 4" xfId="38725"/>
    <cellStyle name="Input [yellow] 2 5 5 9 5" xfId="49918"/>
    <cellStyle name="Input [yellow] 2 5 6" xfId="364"/>
    <cellStyle name="Input [yellow] 2 5 6 10" xfId="5834"/>
    <cellStyle name="Input [yellow] 2 5 6 10 2" xfId="17031"/>
    <cellStyle name="Input [yellow] 2 5 6 10 3" xfId="28199"/>
    <cellStyle name="Input [yellow] 2 5 6 10 4" xfId="39364"/>
    <cellStyle name="Input [yellow] 2 5 6 10 5" xfId="50557"/>
    <cellStyle name="Input [yellow] 2 5 6 11" xfId="6300"/>
    <cellStyle name="Input [yellow] 2 5 6 11 2" xfId="17497"/>
    <cellStyle name="Input [yellow] 2 5 6 11 3" xfId="28665"/>
    <cellStyle name="Input [yellow] 2 5 6 11 4" xfId="39830"/>
    <cellStyle name="Input [yellow] 2 5 6 11 5" xfId="51023"/>
    <cellStyle name="Input [yellow] 2 5 6 12" xfId="6933"/>
    <cellStyle name="Input [yellow] 2 5 6 12 2" xfId="18130"/>
    <cellStyle name="Input [yellow] 2 5 6 12 3" xfId="29298"/>
    <cellStyle name="Input [yellow] 2 5 6 12 4" xfId="40463"/>
    <cellStyle name="Input [yellow] 2 5 6 12 5" xfId="51656"/>
    <cellStyle name="Input [yellow] 2 5 6 13" xfId="7567"/>
    <cellStyle name="Input [yellow] 2 5 6 13 2" xfId="18764"/>
    <cellStyle name="Input [yellow] 2 5 6 13 3" xfId="29932"/>
    <cellStyle name="Input [yellow] 2 5 6 13 4" xfId="41097"/>
    <cellStyle name="Input [yellow] 2 5 6 13 5" xfId="52290"/>
    <cellStyle name="Input [yellow] 2 5 6 14" xfId="8201"/>
    <cellStyle name="Input [yellow] 2 5 6 14 2" xfId="19398"/>
    <cellStyle name="Input [yellow] 2 5 6 14 3" xfId="30566"/>
    <cellStyle name="Input [yellow] 2 5 6 14 4" xfId="41731"/>
    <cellStyle name="Input [yellow] 2 5 6 14 5" xfId="52924"/>
    <cellStyle name="Input [yellow] 2 5 6 15" xfId="8830"/>
    <cellStyle name="Input [yellow] 2 5 6 15 2" xfId="20027"/>
    <cellStyle name="Input [yellow] 2 5 6 15 3" xfId="31195"/>
    <cellStyle name="Input [yellow] 2 5 6 15 4" xfId="42360"/>
    <cellStyle name="Input [yellow] 2 5 6 15 5" xfId="53553"/>
    <cellStyle name="Input [yellow] 2 5 6 16" xfId="9252"/>
    <cellStyle name="Input [yellow] 2 5 6 16 2" xfId="20449"/>
    <cellStyle name="Input [yellow] 2 5 6 16 3" xfId="31617"/>
    <cellStyle name="Input [yellow] 2 5 6 16 4" xfId="42782"/>
    <cellStyle name="Input [yellow] 2 5 6 16 5" xfId="53975"/>
    <cellStyle name="Input [yellow] 2 5 6 17" xfId="9879"/>
    <cellStyle name="Input [yellow] 2 5 6 17 2" xfId="21076"/>
    <cellStyle name="Input [yellow] 2 5 6 17 3" xfId="32244"/>
    <cellStyle name="Input [yellow] 2 5 6 17 4" xfId="43409"/>
    <cellStyle name="Input [yellow] 2 5 6 17 5" xfId="54602"/>
    <cellStyle name="Input [yellow] 2 5 6 18" xfId="10496"/>
    <cellStyle name="Input [yellow] 2 5 6 18 2" xfId="21693"/>
    <cellStyle name="Input [yellow] 2 5 6 18 3" xfId="32861"/>
    <cellStyle name="Input [yellow] 2 5 6 18 4" xfId="44026"/>
    <cellStyle name="Input [yellow] 2 5 6 18 5" xfId="55219"/>
    <cellStyle name="Input [yellow] 2 5 6 19" xfId="10917"/>
    <cellStyle name="Input [yellow] 2 5 6 19 2" xfId="22114"/>
    <cellStyle name="Input [yellow] 2 5 6 19 3" xfId="33282"/>
    <cellStyle name="Input [yellow] 2 5 6 19 4" xfId="44447"/>
    <cellStyle name="Input [yellow] 2 5 6 19 5" xfId="55640"/>
    <cellStyle name="Input [yellow] 2 5 6 2" xfId="1013"/>
    <cellStyle name="Input [yellow] 2 5 6 2 2" xfId="12210"/>
    <cellStyle name="Input [yellow] 2 5 6 2 3" xfId="23378"/>
    <cellStyle name="Input [yellow] 2 5 6 2 4" xfId="34543"/>
    <cellStyle name="Input [yellow] 2 5 6 2 5" xfId="45736"/>
    <cellStyle name="Input [yellow] 2 5 6 20" xfId="11564"/>
    <cellStyle name="Input [yellow] 2 5 6 21" xfId="22734"/>
    <cellStyle name="Input [yellow] 2 5 6 22" xfId="33901"/>
    <cellStyle name="Input [yellow] 2 5 6 23" xfId="45087"/>
    <cellStyle name="Input [yellow] 2 5 6 3" xfId="1793"/>
    <cellStyle name="Input [yellow] 2 5 6 3 2" xfId="12990"/>
    <cellStyle name="Input [yellow] 2 5 6 3 3" xfId="24158"/>
    <cellStyle name="Input [yellow] 2 5 6 3 4" xfId="35323"/>
    <cellStyle name="Input [yellow] 2 5 6 3 5" xfId="46516"/>
    <cellStyle name="Input [yellow] 2 5 6 4" xfId="2289"/>
    <cellStyle name="Input [yellow] 2 5 6 4 2" xfId="13486"/>
    <cellStyle name="Input [yellow] 2 5 6 4 3" xfId="24654"/>
    <cellStyle name="Input [yellow] 2 5 6 4 4" xfId="35819"/>
    <cellStyle name="Input [yellow] 2 5 6 4 5" xfId="47012"/>
    <cellStyle name="Input [yellow] 2 5 6 5" xfId="2714"/>
    <cellStyle name="Input [yellow] 2 5 6 5 2" xfId="13911"/>
    <cellStyle name="Input [yellow] 2 5 6 5 3" xfId="25079"/>
    <cellStyle name="Input [yellow] 2 5 6 5 4" xfId="36244"/>
    <cellStyle name="Input [yellow] 2 5 6 5 5" xfId="47437"/>
    <cellStyle name="Input [yellow] 2 5 6 6" xfId="3348"/>
    <cellStyle name="Input [yellow] 2 5 6 6 2" xfId="14545"/>
    <cellStyle name="Input [yellow] 2 5 6 6 3" xfId="25713"/>
    <cellStyle name="Input [yellow] 2 5 6 6 4" xfId="36878"/>
    <cellStyle name="Input [yellow] 2 5 6 6 5" xfId="48071"/>
    <cellStyle name="Input [yellow] 2 5 6 7" xfId="3982"/>
    <cellStyle name="Input [yellow] 2 5 6 7 2" xfId="15179"/>
    <cellStyle name="Input [yellow] 2 5 6 7 3" xfId="26347"/>
    <cellStyle name="Input [yellow] 2 5 6 7 4" xfId="37512"/>
    <cellStyle name="Input [yellow] 2 5 6 7 5" xfId="48705"/>
    <cellStyle name="Input [yellow] 2 5 6 8" xfId="4615"/>
    <cellStyle name="Input [yellow] 2 5 6 8 2" xfId="15812"/>
    <cellStyle name="Input [yellow] 2 5 6 8 3" xfId="26980"/>
    <cellStyle name="Input [yellow] 2 5 6 8 4" xfId="38145"/>
    <cellStyle name="Input [yellow] 2 5 6 8 5" xfId="49338"/>
    <cellStyle name="Input [yellow] 2 5 6 9" xfId="5246"/>
    <cellStyle name="Input [yellow] 2 5 6 9 2" xfId="16443"/>
    <cellStyle name="Input [yellow] 2 5 6 9 3" xfId="27611"/>
    <cellStyle name="Input [yellow] 2 5 6 9 4" xfId="38776"/>
    <cellStyle name="Input [yellow] 2 5 6 9 5" xfId="49969"/>
    <cellStyle name="Input [yellow] 2 5 7" xfId="312"/>
    <cellStyle name="Input [yellow] 2 5 7 10" xfId="6060"/>
    <cellStyle name="Input [yellow] 2 5 7 10 2" xfId="17257"/>
    <cellStyle name="Input [yellow] 2 5 7 10 3" xfId="28425"/>
    <cellStyle name="Input [yellow] 2 5 7 10 4" xfId="39590"/>
    <cellStyle name="Input [yellow] 2 5 7 10 5" xfId="50783"/>
    <cellStyle name="Input [yellow] 2 5 7 11" xfId="6248"/>
    <cellStyle name="Input [yellow] 2 5 7 11 2" xfId="17445"/>
    <cellStyle name="Input [yellow] 2 5 7 11 3" xfId="28613"/>
    <cellStyle name="Input [yellow] 2 5 7 11 4" xfId="39778"/>
    <cellStyle name="Input [yellow] 2 5 7 11 5" xfId="50971"/>
    <cellStyle name="Input [yellow] 2 5 7 12" xfId="6881"/>
    <cellStyle name="Input [yellow] 2 5 7 12 2" xfId="18078"/>
    <cellStyle name="Input [yellow] 2 5 7 12 3" xfId="29246"/>
    <cellStyle name="Input [yellow] 2 5 7 12 4" xfId="40411"/>
    <cellStyle name="Input [yellow] 2 5 7 12 5" xfId="51604"/>
    <cellStyle name="Input [yellow] 2 5 7 13" xfId="7515"/>
    <cellStyle name="Input [yellow] 2 5 7 13 2" xfId="18712"/>
    <cellStyle name="Input [yellow] 2 5 7 13 3" xfId="29880"/>
    <cellStyle name="Input [yellow] 2 5 7 13 4" xfId="41045"/>
    <cellStyle name="Input [yellow] 2 5 7 13 5" xfId="52238"/>
    <cellStyle name="Input [yellow] 2 5 7 14" xfId="8149"/>
    <cellStyle name="Input [yellow] 2 5 7 14 2" xfId="19346"/>
    <cellStyle name="Input [yellow] 2 5 7 14 3" xfId="30514"/>
    <cellStyle name="Input [yellow] 2 5 7 14 4" xfId="41679"/>
    <cellStyle name="Input [yellow] 2 5 7 14 5" xfId="52872"/>
    <cellStyle name="Input [yellow] 2 5 7 15" xfId="8778"/>
    <cellStyle name="Input [yellow] 2 5 7 15 2" xfId="19975"/>
    <cellStyle name="Input [yellow] 2 5 7 15 3" xfId="31143"/>
    <cellStyle name="Input [yellow] 2 5 7 15 4" xfId="42308"/>
    <cellStyle name="Input [yellow] 2 5 7 15 5" xfId="53501"/>
    <cellStyle name="Input [yellow] 2 5 7 16" xfId="9200"/>
    <cellStyle name="Input [yellow] 2 5 7 16 2" xfId="20397"/>
    <cellStyle name="Input [yellow] 2 5 7 16 3" xfId="31565"/>
    <cellStyle name="Input [yellow] 2 5 7 16 4" xfId="42730"/>
    <cellStyle name="Input [yellow] 2 5 7 16 5" xfId="53923"/>
    <cellStyle name="Input [yellow] 2 5 7 17" xfId="9827"/>
    <cellStyle name="Input [yellow] 2 5 7 17 2" xfId="21024"/>
    <cellStyle name="Input [yellow] 2 5 7 17 3" xfId="32192"/>
    <cellStyle name="Input [yellow] 2 5 7 17 4" xfId="43357"/>
    <cellStyle name="Input [yellow] 2 5 7 17 5" xfId="54550"/>
    <cellStyle name="Input [yellow] 2 5 7 18" xfId="10369"/>
    <cellStyle name="Input [yellow] 2 5 7 18 2" xfId="21566"/>
    <cellStyle name="Input [yellow] 2 5 7 18 3" xfId="32734"/>
    <cellStyle name="Input [yellow] 2 5 7 18 4" xfId="43899"/>
    <cellStyle name="Input [yellow] 2 5 7 18 5" xfId="55092"/>
    <cellStyle name="Input [yellow] 2 5 7 19" xfId="10865"/>
    <cellStyle name="Input [yellow] 2 5 7 19 2" xfId="22062"/>
    <cellStyle name="Input [yellow] 2 5 7 19 3" xfId="33230"/>
    <cellStyle name="Input [yellow] 2 5 7 19 4" xfId="44395"/>
    <cellStyle name="Input [yellow] 2 5 7 19 5" xfId="55588"/>
    <cellStyle name="Input [yellow] 2 5 7 2" xfId="961"/>
    <cellStyle name="Input [yellow] 2 5 7 2 2" xfId="12158"/>
    <cellStyle name="Input [yellow] 2 5 7 2 3" xfId="23326"/>
    <cellStyle name="Input [yellow] 2 5 7 2 4" xfId="34491"/>
    <cellStyle name="Input [yellow] 2 5 7 2 5" xfId="45684"/>
    <cellStyle name="Input [yellow] 2 5 7 20" xfId="11512"/>
    <cellStyle name="Input [yellow] 2 5 7 21" xfId="22682"/>
    <cellStyle name="Input [yellow] 2 5 7 22" xfId="33849"/>
    <cellStyle name="Input [yellow] 2 5 7 23" xfId="45035"/>
    <cellStyle name="Input [yellow] 2 5 7 3" xfId="1651"/>
    <cellStyle name="Input [yellow] 2 5 7 3 2" xfId="12848"/>
    <cellStyle name="Input [yellow] 2 5 7 3 3" xfId="24016"/>
    <cellStyle name="Input [yellow] 2 5 7 3 4" xfId="35181"/>
    <cellStyle name="Input [yellow] 2 5 7 3 5" xfId="46374"/>
    <cellStyle name="Input [yellow] 2 5 7 4" xfId="2237"/>
    <cellStyle name="Input [yellow] 2 5 7 4 2" xfId="13434"/>
    <cellStyle name="Input [yellow] 2 5 7 4 3" xfId="24602"/>
    <cellStyle name="Input [yellow] 2 5 7 4 4" xfId="35767"/>
    <cellStyle name="Input [yellow] 2 5 7 4 5" xfId="46960"/>
    <cellStyle name="Input [yellow] 2 5 7 5" xfId="2662"/>
    <cellStyle name="Input [yellow] 2 5 7 5 2" xfId="13859"/>
    <cellStyle name="Input [yellow] 2 5 7 5 3" xfId="25027"/>
    <cellStyle name="Input [yellow] 2 5 7 5 4" xfId="36192"/>
    <cellStyle name="Input [yellow] 2 5 7 5 5" xfId="47385"/>
    <cellStyle name="Input [yellow] 2 5 7 6" xfId="3296"/>
    <cellStyle name="Input [yellow] 2 5 7 6 2" xfId="14493"/>
    <cellStyle name="Input [yellow] 2 5 7 6 3" xfId="25661"/>
    <cellStyle name="Input [yellow] 2 5 7 6 4" xfId="36826"/>
    <cellStyle name="Input [yellow] 2 5 7 6 5" xfId="48019"/>
    <cellStyle name="Input [yellow] 2 5 7 7" xfId="3930"/>
    <cellStyle name="Input [yellow] 2 5 7 7 2" xfId="15127"/>
    <cellStyle name="Input [yellow] 2 5 7 7 3" xfId="26295"/>
    <cellStyle name="Input [yellow] 2 5 7 7 4" xfId="37460"/>
    <cellStyle name="Input [yellow] 2 5 7 7 5" xfId="48653"/>
    <cellStyle name="Input [yellow] 2 5 7 8" xfId="4563"/>
    <cellStyle name="Input [yellow] 2 5 7 8 2" xfId="15760"/>
    <cellStyle name="Input [yellow] 2 5 7 8 3" xfId="26928"/>
    <cellStyle name="Input [yellow] 2 5 7 8 4" xfId="38093"/>
    <cellStyle name="Input [yellow] 2 5 7 8 5" xfId="49286"/>
    <cellStyle name="Input [yellow] 2 5 7 9" xfId="5194"/>
    <cellStyle name="Input [yellow] 2 5 7 9 2" xfId="16391"/>
    <cellStyle name="Input [yellow] 2 5 7 9 3" xfId="27559"/>
    <cellStyle name="Input [yellow] 2 5 7 9 4" xfId="38724"/>
    <cellStyle name="Input [yellow] 2 5 7 9 5" xfId="49917"/>
    <cellStyle name="Input [yellow] 2 5 8" xfId="470"/>
    <cellStyle name="Input [yellow] 2 5 8 10" xfId="6070"/>
    <cellStyle name="Input [yellow] 2 5 8 10 2" xfId="17267"/>
    <cellStyle name="Input [yellow] 2 5 8 10 3" xfId="28435"/>
    <cellStyle name="Input [yellow] 2 5 8 10 4" xfId="39600"/>
    <cellStyle name="Input [yellow] 2 5 8 10 5" xfId="50793"/>
    <cellStyle name="Input [yellow] 2 5 8 11" xfId="6406"/>
    <cellStyle name="Input [yellow] 2 5 8 11 2" xfId="17603"/>
    <cellStyle name="Input [yellow] 2 5 8 11 3" xfId="28771"/>
    <cellStyle name="Input [yellow] 2 5 8 11 4" xfId="39936"/>
    <cellStyle name="Input [yellow] 2 5 8 11 5" xfId="51129"/>
    <cellStyle name="Input [yellow] 2 5 8 12" xfId="7039"/>
    <cellStyle name="Input [yellow] 2 5 8 12 2" xfId="18236"/>
    <cellStyle name="Input [yellow] 2 5 8 12 3" xfId="29404"/>
    <cellStyle name="Input [yellow] 2 5 8 12 4" xfId="40569"/>
    <cellStyle name="Input [yellow] 2 5 8 12 5" xfId="51762"/>
    <cellStyle name="Input [yellow] 2 5 8 13" xfId="7673"/>
    <cellStyle name="Input [yellow] 2 5 8 13 2" xfId="18870"/>
    <cellStyle name="Input [yellow] 2 5 8 13 3" xfId="30038"/>
    <cellStyle name="Input [yellow] 2 5 8 13 4" xfId="41203"/>
    <cellStyle name="Input [yellow] 2 5 8 13 5" xfId="52396"/>
    <cellStyle name="Input [yellow] 2 5 8 14" xfId="8307"/>
    <cellStyle name="Input [yellow] 2 5 8 14 2" xfId="19504"/>
    <cellStyle name="Input [yellow] 2 5 8 14 3" xfId="30672"/>
    <cellStyle name="Input [yellow] 2 5 8 14 4" xfId="41837"/>
    <cellStyle name="Input [yellow] 2 5 8 14 5" xfId="53030"/>
    <cellStyle name="Input [yellow] 2 5 8 15" xfId="8935"/>
    <cellStyle name="Input [yellow] 2 5 8 15 2" xfId="20132"/>
    <cellStyle name="Input [yellow] 2 5 8 15 3" xfId="31300"/>
    <cellStyle name="Input [yellow] 2 5 8 15 4" xfId="42465"/>
    <cellStyle name="Input [yellow] 2 5 8 15 5" xfId="53658"/>
    <cellStyle name="Input [yellow] 2 5 8 16" xfId="9358"/>
    <cellStyle name="Input [yellow] 2 5 8 16 2" xfId="20555"/>
    <cellStyle name="Input [yellow] 2 5 8 16 3" xfId="31723"/>
    <cellStyle name="Input [yellow] 2 5 8 16 4" xfId="42888"/>
    <cellStyle name="Input [yellow] 2 5 8 16 5" xfId="54081"/>
    <cellStyle name="Input [yellow] 2 5 8 17" xfId="9984"/>
    <cellStyle name="Input [yellow] 2 5 8 17 2" xfId="21181"/>
    <cellStyle name="Input [yellow] 2 5 8 17 3" xfId="32349"/>
    <cellStyle name="Input [yellow] 2 5 8 17 4" xfId="43514"/>
    <cellStyle name="Input [yellow] 2 5 8 17 5" xfId="54707"/>
    <cellStyle name="Input [yellow] 2 5 8 18" xfId="10326"/>
    <cellStyle name="Input [yellow] 2 5 8 18 2" xfId="21523"/>
    <cellStyle name="Input [yellow] 2 5 8 18 3" xfId="32691"/>
    <cellStyle name="Input [yellow] 2 5 8 18 4" xfId="43856"/>
    <cellStyle name="Input [yellow] 2 5 8 18 5" xfId="55049"/>
    <cellStyle name="Input [yellow] 2 5 8 19" xfId="11023"/>
    <cellStyle name="Input [yellow] 2 5 8 19 2" xfId="22220"/>
    <cellStyle name="Input [yellow] 2 5 8 19 3" xfId="33388"/>
    <cellStyle name="Input [yellow] 2 5 8 19 4" xfId="44553"/>
    <cellStyle name="Input [yellow] 2 5 8 19 5" xfId="55746"/>
    <cellStyle name="Input [yellow] 2 5 8 2" xfId="1119"/>
    <cellStyle name="Input [yellow] 2 5 8 2 2" xfId="12316"/>
    <cellStyle name="Input [yellow] 2 5 8 2 3" xfId="23484"/>
    <cellStyle name="Input [yellow] 2 5 8 2 4" xfId="34649"/>
    <cellStyle name="Input [yellow] 2 5 8 2 5" xfId="45842"/>
    <cellStyle name="Input [yellow] 2 5 8 20" xfId="11670"/>
    <cellStyle name="Input [yellow] 2 5 8 21" xfId="22840"/>
    <cellStyle name="Input [yellow] 2 5 8 22" xfId="34007"/>
    <cellStyle name="Input [yellow] 2 5 8 23" xfId="45193"/>
    <cellStyle name="Input [yellow] 2 5 8 3" xfId="1635"/>
    <cellStyle name="Input [yellow] 2 5 8 3 2" xfId="12832"/>
    <cellStyle name="Input [yellow] 2 5 8 3 3" xfId="24000"/>
    <cellStyle name="Input [yellow] 2 5 8 3 4" xfId="35165"/>
    <cellStyle name="Input [yellow] 2 5 8 3 5" xfId="46358"/>
    <cellStyle name="Input [yellow] 2 5 8 4" xfId="2395"/>
    <cellStyle name="Input [yellow] 2 5 8 4 2" xfId="13592"/>
    <cellStyle name="Input [yellow] 2 5 8 4 3" xfId="24760"/>
    <cellStyle name="Input [yellow] 2 5 8 4 4" xfId="35925"/>
    <cellStyle name="Input [yellow] 2 5 8 4 5" xfId="47118"/>
    <cellStyle name="Input [yellow] 2 5 8 5" xfId="2820"/>
    <cellStyle name="Input [yellow] 2 5 8 5 2" xfId="14017"/>
    <cellStyle name="Input [yellow] 2 5 8 5 3" xfId="25185"/>
    <cellStyle name="Input [yellow] 2 5 8 5 4" xfId="36350"/>
    <cellStyle name="Input [yellow] 2 5 8 5 5" xfId="47543"/>
    <cellStyle name="Input [yellow] 2 5 8 6" xfId="3454"/>
    <cellStyle name="Input [yellow] 2 5 8 6 2" xfId="14651"/>
    <cellStyle name="Input [yellow] 2 5 8 6 3" xfId="25819"/>
    <cellStyle name="Input [yellow] 2 5 8 6 4" xfId="36984"/>
    <cellStyle name="Input [yellow] 2 5 8 6 5" xfId="48177"/>
    <cellStyle name="Input [yellow] 2 5 8 7" xfId="4088"/>
    <cellStyle name="Input [yellow] 2 5 8 7 2" xfId="15285"/>
    <cellStyle name="Input [yellow] 2 5 8 7 3" xfId="26453"/>
    <cellStyle name="Input [yellow] 2 5 8 7 4" xfId="37618"/>
    <cellStyle name="Input [yellow] 2 5 8 7 5" xfId="48811"/>
    <cellStyle name="Input [yellow] 2 5 8 8" xfId="4721"/>
    <cellStyle name="Input [yellow] 2 5 8 8 2" xfId="15918"/>
    <cellStyle name="Input [yellow] 2 5 8 8 3" xfId="27086"/>
    <cellStyle name="Input [yellow] 2 5 8 8 4" xfId="38251"/>
    <cellStyle name="Input [yellow] 2 5 8 8 5" xfId="49444"/>
    <cellStyle name="Input [yellow] 2 5 8 9" xfId="5352"/>
    <cellStyle name="Input [yellow] 2 5 8 9 2" xfId="16549"/>
    <cellStyle name="Input [yellow] 2 5 8 9 3" xfId="27717"/>
    <cellStyle name="Input [yellow] 2 5 8 9 4" xfId="38882"/>
    <cellStyle name="Input [yellow] 2 5 8 9 5" xfId="50075"/>
    <cellStyle name="Input [yellow] 2 5 9" xfId="528"/>
    <cellStyle name="Input [yellow] 2 5 9 10" xfId="5655"/>
    <cellStyle name="Input [yellow] 2 5 9 10 2" xfId="16852"/>
    <cellStyle name="Input [yellow] 2 5 9 10 3" xfId="28020"/>
    <cellStyle name="Input [yellow] 2 5 9 10 4" xfId="39185"/>
    <cellStyle name="Input [yellow] 2 5 9 10 5" xfId="50378"/>
    <cellStyle name="Input [yellow] 2 5 9 11" xfId="6464"/>
    <cellStyle name="Input [yellow] 2 5 9 11 2" xfId="17661"/>
    <cellStyle name="Input [yellow] 2 5 9 11 3" xfId="28829"/>
    <cellStyle name="Input [yellow] 2 5 9 11 4" xfId="39994"/>
    <cellStyle name="Input [yellow] 2 5 9 11 5" xfId="51187"/>
    <cellStyle name="Input [yellow] 2 5 9 12" xfId="7097"/>
    <cellStyle name="Input [yellow] 2 5 9 12 2" xfId="18294"/>
    <cellStyle name="Input [yellow] 2 5 9 12 3" xfId="29462"/>
    <cellStyle name="Input [yellow] 2 5 9 12 4" xfId="40627"/>
    <cellStyle name="Input [yellow] 2 5 9 12 5" xfId="51820"/>
    <cellStyle name="Input [yellow] 2 5 9 13" xfId="7731"/>
    <cellStyle name="Input [yellow] 2 5 9 13 2" xfId="18928"/>
    <cellStyle name="Input [yellow] 2 5 9 13 3" xfId="30096"/>
    <cellStyle name="Input [yellow] 2 5 9 13 4" xfId="41261"/>
    <cellStyle name="Input [yellow] 2 5 9 13 5" xfId="52454"/>
    <cellStyle name="Input [yellow] 2 5 9 14" xfId="8365"/>
    <cellStyle name="Input [yellow] 2 5 9 14 2" xfId="19562"/>
    <cellStyle name="Input [yellow] 2 5 9 14 3" xfId="30730"/>
    <cellStyle name="Input [yellow] 2 5 9 14 4" xfId="41895"/>
    <cellStyle name="Input [yellow] 2 5 9 14 5" xfId="53088"/>
    <cellStyle name="Input [yellow] 2 5 9 15" xfId="8993"/>
    <cellStyle name="Input [yellow] 2 5 9 15 2" xfId="20190"/>
    <cellStyle name="Input [yellow] 2 5 9 15 3" xfId="31358"/>
    <cellStyle name="Input [yellow] 2 5 9 15 4" xfId="42523"/>
    <cellStyle name="Input [yellow] 2 5 9 15 5" xfId="53716"/>
    <cellStyle name="Input [yellow] 2 5 9 16" xfId="9416"/>
    <cellStyle name="Input [yellow] 2 5 9 16 2" xfId="20613"/>
    <cellStyle name="Input [yellow] 2 5 9 16 3" xfId="31781"/>
    <cellStyle name="Input [yellow] 2 5 9 16 4" xfId="42946"/>
    <cellStyle name="Input [yellow] 2 5 9 16 5" xfId="54139"/>
    <cellStyle name="Input [yellow] 2 5 9 17" xfId="10041"/>
    <cellStyle name="Input [yellow] 2 5 9 17 2" xfId="21238"/>
    <cellStyle name="Input [yellow] 2 5 9 17 3" xfId="32406"/>
    <cellStyle name="Input [yellow] 2 5 9 17 4" xfId="43571"/>
    <cellStyle name="Input [yellow] 2 5 9 17 5" xfId="54764"/>
    <cellStyle name="Input [yellow] 2 5 9 18" xfId="9819"/>
    <cellStyle name="Input [yellow] 2 5 9 18 2" xfId="21016"/>
    <cellStyle name="Input [yellow] 2 5 9 18 3" xfId="32184"/>
    <cellStyle name="Input [yellow] 2 5 9 18 4" xfId="43349"/>
    <cellStyle name="Input [yellow] 2 5 9 18 5" xfId="54542"/>
    <cellStyle name="Input [yellow] 2 5 9 19" xfId="11081"/>
    <cellStyle name="Input [yellow] 2 5 9 19 2" xfId="22278"/>
    <cellStyle name="Input [yellow] 2 5 9 19 3" xfId="33446"/>
    <cellStyle name="Input [yellow] 2 5 9 19 4" xfId="44611"/>
    <cellStyle name="Input [yellow] 2 5 9 19 5" xfId="55804"/>
    <cellStyle name="Input [yellow] 2 5 9 2" xfId="1177"/>
    <cellStyle name="Input [yellow] 2 5 9 2 2" xfId="12374"/>
    <cellStyle name="Input [yellow] 2 5 9 2 3" xfId="23542"/>
    <cellStyle name="Input [yellow] 2 5 9 2 4" xfId="34707"/>
    <cellStyle name="Input [yellow] 2 5 9 2 5" xfId="45900"/>
    <cellStyle name="Input [yellow] 2 5 9 20" xfId="11728"/>
    <cellStyle name="Input [yellow] 2 5 9 21" xfId="22898"/>
    <cellStyle name="Input [yellow] 2 5 9 22" xfId="34065"/>
    <cellStyle name="Input [yellow] 2 5 9 23" xfId="45251"/>
    <cellStyle name="Input [yellow] 2 5 9 3" xfId="1472"/>
    <cellStyle name="Input [yellow] 2 5 9 3 2" xfId="12669"/>
    <cellStyle name="Input [yellow] 2 5 9 3 3" xfId="23837"/>
    <cellStyle name="Input [yellow] 2 5 9 3 4" xfId="35002"/>
    <cellStyle name="Input [yellow] 2 5 9 3 5" xfId="46195"/>
    <cellStyle name="Input [yellow] 2 5 9 4" xfId="2453"/>
    <cellStyle name="Input [yellow] 2 5 9 4 2" xfId="13650"/>
    <cellStyle name="Input [yellow] 2 5 9 4 3" xfId="24818"/>
    <cellStyle name="Input [yellow] 2 5 9 4 4" xfId="35983"/>
    <cellStyle name="Input [yellow] 2 5 9 4 5" xfId="47176"/>
    <cellStyle name="Input [yellow] 2 5 9 5" xfId="2878"/>
    <cellStyle name="Input [yellow] 2 5 9 5 2" xfId="14075"/>
    <cellStyle name="Input [yellow] 2 5 9 5 3" xfId="25243"/>
    <cellStyle name="Input [yellow] 2 5 9 5 4" xfId="36408"/>
    <cellStyle name="Input [yellow] 2 5 9 5 5" xfId="47601"/>
    <cellStyle name="Input [yellow] 2 5 9 6" xfId="3512"/>
    <cellStyle name="Input [yellow] 2 5 9 6 2" xfId="14709"/>
    <cellStyle name="Input [yellow] 2 5 9 6 3" xfId="25877"/>
    <cellStyle name="Input [yellow] 2 5 9 6 4" xfId="37042"/>
    <cellStyle name="Input [yellow] 2 5 9 6 5" xfId="48235"/>
    <cellStyle name="Input [yellow] 2 5 9 7" xfId="4146"/>
    <cellStyle name="Input [yellow] 2 5 9 7 2" xfId="15343"/>
    <cellStyle name="Input [yellow] 2 5 9 7 3" xfId="26511"/>
    <cellStyle name="Input [yellow] 2 5 9 7 4" xfId="37676"/>
    <cellStyle name="Input [yellow] 2 5 9 7 5" xfId="48869"/>
    <cellStyle name="Input [yellow] 2 5 9 8" xfId="4779"/>
    <cellStyle name="Input [yellow] 2 5 9 8 2" xfId="15976"/>
    <cellStyle name="Input [yellow] 2 5 9 8 3" xfId="27144"/>
    <cellStyle name="Input [yellow] 2 5 9 8 4" xfId="38309"/>
    <cellStyle name="Input [yellow] 2 5 9 8 5" xfId="49502"/>
    <cellStyle name="Input [yellow] 2 5 9 9" xfId="5410"/>
    <cellStyle name="Input [yellow] 2 5 9 9 2" xfId="16607"/>
    <cellStyle name="Input [yellow] 2 5 9 9 3" xfId="27775"/>
    <cellStyle name="Input [yellow] 2 5 9 9 4" xfId="38940"/>
    <cellStyle name="Input [yellow] 2 5 9 9 5" xfId="50133"/>
    <cellStyle name="Input [yellow] 2 50" xfId="10606"/>
    <cellStyle name="Input [yellow] 2 50 2" xfId="21803"/>
    <cellStyle name="Input [yellow] 2 50 3" xfId="32971"/>
    <cellStyle name="Input [yellow] 2 50 4" xfId="44136"/>
    <cellStyle name="Input [yellow] 2 50 5" xfId="55329"/>
    <cellStyle name="Input [yellow] 2 51" xfId="11245"/>
    <cellStyle name="Input [yellow] 2 52" xfId="17"/>
    <cellStyle name="Input [yellow] 2 53" xfId="11250"/>
    <cellStyle name="Input [yellow] 2 54" xfId="44772"/>
    <cellStyle name="Input [yellow] 2 6" xfId="64"/>
    <cellStyle name="Input [yellow] 2 6 10" xfId="576"/>
    <cellStyle name="Input [yellow] 2 6 10 10" xfId="5589"/>
    <cellStyle name="Input [yellow] 2 6 10 10 2" xfId="16786"/>
    <cellStyle name="Input [yellow] 2 6 10 10 3" xfId="27954"/>
    <cellStyle name="Input [yellow] 2 6 10 10 4" xfId="39119"/>
    <cellStyle name="Input [yellow] 2 6 10 10 5" xfId="50312"/>
    <cellStyle name="Input [yellow] 2 6 10 11" xfId="6512"/>
    <cellStyle name="Input [yellow] 2 6 10 11 2" xfId="17709"/>
    <cellStyle name="Input [yellow] 2 6 10 11 3" xfId="28877"/>
    <cellStyle name="Input [yellow] 2 6 10 11 4" xfId="40042"/>
    <cellStyle name="Input [yellow] 2 6 10 11 5" xfId="51235"/>
    <cellStyle name="Input [yellow] 2 6 10 12" xfId="7145"/>
    <cellStyle name="Input [yellow] 2 6 10 12 2" xfId="18342"/>
    <cellStyle name="Input [yellow] 2 6 10 12 3" xfId="29510"/>
    <cellStyle name="Input [yellow] 2 6 10 12 4" xfId="40675"/>
    <cellStyle name="Input [yellow] 2 6 10 12 5" xfId="51868"/>
    <cellStyle name="Input [yellow] 2 6 10 13" xfId="7779"/>
    <cellStyle name="Input [yellow] 2 6 10 13 2" xfId="18976"/>
    <cellStyle name="Input [yellow] 2 6 10 13 3" xfId="30144"/>
    <cellStyle name="Input [yellow] 2 6 10 13 4" xfId="41309"/>
    <cellStyle name="Input [yellow] 2 6 10 13 5" xfId="52502"/>
    <cellStyle name="Input [yellow] 2 6 10 14" xfId="8413"/>
    <cellStyle name="Input [yellow] 2 6 10 14 2" xfId="19610"/>
    <cellStyle name="Input [yellow] 2 6 10 14 3" xfId="30778"/>
    <cellStyle name="Input [yellow] 2 6 10 14 4" xfId="41943"/>
    <cellStyle name="Input [yellow] 2 6 10 14 5" xfId="53136"/>
    <cellStyle name="Input [yellow] 2 6 10 15" xfId="9041"/>
    <cellStyle name="Input [yellow] 2 6 10 15 2" xfId="20238"/>
    <cellStyle name="Input [yellow] 2 6 10 15 3" xfId="31406"/>
    <cellStyle name="Input [yellow] 2 6 10 15 4" xfId="42571"/>
    <cellStyle name="Input [yellow] 2 6 10 15 5" xfId="53764"/>
    <cellStyle name="Input [yellow] 2 6 10 16" xfId="9464"/>
    <cellStyle name="Input [yellow] 2 6 10 16 2" xfId="20661"/>
    <cellStyle name="Input [yellow] 2 6 10 16 3" xfId="31829"/>
    <cellStyle name="Input [yellow] 2 6 10 16 4" xfId="42994"/>
    <cellStyle name="Input [yellow] 2 6 10 16 5" xfId="54187"/>
    <cellStyle name="Input [yellow] 2 6 10 17" xfId="10089"/>
    <cellStyle name="Input [yellow] 2 6 10 17 2" xfId="21286"/>
    <cellStyle name="Input [yellow] 2 6 10 17 3" xfId="32454"/>
    <cellStyle name="Input [yellow] 2 6 10 17 4" xfId="43619"/>
    <cellStyle name="Input [yellow] 2 6 10 17 5" xfId="54812"/>
    <cellStyle name="Input [yellow] 2 6 10 18" xfId="9657"/>
    <cellStyle name="Input [yellow] 2 6 10 18 2" xfId="20854"/>
    <cellStyle name="Input [yellow] 2 6 10 18 3" xfId="32022"/>
    <cellStyle name="Input [yellow] 2 6 10 18 4" xfId="43187"/>
    <cellStyle name="Input [yellow] 2 6 10 18 5" xfId="54380"/>
    <cellStyle name="Input [yellow] 2 6 10 19" xfId="11129"/>
    <cellStyle name="Input [yellow] 2 6 10 19 2" xfId="22326"/>
    <cellStyle name="Input [yellow] 2 6 10 19 3" xfId="33494"/>
    <cellStyle name="Input [yellow] 2 6 10 19 4" xfId="44659"/>
    <cellStyle name="Input [yellow] 2 6 10 19 5" xfId="55852"/>
    <cellStyle name="Input [yellow] 2 6 10 2" xfId="1225"/>
    <cellStyle name="Input [yellow] 2 6 10 2 2" xfId="12422"/>
    <cellStyle name="Input [yellow] 2 6 10 2 3" xfId="23590"/>
    <cellStyle name="Input [yellow] 2 6 10 2 4" xfId="34755"/>
    <cellStyle name="Input [yellow] 2 6 10 2 5" xfId="45948"/>
    <cellStyle name="Input [yellow] 2 6 10 20" xfId="11776"/>
    <cellStyle name="Input [yellow] 2 6 10 21" xfId="22946"/>
    <cellStyle name="Input [yellow] 2 6 10 22" xfId="34113"/>
    <cellStyle name="Input [yellow] 2 6 10 23" xfId="45299"/>
    <cellStyle name="Input [yellow] 2 6 10 3" xfId="1329"/>
    <cellStyle name="Input [yellow] 2 6 10 3 2" xfId="12526"/>
    <cellStyle name="Input [yellow] 2 6 10 3 3" xfId="23694"/>
    <cellStyle name="Input [yellow] 2 6 10 3 4" xfId="34859"/>
    <cellStyle name="Input [yellow] 2 6 10 3 5" xfId="46052"/>
    <cellStyle name="Input [yellow] 2 6 10 4" xfId="2501"/>
    <cellStyle name="Input [yellow] 2 6 10 4 2" xfId="13698"/>
    <cellStyle name="Input [yellow] 2 6 10 4 3" xfId="24866"/>
    <cellStyle name="Input [yellow] 2 6 10 4 4" xfId="36031"/>
    <cellStyle name="Input [yellow] 2 6 10 4 5" xfId="47224"/>
    <cellStyle name="Input [yellow] 2 6 10 5" xfId="2926"/>
    <cellStyle name="Input [yellow] 2 6 10 5 2" xfId="14123"/>
    <cellStyle name="Input [yellow] 2 6 10 5 3" xfId="25291"/>
    <cellStyle name="Input [yellow] 2 6 10 5 4" xfId="36456"/>
    <cellStyle name="Input [yellow] 2 6 10 5 5" xfId="47649"/>
    <cellStyle name="Input [yellow] 2 6 10 6" xfId="3560"/>
    <cellStyle name="Input [yellow] 2 6 10 6 2" xfId="14757"/>
    <cellStyle name="Input [yellow] 2 6 10 6 3" xfId="25925"/>
    <cellStyle name="Input [yellow] 2 6 10 6 4" xfId="37090"/>
    <cellStyle name="Input [yellow] 2 6 10 6 5" xfId="48283"/>
    <cellStyle name="Input [yellow] 2 6 10 7" xfId="4194"/>
    <cellStyle name="Input [yellow] 2 6 10 7 2" xfId="15391"/>
    <cellStyle name="Input [yellow] 2 6 10 7 3" xfId="26559"/>
    <cellStyle name="Input [yellow] 2 6 10 7 4" xfId="37724"/>
    <cellStyle name="Input [yellow] 2 6 10 7 5" xfId="48917"/>
    <cellStyle name="Input [yellow] 2 6 10 8" xfId="4827"/>
    <cellStyle name="Input [yellow] 2 6 10 8 2" xfId="16024"/>
    <cellStyle name="Input [yellow] 2 6 10 8 3" xfId="27192"/>
    <cellStyle name="Input [yellow] 2 6 10 8 4" xfId="38357"/>
    <cellStyle name="Input [yellow] 2 6 10 8 5" xfId="49550"/>
    <cellStyle name="Input [yellow] 2 6 10 9" xfId="5458"/>
    <cellStyle name="Input [yellow] 2 6 10 9 2" xfId="16655"/>
    <cellStyle name="Input [yellow] 2 6 10 9 3" xfId="27823"/>
    <cellStyle name="Input [yellow] 2 6 10 9 4" xfId="38988"/>
    <cellStyle name="Input [yellow] 2 6 10 9 5" xfId="50181"/>
    <cellStyle name="Input [yellow] 2 6 11" xfId="639"/>
    <cellStyle name="Input [yellow] 2 6 11 10" xfId="6040"/>
    <cellStyle name="Input [yellow] 2 6 11 10 2" xfId="17237"/>
    <cellStyle name="Input [yellow] 2 6 11 10 3" xfId="28405"/>
    <cellStyle name="Input [yellow] 2 6 11 10 4" xfId="39570"/>
    <cellStyle name="Input [yellow] 2 6 11 10 5" xfId="50763"/>
    <cellStyle name="Input [yellow] 2 6 11 11" xfId="6575"/>
    <cellStyle name="Input [yellow] 2 6 11 11 2" xfId="17772"/>
    <cellStyle name="Input [yellow] 2 6 11 11 3" xfId="28940"/>
    <cellStyle name="Input [yellow] 2 6 11 11 4" xfId="40105"/>
    <cellStyle name="Input [yellow] 2 6 11 11 5" xfId="51298"/>
    <cellStyle name="Input [yellow] 2 6 11 12" xfId="7208"/>
    <cellStyle name="Input [yellow] 2 6 11 12 2" xfId="18405"/>
    <cellStyle name="Input [yellow] 2 6 11 12 3" xfId="29573"/>
    <cellStyle name="Input [yellow] 2 6 11 12 4" xfId="40738"/>
    <cellStyle name="Input [yellow] 2 6 11 12 5" xfId="51931"/>
    <cellStyle name="Input [yellow] 2 6 11 13" xfId="7842"/>
    <cellStyle name="Input [yellow] 2 6 11 13 2" xfId="19039"/>
    <cellStyle name="Input [yellow] 2 6 11 13 3" xfId="30207"/>
    <cellStyle name="Input [yellow] 2 6 11 13 4" xfId="41372"/>
    <cellStyle name="Input [yellow] 2 6 11 13 5" xfId="52565"/>
    <cellStyle name="Input [yellow] 2 6 11 14" xfId="8476"/>
    <cellStyle name="Input [yellow] 2 6 11 14 2" xfId="19673"/>
    <cellStyle name="Input [yellow] 2 6 11 14 3" xfId="30841"/>
    <cellStyle name="Input [yellow] 2 6 11 14 4" xfId="42006"/>
    <cellStyle name="Input [yellow] 2 6 11 14 5" xfId="53199"/>
    <cellStyle name="Input [yellow] 2 6 11 15" xfId="9104"/>
    <cellStyle name="Input [yellow] 2 6 11 15 2" xfId="20301"/>
    <cellStyle name="Input [yellow] 2 6 11 15 3" xfId="31469"/>
    <cellStyle name="Input [yellow] 2 6 11 15 4" xfId="42634"/>
    <cellStyle name="Input [yellow] 2 6 11 15 5" xfId="53827"/>
    <cellStyle name="Input [yellow] 2 6 11 16" xfId="9527"/>
    <cellStyle name="Input [yellow] 2 6 11 16 2" xfId="20724"/>
    <cellStyle name="Input [yellow] 2 6 11 16 3" xfId="31892"/>
    <cellStyle name="Input [yellow] 2 6 11 16 4" xfId="43057"/>
    <cellStyle name="Input [yellow] 2 6 11 16 5" xfId="54250"/>
    <cellStyle name="Input [yellow] 2 6 11 17" xfId="10152"/>
    <cellStyle name="Input [yellow] 2 6 11 17 2" xfId="21349"/>
    <cellStyle name="Input [yellow] 2 6 11 17 3" xfId="32517"/>
    <cellStyle name="Input [yellow] 2 6 11 17 4" xfId="43682"/>
    <cellStyle name="Input [yellow] 2 6 11 17 5" xfId="54875"/>
    <cellStyle name="Input [yellow] 2 6 11 18" xfId="10215"/>
    <cellStyle name="Input [yellow] 2 6 11 18 2" xfId="21412"/>
    <cellStyle name="Input [yellow] 2 6 11 18 3" xfId="32580"/>
    <cellStyle name="Input [yellow] 2 6 11 18 4" xfId="43745"/>
    <cellStyle name="Input [yellow] 2 6 11 18 5" xfId="54938"/>
    <cellStyle name="Input [yellow] 2 6 11 19" xfId="11192"/>
    <cellStyle name="Input [yellow] 2 6 11 19 2" xfId="22389"/>
    <cellStyle name="Input [yellow] 2 6 11 19 3" xfId="33557"/>
    <cellStyle name="Input [yellow] 2 6 11 19 4" xfId="44722"/>
    <cellStyle name="Input [yellow] 2 6 11 19 5" xfId="55915"/>
    <cellStyle name="Input [yellow] 2 6 11 2" xfId="1288"/>
    <cellStyle name="Input [yellow] 2 6 11 2 2" xfId="12485"/>
    <cellStyle name="Input [yellow] 2 6 11 2 3" xfId="23653"/>
    <cellStyle name="Input [yellow] 2 6 11 2 4" xfId="34818"/>
    <cellStyle name="Input [yellow] 2 6 11 2 5" xfId="46011"/>
    <cellStyle name="Input [yellow] 2 6 11 20" xfId="11839"/>
    <cellStyle name="Input [yellow] 2 6 11 21" xfId="23009"/>
    <cellStyle name="Input [yellow] 2 6 11 22" xfId="34176"/>
    <cellStyle name="Input [yellow] 2 6 11 23" xfId="45362"/>
    <cellStyle name="Input [yellow] 2 6 11 3" xfId="1495"/>
    <cellStyle name="Input [yellow] 2 6 11 3 2" xfId="12692"/>
    <cellStyle name="Input [yellow] 2 6 11 3 3" xfId="23860"/>
    <cellStyle name="Input [yellow] 2 6 11 3 4" xfId="35025"/>
    <cellStyle name="Input [yellow] 2 6 11 3 5" xfId="46218"/>
    <cellStyle name="Input [yellow] 2 6 11 4" xfId="2564"/>
    <cellStyle name="Input [yellow] 2 6 11 4 2" xfId="13761"/>
    <cellStyle name="Input [yellow] 2 6 11 4 3" xfId="24929"/>
    <cellStyle name="Input [yellow] 2 6 11 4 4" xfId="36094"/>
    <cellStyle name="Input [yellow] 2 6 11 4 5" xfId="47287"/>
    <cellStyle name="Input [yellow] 2 6 11 5" xfId="2989"/>
    <cellStyle name="Input [yellow] 2 6 11 5 2" xfId="14186"/>
    <cellStyle name="Input [yellow] 2 6 11 5 3" xfId="25354"/>
    <cellStyle name="Input [yellow] 2 6 11 5 4" xfId="36519"/>
    <cellStyle name="Input [yellow] 2 6 11 5 5" xfId="47712"/>
    <cellStyle name="Input [yellow] 2 6 11 6" xfId="3623"/>
    <cellStyle name="Input [yellow] 2 6 11 6 2" xfId="14820"/>
    <cellStyle name="Input [yellow] 2 6 11 6 3" xfId="25988"/>
    <cellStyle name="Input [yellow] 2 6 11 6 4" xfId="37153"/>
    <cellStyle name="Input [yellow] 2 6 11 6 5" xfId="48346"/>
    <cellStyle name="Input [yellow] 2 6 11 7" xfId="4257"/>
    <cellStyle name="Input [yellow] 2 6 11 7 2" xfId="15454"/>
    <cellStyle name="Input [yellow] 2 6 11 7 3" xfId="26622"/>
    <cellStyle name="Input [yellow] 2 6 11 7 4" xfId="37787"/>
    <cellStyle name="Input [yellow] 2 6 11 7 5" xfId="48980"/>
    <cellStyle name="Input [yellow] 2 6 11 8" xfId="4890"/>
    <cellStyle name="Input [yellow] 2 6 11 8 2" xfId="16087"/>
    <cellStyle name="Input [yellow] 2 6 11 8 3" xfId="27255"/>
    <cellStyle name="Input [yellow] 2 6 11 8 4" xfId="38420"/>
    <cellStyle name="Input [yellow] 2 6 11 8 5" xfId="49613"/>
    <cellStyle name="Input [yellow] 2 6 11 9" xfId="5521"/>
    <cellStyle name="Input [yellow] 2 6 11 9 2" xfId="16718"/>
    <cellStyle name="Input [yellow] 2 6 11 9 3" xfId="27886"/>
    <cellStyle name="Input [yellow] 2 6 11 9 4" xfId="39051"/>
    <cellStyle name="Input [yellow] 2 6 11 9 5" xfId="50244"/>
    <cellStyle name="Input [yellow] 2 6 12" xfId="713"/>
    <cellStyle name="Input [yellow] 2 6 12 2" xfId="11911"/>
    <cellStyle name="Input [yellow] 2 6 12 3" xfId="23080"/>
    <cellStyle name="Input [yellow] 2 6 12 4" xfId="34245"/>
    <cellStyle name="Input [yellow] 2 6 12 5" xfId="45436"/>
    <cellStyle name="Input [yellow] 2 6 13" xfId="1359"/>
    <cellStyle name="Input [yellow] 2 6 13 2" xfId="12556"/>
    <cellStyle name="Input [yellow] 2 6 13 3" xfId="23724"/>
    <cellStyle name="Input [yellow] 2 6 13 4" xfId="34889"/>
    <cellStyle name="Input [yellow] 2 6 13 5" xfId="46082"/>
    <cellStyle name="Input [yellow] 2 6 14" xfId="1990"/>
    <cellStyle name="Input [yellow] 2 6 14 2" xfId="13187"/>
    <cellStyle name="Input [yellow] 2 6 14 3" xfId="24355"/>
    <cellStyle name="Input [yellow] 2 6 14 4" xfId="35520"/>
    <cellStyle name="Input [yellow] 2 6 14 5" xfId="46713"/>
    <cellStyle name="Input [yellow] 2 6 15" xfId="2466"/>
    <cellStyle name="Input [yellow] 2 6 15 2" xfId="13663"/>
    <cellStyle name="Input [yellow] 2 6 15 3" xfId="24831"/>
    <cellStyle name="Input [yellow] 2 6 15 4" xfId="35996"/>
    <cellStyle name="Input [yellow] 2 6 15 5" xfId="47189"/>
    <cellStyle name="Input [yellow] 2 6 16" xfId="3048"/>
    <cellStyle name="Input [yellow] 2 6 16 2" xfId="14245"/>
    <cellStyle name="Input [yellow] 2 6 16 3" xfId="25413"/>
    <cellStyle name="Input [yellow] 2 6 16 4" xfId="36578"/>
    <cellStyle name="Input [yellow] 2 6 16 5" xfId="47771"/>
    <cellStyle name="Input [yellow] 2 6 17" xfId="3683"/>
    <cellStyle name="Input [yellow] 2 6 17 2" xfId="14880"/>
    <cellStyle name="Input [yellow] 2 6 17 3" xfId="26048"/>
    <cellStyle name="Input [yellow] 2 6 17 4" xfId="37213"/>
    <cellStyle name="Input [yellow] 2 6 17 5" xfId="48406"/>
    <cellStyle name="Input [yellow] 2 6 18" xfId="4315"/>
    <cellStyle name="Input [yellow] 2 6 18 2" xfId="15512"/>
    <cellStyle name="Input [yellow] 2 6 18 3" xfId="26680"/>
    <cellStyle name="Input [yellow] 2 6 18 4" xfId="37845"/>
    <cellStyle name="Input [yellow] 2 6 18 5" xfId="49038"/>
    <cellStyle name="Input [yellow] 2 6 19" xfId="4948"/>
    <cellStyle name="Input [yellow] 2 6 19 2" xfId="16145"/>
    <cellStyle name="Input [yellow] 2 6 19 3" xfId="27313"/>
    <cellStyle name="Input [yellow] 2 6 19 4" xfId="38478"/>
    <cellStyle name="Input [yellow] 2 6 19 5" xfId="49671"/>
    <cellStyle name="Input [yellow] 2 6 2" xfId="129"/>
    <cellStyle name="Input [yellow] 2 6 2 10" xfId="5979"/>
    <cellStyle name="Input [yellow] 2 6 2 10 2" xfId="17176"/>
    <cellStyle name="Input [yellow] 2 6 2 10 3" xfId="28344"/>
    <cellStyle name="Input [yellow] 2 6 2 10 4" xfId="39509"/>
    <cellStyle name="Input [yellow] 2 6 2 10 5" xfId="50702"/>
    <cellStyle name="Input [yellow] 2 6 2 11" xfId="5959"/>
    <cellStyle name="Input [yellow] 2 6 2 11 2" xfId="17156"/>
    <cellStyle name="Input [yellow] 2 6 2 11 3" xfId="28324"/>
    <cellStyle name="Input [yellow] 2 6 2 11 4" xfId="39489"/>
    <cellStyle name="Input [yellow] 2 6 2 11 5" xfId="50682"/>
    <cellStyle name="Input [yellow] 2 6 2 12" xfId="6698"/>
    <cellStyle name="Input [yellow] 2 6 2 12 2" xfId="17895"/>
    <cellStyle name="Input [yellow] 2 6 2 12 3" xfId="29063"/>
    <cellStyle name="Input [yellow] 2 6 2 12 4" xfId="40228"/>
    <cellStyle name="Input [yellow] 2 6 2 12 5" xfId="51421"/>
    <cellStyle name="Input [yellow] 2 6 2 13" xfId="7332"/>
    <cellStyle name="Input [yellow] 2 6 2 13 2" xfId="18529"/>
    <cellStyle name="Input [yellow] 2 6 2 13 3" xfId="29697"/>
    <cellStyle name="Input [yellow] 2 6 2 13 4" xfId="40862"/>
    <cellStyle name="Input [yellow] 2 6 2 13 5" xfId="52055"/>
    <cellStyle name="Input [yellow] 2 6 2 14" xfId="7966"/>
    <cellStyle name="Input [yellow] 2 6 2 14 2" xfId="19163"/>
    <cellStyle name="Input [yellow] 2 6 2 14 3" xfId="30331"/>
    <cellStyle name="Input [yellow] 2 6 2 14 4" xfId="41496"/>
    <cellStyle name="Input [yellow] 2 6 2 14 5" xfId="52689"/>
    <cellStyle name="Input [yellow] 2 6 2 15" xfId="8597"/>
    <cellStyle name="Input [yellow] 2 6 2 15 2" xfId="19794"/>
    <cellStyle name="Input [yellow] 2 6 2 15 3" xfId="30962"/>
    <cellStyle name="Input [yellow] 2 6 2 15 4" xfId="42127"/>
    <cellStyle name="Input [yellow] 2 6 2 15 5" xfId="53320"/>
    <cellStyle name="Input [yellow] 2 6 2 16" xfId="8589"/>
    <cellStyle name="Input [yellow] 2 6 2 16 2" xfId="19786"/>
    <cellStyle name="Input [yellow] 2 6 2 16 3" xfId="30954"/>
    <cellStyle name="Input [yellow] 2 6 2 16 4" xfId="42119"/>
    <cellStyle name="Input [yellow] 2 6 2 16 5" xfId="53312"/>
    <cellStyle name="Input [yellow] 2 6 2 17" xfId="9650"/>
    <cellStyle name="Input [yellow] 2 6 2 17 2" xfId="20847"/>
    <cellStyle name="Input [yellow] 2 6 2 17 3" xfId="32015"/>
    <cellStyle name="Input [yellow] 2 6 2 17 4" xfId="43180"/>
    <cellStyle name="Input [yellow] 2 6 2 17 5" xfId="54373"/>
    <cellStyle name="Input [yellow] 2 6 2 18" xfId="9712"/>
    <cellStyle name="Input [yellow] 2 6 2 18 2" xfId="20909"/>
    <cellStyle name="Input [yellow] 2 6 2 18 3" xfId="32077"/>
    <cellStyle name="Input [yellow] 2 6 2 18 4" xfId="43242"/>
    <cellStyle name="Input [yellow] 2 6 2 18 5" xfId="54435"/>
    <cellStyle name="Input [yellow] 2 6 2 19" xfId="10682"/>
    <cellStyle name="Input [yellow] 2 6 2 19 2" xfId="21879"/>
    <cellStyle name="Input [yellow] 2 6 2 19 3" xfId="33047"/>
    <cellStyle name="Input [yellow] 2 6 2 19 4" xfId="44212"/>
    <cellStyle name="Input [yellow] 2 6 2 19 5" xfId="55405"/>
    <cellStyle name="Input [yellow] 2 6 2 2" xfId="778"/>
    <cellStyle name="Input [yellow] 2 6 2 2 2" xfId="11975"/>
    <cellStyle name="Input [yellow] 2 6 2 2 3" xfId="23143"/>
    <cellStyle name="Input [yellow] 2 6 2 2 4" xfId="34308"/>
    <cellStyle name="Input [yellow] 2 6 2 2 5" xfId="45501"/>
    <cellStyle name="Input [yellow] 2 6 2 20" xfId="11329"/>
    <cellStyle name="Input [yellow] 2 6 2 21" xfId="22499"/>
    <cellStyle name="Input [yellow] 2 6 2 22" xfId="33666"/>
    <cellStyle name="Input [yellow] 2 6 2 23" xfId="44852"/>
    <cellStyle name="Input [yellow] 2 6 2 3" xfId="1399"/>
    <cellStyle name="Input [yellow] 2 6 2 3 2" xfId="12596"/>
    <cellStyle name="Input [yellow] 2 6 2 3 3" xfId="23764"/>
    <cellStyle name="Input [yellow] 2 6 2 3 4" xfId="34929"/>
    <cellStyle name="Input [yellow] 2 6 2 3 5" xfId="46122"/>
    <cellStyle name="Input [yellow] 2 6 2 4" xfId="2055"/>
    <cellStyle name="Input [yellow] 2 6 2 4 2" xfId="13252"/>
    <cellStyle name="Input [yellow] 2 6 2 4 3" xfId="24420"/>
    <cellStyle name="Input [yellow] 2 6 2 4 4" xfId="35585"/>
    <cellStyle name="Input [yellow] 2 6 2 4 5" xfId="46778"/>
    <cellStyle name="Input [yellow] 2 6 2 5" xfId="1982"/>
    <cellStyle name="Input [yellow] 2 6 2 5 2" xfId="13179"/>
    <cellStyle name="Input [yellow] 2 6 2 5 3" xfId="24347"/>
    <cellStyle name="Input [yellow] 2 6 2 5 4" xfId="35512"/>
    <cellStyle name="Input [yellow] 2 6 2 5 5" xfId="46705"/>
    <cellStyle name="Input [yellow] 2 6 2 6" xfId="3113"/>
    <cellStyle name="Input [yellow] 2 6 2 6 2" xfId="14310"/>
    <cellStyle name="Input [yellow] 2 6 2 6 3" xfId="25478"/>
    <cellStyle name="Input [yellow] 2 6 2 6 4" xfId="36643"/>
    <cellStyle name="Input [yellow] 2 6 2 6 5" xfId="47836"/>
    <cellStyle name="Input [yellow] 2 6 2 7" xfId="3747"/>
    <cellStyle name="Input [yellow] 2 6 2 7 2" xfId="14944"/>
    <cellStyle name="Input [yellow] 2 6 2 7 3" xfId="26112"/>
    <cellStyle name="Input [yellow] 2 6 2 7 4" xfId="37277"/>
    <cellStyle name="Input [yellow] 2 6 2 7 5" xfId="48470"/>
    <cellStyle name="Input [yellow] 2 6 2 8" xfId="4380"/>
    <cellStyle name="Input [yellow] 2 6 2 8 2" xfId="15577"/>
    <cellStyle name="Input [yellow] 2 6 2 8 3" xfId="26745"/>
    <cellStyle name="Input [yellow] 2 6 2 8 4" xfId="37910"/>
    <cellStyle name="Input [yellow] 2 6 2 8 5" xfId="49103"/>
    <cellStyle name="Input [yellow] 2 6 2 9" xfId="5011"/>
    <cellStyle name="Input [yellow] 2 6 2 9 2" xfId="16208"/>
    <cellStyle name="Input [yellow] 2 6 2 9 3" xfId="27376"/>
    <cellStyle name="Input [yellow] 2 6 2 9 4" xfId="38541"/>
    <cellStyle name="Input [yellow] 2 6 2 9 5" xfId="49734"/>
    <cellStyle name="Input [yellow] 2 6 20" xfId="5994"/>
    <cellStyle name="Input [yellow] 2 6 20 2" xfId="17191"/>
    <cellStyle name="Input [yellow] 2 6 20 3" xfId="28359"/>
    <cellStyle name="Input [yellow] 2 6 20 4" xfId="39524"/>
    <cellStyle name="Input [yellow] 2 6 20 5" xfId="50717"/>
    <cellStyle name="Input [yellow] 2 6 21" xfId="5573"/>
    <cellStyle name="Input [yellow] 2 6 21 2" xfId="16770"/>
    <cellStyle name="Input [yellow] 2 6 21 3" xfId="27938"/>
    <cellStyle name="Input [yellow] 2 6 21 4" xfId="39103"/>
    <cellStyle name="Input [yellow] 2 6 21 5" xfId="50296"/>
    <cellStyle name="Input [yellow] 2 6 22" xfId="6635"/>
    <cellStyle name="Input [yellow] 2 6 22 2" xfId="17832"/>
    <cellStyle name="Input [yellow] 2 6 22 3" xfId="29000"/>
    <cellStyle name="Input [yellow] 2 6 22 4" xfId="40165"/>
    <cellStyle name="Input [yellow] 2 6 22 5" xfId="51358"/>
    <cellStyle name="Input [yellow] 2 6 23" xfId="7267"/>
    <cellStyle name="Input [yellow] 2 6 23 2" xfId="18464"/>
    <cellStyle name="Input [yellow] 2 6 23 3" xfId="29632"/>
    <cellStyle name="Input [yellow] 2 6 23 4" xfId="40797"/>
    <cellStyle name="Input [yellow] 2 6 23 5" xfId="51990"/>
    <cellStyle name="Input [yellow] 2 6 24" xfId="7901"/>
    <cellStyle name="Input [yellow] 2 6 24 2" xfId="19098"/>
    <cellStyle name="Input [yellow] 2 6 24 3" xfId="30266"/>
    <cellStyle name="Input [yellow] 2 6 24 4" xfId="41431"/>
    <cellStyle name="Input [yellow] 2 6 24 5" xfId="52624"/>
    <cellStyle name="Input [yellow] 2 6 25" xfId="8534"/>
    <cellStyle name="Input [yellow] 2 6 25 2" xfId="19731"/>
    <cellStyle name="Input [yellow] 2 6 25 3" xfId="30899"/>
    <cellStyle name="Input [yellow] 2 6 25 4" xfId="42064"/>
    <cellStyle name="Input [yellow] 2 6 25 5" xfId="53257"/>
    <cellStyle name="Input [yellow] 2 6 26" xfId="9119"/>
    <cellStyle name="Input [yellow] 2 6 26 2" xfId="20316"/>
    <cellStyle name="Input [yellow] 2 6 26 3" xfId="31484"/>
    <cellStyle name="Input [yellow] 2 6 26 4" xfId="42649"/>
    <cellStyle name="Input [yellow] 2 6 26 5" xfId="53842"/>
    <cellStyle name="Input [yellow] 2 6 27" xfId="9586"/>
    <cellStyle name="Input [yellow] 2 6 27 2" xfId="20783"/>
    <cellStyle name="Input [yellow] 2 6 27 3" xfId="31951"/>
    <cellStyle name="Input [yellow] 2 6 27 4" xfId="43116"/>
    <cellStyle name="Input [yellow] 2 6 27 5" xfId="54309"/>
    <cellStyle name="Input [yellow] 2 6 28" xfId="10430"/>
    <cellStyle name="Input [yellow] 2 6 28 2" xfId="21627"/>
    <cellStyle name="Input [yellow] 2 6 28 3" xfId="32795"/>
    <cellStyle name="Input [yellow] 2 6 28 4" xfId="43960"/>
    <cellStyle name="Input [yellow] 2 6 28 5" xfId="55153"/>
    <cellStyle name="Input [yellow] 2 6 29" xfId="10619"/>
    <cellStyle name="Input [yellow] 2 6 29 2" xfId="21816"/>
    <cellStyle name="Input [yellow] 2 6 29 3" xfId="32984"/>
    <cellStyle name="Input [yellow] 2 6 29 4" xfId="44149"/>
    <cellStyle name="Input [yellow] 2 6 29 5" xfId="55342"/>
    <cellStyle name="Input [yellow] 2 6 3" xfId="185"/>
    <cellStyle name="Input [yellow] 2 6 3 10" xfId="5696"/>
    <cellStyle name="Input [yellow] 2 6 3 10 2" xfId="16893"/>
    <cellStyle name="Input [yellow] 2 6 3 10 3" xfId="28061"/>
    <cellStyle name="Input [yellow] 2 6 3 10 4" xfId="39226"/>
    <cellStyle name="Input [yellow] 2 6 3 10 5" xfId="50419"/>
    <cellStyle name="Input [yellow] 2 6 3 11" xfId="4928"/>
    <cellStyle name="Input [yellow] 2 6 3 11 2" xfId="16125"/>
    <cellStyle name="Input [yellow] 2 6 3 11 3" xfId="27293"/>
    <cellStyle name="Input [yellow] 2 6 3 11 4" xfId="38458"/>
    <cellStyle name="Input [yellow] 2 6 3 11 5" xfId="49651"/>
    <cellStyle name="Input [yellow] 2 6 3 12" xfId="6754"/>
    <cellStyle name="Input [yellow] 2 6 3 12 2" xfId="17951"/>
    <cellStyle name="Input [yellow] 2 6 3 12 3" xfId="29119"/>
    <cellStyle name="Input [yellow] 2 6 3 12 4" xfId="40284"/>
    <cellStyle name="Input [yellow] 2 6 3 12 5" xfId="51477"/>
    <cellStyle name="Input [yellow] 2 6 3 13" xfId="7388"/>
    <cellStyle name="Input [yellow] 2 6 3 13 2" xfId="18585"/>
    <cellStyle name="Input [yellow] 2 6 3 13 3" xfId="29753"/>
    <cellStyle name="Input [yellow] 2 6 3 13 4" xfId="40918"/>
    <cellStyle name="Input [yellow] 2 6 3 13 5" xfId="52111"/>
    <cellStyle name="Input [yellow] 2 6 3 14" xfId="8022"/>
    <cellStyle name="Input [yellow] 2 6 3 14 2" xfId="19219"/>
    <cellStyle name="Input [yellow] 2 6 3 14 3" xfId="30387"/>
    <cellStyle name="Input [yellow] 2 6 3 14 4" xfId="41552"/>
    <cellStyle name="Input [yellow] 2 6 3 14 5" xfId="52745"/>
    <cellStyle name="Input [yellow] 2 6 3 15" xfId="8653"/>
    <cellStyle name="Input [yellow] 2 6 3 15 2" xfId="19850"/>
    <cellStyle name="Input [yellow] 2 6 3 15 3" xfId="31018"/>
    <cellStyle name="Input [yellow] 2 6 3 15 4" xfId="42183"/>
    <cellStyle name="Input [yellow] 2 6 3 15 5" xfId="53376"/>
    <cellStyle name="Input [yellow] 2 6 3 16" xfId="8630"/>
    <cellStyle name="Input [yellow] 2 6 3 16 2" xfId="19827"/>
    <cellStyle name="Input [yellow] 2 6 3 16 3" xfId="30995"/>
    <cellStyle name="Input [yellow] 2 6 3 16 4" xfId="42160"/>
    <cellStyle name="Input [yellow] 2 6 3 16 5" xfId="53353"/>
    <cellStyle name="Input [yellow] 2 6 3 17" xfId="9705"/>
    <cellStyle name="Input [yellow] 2 6 3 17 2" xfId="20902"/>
    <cellStyle name="Input [yellow] 2 6 3 17 3" xfId="32070"/>
    <cellStyle name="Input [yellow] 2 6 3 17 4" xfId="43235"/>
    <cellStyle name="Input [yellow] 2 6 3 17 5" xfId="54428"/>
    <cellStyle name="Input [yellow] 2 6 3 18" xfId="9915"/>
    <cellStyle name="Input [yellow] 2 6 3 18 2" xfId="21112"/>
    <cellStyle name="Input [yellow] 2 6 3 18 3" xfId="32280"/>
    <cellStyle name="Input [yellow] 2 6 3 18 4" xfId="43445"/>
    <cellStyle name="Input [yellow] 2 6 3 18 5" xfId="54638"/>
    <cellStyle name="Input [yellow] 2 6 3 19" xfId="10738"/>
    <cellStyle name="Input [yellow] 2 6 3 19 2" xfId="21935"/>
    <cellStyle name="Input [yellow] 2 6 3 19 3" xfId="33103"/>
    <cellStyle name="Input [yellow] 2 6 3 19 4" xfId="44268"/>
    <cellStyle name="Input [yellow] 2 6 3 19 5" xfId="55461"/>
    <cellStyle name="Input [yellow] 2 6 3 2" xfId="834"/>
    <cellStyle name="Input [yellow] 2 6 3 2 2" xfId="12031"/>
    <cellStyle name="Input [yellow] 2 6 3 2 3" xfId="23199"/>
    <cellStyle name="Input [yellow] 2 6 3 2 4" xfId="34364"/>
    <cellStyle name="Input [yellow] 2 6 3 2 5" xfId="45557"/>
    <cellStyle name="Input [yellow] 2 6 3 20" xfId="11385"/>
    <cellStyle name="Input [yellow] 2 6 3 21" xfId="22555"/>
    <cellStyle name="Input [yellow] 2 6 3 22" xfId="33722"/>
    <cellStyle name="Input [yellow] 2 6 3 23" xfId="44908"/>
    <cellStyle name="Input [yellow] 2 6 3 3" xfId="1839"/>
    <cellStyle name="Input [yellow] 2 6 3 3 2" xfId="13036"/>
    <cellStyle name="Input [yellow] 2 6 3 3 3" xfId="24204"/>
    <cellStyle name="Input [yellow] 2 6 3 3 4" xfId="35369"/>
    <cellStyle name="Input [yellow] 2 6 3 3 5" xfId="46562"/>
    <cellStyle name="Input [yellow] 2 6 3 4" xfId="2111"/>
    <cellStyle name="Input [yellow] 2 6 3 4 2" xfId="13308"/>
    <cellStyle name="Input [yellow] 2 6 3 4 3" xfId="24476"/>
    <cellStyle name="Input [yellow] 2 6 3 4 4" xfId="35641"/>
    <cellStyle name="Input [yellow] 2 6 3 4 5" xfId="46834"/>
    <cellStyle name="Input [yellow] 2 6 3 5" xfId="2025"/>
    <cellStyle name="Input [yellow] 2 6 3 5 2" xfId="13222"/>
    <cellStyle name="Input [yellow] 2 6 3 5 3" xfId="24390"/>
    <cellStyle name="Input [yellow] 2 6 3 5 4" xfId="35555"/>
    <cellStyle name="Input [yellow] 2 6 3 5 5" xfId="46748"/>
    <cellStyle name="Input [yellow] 2 6 3 6" xfId="3169"/>
    <cellStyle name="Input [yellow] 2 6 3 6 2" xfId="14366"/>
    <cellStyle name="Input [yellow] 2 6 3 6 3" xfId="25534"/>
    <cellStyle name="Input [yellow] 2 6 3 6 4" xfId="36699"/>
    <cellStyle name="Input [yellow] 2 6 3 6 5" xfId="47892"/>
    <cellStyle name="Input [yellow] 2 6 3 7" xfId="3803"/>
    <cellStyle name="Input [yellow] 2 6 3 7 2" xfId="15000"/>
    <cellStyle name="Input [yellow] 2 6 3 7 3" xfId="26168"/>
    <cellStyle name="Input [yellow] 2 6 3 7 4" xfId="37333"/>
    <cellStyle name="Input [yellow] 2 6 3 7 5" xfId="48526"/>
    <cellStyle name="Input [yellow] 2 6 3 8" xfId="4436"/>
    <cellStyle name="Input [yellow] 2 6 3 8 2" xfId="15633"/>
    <cellStyle name="Input [yellow] 2 6 3 8 3" xfId="26801"/>
    <cellStyle name="Input [yellow] 2 6 3 8 4" xfId="37966"/>
    <cellStyle name="Input [yellow] 2 6 3 8 5" xfId="49159"/>
    <cellStyle name="Input [yellow] 2 6 3 9" xfId="5067"/>
    <cellStyle name="Input [yellow] 2 6 3 9 2" xfId="16264"/>
    <cellStyle name="Input [yellow] 2 6 3 9 3" xfId="27432"/>
    <cellStyle name="Input [yellow] 2 6 3 9 4" xfId="38597"/>
    <cellStyle name="Input [yellow] 2 6 3 9 5" xfId="49790"/>
    <cellStyle name="Input [yellow] 2 6 30" xfId="11265"/>
    <cellStyle name="Input [yellow] 2 6 31" xfId="22436"/>
    <cellStyle name="Input [yellow] 2 6 32" xfId="33603"/>
    <cellStyle name="Input [yellow] 2 6 33" xfId="44787"/>
    <cellStyle name="Input [yellow] 2 6 4" xfId="245"/>
    <cellStyle name="Input [yellow] 2 6 4 10" xfId="6086"/>
    <cellStyle name="Input [yellow] 2 6 4 10 2" xfId="17283"/>
    <cellStyle name="Input [yellow] 2 6 4 10 3" xfId="28451"/>
    <cellStyle name="Input [yellow] 2 6 4 10 4" xfId="39616"/>
    <cellStyle name="Input [yellow] 2 6 4 10 5" xfId="50809"/>
    <cellStyle name="Input [yellow] 2 6 4 11" xfId="6024"/>
    <cellStyle name="Input [yellow] 2 6 4 11 2" xfId="17221"/>
    <cellStyle name="Input [yellow] 2 6 4 11 3" xfId="28389"/>
    <cellStyle name="Input [yellow] 2 6 4 11 4" xfId="39554"/>
    <cellStyle name="Input [yellow] 2 6 4 11 5" xfId="50747"/>
    <cellStyle name="Input [yellow] 2 6 4 12" xfId="6814"/>
    <cellStyle name="Input [yellow] 2 6 4 12 2" xfId="18011"/>
    <cellStyle name="Input [yellow] 2 6 4 12 3" xfId="29179"/>
    <cellStyle name="Input [yellow] 2 6 4 12 4" xfId="40344"/>
    <cellStyle name="Input [yellow] 2 6 4 12 5" xfId="51537"/>
    <cellStyle name="Input [yellow] 2 6 4 13" xfId="7448"/>
    <cellStyle name="Input [yellow] 2 6 4 13 2" xfId="18645"/>
    <cellStyle name="Input [yellow] 2 6 4 13 3" xfId="29813"/>
    <cellStyle name="Input [yellow] 2 6 4 13 4" xfId="40978"/>
    <cellStyle name="Input [yellow] 2 6 4 13 5" xfId="52171"/>
    <cellStyle name="Input [yellow] 2 6 4 14" xfId="8082"/>
    <cellStyle name="Input [yellow] 2 6 4 14 2" xfId="19279"/>
    <cellStyle name="Input [yellow] 2 6 4 14 3" xfId="30447"/>
    <cellStyle name="Input [yellow] 2 6 4 14 4" xfId="41612"/>
    <cellStyle name="Input [yellow] 2 6 4 14 5" xfId="52805"/>
    <cellStyle name="Input [yellow] 2 6 4 15" xfId="8712"/>
    <cellStyle name="Input [yellow] 2 6 4 15 2" xfId="19909"/>
    <cellStyle name="Input [yellow] 2 6 4 15 3" xfId="31077"/>
    <cellStyle name="Input [yellow] 2 6 4 15 4" xfId="42242"/>
    <cellStyle name="Input [yellow] 2 6 4 15 5" xfId="53435"/>
    <cellStyle name="Input [yellow] 2 6 4 16" xfId="7895"/>
    <cellStyle name="Input [yellow] 2 6 4 16 2" xfId="19092"/>
    <cellStyle name="Input [yellow] 2 6 4 16 3" xfId="30260"/>
    <cellStyle name="Input [yellow] 2 6 4 16 4" xfId="41425"/>
    <cellStyle name="Input [yellow] 2 6 4 16 5" xfId="52618"/>
    <cellStyle name="Input [yellow] 2 6 4 17" xfId="9762"/>
    <cellStyle name="Input [yellow] 2 6 4 17 2" xfId="20959"/>
    <cellStyle name="Input [yellow] 2 6 4 17 3" xfId="32127"/>
    <cellStyle name="Input [yellow] 2 6 4 17 4" xfId="43292"/>
    <cellStyle name="Input [yellow] 2 6 4 17 5" xfId="54485"/>
    <cellStyle name="Input [yellow] 2 6 4 18" xfId="10274"/>
    <cellStyle name="Input [yellow] 2 6 4 18 2" xfId="21471"/>
    <cellStyle name="Input [yellow] 2 6 4 18 3" xfId="32639"/>
    <cellStyle name="Input [yellow] 2 6 4 18 4" xfId="43804"/>
    <cellStyle name="Input [yellow] 2 6 4 18 5" xfId="54997"/>
    <cellStyle name="Input [yellow] 2 6 4 19" xfId="10798"/>
    <cellStyle name="Input [yellow] 2 6 4 19 2" xfId="21995"/>
    <cellStyle name="Input [yellow] 2 6 4 19 3" xfId="33163"/>
    <cellStyle name="Input [yellow] 2 6 4 19 4" xfId="44328"/>
    <cellStyle name="Input [yellow] 2 6 4 19 5" xfId="55521"/>
    <cellStyle name="Input [yellow] 2 6 4 2" xfId="894"/>
    <cellStyle name="Input [yellow] 2 6 4 2 2" xfId="12091"/>
    <cellStyle name="Input [yellow] 2 6 4 2 3" xfId="23259"/>
    <cellStyle name="Input [yellow] 2 6 4 2 4" xfId="34424"/>
    <cellStyle name="Input [yellow] 2 6 4 2 5" xfId="45617"/>
    <cellStyle name="Input [yellow] 2 6 4 20" xfId="11445"/>
    <cellStyle name="Input [yellow] 2 6 4 21" xfId="22615"/>
    <cellStyle name="Input [yellow] 2 6 4 22" xfId="33782"/>
    <cellStyle name="Input [yellow] 2 6 4 23" xfId="44968"/>
    <cellStyle name="Input [yellow] 2 6 4 3" xfId="1586"/>
    <cellStyle name="Input [yellow] 2 6 4 3 2" xfId="12783"/>
    <cellStyle name="Input [yellow] 2 6 4 3 3" xfId="23951"/>
    <cellStyle name="Input [yellow] 2 6 4 3 4" xfId="35116"/>
    <cellStyle name="Input [yellow] 2 6 4 3 5" xfId="46309"/>
    <cellStyle name="Input [yellow] 2 6 4 4" xfId="2171"/>
    <cellStyle name="Input [yellow] 2 6 4 4 2" xfId="13368"/>
    <cellStyle name="Input [yellow] 2 6 4 4 3" xfId="24536"/>
    <cellStyle name="Input [yellow] 2 6 4 4 4" xfId="35701"/>
    <cellStyle name="Input [yellow] 2 6 4 4 5" xfId="46894"/>
    <cellStyle name="Input [yellow] 2 6 4 5" xfId="1481"/>
    <cellStyle name="Input [yellow] 2 6 4 5 2" xfId="12678"/>
    <cellStyle name="Input [yellow] 2 6 4 5 3" xfId="23846"/>
    <cellStyle name="Input [yellow] 2 6 4 5 4" xfId="35011"/>
    <cellStyle name="Input [yellow] 2 6 4 5 5" xfId="46204"/>
    <cellStyle name="Input [yellow] 2 6 4 6" xfId="3229"/>
    <cellStyle name="Input [yellow] 2 6 4 6 2" xfId="14426"/>
    <cellStyle name="Input [yellow] 2 6 4 6 3" xfId="25594"/>
    <cellStyle name="Input [yellow] 2 6 4 6 4" xfId="36759"/>
    <cellStyle name="Input [yellow] 2 6 4 6 5" xfId="47952"/>
    <cellStyle name="Input [yellow] 2 6 4 7" xfId="3863"/>
    <cellStyle name="Input [yellow] 2 6 4 7 2" xfId="15060"/>
    <cellStyle name="Input [yellow] 2 6 4 7 3" xfId="26228"/>
    <cellStyle name="Input [yellow] 2 6 4 7 4" xfId="37393"/>
    <cellStyle name="Input [yellow] 2 6 4 7 5" xfId="48586"/>
    <cellStyle name="Input [yellow] 2 6 4 8" xfId="4496"/>
    <cellStyle name="Input [yellow] 2 6 4 8 2" xfId="15693"/>
    <cellStyle name="Input [yellow] 2 6 4 8 3" xfId="26861"/>
    <cellStyle name="Input [yellow] 2 6 4 8 4" xfId="38026"/>
    <cellStyle name="Input [yellow] 2 6 4 8 5" xfId="49219"/>
    <cellStyle name="Input [yellow] 2 6 4 9" xfId="5127"/>
    <cellStyle name="Input [yellow] 2 6 4 9 2" xfId="16324"/>
    <cellStyle name="Input [yellow] 2 6 4 9 3" xfId="27492"/>
    <cellStyle name="Input [yellow] 2 6 4 9 4" xfId="38657"/>
    <cellStyle name="Input [yellow] 2 6 4 9 5" xfId="49850"/>
    <cellStyle name="Input [yellow] 2 6 5" xfId="108"/>
    <cellStyle name="Input [yellow] 2 6 5 10" xfId="6009"/>
    <cellStyle name="Input [yellow] 2 6 5 10 2" xfId="17206"/>
    <cellStyle name="Input [yellow] 2 6 5 10 3" xfId="28374"/>
    <cellStyle name="Input [yellow] 2 6 5 10 4" xfId="39539"/>
    <cellStyle name="Input [yellow] 2 6 5 10 5" xfId="50732"/>
    <cellStyle name="Input [yellow] 2 6 5 11" xfId="4301"/>
    <cellStyle name="Input [yellow] 2 6 5 11 2" xfId="15498"/>
    <cellStyle name="Input [yellow] 2 6 5 11 3" xfId="26666"/>
    <cellStyle name="Input [yellow] 2 6 5 11 4" xfId="37831"/>
    <cellStyle name="Input [yellow] 2 6 5 11 5" xfId="49024"/>
    <cellStyle name="Input [yellow] 2 6 5 12" xfId="6677"/>
    <cellStyle name="Input [yellow] 2 6 5 12 2" xfId="17874"/>
    <cellStyle name="Input [yellow] 2 6 5 12 3" xfId="29042"/>
    <cellStyle name="Input [yellow] 2 6 5 12 4" xfId="40207"/>
    <cellStyle name="Input [yellow] 2 6 5 12 5" xfId="51400"/>
    <cellStyle name="Input [yellow] 2 6 5 13" xfId="7311"/>
    <cellStyle name="Input [yellow] 2 6 5 13 2" xfId="18508"/>
    <cellStyle name="Input [yellow] 2 6 5 13 3" xfId="29676"/>
    <cellStyle name="Input [yellow] 2 6 5 13 4" xfId="40841"/>
    <cellStyle name="Input [yellow] 2 6 5 13 5" xfId="52034"/>
    <cellStyle name="Input [yellow] 2 6 5 14" xfId="7945"/>
    <cellStyle name="Input [yellow] 2 6 5 14 2" xfId="19142"/>
    <cellStyle name="Input [yellow] 2 6 5 14 3" xfId="30310"/>
    <cellStyle name="Input [yellow] 2 6 5 14 4" xfId="41475"/>
    <cellStyle name="Input [yellow] 2 6 5 14 5" xfId="52668"/>
    <cellStyle name="Input [yellow] 2 6 5 15" xfId="8576"/>
    <cellStyle name="Input [yellow] 2 6 5 15 2" xfId="19773"/>
    <cellStyle name="Input [yellow] 2 6 5 15 3" xfId="30941"/>
    <cellStyle name="Input [yellow] 2 6 5 15 4" xfId="42106"/>
    <cellStyle name="Input [yellow] 2 6 5 15 5" xfId="53299"/>
    <cellStyle name="Input [yellow] 2 6 5 16" xfId="9106"/>
    <cellStyle name="Input [yellow] 2 6 5 16 2" xfId="20303"/>
    <cellStyle name="Input [yellow] 2 6 5 16 3" xfId="31471"/>
    <cellStyle name="Input [yellow] 2 6 5 16 4" xfId="42636"/>
    <cellStyle name="Input [yellow] 2 6 5 16 5" xfId="53829"/>
    <cellStyle name="Input [yellow] 2 6 5 17" xfId="9629"/>
    <cellStyle name="Input [yellow] 2 6 5 17 2" xfId="20826"/>
    <cellStyle name="Input [yellow] 2 6 5 17 3" xfId="31994"/>
    <cellStyle name="Input [yellow] 2 6 5 17 4" xfId="43159"/>
    <cellStyle name="Input [yellow] 2 6 5 17 5" xfId="54352"/>
    <cellStyle name="Input [yellow] 2 6 5 18" xfId="10349"/>
    <cellStyle name="Input [yellow] 2 6 5 18 2" xfId="21546"/>
    <cellStyle name="Input [yellow] 2 6 5 18 3" xfId="32714"/>
    <cellStyle name="Input [yellow] 2 6 5 18 4" xfId="43879"/>
    <cellStyle name="Input [yellow] 2 6 5 18 5" xfId="55072"/>
    <cellStyle name="Input [yellow] 2 6 5 19" xfId="10661"/>
    <cellStyle name="Input [yellow] 2 6 5 19 2" xfId="21858"/>
    <cellStyle name="Input [yellow] 2 6 5 19 3" xfId="33026"/>
    <cellStyle name="Input [yellow] 2 6 5 19 4" xfId="44191"/>
    <cellStyle name="Input [yellow] 2 6 5 19 5" xfId="55384"/>
    <cellStyle name="Input [yellow] 2 6 5 2" xfId="757"/>
    <cellStyle name="Input [yellow] 2 6 5 2 2" xfId="11954"/>
    <cellStyle name="Input [yellow] 2 6 5 2 3" xfId="23122"/>
    <cellStyle name="Input [yellow] 2 6 5 2 4" xfId="34287"/>
    <cellStyle name="Input [yellow] 2 6 5 2 5" xfId="45480"/>
    <cellStyle name="Input [yellow] 2 6 5 20" xfId="11308"/>
    <cellStyle name="Input [yellow] 2 6 5 21" xfId="22478"/>
    <cellStyle name="Input [yellow] 2 6 5 22" xfId="33645"/>
    <cellStyle name="Input [yellow] 2 6 5 23" xfId="44831"/>
    <cellStyle name="Input [yellow] 2 6 5 3" xfId="1347"/>
    <cellStyle name="Input [yellow] 2 6 5 3 2" xfId="12544"/>
    <cellStyle name="Input [yellow] 2 6 5 3 3" xfId="23712"/>
    <cellStyle name="Input [yellow] 2 6 5 3 4" xfId="34877"/>
    <cellStyle name="Input [yellow] 2 6 5 3 5" xfId="46070"/>
    <cellStyle name="Input [yellow] 2 6 5 4" xfId="2034"/>
    <cellStyle name="Input [yellow] 2 6 5 4 2" xfId="13231"/>
    <cellStyle name="Input [yellow] 2 6 5 4 3" xfId="24399"/>
    <cellStyle name="Input [yellow] 2 6 5 4 4" xfId="35564"/>
    <cellStyle name="Input [yellow] 2 6 5 4 5" xfId="46757"/>
    <cellStyle name="Input [yellow] 2 6 5 5" xfId="2452"/>
    <cellStyle name="Input [yellow] 2 6 5 5 2" xfId="13649"/>
    <cellStyle name="Input [yellow] 2 6 5 5 3" xfId="24817"/>
    <cellStyle name="Input [yellow] 2 6 5 5 4" xfId="35982"/>
    <cellStyle name="Input [yellow] 2 6 5 5 5" xfId="47175"/>
    <cellStyle name="Input [yellow] 2 6 5 6" xfId="3092"/>
    <cellStyle name="Input [yellow] 2 6 5 6 2" xfId="14289"/>
    <cellStyle name="Input [yellow] 2 6 5 6 3" xfId="25457"/>
    <cellStyle name="Input [yellow] 2 6 5 6 4" xfId="36622"/>
    <cellStyle name="Input [yellow] 2 6 5 6 5" xfId="47815"/>
    <cellStyle name="Input [yellow] 2 6 5 7" xfId="3726"/>
    <cellStyle name="Input [yellow] 2 6 5 7 2" xfId="14923"/>
    <cellStyle name="Input [yellow] 2 6 5 7 3" xfId="26091"/>
    <cellStyle name="Input [yellow] 2 6 5 7 4" xfId="37256"/>
    <cellStyle name="Input [yellow] 2 6 5 7 5" xfId="48449"/>
    <cellStyle name="Input [yellow] 2 6 5 8" xfId="4359"/>
    <cellStyle name="Input [yellow] 2 6 5 8 2" xfId="15556"/>
    <cellStyle name="Input [yellow] 2 6 5 8 3" xfId="26724"/>
    <cellStyle name="Input [yellow] 2 6 5 8 4" xfId="37889"/>
    <cellStyle name="Input [yellow] 2 6 5 8 5" xfId="49082"/>
    <cellStyle name="Input [yellow] 2 6 5 9" xfId="4990"/>
    <cellStyle name="Input [yellow] 2 6 5 9 2" xfId="16187"/>
    <cellStyle name="Input [yellow] 2 6 5 9 3" xfId="27355"/>
    <cellStyle name="Input [yellow] 2 6 5 9 4" xfId="38520"/>
    <cellStyle name="Input [yellow] 2 6 5 9 5" xfId="49713"/>
    <cellStyle name="Input [yellow] 2 6 6" xfId="264"/>
    <cellStyle name="Input [yellow] 2 6 6 10" xfId="5580"/>
    <cellStyle name="Input [yellow] 2 6 6 10 2" xfId="16777"/>
    <cellStyle name="Input [yellow] 2 6 6 10 3" xfId="27945"/>
    <cellStyle name="Input [yellow] 2 6 6 10 4" xfId="39110"/>
    <cellStyle name="Input [yellow] 2 6 6 10 5" xfId="50303"/>
    <cellStyle name="Input [yellow] 2 6 6 11" xfId="6200"/>
    <cellStyle name="Input [yellow] 2 6 6 11 2" xfId="17397"/>
    <cellStyle name="Input [yellow] 2 6 6 11 3" xfId="28565"/>
    <cellStyle name="Input [yellow] 2 6 6 11 4" xfId="39730"/>
    <cellStyle name="Input [yellow] 2 6 6 11 5" xfId="50923"/>
    <cellStyle name="Input [yellow] 2 6 6 12" xfId="6833"/>
    <cellStyle name="Input [yellow] 2 6 6 12 2" xfId="18030"/>
    <cellStyle name="Input [yellow] 2 6 6 12 3" xfId="29198"/>
    <cellStyle name="Input [yellow] 2 6 6 12 4" xfId="40363"/>
    <cellStyle name="Input [yellow] 2 6 6 12 5" xfId="51556"/>
    <cellStyle name="Input [yellow] 2 6 6 13" xfId="7467"/>
    <cellStyle name="Input [yellow] 2 6 6 13 2" xfId="18664"/>
    <cellStyle name="Input [yellow] 2 6 6 13 3" xfId="29832"/>
    <cellStyle name="Input [yellow] 2 6 6 13 4" xfId="40997"/>
    <cellStyle name="Input [yellow] 2 6 6 13 5" xfId="52190"/>
    <cellStyle name="Input [yellow] 2 6 6 14" xfId="8101"/>
    <cellStyle name="Input [yellow] 2 6 6 14 2" xfId="19298"/>
    <cellStyle name="Input [yellow] 2 6 6 14 3" xfId="30466"/>
    <cellStyle name="Input [yellow] 2 6 6 14 4" xfId="41631"/>
    <cellStyle name="Input [yellow] 2 6 6 14 5" xfId="52824"/>
    <cellStyle name="Input [yellow] 2 6 6 15" xfId="8730"/>
    <cellStyle name="Input [yellow] 2 6 6 15 2" xfId="19927"/>
    <cellStyle name="Input [yellow] 2 6 6 15 3" xfId="31095"/>
    <cellStyle name="Input [yellow] 2 6 6 15 4" xfId="42260"/>
    <cellStyle name="Input [yellow] 2 6 6 15 5" xfId="53453"/>
    <cellStyle name="Input [yellow] 2 6 6 16" xfId="9152"/>
    <cellStyle name="Input [yellow] 2 6 6 16 2" xfId="20349"/>
    <cellStyle name="Input [yellow] 2 6 6 16 3" xfId="31517"/>
    <cellStyle name="Input [yellow] 2 6 6 16 4" xfId="42682"/>
    <cellStyle name="Input [yellow] 2 6 6 16 5" xfId="53875"/>
    <cellStyle name="Input [yellow] 2 6 6 17" xfId="9779"/>
    <cellStyle name="Input [yellow] 2 6 6 17 2" xfId="20976"/>
    <cellStyle name="Input [yellow] 2 6 6 17 3" xfId="32144"/>
    <cellStyle name="Input [yellow] 2 6 6 17 4" xfId="43309"/>
    <cellStyle name="Input [yellow] 2 6 6 17 5" xfId="54502"/>
    <cellStyle name="Input [yellow] 2 6 6 18" xfId="10461"/>
    <cellStyle name="Input [yellow] 2 6 6 18 2" xfId="21658"/>
    <cellStyle name="Input [yellow] 2 6 6 18 3" xfId="32826"/>
    <cellStyle name="Input [yellow] 2 6 6 18 4" xfId="43991"/>
    <cellStyle name="Input [yellow] 2 6 6 18 5" xfId="55184"/>
    <cellStyle name="Input [yellow] 2 6 6 19" xfId="10817"/>
    <cellStyle name="Input [yellow] 2 6 6 19 2" xfId="22014"/>
    <cellStyle name="Input [yellow] 2 6 6 19 3" xfId="33182"/>
    <cellStyle name="Input [yellow] 2 6 6 19 4" xfId="44347"/>
    <cellStyle name="Input [yellow] 2 6 6 19 5" xfId="55540"/>
    <cellStyle name="Input [yellow] 2 6 6 2" xfId="913"/>
    <cellStyle name="Input [yellow] 2 6 6 2 2" xfId="12110"/>
    <cellStyle name="Input [yellow] 2 6 6 2 3" xfId="23278"/>
    <cellStyle name="Input [yellow] 2 6 6 2 4" xfId="34443"/>
    <cellStyle name="Input [yellow] 2 6 6 2 5" xfId="45636"/>
    <cellStyle name="Input [yellow] 2 6 6 20" xfId="11464"/>
    <cellStyle name="Input [yellow] 2 6 6 21" xfId="22634"/>
    <cellStyle name="Input [yellow] 2 6 6 22" xfId="33801"/>
    <cellStyle name="Input [yellow] 2 6 6 23" xfId="44987"/>
    <cellStyle name="Input [yellow] 2 6 6 3" xfId="1757"/>
    <cellStyle name="Input [yellow] 2 6 6 3 2" xfId="12954"/>
    <cellStyle name="Input [yellow] 2 6 6 3 3" xfId="24122"/>
    <cellStyle name="Input [yellow] 2 6 6 3 4" xfId="35287"/>
    <cellStyle name="Input [yellow] 2 6 6 3 5" xfId="46480"/>
    <cellStyle name="Input [yellow] 2 6 6 4" xfId="2190"/>
    <cellStyle name="Input [yellow] 2 6 6 4 2" xfId="13387"/>
    <cellStyle name="Input [yellow] 2 6 6 4 3" xfId="24555"/>
    <cellStyle name="Input [yellow] 2 6 6 4 4" xfId="35720"/>
    <cellStyle name="Input [yellow] 2 6 6 4 5" xfId="46913"/>
    <cellStyle name="Input [yellow] 2 6 6 5" xfId="2614"/>
    <cellStyle name="Input [yellow] 2 6 6 5 2" xfId="13811"/>
    <cellStyle name="Input [yellow] 2 6 6 5 3" xfId="24979"/>
    <cellStyle name="Input [yellow] 2 6 6 5 4" xfId="36144"/>
    <cellStyle name="Input [yellow] 2 6 6 5 5" xfId="47337"/>
    <cellStyle name="Input [yellow] 2 6 6 6" xfId="3248"/>
    <cellStyle name="Input [yellow] 2 6 6 6 2" xfId="14445"/>
    <cellStyle name="Input [yellow] 2 6 6 6 3" xfId="25613"/>
    <cellStyle name="Input [yellow] 2 6 6 6 4" xfId="36778"/>
    <cellStyle name="Input [yellow] 2 6 6 6 5" xfId="47971"/>
    <cellStyle name="Input [yellow] 2 6 6 7" xfId="3882"/>
    <cellStyle name="Input [yellow] 2 6 6 7 2" xfId="15079"/>
    <cellStyle name="Input [yellow] 2 6 6 7 3" xfId="26247"/>
    <cellStyle name="Input [yellow] 2 6 6 7 4" xfId="37412"/>
    <cellStyle name="Input [yellow] 2 6 6 7 5" xfId="48605"/>
    <cellStyle name="Input [yellow] 2 6 6 8" xfId="4515"/>
    <cellStyle name="Input [yellow] 2 6 6 8 2" xfId="15712"/>
    <cellStyle name="Input [yellow] 2 6 6 8 3" xfId="26880"/>
    <cellStyle name="Input [yellow] 2 6 6 8 4" xfId="38045"/>
    <cellStyle name="Input [yellow] 2 6 6 8 5" xfId="49238"/>
    <cellStyle name="Input [yellow] 2 6 6 9" xfId="5146"/>
    <cellStyle name="Input [yellow] 2 6 6 9 2" xfId="16343"/>
    <cellStyle name="Input [yellow] 2 6 6 9 3" xfId="27511"/>
    <cellStyle name="Input [yellow] 2 6 6 9 4" xfId="38676"/>
    <cellStyle name="Input [yellow] 2 6 6 9 5" xfId="49869"/>
    <cellStyle name="Input [yellow] 2 6 7" xfId="413"/>
    <cellStyle name="Input [yellow] 2 6 7 10" xfId="5989"/>
    <cellStyle name="Input [yellow] 2 6 7 10 2" xfId="17186"/>
    <cellStyle name="Input [yellow] 2 6 7 10 3" xfId="28354"/>
    <cellStyle name="Input [yellow] 2 6 7 10 4" xfId="39519"/>
    <cellStyle name="Input [yellow] 2 6 7 10 5" xfId="50712"/>
    <cellStyle name="Input [yellow] 2 6 7 11" xfId="6349"/>
    <cellStyle name="Input [yellow] 2 6 7 11 2" xfId="17546"/>
    <cellStyle name="Input [yellow] 2 6 7 11 3" xfId="28714"/>
    <cellStyle name="Input [yellow] 2 6 7 11 4" xfId="39879"/>
    <cellStyle name="Input [yellow] 2 6 7 11 5" xfId="51072"/>
    <cellStyle name="Input [yellow] 2 6 7 12" xfId="6982"/>
    <cellStyle name="Input [yellow] 2 6 7 12 2" xfId="18179"/>
    <cellStyle name="Input [yellow] 2 6 7 12 3" xfId="29347"/>
    <cellStyle name="Input [yellow] 2 6 7 12 4" xfId="40512"/>
    <cellStyle name="Input [yellow] 2 6 7 12 5" xfId="51705"/>
    <cellStyle name="Input [yellow] 2 6 7 13" xfId="7616"/>
    <cellStyle name="Input [yellow] 2 6 7 13 2" xfId="18813"/>
    <cellStyle name="Input [yellow] 2 6 7 13 3" xfId="29981"/>
    <cellStyle name="Input [yellow] 2 6 7 13 4" xfId="41146"/>
    <cellStyle name="Input [yellow] 2 6 7 13 5" xfId="52339"/>
    <cellStyle name="Input [yellow] 2 6 7 14" xfId="8250"/>
    <cellStyle name="Input [yellow] 2 6 7 14 2" xfId="19447"/>
    <cellStyle name="Input [yellow] 2 6 7 14 3" xfId="30615"/>
    <cellStyle name="Input [yellow] 2 6 7 14 4" xfId="41780"/>
    <cellStyle name="Input [yellow] 2 6 7 14 5" xfId="52973"/>
    <cellStyle name="Input [yellow] 2 6 7 15" xfId="8878"/>
    <cellStyle name="Input [yellow] 2 6 7 15 2" xfId="20075"/>
    <cellStyle name="Input [yellow] 2 6 7 15 3" xfId="31243"/>
    <cellStyle name="Input [yellow] 2 6 7 15 4" xfId="42408"/>
    <cellStyle name="Input [yellow] 2 6 7 15 5" xfId="53601"/>
    <cellStyle name="Input [yellow] 2 6 7 16" xfId="9301"/>
    <cellStyle name="Input [yellow] 2 6 7 16 2" xfId="20498"/>
    <cellStyle name="Input [yellow] 2 6 7 16 3" xfId="31666"/>
    <cellStyle name="Input [yellow] 2 6 7 16 4" xfId="42831"/>
    <cellStyle name="Input [yellow] 2 6 7 16 5" xfId="54024"/>
    <cellStyle name="Input [yellow] 2 6 7 17" xfId="9927"/>
    <cellStyle name="Input [yellow] 2 6 7 17 2" xfId="21124"/>
    <cellStyle name="Input [yellow] 2 6 7 17 3" xfId="32292"/>
    <cellStyle name="Input [yellow] 2 6 7 17 4" xfId="43457"/>
    <cellStyle name="Input [yellow] 2 6 7 17 5" xfId="54650"/>
    <cellStyle name="Input [yellow] 2 6 7 18" xfId="10198"/>
    <cellStyle name="Input [yellow] 2 6 7 18 2" xfId="21395"/>
    <cellStyle name="Input [yellow] 2 6 7 18 3" xfId="32563"/>
    <cellStyle name="Input [yellow] 2 6 7 18 4" xfId="43728"/>
    <cellStyle name="Input [yellow] 2 6 7 18 5" xfId="54921"/>
    <cellStyle name="Input [yellow] 2 6 7 19" xfId="10966"/>
    <cellStyle name="Input [yellow] 2 6 7 19 2" xfId="22163"/>
    <cellStyle name="Input [yellow] 2 6 7 19 3" xfId="33331"/>
    <cellStyle name="Input [yellow] 2 6 7 19 4" xfId="44496"/>
    <cellStyle name="Input [yellow] 2 6 7 19 5" xfId="55689"/>
    <cellStyle name="Input [yellow] 2 6 7 2" xfId="1062"/>
    <cellStyle name="Input [yellow] 2 6 7 2 2" xfId="12259"/>
    <cellStyle name="Input [yellow] 2 6 7 2 3" xfId="23427"/>
    <cellStyle name="Input [yellow] 2 6 7 2 4" xfId="34592"/>
    <cellStyle name="Input [yellow] 2 6 7 2 5" xfId="45785"/>
    <cellStyle name="Input [yellow] 2 6 7 20" xfId="11613"/>
    <cellStyle name="Input [yellow] 2 6 7 21" xfId="22783"/>
    <cellStyle name="Input [yellow] 2 6 7 22" xfId="33950"/>
    <cellStyle name="Input [yellow] 2 6 7 23" xfId="45136"/>
    <cellStyle name="Input [yellow] 2 6 7 3" xfId="1493"/>
    <cellStyle name="Input [yellow] 2 6 7 3 2" xfId="12690"/>
    <cellStyle name="Input [yellow] 2 6 7 3 3" xfId="23858"/>
    <cellStyle name="Input [yellow] 2 6 7 3 4" xfId="35023"/>
    <cellStyle name="Input [yellow] 2 6 7 3 5" xfId="46216"/>
    <cellStyle name="Input [yellow] 2 6 7 4" xfId="2338"/>
    <cellStyle name="Input [yellow] 2 6 7 4 2" xfId="13535"/>
    <cellStyle name="Input [yellow] 2 6 7 4 3" xfId="24703"/>
    <cellStyle name="Input [yellow] 2 6 7 4 4" xfId="35868"/>
    <cellStyle name="Input [yellow] 2 6 7 4 5" xfId="47061"/>
    <cellStyle name="Input [yellow] 2 6 7 5" xfId="2763"/>
    <cellStyle name="Input [yellow] 2 6 7 5 2" xfId="13960"/>
    <cellStyle name="Input [yellow] 2 6 7 5 3" xfId="25128"/>
    <cellStyle name="Input [yellow] 2 6 7 5 4" xfId="36293"/>
    <cellStyle name="Input [yellow] 2 6 7 5 5" xfId="47486"/>
    <cellStyle name="Input [yellow] 2 6 7 6" xfId="3397"/>
    <cellStyle name="Input [yellow] 2 6 7 6 2" xfId="14594"/>
    <cellStyle name="Input [yellow] 2 6 7 6 3" xfId="25762"/>
    <cellStyle name="Input [yellow] 2 6 7 6 4" xfId="36927"/>
    <cellStyle name="Input [yellow] 2 6 7 6 5" xfId="48120"/>
    <cellStyle name="Input [yellow] 2 6 7 7" xfId="4031"/>
    <cellStyle name="Input [yellow] 2 6 7 7 2" xfId="15228"/>
    <cellStyle name="Input [yellow] 2 6 7 7 3" xfId="26396"/>
    <cellStyle name="Input [yellow] 2 6 7 7 4" xfId="37561"/>
    <cellStyle name="Input [yellow] 2 6 7 7 5" xfId="48754"/>
    <cellStyle name="Input [yellow] 2 6 7 8" xfId="4664"/>
    <cellStyle name="Input [yellow] 2 6 7 8 2" xfId="15861"/>
    <cellStyle name="Input [yellow] 2 6 7 8 3" xfId="27029"/>
    <cellStyle name="Input [yellow] 2 6 7 8 4" xfId="38194"/>
    <cellStyle name="Input [yellow] 2 6 7 8 5" xfId="49387"/>
    <cellStyle name="Input [yellow] 2 6 7 9" xfId="5295"/>
    <cellStyle name="Input [yellow] 2 6 7 9 2" xfId="16492"/>
    <cellStyle name="Input [yellow] 2 6 7 9 3" xfId="27660"/>
    <cellStyle name="Input [yellow] 2 6 7 9 4" xfId="38825"/>
    <cellStyle name="Input [yellow] 2 6 7 9 5" xfId="50018"/>
    <cellStyle name="Input [yellow] 2 6 8" xfId="473"/>
    <cellStyle name="Input [yellow] 2 6 8 10" xfId="6131"/>
    <cellStyle name="Input [yellow] 2 6 8 10 2" xfId="17328"/>
    <cellStyle name="Input [yellow] 2 6 8 10 3" xfId="28496"/>
    <cellStyle name="Input [yellow] 2 6 8 10 4" xfId="39661"/>
    <cellStyle name="Input [yellow] 2 6 8 10 5" xfId="50854"/>
    <cellStyle name="Input [yellow] 2 6 8 11" xfId="6409"/>
    <cellStyle name="Input [yellow] 2 6 8 11 2" xfId="17606"/>
    <cellStyle name="Input [yellow] 2 6 8 11 3" xfId="28774"/>
    <cellStyle name="Input [yellow] 2 6 8 11 4" xfId="39939"/>
    <cellStyle name="Input [yellow] 2 6 8 11 5" xfId="51132"/>
    <cellStyle name="Input [yellow] 2 6 8 12" xfId="7042"/>
    <cellStyle name="Input [yellow] 2 6 8 12 2" xfId="18239"/>
    <cellStyle name="Input [yellow] 2 6 8 12 3" xfId="29407"/>
    <cellStyle name="Input [yellow] 2 6 8 12 4" xfId="40572"/>
    <cellStyle name="Input [yellow] 2 6 8 12 5" xfId="51765"/>
    <cellStyle name="Input [yellow] 2 6 8 13" xfId="7676"/>
    <cellStyle name="Input [yellow] 2 6 8 13 2" xfId="18873"/>
    <cellStyle name="Input [yellow] 2 6 8 13 3" xfId="30041"/>
    <cellStyle name="Input [yellow] 2 6 8 13 4" xfId="41206"/>
    <cellStyle name="Input [yellow] 2 6 8 13 5" xfId="52399"/>
    <cellStyle name="Input [yellow] 2 6 8 14" xfId="8310"/>
    <cellStyle name="Input [yellow] 2 6 8 14 2" xfId="19507"/>
    <cellStyle name="Input [yellow] 2 6 8 14 3" xfId="30675"/>
    <cellStyle name="Input [yellow] 2 6 8 14 4" xfId="41840"/>
    <cellStyle name="Input [yellow] 2 6 8 14 5" xfId="53033"/>
    <cellStyle name="Input [yellow] 2 6 8 15" xfId="8938"/>
    <cellStyle name="Input [yellow] 2 6 8 15 2" xfId="20135"/>
    <cellStyle name="Input [yellow] 2 6 8 15 3" xfId="31303"/>
    <cellStyle name="Input [yellow] 2 6 8 15 4" xfId="42468"/>
    <cellStyle name="Input [yellow] 2 6 8 15 5" xfId="53661"/>
    <cellStyle name="Input [yellow] 2 6 8 16" xfId="9361"/>
    <cellStyle name="Input [yellow] 2 6 8 16 2" xfId="20558"/>
    <cellStyle name="Input [yellow] 2 6 8 16 3" xfId="31726"/>
    <cellStyle name="Input [yellow] 2 6 8 16 4" xfId="42891"/>
    <cellStyle name="Input [yellow] 2 6 8 16 5" xfId="54084"/>
    <cellStyle name="Input [yellow] 2 6 8 17" xfId="9987"/>
    <cellStyle name="Input [yellow] 2 6 8 17 2" xfId="21184"/>
    <cellStyle name="Input [yellow] 2 6 8 17 3" xfId="32352"/>
    <cellStyle name="Input [yellow] 2 6 8 17 4" xfId="43517"/>
    <cellStyle name="Input [yellow] 2 6 8 17 5" xfId="54710"/>
    <cellStyle name="Input [yellow] 2 6 8 18" xfId="9729"/>
    <cellStyle name="Input [yellow] 2 6 8 18 2" xfId="20926"/>
    <cellStyle name="Input [yellow] 2 6 8 18 3" xfId="32094"/>
    <cellStyle name="Input [yellow] 2 6 8 18 4" xfId="43259"/>
    <cellStyle name="Input [yellow] 2 6 8 18 5" xfId="54452"/>
    <cellStyle name="Input [yellow] 2 6 8 19" xfId="11026"/>
    <cellStyle name="Input [yellow] 2 6 8 19 2" xfId="22223"/>
    <cellStyle name="Input [yellow] 2 6 8 19 3" xfId="33391"/>
    <cellStyle name="Input [yellow] 2 6 8 19 4" xfId="44556"/>
    <cellStyle name="Input [yellow] 2 6 8 19 5" xfId="55749"/>
    <cellStyle name="Input [yellow] 2 6 8 2" xfId="1122"/>
    <cellStyle name="Input [yellow] 2 6 8 2 2" xfId="12319"/>
    <cellStyle name="Input [yellow] 2 6 8 2 3" xfId="23487"/>
    <cellStyle name="Input [yellow] 2 6 8 2 4" xfId="34652"/>
    <cellStyle name="Input [yellow] 2 6 8 2 5" xfId="45845"/>
    <cellStyle name="Input [yellow] 2 6 8 20" xfId="11673"/>
    <cellStyle name="Input [yellow] 2 6 8 21" xfId="22843"/>
    <cellStyle name="Input [yellow] 2 6 8 22" xfId="34010"/>
    <cellStyle name="Input [yellow] 2 6 8 23" xfId="45196"/>
    <cellStyle name="Input [yellow] 2 6 8 3" xfId="1480"/>
    <cellStyle name="Input [yellow] 2 6 8 3 2" xfId="12677"/>
    <cellStyle name="Input [yellow] 2 6 8 3 3" xfId="23845"/>
    <cellStyle name="Input [yellow] 2 6 8 3 4" xfId="35010"/>
    <cellStyle name="Input [yellow] 2 6 8 3 5" xfId="46203"/>
    <cellStyle name="Input [yellow] 2 6 8 4" xfId="2398"/>
    <cellStyle name="Input [yellow] 2 6 8 4 2" xfId="13595"/>
    <cellStyle name="Input [yellow] 2 6 8 4 3" xfId="24763"/>
    <cellStyle name="Input [yellow] 2 6 8 4 4" xfId="35928"/>
    <cellStyle name="Input [yellow] 2 6 8 4 5" xfId="47121"/>
    <cellStyle name="Input [yellow] 2 6 8 5" xfId="2823"/>
    <cellStyle name="Input [yellow] 2 6 8 5 2" xfId="14020"/>
    <cellStyle name="Input [yellow] 2 6 8 5 3" xfId="25188"/>
    <cellStyle name="Input [yellow] 2 6 8 5 4" xfId="36353"/>
    <cellStyle name="Input [yellow] 2 6 8 5 5" xfId="47546"/>
    <cellStyle name="Input [yellow] 2 6 8 6" xfId="3457"/>
    <cellStyle name="Input [yellow] 2 6 8 6 2" xfId="14654"/>
    <cellStyle name="Input [yellow] 2 6 8 6 3" xfId="25822"/>
    <cellStyle name="Input [yellow] 2 6 8 6 4" xfId="36987"/>
    <cellStyle name="Input [yellow] 2 6 8 6 5" xfId="48180"/>
    <cellStyle name="Input [yellow] 2 6 8 7" xfId="4091"/>
    <cellStyle name="Input [yellow] 2 6 8 7 2" xfId="15288"/>
    <cellStyle name="Input [yellow] 2 6 8 7 3" xfId="26456"/>
    <cellStyle name="Input [yellow] 2 6 8 7 4" xfId="37621"/>
    <cellStyle name="Input [yellow] 2 6 8 7 5" xfId="48814"/>
    <cellStyle name="Input [yellow] 2 6 8 8" xfId="4724"/>
    <cellStyle name="Input [yellow] 2 6 8 8 2" xfId="15921"/>
    <cellStyle name="Input [yellow] 2 6 8 8 3" xfId="27089"/>
    <cellStyle name="Input [yellow] 2 6 8 8 4" xfId="38254"/>
    <cellStyle name="Input [yellow] 2 6 8 8 5" xfId="49447"/>
    <cellStyle name="Input [yellow] 2 6 8 9" xfId="5355"/>
    <cellStyle name="Input [yellow] 2 6 8 9 2" xfId="16552"/>
    <cellStyle name="Input [yellow] 2 6 8 9 3" xfId="27720"/>
    <cellStyle name="Input [yellow] 2 6 8 9 4" xfId="38885"/>
    <cellStyle name="Input [yellow] 2 6 8 9 5" xfId="50078"/>
    <cellStyle name="Input [yellow] 2 6 9" xfId="531"/>
    <cellStyle name="Input [yellow] 2 6 9 10" xfId="6136"/>
    <cellStyle name="Input [yellow] 2 6 9 10 2" xfId="17333"/>
    <cellStyle name="Input [yellow] 2 6 9 10 3" xfId="28501"/>
    <cellStyle name="Input [yellow] 2 6 9 10 4" xfId="39666"/>
    <cellStyle name="Input [yellow] 2 6 9 10 5" xfId="50859"/>
    <cellStyle name="Input [yellow] 2 6 9 11" xfId="6467"/>
    <cellStyle name="Input [yellow] 2 6 9 11 2" xfId="17664"/>
    <cellStyle name="Input [yellow] 2 6 9 11 3" xfId="28832"/>
    <cellStyle name="Input [yellow] 2 6 9 11 4" xfId="39997"/>
    <cellStyle name="Input [yellow] 2 6 9 11 5" xfId="51190"/>
    <cellStyle name="Input [yellow] 2 6 9 12" xfId="7100"/>
    <cellStyle name="Input [yellow] 2 6 9 12 2" xfId="18297"/>
    <cellStyle name="Input [yellow] 2 6 9 12 3" xfId="29465"/>
    <cellStyle name="Input [yellow] 2 6 9 12 4" xfId="40630"/>
    <cellStyle name="Input [yellow] 2 6 9 12 5" xfId="51823"/>
    <cellStyle name="Input [yellow] 2 6 9 13" xfId="7734"/>
    <cellStyle name="Input [yellow] 2 6 9 13 2" xfId="18931"/>
    <cellStyle name="Input [yellow] 2 6 9 13 3" xfId="30099"/>
    <cellStyle name="Input [yellow] 2 6 9 13 4" xfId="41264"/>
    <cellStyle name="Input [yellow] 2 6 9 13 5" xfId="52457"/>
    <cellStyle name="Input [yellow] 2 6 9 14" xfId="8368"/>
    <cellStyle name="Input [yellow] 2 6 9 14 2" xfId="19565"/>
    <cellStyle name="Input [yellow] 2 6 9 14 3" xfId="30733"/>
    <cellStyle name="Input [yellow] 2 6 9 14 4" xfId="41898"/>
    <cellStyle name="Input [yellow] 2 6 9 14 5" xfId="53091"/>
    <cellStyle name="Input [yellow] 2 6 9 15" xfId="8996"/>
    <cellStyle name="Input [yellow] 2 6 9 15 2" xfId="20193"/>
    <cellStyle name="Input [yellow] 2 6 9 15 3" xfId="31361"/>
    <cellStyle name="Input [yellow] 2 6 9 15 4" xfId="42526"/>
    <cellStyle name="Input [yellow] 2 6 9 15 5" xfId="53719"/>
    <cellStyle name="Input [yellow] 2 6 9 16" xfId="9419"/>
    <cellStyle name="Input [yellow] 2 6 9 16 2" xfId="20616"/>
    <cellStyle name="Input [yellow] 2 6 9 16 3" xfId="31784"/>
    <cellStyle name="Input [yellow] 2 6 9 16 4" xfId="42949"/>
    <cellStyle name="Input [yellow] 2 6 9 16 5" xfId="54142"/>
    <cellStyle name="Input [yellow] 2 6 9 17" xfId="10044"/>
    <cellStyle name="Input [yellow] 2 6 9 17 2" xfId="21241"/>
    <cellStyle name="Input [yellow] 2 6 9 17 3" xfId="32409"/>
    <cellStyle name="Input [yellow] 2 6 9 17 4" xfId="43574"/>
    <cellStyle name="Input [yellow] 2 6 9 17 5" xfId="54767"/>
    <cellStyle name="Input [yellow] 2 6 9 18" xfId="10570"/>
    <cellStyle name="Input [yellow] 2 6 9 18 2" xfId="21767"/>
    <cellStyle name="Input [yellow] 2 6 9 18 3" xfId="32935"/>
    <cellStyle name="Input [yellow] 2 6 9 18 4" xfId="44100"/>
    <cellStyle name="Input [yellow] 2 6 9 18 5" xfId="55293"/>
    <cellStyle name="Input [yellow] 2 6 9 19" xfId="11084"/>
    <cellStyle name="Input [yellow] 2 6 9 19 2" xfId="22281"/>
    <cellStyle name="Input [yellow] 2 6 9 19 3" xfId="33449"/>
    <cellStyle name="Input [yellow] 2 6 9 19 4" xfId="44614"/>
    <cellStyle name="Input [yellow] 2 6 9 19 5" xfId="55807"/>
    <cellStyle name="Input [yellow] 2 6 9 2" xfId="1180"/>
    <cellStyle name="Input [yellow] 2 6 9 2 2" xfId="12377"/>
    <cellStyle name="Input [yellow] 2 6 9 2 3" xfId="23545"/>
    <cellStyle name="Input [yellow] 2 6 9 2 4" xfId="34710"/>
    <cellStyle name="Input [yellow] 2 6 9 2 5" xfId="45903"/>
    <cellStyle name="Input [yellow] 2 6 9 20" xfId="11731"/>
    <cellStyle name="Input [yellow] 2 6 9 21" xfId="22901"/>
    <cellStyle name="Input [yellow] 2 6 9 22" xfId="34068"/>
    <cellStyle name="Input [yellow] 2 6 9 23" xfId="45254"/>
    <cellStyle name="Input [yellow] 2 6 9 3" xfId="1878"/>
    <cellStyle name="Input [yellow] 2 6 9 3 2" xfId="13075"/>
    <cellStyle name="Input [yellow] 2 6 9 3 3" xfId="24243"/>
    <cellStyle name="Input [yellow] 2 6 9 3 4" xfId="35408"/>
    <cellStyle name="Input [yellow] 2 6 9 3 5" xfId="46601"/>
    <cellStyle name="Input [yellow] 2 6 9 4" xfId="2456"/>
    <cellStyle name="Input [yellow] 2 6 9 4 2" xfId="13653"/>
    <cellStyle name="Input [yellow] 2 6 9 4 3" xfId="24821"/>
    <cellStyle name="Input [yellow] 2 6 9 4 4" xfId="35986"/>
    <cellStyle name="Input [yellow] 2 6 9 4 5" xfId="47179"/>
    <cellStyle name="Input [yellow] 2 6 9 5" xfId="2881"/>
    <cellStyle name="Input [yellow] 2 6 9 5 2" xfId="14078"/>
    <cellStyle name="Input [yellow] 2 6 9 5 3" xfId="25246"/>
    <cellStyle name="Input [yellow] 2 6 9 5 4" xfId="36411"/>
    <cellStyle name="Input [yellow] 2 6 9 5 5" xfId="47604"/>
    <cellStyle name="Input [yellow] 2 6 9 6" xfId="3515"/>
    <cellStyle name="Input [yellow] 2 6 9 6 2" xfId="14712"/>
    <cellStyle name="Input [yellow] 2 6 9 6 3" xfId="25880"/>
    <cellStyle name="Input [yellow] 2 6 9 6 4" xfId="37045"/>
    <cellStyle name="Input [yellow] 2 6 9 6 5" xfId="48238"/>
    <cellStyle name="Input [yellow] 2 6 9 7" xfId="4149"/>
    <cellStyle name="Input [yellow] 2 6 9 7 2" xfId="15346"/>
    <cellStyle name="Input [yellow] 2 6 9 7 3" xfId="26514"/>
    <cellStyle name="Input [yellow] 2 6 9 7 4" xfId="37679"/>
    <cellStyle name="Input [yellow] 2 6 9 7 5" xfId="48872"/>
    <cellStyle name="Input [yellow] 2 6 9 8" xfId="4782"/>
    <cellStyle name="Input [yellow] 2 6 9 8 2" xfId="15979"/>
    <cellStyle name="Input [yellow] 2 6 9 8 3" xfId="27147"/>
    <cellStyle name="Input [yellow] 2 6 9 8 4" xfId="38312"/>
    <cellStyle name="Input [yellow] 2 6 9 8 5" xfId="49505"/>
    <cellStyle name="Input [yellow] 2 6 9 9" xfId="5413"/>
    <cellStyle name="Input [yellow] 2 6 9 9 2" xfId="16610"/>
    <cellStyle name="Input [yellow] 2 6 9 9 3" xfId="27778"/>
    <cellStyle name="Input [yellow] 2 6 9 9 4" xfId="38943"/>
    <cellStyle name="Input [yellow] 2 6 9 9 5" xfId="50136"/>
    <cellStyle name="Input [yellow] 2 7" xfId="67"/>
    <cellStyle name="Input [yellow] 2 7 10" xfId="589"/>
    <cellStyle name="Input [yellow] 2 7 10 10" xfId="5934"/>
    <cellStyle name="Input [yellow] 2 7 10 10 2" xfId="17131"/>
    <cellStyle name="Input [yellow] 2 7 10 10 3" xfId="28299"/>
    <cellStyle name="Input [yellow] 2 7 10 10 4" xfId="39464"/>
    <cellStyle name="Input [yellow] 2 7 10 10 5" xfId="50657"/>
    <cellStyle name="Input [yellow] 2 7 10 11" xfId="6525"/>
    <cellStyle name="Input [yellow] 2 7 10 11 2" xfId="17722"/>
    <cellStyle name="Input [yellow] 2 7 10 11 3" xfId="28890"/>
    <cellStyle name="Input [yellow] 2 7 10 11 4" xfId="40055"/>
    <cellStyle name="Input [yellow] 2 7 10 11 5" xfId="51248"/>
    <cellStyle name="Input [yellow] 2 7 10 12" xfId="7158"/>
    <cellStyle name="Input [yellow] 2 7 10 12 2" xfId="18355"/>
    <cellStyle name="Input [yellow] 2 7 10 12 3" xfId="29523"/>
    <cellStyle name="Input [yellow] 2 7 10 12 4" xfId="40688"/>
    <cellStyle name="Input [yellow] 2 7 10 12 5" xfId="51881"/>
    <cellStyle name="Input [yellow] 2 7 10 13" xfId="7792"/>
    <cellStyle name="Input [yellow] 2 7 10 13 2" xfId="18989"/>
    <cellStyle name="Input [yellow] 2 7 10 13 3" xfId="30157"/>
    <cellStyle name="Input [yellow] 2 7 10 13 4" xfId="41322"/>
    <cellStyle name="Input [yellow] 2 7 10 13 5" xfId="52515"/>
    <cellStyle name="Input [yellow] 2 7 10 14" xfId="8426"/>
    <cellStyle name="Input [yellow] 2 7 10 14 2" xfId="19623"/>
    <cellStyle name="Input [yellow] 2 7 10 14 3" xfId="30791"/>
    <cellStyle name="Input [yellow] 2 7 10 14 4" xfId="41956"/>
    <cellStyle name="Input [yellow] 2 7 10 14 5" xfId="53149"/>
    <cellStyle name="Input [yellow] 2 7 10 15" xfId="9054"/>
    <cellStyle name="Input [yellow] 2 7 10 15 2" xfId="20251"/>
    <cellStyle name="Input [yellow] 2 7 10 15 3" xfId="31419"/>
    <cellStyle name="Input [yellow] 2 7 10 15 4" xfId="42584"/>
    <cellStyle name="Input [yellow] 2 7 10 15 5" xfId="53777"/>
    <cellStyle name="Input [yellow] 2 7 10 16" xfId="9477"/>
    <cellStyle name="Input [yellow] 2 7 10 16 2" xfId="20674"/>
    <cellStyle name="Input [yellow] 2 7 10 16 3" xfId="31842"/>
    <cellStyle name="Input [yellow] 2 7 10 16 4" xfId="43007"/>
    <cellStyle name="Input [yellow] 2 7 10 16 5" xfId="54200"/>
    <cellStyle name="Input [yellow] 2 7 10 17" xfId="10102"/>
    <cellStyle name="Input [yellow] 2 7 10 17 2" xfId="21299"/>
    <cellStyle name="Input [yellow] 2 7 10 17 3" xfId="32467"/>
    <cellStyle name="Input [yellow] 2 7 10 17 4" xfId="43632"/>
    <cellStyle name="Input [yellow] 2 7 10 17 5" xfId="54825"/>
    <cellStyle name="Input [yellow] 2 7 10 18" xfId="9704"/>
    <cellStyle name="Input [yellow] 2 7 10 18 2" xfId="20901"/>
    <cellStyle name="Input [yellow] 2 7 10 18 3" xfId="32069"/>
    <cellStyle name="Input [yellow] 2 7 10 18 4" xfId="43234"/>
    <cellStyle name="Input [yellow] 2 7 10 18 5" xfId="54427"/>
    <cellStyle name="Input [yellow] 2 7 10 19" xfId="11142"/>
    <cellStyle name="Input [yellow] 2 7 10 19 2" xfId="22339"/>
    <cellStyle name="Input [yellow] 2 7 10 19 3" xfId="33507"/>
    <cellStyle name="Input [yellow] 2 7 10 19 4" xfId="44672"/>
    <cellStyle name="Input [yellow] 2 7 10 19 5" xfId="55865"/>
    <cellStyle name="Input [yellow] 2 7 10 2" xfId="1238"/>
    <cellStyle name="Input [yellow] 2 7 10 2 2" xfId="12435"/>
    <cellStyle name="Input [yellow] 2 7 10 2 3" xfId="23603"/>
    <cellStyle name="Input [yellow] 2 7 10 2 4" xfId="34768"/>
    <cellStyle name="Input [yellow] 2 7 10 2 5" xfId="45961"/>
    <cellStyle name="Input [yellow] 2 7 10 20" xfId="11789"/>
    <cellStyle name="Input [yellow] 2 7 10 21" xfId="22959"/>
    <cellStyle name="Input [yellow] 2 7 10 22" xfId="34126"/>
    <cellStyle name="Input [yellow] 2 7 10 23" xfId="45312"/>
    <cellStyle name="Input [yellow] 2 7 10 3" xfId="1852"/>
    <cellStyle name="Input [yellow] 2 7 10 3 2" xfId="13049"/>
    <cellStyle name="Input [yellow] 2 7 10 3 3" xfId="24217"/>
    <cellStyle name="Input [yellow] 2 7 10 3 4" xfId="35382"/>
    <cellStyle name="Input [yellow] 2 7 10 3 5" xfId="46575"/>
    <cellStyle name="Input [yellow] 2 7 10 4" xfId="2514"/>
    <cellStyle name="Input [yellow] 2 7 10 4 2" xfId="13711"/>
    <cellStyle name="Input [yellow] 2 7 10 4 3" xfId="24879"/>
    <cellStyle name="Input [yellow] 2 7 10 4 4" xfId="36044"/>
    <cellStyle name="Input [yellow] 2 7 10 4 5" xfId="47237"/>
    <cellStyle name="Input [yellow] 2 7 10 5" xfId="2939"/>
    <cellStyle name="Input [yellow] 2 7 10 5 2" xfId="14136"/>
    <cellStyle name="Input [yellow] 2 7 10 5 3" xfId="25304"/>
    <cellStyle name="Input [yellow] 2 7 10 5 4" xfId="36469"/>
    <cellStyle name="Input [yellow] 2 7 10 5 5" xfId="47662"/>
    <cellStyle name="Input [yellow] 2 7 10 6" xfId="3573"/>
    <cellStyle name="Input [yellow] 2 7 10 6 2" xfId="14770"/>
    <cellStyle name="Input [yellow] 2 7 10 6 3" xfId="25938"/>
    <cellStyle name="Input [yellow] 2 7 10 6 4" xfId="37103"/>
    <cellStyle name="Input [yellow] 2 7 10 6 5" xfId="48296"/>
    <cellStyle name="Input [yellow] 2 7 10 7" xfId="4207"/>
    <cellStyle name="Input [yellow] 2 7 10 7 2" xfId="15404"/>
    <cellStyle name="Input [yellow] 2 7 10 7 3" xfId="26572"/>
    <cellStyle name="Input [yellow] 2 7 10 7 4" xfId="37737"/>
    <cellStyle name="Input [yellow] 2 7 10 7 5" xfId="48930"/>
    <cellStyle name="Input [yellow] 2 7 10 8" xfId="4840"/>
    <cellStyle name="Input [yellow] 2 7 10 8 2" xfId="16037"/>
    <cellStyle name="Input [yellow] 2 7 10 8 3" xfId="27205"/>
    <cellStyle name="Input [yellow] 2 7 10 8 4" xfId="38370"/>
    <cellStyle name="Input [yellow] 2 7 10 8 5" xfId="49563"/>
    <cellStyle name="Input [yellow] 2 7 10 9" xfId="5471"/>
    <cellStyle name="Input [yellow] 2 7 10 9 2" xfId="16668"/>
    <cellStyle name="Input [yellow] 2 7 10 9 3" xfId="27836"/>
    <cellStyle name="Input [yellow] 2 7 10 9 4" xfId="39001"/>
    <cellStyle name="Input [yellow] 2 7 10 9 5" xfId="50194"/>
    <cellStyle name="Input [yellow] 2 7 11" xfId="634"/>
    <cellStyle name="Input [yellow] 2 7 11 10" xfId="6111"/>
    <cellStyle name="Input [yellow] 2 7 11 10 2" xfId="17308"/>
    <cellStyle name="Input [yellow] 2 7 11 10 3" xfId="28476"/>
    <cellStyle name="Input [yellow] 2 7 11 10 4" xfId="39641"/>
    <cellStyle name="Input [yellow] 2 7 11 10 5" xfId="50834"/>
    <cellStyle name="Input [yellow] 2 7 11 11" xfId="6570"/>
    <cellStyle name="Input [yellow] 2 7 11 11 2" xfId="17767"/>
    <cellStyle name="Input [yellow] 2 7 11 11 3" xfId="28935"/>
    <cellStyle name="Input [yellow] 2 7 11 11 4" xfId="40100"/>
    <cellStyle name="Input [yellow] 2 7 11 11 5" xfId="51293"/>
    <cellStyle name="Input [yellow] 2 7 11 12" xfId="7203"/>
    <cellStyle name="Input [yellow] 2 7 11 12 2" xfId="18400"/>
    <cellStyle name="Input [yellow] 2 7 11 12 3" xfId="29568"/>
    <cellStyle name="Input [yellow] 2 7 11 12 4" xfId="40733"/>
    <cellStyle name="Input [yellow] 2 7 11 12 5" xfId="51926"/>
    <cellStyle name="Input [yellow] 2 7 11 13" xfId="7837"/>
    <cellStyle name="Input [yellow] 2 7 11 13 2" xfId="19034"/>
    <cellStyle name="Input [yellow] 2 7 11 13 3" xfId="30202"/>
    <cellStyle name="Input [yellow] 2 7 11 13 4" xfId="41367"/>
    <cellStyle name="Input [yellow] 2 7 11 13 5" xfId="52560"/>
    <cellStyle name="Input [yellow] 2 7 11 14" xfId="8471"/>
    <cellStyle name="Input [yellow] 2 7 11 14 2" xfId="19668"/>
    <cellStyle name="Input [yellow] 2 7 11 14 3" xfId="30836"/>
    <cellStyle name="Input [yellow] 2 7 11 14 4" xfId="42001"/>
    <cellStyle name="Input [yellow] 2 7 11 14 5" xfId="53194"/>
    <cellStyle name="Input [yellow] 2 7 11 15" xfId="9099"/>
    <cellStyle name="Input [yellow] 2 7 11 15 2" xfId="20296"/>
    <cellStyle name="Input [yellow] 2 7 11 15 3" xfId="31464"/>
    <cellStyle name="Input [yellow] 2 7 11 15 4" xfId="42629"/>
    <cellStyle name="Input [yellow] 2 7 11 15 5" xfId="53822"/>
    <cellStyle name="Input [yellow] 2 7 11 16" xfId="9522"/>
    <cellStyle name="Input [yellow] 2 7 11 16 2" xfId="20719"/>
    <cellStyle name="Input [yellow] 2 7 11 16 3" xfId="31887"/>
    <cellStyle name="Input [yellow] 2 7 11 16 4" xfId="43052"/>
    <cellStyle name="Input [yellow] 2 7 11 16 5" xfId="54245"/>
    <cellStyle name="Input [yellow] 2 7 11 17" xfId="10147"/>
    <cellStyle name="Input [yellow] 2 7 11 17 2" xfId="21344"/>
    <cellStyle name="Input [yellow] 2 7 11 17 3" xfId="32512"/>
    <cellStyle name="Input [yellow] 2 7 11 17 4" xfId="43677"/>
    <cellStyle name="Input [yellow] 2 7 11 17 5" xfId="54870"/>
    <cellStyle name="Input [yellow] 2 7 11 18" xfId="10483"/>
    <cellStyle name="Input [yellow] 2 7 11 18 2" xfId="21680"/>
    <cellStyle name="Input [yellow] 2 7 11 18 3" xfId="32848"/>
    <cellStyle name="Input [yellow] 2 7 11 18 4" xfId="44013"/>
    <cellStyle name="Input [yellow] 2 7 11 18 5" xfId="55206"/>
    <cellStyle name="Input [yellow] 2 7 11 19" xfId="11187"/>
    <cellStyle name="Input [yellow] 2 7 11 19 2" xfId="22384"/>
    <cellStyle name="Input [yellow] 2 7 11 19 3" xfId="33552"/>
    <cellStyle name="Input [yellow] 2 7 11 19 4" xfId="44717"/>
    <cellStyle name="Input [yellow] 2 7 11 19 5" xfId="55910"/>
    <cellStyle name="Input [yellow] 2 7 11 2" xfId="1283"/>
    <cellStyle name="Input [yellow] 2 7 11 2 2" xfId="12480"/>
    <cellStyle name="Input [yellow] 2 7 11 2 3" xfId="23648"/>
    <cellStyle name="Input [yellow] 2 7 11 2 4" xfId="34813"/>
    <cellStyle name="Input [yellow] 2 7 11 2 5" xfId="46006"/>
    <cellStyle name="Input [yellow] 2 7 11 20" xfId="11834"/>
    <cellStyle name="Input [yellow] 2 7 11 21" xfId="23004"/>
    <cellStyle name="Input [yellow] 2 7 11 22" xfId="34171"/>
    <cellStyle name="Input [yellow] 2 7 11 23" xfId="45357"/>
    <cellStyle name="Input [yellow] 2 7 11 3" xfId="1780"/>
    <cellStyle name="Input [yellow] 2 7 11 3 2" xfId="12977"/>
    <cellStyle name="Input [yellow] 2 7 11 3 3" xfId="24145"/>
    <cellStyle name="Input [yellow] 2 7 11 3 4" xfId="35310"/>
    <cellStyle name="Input [yellow] 2 7 11 3 5" xfId="46503"/>
    <cellStyle name="Input [yellow] 2 7 11 4" xfId="2559"/>
    <cellStyle name="Input [yellow] 2 7 11 4 2" xfId="13756"/>
    <cellStyle name="Input [yellow] 2 7 11 4 3" xfId="24924"/>
    <cellStyle name="Input [yellow] 2 7 11 4 4" xfId="36089"/>
    <cellStyle name="Input [yellow] 2 7 11 4 5" xfId="47282"/>
    <cellStyle name="Input [yellow] 2 7 11 5" xfId="2984"/>
    <cellStyle name="Input [yellow] 2 7 11 5 2" xfId="14181"/>
    <cellStyle name="Input [yellow] 2 7 11 5 3" xfId="25349"/>
    <cellStyle name="Input [yellow] 2 7 11 5 4" xfId="36514"/>
    <cellStyle name="Input [yellow] 2 7 11 5 5" xfId="47707"/>
    <cellStyle name="Input [yellow] 2 7 11 6" xfId="3618"/>
    <cellStyle name="Input [yellow] 2 7 11 6 2" xfId="14815"/>
    <cellStyle name="Input [yellow] 2 7 11 6 3" xfId="25983"/>
    <cellStyle name="Input [yellow] 2 7 11 6 4" xfId="37148"/>
    <cellStyle name="Input [yellow] 2 7 11 6 5" xfId="48341"/>
    <cellStyle name="Input [yellow] 2 7 11 7" xfId="4252"/>
    <cellStyle name="Input [yellow] 2 7 11 7 2" xfId="15449"/>
    <cellStyle name="Input [yellow] 2 7 11 7 3" xfId="26617"/>
    <cellStyle name="Input [yellow] 2 7 11 7 4" xfId="37782"/>
    <cellStyle name="Input [yellow] 2 7 11 7 5" xfId="48975"/>
    <cellStyle name="Input [yellow] 2 7 11 8" xfId="4885"/>
    <cellStyle name="Input [yellow] 2 7 11 8 2" xfId="16082"/>
    <cellStyle name="Input [yellow] 2 7 11 8 3" xfId="27250"/>
    <cellStyle name="Input [yellow] 2 7 11 8 4" xfId="38415"/>
    <cellStyle name="Input [yellow] 2 7 11 8 5" xfId="49608"/>
    <cellStyle name="Input [yellow] 2 7 11 9" xfId="5516"/>
    <cellStyle name="Input [yellow] 2 7 11 9 2" xfId="16713"/>
    <cellStyle name="Input [yellow] 2 7 11 9 3" xfId="27881"/>
    <cellStyle name="Input [yellow] 2 7 11 9 4" xfId="39046"/>
    <cellStyle name="Input [yellow] 2 7 11 9 5" xfId="50239"/>
    <cellStyle name="Input [yellow] 2 7 12" xfId="716"/>
    <cellStyle name="Input [yellow] 2 7 12 2" xfId="11914"/>
    <cellStyle name="Input [yellow] 2 7 12 3" xfId="23083"/>
    <cellStyle name="Input [yellow] 2 7 12 4" xfId="34248"/>
    <cellStyle name="Input [yellow] 2 7 12 5" xfId="45439"/>
    <cellStyle name="Input [yellow] 2 7 13" xfId="1704"/>
    <cellStyle name="Input [yellow] 2 7 13 2" xfId="12901"/>
    <cellStyle name="Input [yellow] 2 7 13 3" xfId="24069"/>
    <cellStyle name="Input [yellow] 2 7 13 4" xfId="35234"/>
    <cellStyle name="Input [yellow] 2 7 13 5" xfId="46427"/>
    <cellStyle name="Input [yellow] 2 7 14" xfId="1993"/>
    <cellStyle name="Input [yellow] 2 7 14 2" xfId="13190"/>
    <cellStyle name="Input [yellow] 2 7 14 3" xfId="24358"/>
    <cellStyle name="Input [yellow] 2 7 14 4" xfId="35523"/>
    <cellStyle name="Input [yellow] 2 7 14 5" xfId="46716"/>
    <cellStyle name="Input [yellow] 2 7 15" xfId="2297"/>
    <cellStyle name="Input [yellow] 2 7 15 2" xfId="13494"/>
    <cellStyle name="Input [yellow] 2 7 15 3" xfId="24662"/>
    <cellStyle name="Input [yellow] 2 7 15 4" xfId="35827"/>
    <cellStyle name="Input [yellow] 2 7 15 5" xfId="47020"/>
    <cellStyle name="Input [yellow] 2 7 16" xfId="3051"/>
    <cellStyle name="Input [yellow] 2 7 16 2" xfId="14248"/>
    <cellStyle name="Input [yellow] 2 7 16 3" xfId="25416"/>
    <cellStyle name="Input [yellow] 2 7 16 4" xfId="36581"/>
    <cellStyle name="Input [yellow] 2 7 16 5" xfId="47774"/>
    <cellStyle name="Input [yellow] 2 7 17" xfId="3686"/>
    <cellStyle name="Input [yellow] 2 7 17 2" xfId="14883"/>
    <cellStyle name="Input [yellow] 2 7 17 3" xfId="26051"/>
    <cellStyle name="Input [yellow] 2 7 17 4" xfId="37216"/>
    <cellStyle name="Input [yellow] 2 7 17 5" xfId="48409"/>
    <cellStyle name="Input [yellow] 2 7 18" xfId="4318"/>
    <cellStyle name="Input [yellow] 2 7 18 2" xfId="15515"/>
    <cellStyle name="Input [yellow] 2 7 18 3" xfId="26683"/>
    <cellStyle name="Input [yellow] 2 7 18 4" xfId="37848"/>
    <cellStyle name="Input [yellow] 2 7 18 5" xfId="49041"/>
    <cellStyle name="Input [yellow] 2 7 19" xfId="4951"/>
    <cellStyle name="Input [yellow] 2 7 19 2" xfId="16148"/>
    <cellStyle name="Input [yellow] 2 7 19 3" xfId="27316"/>
    <cellStyle name="Input [yellow] 2 7 19 4" xfId="38481"/>
    <cellStyle name="Input [yellow] 2 7 19 5" xfId="49674"/>
    <cellStyle name="Input [yellow] 2 7 2" xfId="132"/>
    <cellStyle name="Input [yellow] 2 7 2 10" xfId="5821"/>
    <cellStyle name="Input [yellow] 2 7 2 10 2" xfId="17018"/>
    <cellStyle name="Input [yellow] 2 7 2 10 3" xfId="28186"/>
    <cellStyle name="Input [yellow] 2 7 2 10 4" xfId="39351"/>
    <cellStyle name="Input [yellow] 2 7 2 10 5" xfId="50544"/>
    <cellStyle name="Input [yellow] 2 7 2 11" xfId="5690"/>
    <cellStyle name="Input [yellow] 2 7 2 11 2" xfId="16887"/>
    <cellStyle name="Input [yellow] 2 7 2 11 3" xfId="28055"/>
    <cellStyle name="Input [yellow] 2 7 2 11 4" xfId="39220"/>
    <cellStyle name="Input [yellow] 2 7 2 11 5" xfId="50413"/>
    <cellStyle name="Input [yellow] 2 7 2 12" xfId="6701"/>
    <cellStyle name="Input [yellow] 2 7 2 12 2" xfId="17898"/>
    <cellStyle name="Input [yellow] 2 7 2 12 3" xfId="29066"/>
    <cellStyle name="Input [yellow] 2 7 2 12 4" xfId="40231"/>
    <cellStyle name="Input [yellow] 2 7 2 12 5" xfId="51424"/>
    <cellStyle name="Input [yellow] 2 7 2 13" xfId="7335"/>
    <cellStyle name="Input [yellow] 2 7 2 13 2" xfId="18532"/>
    <cellStyle name="Input [yellow] 2 7 2 13 3" xfId="29700"/>
    <cellStyle name="Input [yellow] 2 7 2 13 4" xfId="40865"/>
    <cellStyle name="Input [yellow] 2 7 2 13 5" xfId="52058"/>
    <cellStyle name="Input [yellow] 2 7 2 14" xfId="7969"/>
    <cellStyle name="Input [yellow] 2 7 2 14 2" xfId="19166"/>
    <cellStyle name="Input [yellow] 2 7 2 14 3" xfId="30334"/>
    <cellStyle name="Input [yellow] 2 7 2 14 4" xfId="41499"/>
    <cellStyle name="Input [yellow] 2 7 2 14 5" xfId="52692"/>
    <cellStyle name="Input [yellow] 2 7 2 15" xfId="8600"/>
    <cellStyle name="Input [yellow] 2 7 2 15 2" xfId="19797"/>
    <cellStyle name="Input [yellow] 2 7 2 15 3" xfId="30965"/>
    <cellStyle name="Input [yellow] 2 7 2 15 4" xfId="42130"/>
    <cellStyle name="Input [yellow] 2 7 2 15 5" xfId="53323"/>
    <cellStyle name="Input [yellow] 2 7 2 16" xfId="8526"/>
    <cellStyle name="Input [yellow] 2 7 2 16 2" xfId="19723"/>
    <cellStyle name="Input [yellow] 2 7 2 16 3" xfId="30891"/>
    <cellStyle name="Input [yellow] 2 7 2 16 4" xfId="42056"/>
    <cellStyle name="Input [yellow] 2 7 2 16 5" xfId="53249"/>
    <cellStyle name="Input [yellow] 2 7 2 17" xfId="9653"/>
    <cellStyle name="Input [yellow] 2 7 2 17 2" xfId="20850"/>
    <cellStyle name="Input [yellow] 2 7 2 17 3" xfId="32018"/>
    <cellStyle name="Input [yellow] 2 7 2 17 4" xfId="43183"/>
    <cellStyle name="Input [yellow] 2 7 2 17 5" xfId="54376"/>
    <cellStyle name="Input [yellow] 2 7 2 18" xfId="10444"/>
    <cellStyle name="Input [yellow] 2 7 2 18 2" xfId="21641"/>
    <cellStyle name="Input [yellow] 2 7 2 18 3" xfId="32809"/>
    <cellStyle name="Input [yellow] 2 7 2 18 4" xfId="43974"/>
    <cellStyle name="Input [yellow] 2 7 2 18 5" xfId="55167"/>
    <cellStyle name="Input [yellow] 2 7 2 19" xfId="10685"/>
    <cellStyle name="Input [yellow] 2 7 2 19 2" xfId="21882"/>
    <cellStyle name="Input [yellow] 2 7 2 19 3" xfId="33050"/>
    <cellStyle name="Input [yellow] 2 7 2 19 4" xfId="44215"/>
    <cellStyle name="Input [yellow] 2 7 2 19 5" xfId="55408"/>
    <cellStyle name="Input [yellow] 2 7 2 2" xfId="781"/>
    <cellStyle name="Input [yellow] 2 7 2 2 2" xfId="11978"/>
    <cellStyle name="Input [yellow] 2 7 2 2 3" xfId="23146"/>
    <cellStyle name="Input [yellow] 2 7 2 2 4" xfId="34311"/>
    <cellStyle name="Input [yellow] 2 7 2 2 5" xfId="45504"/>
    <cellStyle name="Input [yellow] 2 7 2 20" xfId="11332"/>
    <cellStyle name="Input [yellow] 2 7 2 21" xfId="22502"/>
    <cellStyle name="Input [yellow] 2 7 2 22" xfId="33669"/>
    <cellStyle name="Input [yellow] 2 7 2 23" xfId="44855"/>
    <cellStyle name="Input [yellow] 2 7 2 3" xfId="1588"/>
    <cellStyle name="Input [yellow] 2 7 2 3 2" xfId="12785"/>
    <cellStyle name="Input [yellow] 2 7 2 3 3" xfId="23953"/>
    <cellStyle name="Input [yellow] 2 7 2 3 4" xfId="35118"/>
    <cellStyle name="Input [yellow] 2 7 2 3 5" xfId="46311"/>
    <cellStyle name="Input [yellow] 2 7 2 4" xfId="2058"/>
    <cellStyle name="Input [yellow] 2 7 2 4 2" xfId="13255"/>
    <cellStyle name="Input [yellow] 2 7 2 4 3" xfId="24423"/>
    <cellStyle name="Input [yellow] 2 7 2 4 4" xfId="35588"/>
    <cellStyle name="Input [yellow] 2 7 2 4 5" xfId="46781"/>
    <cellStyle name="Input [yellow] 2 7 2 5" xfId="2516"/>
    <cellStyle name="Input [yellow] 2 7 2 5 2" xfId="13713"/>
    <cellStyle name="Input [yellow] 2 7 2 5 3" xfId="24881"/>
    <cellStyle name="Input [yellow] 2 7 2 5 4" xfId="36046"/>
    <cellStyle name="Input [yellow] 2 7 2 5 5" xfId="47239"/>
    <cellStyle name="Input [yellow] 2 7 2 6" xfId="3116"/>
    <cellStyle name="Input [yellow] 2 7 2 6 2" xfId="14313"/>
    <cellStyle name="Input [yellow] 2 7 2 6 3" xfId="25481"/>
    <cellStyle name="Input [yellow] 2 7 2 6 4" xfId="36646"/>
    <cellStyle name="Input [yellow] 2 7 2 6 5" xfId="47839"/>
    <cellStyle name="Input [yellow] 2 7 2 7" xfId="3750"/>
    <cellStyle name="Input [yellow] 2 7 2 7 2" xfId="14947"/>
    <cellStyle name="Input [yellow] 2 7 2 7 3" xfId="26115"/>
    <cellStyle name="Input [yellow] 2 7 2 7 4" xfId="37280"/>
    <cellStyle name="Input [yellow] 2 7 2 7 5" xfId="48473"/>
    <cellStyle name="Input [yellow] 2 7 2 8" xfId="4383"/>
    <cellStyle name="Input [yellow] 2 7 2 8 2" xfId="15580"/>
    <cellStyle name="Input [yellow] 2 7 2 8 3" xfId="26748"/>
    <cellStyle name="Input [yellow] 2 7 2 8 4" xfId="37913"/>
    <cellStyle name="Input [yellow] 2 7 2 8 5" xfId="49106"/>
    <cellStyle name="Input [yellow] 2 7 2 9" xfId="5014"/>
    <cellStyle name="Input [yellow] 2 7 2 9 2" xfId="16211"/>
    <cellStyle name="Input [yellow] 2 7 2 9 3" xfId="27379"/>
    <cellStyle name="Input [yellow] 2 7 2 9 4" xfId="38544"/>
    <cellStyle name="Input [yellow] 2 7 2 9 5" xfId="49737"/>
    <cellStyle name="Input [yellow] 2 7 20" xfId="6182"/>
    <cellStyle name="Input [yellow] 2 7 20 2" xfId="17379"/>
    <cellStyle name="Input [yellow] 2 7 20 3" xfId="28547"/>
    <cellStyle name="Input [yellow] 2 7 20 4" xfId="39712"/>
    <cellStyle name="Input [yellow] 2 7 20 5" xfId="50905"/>
    <cellStyle name="Input [yellow] 2 7 21" xfId="6005"/>
    <cellStyle name="Input [yellow] 2 7 21 2" xfId="17202"/>
    <cellStyle name="Input [yellow] 2 7 21 3" xfId="28370"/>
    <cellStyle name="Input [yellow] 2 7 21 4" xfId="39535"/>
    <cellStyle name="Input [yellow] 2 7 21 5" xfId="50728"/>
    <cellStyle name="Input [yellow] 2 7 22" xfId="6638"/>
    <cellStyle name="Input [yellow] 2 7 22 2" xfId="17835"/>
    <cellStyle name="Input [yellow] 2 7 22 3" xfId="29003"/>
    <cellStyle name="Input [yellow] 2 7 22 4" xfId="40168"/>
    <cellStyle name="Input [yellow] 2 7 22 5" xfId="51361"/>
    <cellStyle name="Input [yellow] 2 7 23" xfId="7270"/>
    <cellStyle name="Input [yellow] 2 7 23 2" xfId="18467"/>
    <cellStyle name="Input [yellow] 2 7 23 3" xfId="29635"/>
    <cellStyle name="Input [yellow] 2 7 23 4" xfId="40800"/>
    <cellStyle name="Input [yellow] 2 7 23 5" xfId="51993"/>
    <cellStyle name="Input [yellow] 2 7 24" xfId="7904"/>
    <cellStyle name="Input [yellow] 2 7 24 2" xfId="19101"/>
    <cellStyle name="Input [yellow] 2 7 24 3" xfId="30269"/>
    <cellStyle name="Input [yellow] 2 7 24 4" xfId="41434"/>
    <cellStyle name="Input [yellow] 2 7 24 5" xfId="52627"/>
    <cellStyle name="Input [yellow] 2 7 25" xfId="8537"/>
    <cellStyle name="Input [yellow] 2 7 25 2" xfId="19734"/>
    <cellStyle name="Input [yellow] 2 7 25 3" xfId="30902"/>
    <cellStyle name="Input [yellow] 2 7 25 4" xfId="42067"/>
    <cellStyle name="Input [yellow] 2 7 25 5" xfId="53260"/>
    <cellStyle name="Input [yellow] 2 7 26" xfId="9006"/>
    <cellStyle name="Input [yellow] 2 7 26 2" xfId="20203"/>
    <cellStyle name="Input [yellow] 2 7 26 3" xfId="31371"/>
    <cellStyle name="Input [yellow] 2 7 26 4" xfId="42536"/>
    <cellStyle name="Input [yellow] 2 7 26 5" xfId="53729"/>
    <cellStyle name="Input [yellow] 2 7 27" xfId="9589"/>
    <cellStyle name="Input [yellow] 2 7 27 2" xfId="20786"/>
    <cellStyle name="Input [yellow] 2 7 27 3" xfId="31954"/>
    <cellStyle name="Input [yellow] 2 7 27 4" xfId="43119"/>
    <cellStyle name="Input [yellow] 2 7 27 5" xfId="54312"/>
    <cellStyle name="Input [yellow] 2 7 28" xfId="10404"/>
    <cellStyle name="Input [yellow] 2 7 28 2" xfId="21601"/>
    <cellStyle name="Input [yellow] 2 7 28 3" xfId="32769"/>
    <cellStyle name="Input [yellow] 2 7 28 4" xfId="43934"/>
    <cellStyle name="Input [yellow] 2 7 28 5" xfId="55127"/>
    <cellStyle name="Input [yellow] 2 7 29" xfId="10622"/>
    <cellStyle name="Input [yellow] 2 7 29 2" xfId="21819"/>
    <cellStyle name="Input [yellow] 2 7 29 3" xfId="32987"/>
    <cellStyle name="Input [yellow] 2 7 29 4" xfId="44152"/>
    <cellStyle name="Input [yellow] 2 7 29 5" xfId="55345"/>
    <cellStyle name="Input [yellow] 2 7 3" xfId="188"/>
    <cellStyle name="Input [yellow] 2 7 3 10" xfId="6116"/>
    <cellStyle name="Input [yellow] 2 7 3 10 2" xfId="17313"/>
    <cellStyle name="Input [yellow] 2 7 3 10 3" xfId="28481"/>
    <cellStyle name="Input [yellow] 2 7 3 10 4" xfId="39646"/>
    <cellStyle name="Input [yellow] 2 7 3 10 5" xfId="50839"/>
    <cellStyle name="Input [yellow] 2 7 3 11" xfId="6158"/>
    <cellStyle name="Input [yellow] 2 7 3 11 2" xfId="17355"/>
    <cellStyle name="Input [yellow] 2 7 3 11 3" xfId="28523"/>
    <cellStyle name="Input [yellow] 2 7 3 11 4" xfId="39688"/>
    <cellStyle name="Input [yellow] 2 7 3 11 5" xfId="50881"/>
    <cellStyle name="Input [yellow] 2 7 3 12" xfId="6757"/>
    <cellStyle name="Input [yellow] 2 7 3 12 2" xfId="17954"/>
    <cellStyle name="Input [yellow] 2 7 3 12 3" xfId="29122"/>
    <cellStyle name="Input [yellow] 2 7 3 12 4" xfId="40287"/>
    <cellStyle name="Input [yellow] 2 7 3 12 5" xfId="51480"/>
    <cellStyle name="Input [yellow] 2 7 3 13" xfId="7391"/>
    <cellStyle name="Input [yellow] 2 7 3 13 2" xfId="18588"/>
    <cellStyle name="Input [yellow] 2 7 3 13 3" xfId="29756"/>
    <cellStyle name="Input [yellow] 2 7 3 13 4" xfId="40921"/>
    <cellStyle name="Input [yellow] 2 7 3 13 5" xfId="52114"/>
    <cellStyle name="Input [yellow] 2 7 3 14" xfId="8025"/>
    <cellStyle name="Input [yellow] 2 7 3 14 2" xfId="19222"/>
    <cellStyle name="Input [yellow] 2 7 3 14 3" xfId="30390"/>
    <cellStyle name="Input [yellow] 2 7 3 14 4" xfId="41555"/>
    <cellStyle name="Input [yellow] 2 7 3 14 5" xfId="52748"/>
    <cellStyle name="Input [yellow] 2 7 3 15" xfId="8656"/>
    <cellStyle name="Input [yellow] 2 7 3 15 2" xfId="19853"/>
    <cellStyle name="Input [yellow] 2 7 3 15 3" xfId="31021"/>
    <cellStyle name="Input [yellow] 2 7 3 15 4" xfId="42186"/>
    <cellStyle name="Input [yellow] 2 7 3 15 5" xfId="53379"/>
    <cellStyle name="Input [yellow] 2 7 3 16" xfId="8567"/>
    <cellStyle name="Input [yellow] 2 7 3 16 2" xfId="19764"/>
    <cellStyle name="Input [yellow] 2 7 3 16 3" xfId="30932"/>
    <cellStyle name="Input [yellow] 2 7 3 16 4" xfId="42097"/>
    <cellStyle name="Input [yellow] 2 7 3 16 5" xfId="53290"/>
    <cellStyle name="Input [yellow] 2 7 3 17" xfId="9708"/>
    <cellStyle name="Input [yellow] 2 7 3 17 2" xfId="20905"/>
    <cellStyle name="Input [yellow] 2 7 3 17 3" xfId="32073"/>
    <cellStyle name="Input [yellow] 2 7 3 17 4" xfId="43238"/>
    <cellStyle name="Input [yellow] 2 7 3 17 5" xfId="54431"/>
    <cellStyle name="Input [yellow] 2 7 3 18" xfId="10346"/>
    <cellStyle name="Input [yellow] 2 7 3 18 2" xfId="21543"/>
    <cellStyle name="Input [yellow] 2 7 3 18 3" xfId="32711"/>
    <cellStyle name="Input [yellow] 2 7 3 18 4" xfId="43876"/>
    <cellStyle name="Input [yellow] 2 7 3 18 5" xfId="55069"/>
    <cellStyle name="Input [yellow] 2 7 3 19" xfId="10741"/>
    <cellStyle name="Input [yellow] 2 7 3 19 2" xfId="21938"/>
    <cellStyle name="Input [yellow] 2 7 3 19 3" xfId="33106"/>
    <cellStyle name="Input [yellow] 2 7 3 19 4" xfId="44271"/>
    <cellStyle name="Input [yellow] 2 7 3 19 5" xfId="55464"/>
    <cellStyle name="Input [yellow] 2 7 3 2" xfId="837"/>
    <cellStyle name="Input [yellow] 2 7 3 2 2" xfId="12034"/>
    <cellStyle name="Input [yellow] 2 7 3 2 3" xfId="23202"/>
    <cellStyle name="Input [yellow] 2 7 3 2 4" xfId="34367"/>
    <cellStyle name="Input [yellow] 2 7 3 2 5" xfId="45560"/>
    <cellStyle name="Input [yellow] 2 7 3 20" xfId="11388"/>
    <cellStyle name="Input [yellow] 2 7 3 21" xfId="22558"/>
    <cellStyle name="Input [yellow] 2 7 3 22" xfId="33725"/>
    <cellStyle name="Input [yellow] 2 7 3 23" xfId="44911"/>
    <cellStyle name="Input [yellow] 2 7 3 3" xfId="1660"/>
    <cellStyle name="Input [yellow] 2 7 3 3 2" xfId="12857"/>
    <cellStyle name="Input [yellow] 2 7 3 3 3" xfId="24025"/>
    <cellStyle name="Input [yellow] 2 7 3 3 4" xfId="35190"/>
    <cellStyle name="Input [yellow] 2 7 3 3 5" xfId="46383"/>
    <cellStyle name="Input [yellow] 2 7 3 4" xfId="2114"/>
    <cellStyle name="Input [yellow] 2 7 3 4 2" xfId="13311"/>
    <cellStyle name="Input [yellow] 2 7 3 4 3" xfId="24479"/>
    <cellStyle name="Input [yellow] 2 7 3 4 4" xfId="35644"/>
    <cellStyle name="Input [yellow] 2 7 3 4 5" xfId="46837"/>
    <cellStyle name="Input [yellow] 2 7 3 5" xfId="2365"/>
    <cellStyle name="Input [yellow] 2 7 3 5 2" xfId="13562"/>
    <cellStyle name="Input [yellow] 2 7 3 5 3" xfId="24730"/>
    <cellStyle name="Input [yellow] 2 7 3 5 4" xfId="35895"/>
    <cellStyle name="Input [yellow] 2 7 3 5 5" xfId="47088"/>
    <cellStyle name="Input [yellow] 2 7 3 6" xfId="3172"/>
    <cellStyle name="Input [yellow] 2 7 3 6 2" xfId="14369"/>
    <cellStyle name="Input [yellow] 2 7 3 6 3" xfId="25537"/>
    <cellStyle name="Input [yellow] 2 7 3 6 4" xfId="36702"/>
    <cellStyle name="Input [yellow] 2 7 3 6 5" xfId="47895"/>
    <cellStyle name="Input [yellow] 2 7 3 7" xfId="3806"/>
    <cellStyle name="Input [yellow] 2 7 3 7 2" xfId="15003"/>
    <cellStyle name="Input [yellow] 2 7 3 7 3" xfId="26171"/>
    <cellStyle name="Input [yellow] 2 7 3 7 4" xfId="37336"/>
    <cellStyle name="Input [yellow] 2 7 3 7 5" xfId="48529"/>
    <cellStyle name="Input [yellow] 2 7 3 8" xfId="4439"/>
    <cellStyle name="Input [yellow] 2 7 3 8 2" xfId="15636"/>
    <cellStyle name="Input [yellow] 2 7 3 8 3" xfId="26804"/>
    <cellStyle name="Input [yellow] 2 7 3 8 4" xfId="37969"/>
    <cellStyle name="Input [yellow] 2 7 3 8 5" xfId="49162"/>
    <cellStyle name="Input [yellow] 2 7 3 9" xfId="5070"/>
    <cellStyle name="Input [yellow] 2 7 3 9 2" xfId="16267"/>
    <cellStyle name="Input [yellow] 2 7 3 9 3" xfId="27435"/>
    <cellStyle name="Input [yellow] 2 7 3 9 4" xfId="38600"/>
    <cellStyle name="Input [yellow] 2 7 3 9 5" xfId="49793"/>
    <cellStyle name="Input [yellow] 2 7 30" xfId="11268"/>
    <cellStyle name="Input [yellow] 2 7 31" xfId="22439"/>
    <cellStyle name="Input [yellow] 2 7 32" xfId="33606"/>
    <cellStyle name="Input [yellow] 2 7 33" xfId="44790"/>
    <cellStyle name="Input [yellow] 2 7 4" xfId="284"/>
    <cellStyle name="Input [yellow] 2 7 4 10" xfId="5647"/>
    <cellStyle name="Input [yellow] 2 7 4 10 2" xfId="16844"/>
    <cellStyle name="Input [yellow] 2 7 4 10 3" xfId="28012"/>
    <cellStyle name="Input [yellow] 2 7 4 10 4" xfId="39177"/>
    <cellStyle name="Input [yellow] 2 7 4 10 5" xfId="50370"/>
    <cellStyle name="Input [yellow] 2 7 4 11" xfId="6220"/>
    <cellStyle name="Input [yellow] 2 7 4 11 2" xfId="17417"/>
    <cellStyle name="Input [yellow] 2 7 4 11 3" xfId="28585"/>
    <cellStyle name="Input [yellow] 2 7 4 11 4" xfId="39750"/>
    <cellStyle name="Input [yellow] 2 7 4 11 5" xfId="50943"/>
    <cellStyle name="Input [yellow] 2 7 4 12" xfId="6853"/>
    <cellStyle name="Input [yellow] 2 7 4 12 2" xfId="18050"/>
    <cellStyle name="Input [yellow] 2 7 4 12 3" xfId="29218"/>
    <cellStyle name="Input [yellow] 2 7 4 12 4" xfId="40383"/>
    <cellStyle name="Input [yellow] 2 7 4 12 5" xfId="51576"/>
    <cellStyle name="Input [yellow] 2 7 4 13" xfId="7487"/>
    <cellStyle name="Input [yellow] 2 7 4 13 2" xfId="18684"/>
    <cellStyle name="Input [yellow] 2 7 4 13 3" xfId="29852"/>
    <cellStyle name="Input [yellow] 2 7 4 13 4" xfId="41017"/>
    <cellStyle name="Input [yellow] 2 7 4 13 5" xfId="52210"/>
    <cellStyle name="Input [yellow] 2 7 4 14" xfId="8121"/>
    <cellStyle name="Input [yellow] 2 7 4 14 2" xfId="19318"/>
    <cellStyle name="Input [yellow] 2 7 4 14 3" xfId="30486"/>
    <cellStyle name="Input [yellow] 2 7 4 14 4" xfId="41651"/>
    <cellStyle name="Input [yellow] 2 7 4 14 5" xfId="52844"/>
    <cellStyle name="Input [yellow] 2 7 4 15" xfId="8750"/>
    <cellStyle name="Input [yellow] 2 7 4 15 2" xfId="19947"/>
    <cellStyle name="Input [yellow] 2 7 4 15 3" xfId="31115"/>
    <cellStyle name="Input [yellow] 2 7 4 15 4" xfId="42280"/>
    <cellStyle name="Input [yellow] 2 7 4 15 5" xfId="53473"/>
    <cellStyle name="Input [yellow] 2 7 4 16" xfId="9172"/>
    <cellStyle name="Input [yellow] 2 7 4 16 2" xfId="20369"/>
    <cellStyle name="Input [yellow] 2 7 4 16 3" xfId="31537"/>
    <cellStyle name="Input [yellow] 2 7 4 16 4" xfId="42702"/>
    <cellStyle name="Input [yellow] 2 7 4 16 5" xfId="53895"/>
    <cellStyle name="Input [yellow] 2 7 4 17" xfId="9799"/>
    <cellStyle name="Input [yellow] 2 7 4 17 2" xfId="20996"/>
    <cellStyle name="Input [yellow] 2 7 4 17 3" xfId="32164"/>
    <cellStyle name="Input [yellow] 2 7 4 17 4" xfId="43329"/>
    <cellStyle name="Input [yellow] 2 7 4 17 5" xfId="54522"/>
    <cellStyle name="Input [yellow] 2 7 4 18" xfId="10447"/>
    <cellStyle name="Input [yellow] 2 7 4 18 2" xfId="21644"/>
    <cellStyle name="Input [yellow] 2 7 4 18 3" xfId="32812"/>
    <cellStyle name="Input [yellow] 2 7 4 18 4" xfId="43977"/>
    <cellStyle name="Input [yellow] 2 7 4 18 5" xfId="55170"/>
    <cellStyle name="Input [yellow] 2 7 4 19" xfId="10837"/>
    <cellStyle name="Input [yellow] 2 7 4 19 2" xfId="22034"/>
    <cellStyle name="Input [yellow] 2 7 4 19 3" xfId="33202"/>
    <cellStyle name="Input [yellow] 2 7 4 19 4" xfId="44367"/>
    <cellStyle name="Input [yellow] 2 7 4 19 5" xfId="55560"/>
    <cellStyle name="Input [yellow] 2 7 4 2" xfId="933"/>
    <cellStyle name="Input [yellow] 2 7 4 2 2" xfId="12130"/>
    <cellStyle name="Input [yellow] 2 7 4 2 3" xfId="23298"/>
    <cellStyle name="Input [yellow] 2 7 4 2 4" xfId="34463"/>
    <cellStyle name="Input [yellow] 2 7 4 2 5" xfId="45656"/>
    <cellStyle name="Input [yellow] 2 7 4 20" xfId="11484"/>
    <cellStyle name="Input [yellow] 2 7 4 21" xfId="22654"/>
    <cellStyle name="Input [yellow] 2 7 4 22" xfId="33821"/>
    <cellStyle name="Input [yellow] 2 7 4 23" xfId="45007"/>
    <cellStyle name="Input [yellow] 2 7 4 3" xfId="1352"/>
    <cellStyle name="Input [yellow] 2 7 4 3 2" xfId="12549"/>
    <cellStyle name="Input [yellow] 2 7 4 3 3" xfId="23717"/>
    <cellStyle name="Input [yellow] 2 7 4 3 4" xfId="34882"/>
    <cellStyle name="Input [yellow] 2 7 4 3 5" xfId="46075"/>
    <cellStyle name="Input [yellow] 2 7 4 4" xfId="2209"/>
    <cellStyle name="Input [yellow] 2 7 4 4 2" xfId="13406"/>
    <cellStyle name="Input [yellow] 2 7 4 4 3" xfId="24574"/>
    <cellStyle name="Input [yellow] 2 7 4 4 4" xfId="35739"/>
    <cellStyle name="Input [yellow] 2 7 4 4 5" xfId="46932"/>
    <cellStyle name="Input [yellow] 2 7 4 5" xfId="2634"/>
    <cellStyle name="Input [yellow] 2 7 4 5 2" xfId="13831"/>
    <cellStyle name="Input [yellow] 2 7 4 5 3" xfId="24999"/>
    <cellStyle name="Input [yellow] 2 7 4 5 4" xfId="36164"/>
    <cellStyle name="Input [yellow] 2 7 4 5 5" xfId="47357"/>
    <cellStyle name="Input [yellow] 2 7 4 6" xfId="3268"/>
    <cellStyle name="Input [yellow] 2 7 4 6 2" xfId="14465"/>
    <cellStyle name="Input [yellow] 2 7 4 6 3" xfId="25633"/>
    <cellStyle name="Input [yellow] 2 7 4 6 4" xfId="36798"/>
    <cellStyle name="Input [yellow] 2 7 4 6 5" xfId="47991"/>
    <cellStyle name="Input [yellow] 2 7 4 7" xfId="3902"/>
    <cellStyle name="Input [yellow] 2 7 4 7 2" xfId="15099"/>
    <cellStyle name="Input [yellow] 2 7 4 7 3" xfId="26267"/>
    <cellStyle name="Input [yellow] 2 7 4 7 4" xfId="37432"/>
    <cellStyle name="Input [yellow] 2 7 4 7 5" xfId="48625"/>
    <cellStyle name="Input [yellow] 2 7 4 8" xfId="4535"/>
    <cellStyle name="Input [yellow] 2 7 4 8 2" xfId="15732"/>
    <cellStyle name="Input [yellow] 2 7 4 8 3" xfId="26900"/>
    <cellStyle name="Input [yellow] 2 7 4 8 4" xfId="38065"/>
    <cellStyle name="Input [yellow] 2 7 4 8 5" xfId="49258"/>
    <cellStyle name="Input [yellow] 2 7 4 9" xfId="5166"/>
    <cellStyle name="Input [yellow] 2 7 4 9 2" xfId="16363"/>
    <cellStyle name="Input [yellow] 2 7 4 9 3" xfId="27531"/>
    <cellStyle name="Input [yellow] 2 7 4 9 4" xfId="38696"/>
    <cellStyle name="Input [yellow] 2 7 4 9 5" xfId="49889"/>
    <cellStyle name="Input [yellow] 2 7 5" xfId="316"/>
    <cellStyle name="Input [yellow] 2 7 5 10" xfId="3029"/>
    <cellStyle name="Input [yellow] 2 7 5 10 2" xfId="14226"/>
    <cellStyle name="Input [yellow] 2 7 5 10 3" xfId="25394"/>
    <cellStyle name="Input [yellow] 2 7 5 10 4" xfId="36559"/>
    <cellStyle name="Input [yellow] 2 7 5 10 5" xfId="47752"/>
    <cellStyle name="Input [yellow] 2 7 5 11" xfId="6252"/>
    <cellStyle name="Input [yellow] 2 7 5 11 2" xfId="17449"/>
    <cellStyle name="Input [yellow] 2 7 5 11 3" xfId="28617"/>
    <cellStyle name="Input [yellow] 2 7 5 11 4" xfId="39782"/>
    <cellStyle name="Input [yellow] 2 7 5 11 5" xfId="50975"/>
    <cellStyle name="Input [yellow] 2 7 5 12" xfId="6885"/>
    <cellStyle name="Input [yellow] 2 7 5 12 2" xfId="18082"/>
    <cellStyle name="Input [yellow] 2 7 5 12 3" xfId="29250"/>
    <cellStyle name="Input [yellow] 2 7 5 12 4" xfId="40415"/>
    <cellStyle name="Input [yellow] 2 7 5 12 5" xfId="51608"/>
    <cellStyle name="Input [yellow] 2 7 5 13" xfId="7519"/>
    <cellStyle name="Input [yellow] 2 7 5 13 2" xfId="18716"/>
    <cellStyle name="Input [yellow] 2 7 5 13 3" xfId="29884"/>
    <cellStyle name="Input [yellow] 2 7 5 13 4" xfId="41049"/>
    <cellStyle name="Input [yellow] 2 7 5 13 5" xfId="52242"/>
    <cellStyle name="Input [yellow] 2 7 5 14" xfId="8153"/>
    <cellStyle name="Input [yellow] 2 7 5 14 2" xfId="19350"/>
    <cellStyle name="Input [yellow] 2 7 5 14 3" xfId="30518"/>
    <cellStyle name="Input [yellow] 2 7 5 14 4" xfId="41683"/>
    <cellStyle name="Input [yellow] 2 7 5 14 5" xfId="52876"/>
    <cellStyle name="Input [yellow] 2 7 5 15" xfId="8782"/>
    <cellStyle name="Input [yellow] 2 7 5 15 2" xfId="19979"/>
    <cellStyle name="Input [yellow] 2 7 5 15 3" xfId="31147"/>
    <cellStyle name="Input [yellow] 2 7 5 15 4" xfId="42312"/>
    <cellStyle name="Input [yellow] 2 7 5 15 5" xfId="53505"/>
    <cellStyle name="Input [yellow] 2 7 5 16" xfId="9204"/>
    <cellStyle name="Input [yellow] 2 7 5 16 2" xfId="20401"/>
    <cellStyle name="Input [yellow] 2 7 5 16 3" xfId="31569"/>
    <cellStyle name="Input [yellow] 2 7 5 16 4" xfId="42734"/>
    <cellStyle name="Input [yellow] 2 7 5 16 5" xfId="53927"/>
    <cellStyle name="Input [yellow] 2 7 5 17" xfId="9831"/>
    <cellStyle name="Input [yellow] 2 7 5 17 2" xfId="21028"/>
    <cellStyle name="Input [yellow] 2 7 5 17 3" xfId="32196"/>
    <cellStyle name="Input [yellow] 2 7 5 17 4" xfId="43361"/>
    <cellStyle name="Input [yellow] 2 7 5 17 5" xfId="54554"/>
    <cellStyle name="Input [yellow] 2 7 5 18" xfId="10221"/>
    <cellStyle name="Input [yellow] 2 7 5 18 2" xfId="21418"/>
    <cellStyle name="Input [yellow] 2 7 5 18 3" xfId="32586"/>
    <cellStyle name="Input [yellow] 2 7 5 18 4" xfId="43751"/>
    <cellStyle name="Input [yellow] 2 7 5 18 5" xfId="54944"/>
    <cellStyle name="Input [yellow] 2 7 5 19" xfId="10869"/>
    <cellStyle name="Input [yellow] 2 7 5 19 2" xfId="22066"/>
    <cellStyle name="Input [yellow] 2 7 5 19 3" xfId="33234"/>
    <cellStyle name="Input [yellow] 2 7 5 19 4" xfId="44399"/>
    <cellStyle name="Input [yellow] 2 7 5 19 5" xfId="55592"/>
    <cellStyle name="Input [yellow] 2 7 5 2" xfId="965"/>
    <cellStyle name="Input [yellow] 2 7 5 2 2" xfId="12162"/>
    <cellStyle name="Input [yellow] 2 7 5 2 3" xfId="23330"/>
    <cellStyle name="Input [yellow] 2 7 5 2 4" xfId="34495"/>
    <cellStyle name="Input [yellow] 2 7 5 2 5" xfId="45688"/>
    <cellStyle name="Input [yellow] 2 7 5 20" xfId="11516"/>
    <cellStyle name="Input [yellow] 2 7 5 21" xfId="22686"/>
    <cellStyle name="Input [yellow] 2 7 5 22" xfId="33853"/>
    <cellStyle name="Input [yellow] 2 7 5 23" xfId="45039"/>
    <cellStyle name="Input [yellow] 2 7 5 3" xfId="1553"/>
    <cellStyle name="Input [yellow] 2 7 5 3 2" xfId="12750"/>
    <cellStyle name="Input [yellow] 2 7 5 3 3" xfId="23918"/>
    <cellStyle name="Input [yellow] 2 7 5 3 4" xfId="35083"/>
    <cellStyle name="Input [yellow] 2 7 5 3 5" xfId="46276"/>
    <cellStyle name="Input [yellow] 2 7 5 4" xfId="2241"/>
    <cellStyle name="Input [yellow] 2 7 5 4 2" xfId="13438"/>
    <cellStyle name="Input [yellow] 2 7 5 4 3" xfId="24606"/>
    <cellStyle name="Input [yellow] 2 7 5 4 4" xfId="35771"/>
    <cellStyle name="Input [yellow] 2 7 5 4 5" xfId="46964"/>
    <cellStyle name="Input [yellow] 2 7 5 5" xfId="2666"/>
    <cellStyle name="Input [yellow] 2 7 5 5 2" xfId="13863"/>
    <cellStyle name="Input [yellow] 2 7 5 5 3" xfId="25031"/>
    <cellStyle name="Input [yellow] 2 7 5 5 4" xfId="36196"/>
    <cellStyle name="Input [yellow] 2 7 5 5 5" xfId="47389"/>
    <cellStyle name="Input [yellow] 2 7 5 6" xfId="3300"/>
    <cellStyle name="Input [yellow] 2 7 5 6 2" xfId="14497"/>
    <cellStyle name="Input [yellow] 2 7 5 6 3" xfId="25665"/>
    <cellStyle name="Input [yellow] 2 7 5 6 4" xfId="36830"/>
    <cellStyle name="Input [yellow] 2 7 5 6 5" xfId="48023"/>
    <cellStyle name="Input [yellow] 2 7 5 7" xfId="3934"/>
    <cellStyle name="Input [yellow] 2 7 5 7 2" xfId="15131"/>
    <cellStyle name="Input [yellow] 2 7 5 7 3" xfId="26299"/>
    <cellStyle name="Input [yellow] 2 7 5 7 4" xfId="37464"/>
    <cellStyle name="Input [yellow] 2 7 5 7 5" xfId="48657"/>
    <cellStyle name="Input [yellow] 2 7 5 8" xfId="4567"/>
    <cellStyle name="Input [yellow] 2 7 5 8 2" xfId="15764"/>
    <cellStyle name="Input [yellow] 2 7 5 8 3" xfId="26932"/>
    <cellStyle name="Input [yellow] 2 7 5 8 4" xfId="38097"/>
    <cellStyle name="Input [yellow] 2 7 5 8 5" xfId="49290"/>
    <cellStyle name="Input [yellow] 2 7 5 9" xfId="5198"/>
    <cellStyle name="Input [yellow] 2 7 5 9 2" xfId="16395"/>
    <cellStyle name="Input [yellow] 2 7 5 9 3" xfId="27563"/>
    <cellStyle name="Input [yellow] 2 7 5 9 4" xfId="38728"/>
    <cellStyle name="Input [yellow] 2 7 5 9 5" xfId="49921"/>
    <cellStyle name="Input [yellow] 2 7 6" xfId="397"/>
    <cellStyle name="Input [yellow] 2 7 6 10" xfId="5946"/>
    <cellStyle name="Input [yellow] 2 7 6 10 2" xfId="17143"/>
    <cellStyle name="Input [yellow] 2 7 6 10 3" xfId="28311"/>
    <cellStyle name="Input [yellow] 2 7 6 10 4" xfId="39476"/>
    <cellStyle name="Input [yellow] 2 7 6 10 5" xfId="50669"/>
    <cellStyle name="Input [yellow] 2 7 6 11" xfId="6333"/>
    <cellStyle name="Input [yellow] 2 7 6 11 2" xfId="17530"/>
    <cellStyle name="Input [yellow] 2 7 6 11 3" xfId="28698"/>
    <cellStyle name="Input [yellow] 2 7 6 11 4" xfId="39863"/>
    <cellStyle name="Input [yellow] 2 7 6 11 5" xfId="51056"/>
    <cellStyle name="Input [yellow] 2 7 6 12" xfId="6966"/>
    <cellStyle name="Input [yellow] 2 7 6 12 2" xfId="18163"/>
    <cellStyle name="Input [yellow] 2 7 6 12 3" xfId="29331"/>
    <cellStyle name="Input [yellow] 2 7 6 12 4" xfId="40496"/>
    <cellStyle name="Input [yellow] 2 7 6 12 5" xfId="51689"/>
    <cellStyle name="Input [yellow] 2 7 6 13" xfId="7600"/>
    <cellStyle name="Input [yellow] 2 7 6 13 2" xfId="18797"/>
    <cellStyle name="Input [yellow] 2 7 6 13 3" xfId="29965"/>
    <cellStyle name="Input [yellow] 2 7 6 13 4" xfId="41130"/>
    <cellStyle name="Input [yellow] 2 7 6 13 5" xfId="52323"/>
    <cellStyle name="Input [yellow] 2 7 6 14" xfId="8234"/>
    <cellStyle name="Input [yellow] 2 7 6 14 2" xfId="19431"/>
    <cellStyle name="Input [yellow] 2 7 6 14 3" xfId="30599"/>
    <cellStyle name="Input [yellow] 2 7 6 14 4" xfId="41764"/>
    <cellStyle name="Input [yellow] 2 7 6 14 5" xfId="52957"/>
    <cellStyle name="Input [yellow] 2 7 6 15" xfId="8862"/>
    <cellStyle name="Input [yellow] 2 7 6 15 2" xfId="20059"/>
    <cellStyle name="Input [yellow] 2 7 6 15 3" xfId="31227"/>
    <cellStyle name="Input [yellow] 2 7 6 15 4" xfId="42392"/>
    <cellStyle name="Input [yellow] 2 7 6 15 5" xfId="53585"/>
    <cellStyle name="Input [yellow] 2 7 6 16" xfId="9285"/>
    <cellStyle name="Input [yellow] 2 7 6 16 2" xfId="20482"/>
    <cellStyle name="Input [yellow] 2 7 6 16 3" xfId="31650"/>
    <cellStyle name="Input [yellow] 2 7 6 16 4" xfId="42815"/>
    <cellStyle name="Input [yellow] 2 7 6 16 5" xfId="54008"/>
    <cellStyle name="Input [yellow] 2 7 6 17" xfId="9911"/>
    <cellStyle name="Input [yellow] 2 7 6 17 2" xfId="21108"/>
    <cellStyle name="Input [yellow] 2 7 6 17 3" xfId="32276"/>
    <cellStyle name="Input [yellow] 2 7 6 17 4" xfId="43441"/>
    <cellStyle name="Input [yellow] 2 7 6 17 5" xfId="54634"/>
    <cellStyle name="Input [yellow] 2 7 6 18" xfId="10484"/>
    <cellStyle name="Input [yellow] 2 7 6 18 2" xfId="21681"/>
    <cellStyle name="Input [yellow] 2 7 6 18 3" xfId="32849"/>
    <cellStyle name="Input [yellow] 2 7 6 18 4" xfId="44014"/>
    <cellStyle name="Input [yellow] 2 7 6 18 5" xfId="55207"/>
    <cellStyle name="Input [yellow] 2 7 6 19" xfId="10950"/>
    <cellStyle name="Input [yellow] 2 7 6 19 2" xfId="22147"/>
    <cellStyle name="Input [yellow] 2 7 6 19 3" xfId="33315"/>
    <cellStyle name="Input [yellow] 2 7 6 19 4" xfId="44480"/>
    <cellStyle name="Input [yellow] 2 7 6 19 5" xfId="55673"/>
    <cellStyle name="Input [yellow] 2 7 6 2" xfId="1046"/>
    <cellStyle name="Input [yellow] 2 7 6 2 2" xfId="12243"/>
    <cellStyle name="Input [yellow] 2 7 6 2 3" xfId="23411"/>
    <cellStyle name="Input [yellow] 2 7 6 2 4" xfId="34576"/>
    <cellStyle name="Input [yellow] 2 7 6 2 5" xfId="45769"/>
    <cellStyle name="Input [yellow] 2 7 6 20" xfId="11597"/>
    <cellStyle name="Input [yellow] 2 7 6 21" xfId="22767"/>
    <cellStyle name="Input [yellow] 2 7 6 22" xfId="33934"/>
    <cellStyle name="Input [yellow] 2 7 6 23" xfId="45120"/>
    <cellStyle name="Input [yellow] 2 7 6 3" xfId="1781"/>
    <cellStyle name="Input [yellow] 2 7 6 3 2" xfId="12978"/>
    <cellStyle name="Input [yellow] 2 7 6 3 3" xfId="24146"/>
    <cellStyle name="Input [yellow] 2 7 6 3 4" xfId="35311"/>
    <cellStyle name="Input [yellow] 2 7 6 3 5" xfId="46504"/>
    <cellStyle name="Input [yellow] 2 7 6 4" xfId="2322"/>
    <cellStyle name="Input [yellow] 2 7 6 4 2" xfId="13519"/>
    <cellStyle name="Input [yellow] 2 7 6 4 3" xfId="24687"/>
    <cellStyle name="Input [yellow] 2 7 6 4 4" xfId="35852"/>
    <cellStyle name="Input [yellow] 2 7 6 4 5" xfId="47045"/>
    <cellStyle name="Input [yellow] 2 7 6 5" xfId="2747"/>
    <cellStyle name="Input [yellow] 2 7 6 5 2" xfId="13944"/>
    <cellStyle name="Input [yellow] 2 7 6 5 3" xfId="25112"/>
    <cellStyle name="Input [yellow] 2 7 6 5 4" xfId="36277"/>
    <cellStyle name="Input [yellow] 2 7 6 5 5" xfId="47470"/>
    <cellStyle name="Input [yellow] 2 7 6 6" xfId="3381"/>
    <cellStyle name="Input [yellow] 2 7 6 6 2" xfId="14578"/>
    <cellStyle name="Input [yellow] 2 7 6 6 3" xfId="25746"/>
    <cellStyle name="Input [yellow] 2 7 6 6 4" xfId="36911"/>
    <cellStyle name="Input [yellow] 2 7 6 6 5" xfId="48104"/>
    <cellStyle name="Input [yellow] 2 7 6 7" xfId="4015"/>
    <cellStyle name="Input [yellow] 2 7 6 7 2" xfId="15212"/>
    <cellStyle name="Input [yellow] 2 7 6 7 3" xfId="26380"/>
    <cellStyle name="Input [yellow] 2 7 6 7 4" xfId="37545"/>
    <cellStyle name="Input [yellow] 2 7 6 7 5" xfId="48738"/>
    <cellStyle name="Input [yellow] 2 7 6 8" xfId="4648"/>
    <cellStyle name="Input [yellow] 2 7 6 8 2" xfId="15845"/>
    <cellStyle name="Input [yellow] 2 7 6 8 3" xfId="27013"/>
    <cellStyle name="Input [yellow] 2 7 6 8 4" xfId="38178"/>
    <cellStyle name="Input [yellow] 2 7 6 8 5" xfId="49371"/>
    <cellStyle name="Input [yellow] 2 7 6 9" xfId="5279"/>
    <cellStyle name="Input [yellow] 2 7 6 9 2" xfId="16476"/>
    <cellStyle name="Input [yellow] 2 7 6 9 3" xfId="27644"/>
    <cellStyle name="Input [yellow] 2 7 6 9 4" xfId="38809"/>
    <cellStyle name="Input [yellow] 2 7 6 9 5" xfId="50002"/>
    <cellStyle name="Input [yellow] 2 7 7" xfId="441"/>
    <cellStyle name="Input [yellow] 2 7 7 10" xfId="5928"/>
    <cellStyle name="Input [yellow] 2 7 7 10 2" xfId="17125"/>
    <cellStyle name="Input [yellow] 2 7 7 10 3" xfId="28293"/>
    <cellStyle name="Input [yellow] 2 7 7 10 4" xfId="39458"/>
    <cellStyle name="Input [yellow] 2 7 7 10 5" xfId="50651"/>
    <cellStyle name="Input [yellow] 2 7 7 11" xfId="6377"/>
    <cellStyle name="Input [yellow] 2 7 7 11 2" xfId="17574"/>
    <cellStyle name="Input [yellow] 2 7 7 11 3" xfId="28742"/>
    <cellStyle name="Input [yellow] 2 7 7 11 4" xfId="39907"/>
    <cellStyle name="Input [yellow] 2 7 7 11 5" xfId="51100"/>
    <cellStyle name="Input [yellow] 2 7 7 12" xfId="7010"/>
    <cellStyle name="Input [yellow] 2 7 7 12 2" xfId="18207"/>
    <cellStyle name="Input [yellow] 2 7 7 12 3" xfId="29375"/>
    <cellStyle name="Input [yellow] 2 7 7 12 4" xfId="40540"/>
    <cellStyle name="Input [yellow] 2 7 7 12 5" xfId="51733"/>
    <cellStyle name="Input [yellow] 2 7 7 13" xfId="7644"/>
    <cellStyle name="Input [yellow] 2 7 7 13 2" xfId="18841"/>
    <cellStyle name="Input [yellow] 2 7 7 13 3" xfId="30009"/>
    <cellStyle name="Input [yellow] 2 7 7 13 4" xfId="41174"/>
    <cellStyle name="Input [yellow] 2 7 7 13 5" xfId="52367"/>
    <cellStyle name="Input [yellow] 2 7 7 14" xfId="8278"/>
    <cellStyle name="Input [yellow] 2 7 7 14 2" xfId="19475"/>
    <cellStyle name="Input [yellow] 2 7 7 14 3" xfId="30643"/>
    <cellStyle name="Input [yellow] 2 7 7 14 4" xfId="41808"/>
    <cellStyle name="Input [yellow] 2 7 7 14 5" xfId="53001"/>
    <cellStyle name="Input [yellow] 2 7 7 15" xfId="8906"/>
    <cellStyle name="Input [yellow] 2 7 7 15 2" xfId="20103"/>
    <cellStyle name="Input [yellow] 2 7 7 15 3" xfId="31271"/>
    <cellStyle name="Input [yellow] 2 7 7 15 4" xfId="42436"/>
    <cellStyle name="Input [yellow] 2 7 7 15 5" xfId="53629"/>
    <cellStyle name="Input [yellow] 2 7 7 16" xfId="9329"/>
    <cellStyle name="Input [yellow] 2 7 7 16 2" xfId="20526"/>
    <cellStyle name="Input [yellow] 2 7 7 16 3" xfId="31694"/>
    <cellStyle name="Input [yellow] 2 7 7 16 4" xfId="42859"/>
    <cellStyle name="Input [yellow] 2 7 7 16 5" xfId="54052"/>
    <cellStyle name="Input [yellow] 2 7 7 17" xfId="9955"/>
    <cellStyle name="Input [yellow] 2 7 7 17 2" xfId="21152"/>
    <cellStyle name="Input [yellow] 2 7 7 17 3" xfId="32320"/>
    <cellStyle name="Input [yellow] 2 7 7 17 4" xfId="43485"/>
    <cellStyle name="Input [yellow] 2 7 7 17 5" xfId="54678"/>
    <cellStyle name="Input [yellow] 2 7 7 18" xfId="10474"/>
    <cellStyle name="Input [yellow] 2 7 7 18 2" xfId="21671"/>
    <cellStyle name="Input [yellow] 2 7 7 18 3" xfId="32839"/>
    <cellStyle name="Input [yellow] 2 7 7 18 4" xfId="44004"/>
    <cellStyle name="Input [yellow] 2 7 7 18 5" xfId="55197"/>
    <cellStyle name="Input [yellow] 2 7 7 19" xfId="10994"/>
    <cellStyle name="Input [yellow] 2 7 7 19 2" xfId="22191"/>
    <cellStyle name="Input [yellow] 2 7 7 19 3" xfId="33359"/>
    <cellStyle name="Input [yellow] 2 7 7 19 4" xfId="44524"/>
    <cellStyle name="Input [yellow] 2 7 7 19 5" xfId="55717"/>
    <cellStyle name="Input [yellow] 2 7 7 2" xfId="1090"/>
    <cellStyle name="Input [yellow] 2 7 7 2 2" xfId="12287"/>
    <cellStyle name="Input [yellow] 2 7 7 2 3" xfId="23455"/>
    <cellStyle name="Input [yellow] 2 7 7 2 4" xfId="34620"/>
    <cellStyle name="Input [yellow] 2 7 7 2 5" xfId="45813"/>
    <cellStyle name="Input [yellow] 2 7 7 20" xfId="11641"/>
    <cellStyle name="Input [yellow] 2 7 7 21" xfId="22811"/>
    <cellStyle name="Input [yellow] 2 7 7 22" xfId="33978"/>
    <cellStyle name="Input [yellow] 2 7 7 23" xfId="45164"/>
    <cellStyle name="Input [yellow] 2 7 7 3" xfId="1771"/>
    <cellStyle name="Input [yellow] 2 7 7 3 2" xfId="12968"/>
    <cellStyle name="Input [yellow] 2 7 7 3 3" xfId="24136"/>
    <cellStyle name="Input [yellow] 2 7 7 3 4" xfId="35301"/>
    <cellStyle name="Input [yellow] 2 7 7 3 5" xfId="46494"/>
    <cellStyle name="Input [yellow] 2 7 7 4" xfId="2366"/>
    <cellStyle name="Input [yellow] 2 7 7 4 2" xfId="13563"/>
    <cellStyle name="Input [yellow] 2 7 7 4 3" xfId="24731"/>
    <cellStyle name="Input [yellow] 2 7 7 4 4" xfId="35896"/>
    <cellStyle name="Input [yellow] 2 7 7 4 5" xfId="47089"/>
    <cellStyle name="Input [yellow] 2 7 7 5" xfId="2791"/>
    <cellStyle name="Input [yellow] 2 7 7 5 2" xfId="13988"/>
    <cellStyle name="Input [yellow] 2 7 7 5 3" xfId="25156"/>
    <cellStyle name="Input [yellow] 2 7 7 5 4" xfId="36321"/>
    <cellStyle name="Input [yellow] 2 7 7 5 5" xfId="47514"/>
    <cellStyle name="Input [yellow] 2 7 7 6" xfId="3425"/>
    <cellStyle name="Input [yellow] 2 7 7 6 2" xfId="14622"/>
    <cellStyle name="Input [yellow] 2 7 7 6 3" xfId="25790"/>
    <cellStyle name="Input [yellow] 2 7 7 6 4" xfId="36955"/>
    <cellStyle name="Input [yellow] 2 7 7 6 5" xfId="48148"/>
    <cellStyle name="Input [yellow] 2 7 7 7" xfId="4059"/>
    <cellStyle name="Input [yellow] 2 7 7 7 2" xfId="15256"/>
    <cellStyle name="Input [yellow] 2 7 7 7 3" xfId="26424"/>
    <cellStyle name="Input [yellow] 2 7 7 7 4" xfId="37589"/>
    <cellStyle name="Input [yellow] 2 7 7 7 5" xfId="48782"/>
    <cellStyle name="Input [yellow] 2 7 7 8" xfId="4692"/>
    <cellStyle name="Input [yellow] 2 7 7 8 2" xfId="15889"/>
    <cellStyle name="Input [yellow] 2 7 7 8 3" xfId="27057"/>
    <cellStyle name="Input [yellow] 2 7 7 8 4" xfId="38222"/>
    <cellStyle name="Input [yellow] 2 7 7 8 5" xfId="49415"/>
    <cellStyle name="Input [yellow] 2 7 7 9" xfId="5323"/>
    <cellStyle name="Input [yellow] 2 7 7 9 2" xfId="16520"/>
    <cellStyle name="Input [yellow] 2 7 7 9 3" xfId="27688"/>
    <cellStyle name="Input [yellow] 2 7 7 9 4" xfId="38853"/>
    <cellStyle name="Input [yellow] 2 7 7 9 5" xfId="50046"/>
    <cellStyle name="Input [yellow] 2 7 8" xfId="476"/>
    <cellStyle name="Input [yellow] 2 7 8 10" xfId="4931"/>
    <cellStyle name="Input [yellow] 2 7 8 10 2" xfId="16128"/>
    <cellStyle name="Input [yellow] 2 7 8 10 3" xfId="27296"/>
    <cellStyle name="Input [yellow] 2 7 8 10 4" xfId="38461"/>
    <cellStyle name="Input [yellow] 2 7 8 10 5" xfId="49654"/>
    <cellStyle name="Input [yellow] 2 7 8 11" xfId="6412"/>
    <cellStyle name="Input [yellow] 2 7 8 11 2" xfId="17609"/>
    <cellStyle name="Input [yellow] 2 7 8 11 3" xfId="28777"/>
    <cellStyle name="Input [yellow] 2 7 8 11 4" xfId="39942"/>
    <cellStyle name="Input [yellow] 2 7 8 11 5" xfId="51135"/>
    <cellStyle name="Input [yellow] 2 7 8 12" xfId="7045"/>
    <cellStyle name="Input [yellow] 2 7 8 12 2" xfId="18242"/>
    <cellStyle name="Input [yellow] 2 7 8 12 3" xfId="29410"/>
    <cellStyle name="Input [yellow] 2 7 8 12 4" xfId="40575"/>
    <cellStyle name="Input [yellow] 2 7 8 12 5" xfId="51768"/>
    <cellStyle name="Input [yellow] 2 7 8 13" xfId="7679"/>
    <cellStyle name="Input [yellow] 2 7 8 13 2" xfId="18876"/>
    <cellStyle name="Input [yellow] 2 7 8 13 3" xfId="30044"/>
    <cellStyle name="Input [yellow] 2 7 8 13 4" xfId="41209"/>
    <cellStyle name="Input [yellow] 2 7 8 13 5" xfId="52402"/>
    <cellStyle name="Input [yellow] 2 7 8 14" xfId="8313"/>
    <cellStyle name="Input [yellow] 2 7 8 14 2" xfId="19510"/>
    <cellStyle name="Input [yellow] 2 7 8 14 3" xfId="30678"/>
    <cellStyle name="Input [yellow] 2 7 8 14 4" xfId="41843"/>
    <cellStyle name="Input [yellow] 2 7 8 14 5" xfId="53036"/>
    <cellStyle name="Input [yellow] 2 7 8 15" xfId="8941"/>
    <cellStyle name="Input [yellow] 2 7 8 15 2" xfId="20138"/>
    <cellStyle name="Input [yellow] 2 7 8 15 3" xfId="31306"/>
    <cellStyle name="Input [yellow] 2 7 8 15 4" xfId="42471"/>
    <cellStyle name="Input [yellow] 2 7 8 15 5" xfId="53664"/>
    <cellStyle name="Input [yellow] 2 7 8 16" xfId="9364"/>
    <cellStyle name="Input [yellow] 2 7 8 16 2" xfId="20561"/>
    <cellStyle name="Input [yellow] 2 7 8 16 3" xfId="31729"/>
    <cellStyle name="Input [yellow] 2 7 8 16 4" xfId="42894"/>
    <cellStyle name="Input [yellow] 2 7 8 16 5" xfId="54087"/>
    <cellStyle name="Input [yellow] 2 7 8 17" xfId="9990"/>
    <cellStyle name="Input [yellow] 2 7 8 17 2" xfId="21187"/>
    <cellStyle name="Input [yellow] 2 7 8 17 3" xfId="32355"/>
    <cellStyle name="Input [yellow] 2 7 8 17 4" xfId="43520"/>
    <cellStyle name="Input [yellow] 2 7 8 17 5" xfId="54713"/>
    <cellStyle name="Input [yellow] 2 7 8 18" xfId="10598"/>
    <cellStyle name="Input [yellow] 2 7 8 18 2" xfId="21795"/>
    <cellStyle name="Input [yellow] 2 7 8 18 3" xfId="32963"/>
    <cellStyle name="Input [yellow] 2 7 8 18 4" xfId="44128"/>
    <cellStyle name="Input [yellow] 2 7 8 18 5" xfId="55321"/>
    <cellStyle name="Input [yellow] 2 7 8 19" xfId="11029"/>
    <cellStyle name="Input [yellow] 2 7 8 19 2" xfId="22226"/>
    <cellStyle name="Input [yellow] 2 7 8 19 3" xfId="33394"/>
    <cellStyle name="Input [yellow] 2 7 8 19 4" xfId="44559"/>
    <cellStyle name="Input [yellow] 2 7 8 19 5" xfId="55752"/>
    <cellStyle name="Input [yellow] 2 7 8 2" xfId="1125"/>
    <cellStyle name="Input [yellow] 2 7 8 2 2" xfId="12322"/>
    <cellStyle name="Input [yellow] 2 7 8 2 3" xfId="23490"/>
    <cellStyle name="Input [yellow] 2 7 8 2 4" xfId="34655"/>
    <cellStyle name="Input [yellow] 2 7 8 2 5" xfId="45848"/>
    <cellStyle name="Input [yellow] 2 7 8 20" xfId="11676"/>
    <cellStyle name="Input [yellow] 2 7 8 21" xfId="22846"/>
    <cellStyle name="Input [yellow] 2 7 8 22" xfId="34013"/>
    <cellStyle name="Input [yellow] 2 7 8 23" xfId="45199"/>
    <cellStyle name="Input [yellow] 2 7 8 3" xfId="1898"/>
    <cellStyle name="Input [yellow] 2 7 8 3 2" xfId="13095"/>
    <cellStyle name="Input [yellow] 2 7 8 3 3" xfId="24263"/>
    <cellStyle name="Input [yellow] 2 7 8 3 4" xfId="35428"/>
    <cellStyle name="Input [yellow] 2 7 8 3 5" xfId="46621"/>
    <cellStyle name="Input [yellow] 2 7 8 4" xfId="2401"/>
    <cellStyle name="Input [yellow] 2 7 8 4 2" xfId="13598"/>
    <cellStyle name="Input [yellow] 2 7 8 4 3" xfId="24766"/>
    <cellStyle name="Input [yellow] 2 7 8 4 4" xfId="35931"/>
    <cellStyle name="Input [yellow] 2 7 8 4 5" xfId="47124"/>
    <cellStyle name="Input [yellow] 2 7 8 5" xfId="2826"/>
    <cellStyle name="Input [yellow] 2 7 8 5 2" xfId="14023"/>
    <cellStyle name="Input [yellow] 2 7 8 5 3" xfId="25191"/>
    <cellStyle name="Input [yellow] 2 7 8 5 4" xfId="36356"/>
    <cellStyle name="Input [yellow] 2 7 8 5 5" xfId="47549"/>
    <cellStyle name="Input [yellow] 2 7 8 6" xfId="3460"/>
    <cellStyle name="Input [yellow] 2 7 8 6 2" xfId="14657"/>
    <cellStyle name="Input [yellow] 2 7 8 6 3" xfId="25825"/>
    <cellStyle name="Input [yellow] 2 7 8 6 4" xfId="36990"/>
    <cellStyle name="Input [yellow] 2 7 8 6 5" xfId="48183"/>
    <cellStyle name="Input [yellow] 2 7 8 7" xfId="4094"/>
    <cellStyle name="Input [yellow] 2 7 8 7 2" xfId="15291"/>
    <cellStyle name="Input [yellow] 2 7 8 7 3" xfId="26459"/>
    <cellStyle name="Input [yellow] 2 7 8 7 4" xfId="37624"/>
    <cellStyle name="Input [yellow] 2 7 8 7 5" xfId="48817"/>
    <cellStyle name="Input [yellow] 2 7 8 8" xfId="4727"/>
    <cellStyle name="Input [yellow] 2 7 8 8 2" xfId="15924"/>
    <cellStyle name="Input [yellow] 2 7 8 8 3" xfId="27092"/>
    <cellStyle name="Input [yellow] 2 7 8 8 4" xfId="38257"/>
    <cellStyle name="Input [yellow] 2 7 8 8 5" xfId="49450"/>
    <cellStyle name="Input [yellow] 2 7 8 9" xfId="5358"/>
    <cellStyle name="Input [yellow] 2 7 8 9 2" xfId="16555"/>
    <cellStyle name="Input [yellow] 2 7 8 9 3" xfId="27723"/>
    <cellStyle name="Input [yellow] 2 7 8 9 4" xfId="38888"/>
    <cellStyle name="Input [yellow] 2 7 8 9 5" xfId="50081"/>
    <cellStyle name="Input [yellow] 2 7 9" xfId="534"/>
    <cellStyle name="Input [yellow] 2 7 9 10" xfId="5700"/>
    <cellStyle name="Input [yellow] 2 7 9 10 2" xfId="16897"/>
    <cellStyle name="Input [yellow] 2 7 9 10 3" xfId="28065"/>
    <cellStyle name="Input [yellow] 2 7 9 10 4" xfId="39230"/>
    <cellStyle name="Input [yellow] 2 7 9 10 5" xfId="50423"/>
    <cellStyle name="Input [yellow] 2 7 9 11" xfId="6470"/>
    <cellStyle name="Input [yellow] 2 7 9 11 2" xfId="17667"/>
    <cellStyle name="Input [yellow] 2 7 9 11 3" xfId="28835"/>
    <cellStyle name="Input [yellow] 2 7 9 11 4" xfId="40000"/>
    <cellStyle name="Input [yellow] 2 7 9 11 5" xfId="51193"/>
    <cellStyle name="Input [yellow] 2 7 9 12" xfId="7103"/>
    <cellStyle name="Input [yellow] 2 7 9 12 2" xfId="18300"/>
    <cellStyle name="Input [yellow] 2 7 9 12 3" xfId="29468"/>
    <cellStyle name="Input [yellow] 2 7 9 12 4" xfId="40633"/>
    <cellStyle name="Input [yellow] 2 7 9 12 5" xfId="51826"/>
    <cellStyle name="Input [yellow] 2 7 9 13" xfId="7737"/>
    <cellStyle name="Input [yellow] 2 7 9 13 2" xfId="18934"/>
    <cellStyle name="Input [yellow] 2 7 9 13 3" xfId="30102"/>
    <cellStyle name="Input [yellow] 2 7 9 13 4" xfId="41267"/>
    <cellStyle name="Input [yellow] 2 7 9 13 5" xfId="52460"/>
    <cellStyle name="Input [yellow] 2 7 9 14" xfId="8371"/>
    <cellStyle name="Input [yellow] 2 7 9 14 2" xfId="19568"/>
    <cellStyle name="Input [yellow] 2 7 9 14 3" xfId="30736"/>
    <cellStyle name="Input [yellow] 2 7 9 14 4" xfId="41901"/>
    <cellStyle name="Input [yellow] 2 7 9 14 5" xfId="53094"/>
    <cellStyle name="Input [yellow] 2 7 9 15" xfId="8999"/>
    <cellStyle name="Input [yellow] 2 7 9 15 2" xfId="20196"/>
    <cellStyle name="Input [yellow] 2 7 9 15 3" xfId="31364"/>
    <cellStyle name="Input [yellow] 2 7 9 15 4" xfId="42529"/>
    <cellStyle name="Input [yellow] 2 7 9 15 5" xfId="53722"/>
    <cellStyle name="Input [yellow] 2 7 9 16" xfId="9422"/>
    <cellStyle name="Input [yellow] 2 7 9 16 2" xfId="20619"/>
    <cellStyle name="Input [yellow] 2 7 9 16 3" xfId="31787"/>
    <cellStyle name="Input [yellow] 2 7 9 16 4" xfId="42952"/>
    <cellStyle name="Input [yellow] 2 7 9 16 5" xfId="54145"/>
    <cellStyle name="Input [yellow] 2 7 9 17" xfId="10047"/>
    <cellStyle name="Input [yellow] 2 7 9 17 2" xfId="21244"/>
    <cellStyle name="Input [yellow] 2 7 9 17 3" xfId="32412"/>
    <cellStyle name="Input [yellow] 2 7 9 17 4" xfId="43577"/>
    <cellStyle name="Input [yellow] 2 7 9 17 5" xfId="54770"/>
    <cellStyle name="Input [yellow] 2 7 9 18" xfId="10457"/>
    <cellStyle name="Input [yellow] 2 7 9 18 2" xfId="21654"/>
    <cellStyle name="Input [yellow] 2 7 9 18 3" xfId="32822"/>
    <cellStyle name="Input [yellow] 2 7 9 18 4" xfId="43987"/>
    <cellStyle name="Input [yellow] 2 7 9 18 5" xfId="55180"/>
    <cellStyle name="Input [yellow] 2 7 9 19" xfId="11087"/>
    <cellStyle name="Input [yellow] 2 7 9 19 2" xfId="22284"/>
    <cellStyle name="Input [yellow] 2 7 9 19 3" xfId="33452"/>
    <cellStyle name="Input [yellow] 2 7 9 19 4" xfId="44617"/>
    <cellStyle name="Input [yellow] 2 7 9 19 5" xfId="55810"/>
    <cellStyle name="Input [yellow] 2 7 9 2" xfId="1183"/>
    <cellStyle name="Input [yellow] 2 7 9 2 2" xfId="12380"/>
    <cellStyle name="Input [yellow] 2 7 9 2 3" xfId="23548"/>
    <cellStyle name="Input [yellow] 2 7 9 2 4" xfId="34713"/>
    <cellStyle name="Input [yellow] 2 7 9 2 5" xfId="45906"/>
    <cellStyle name="Input [yellow] 2 7 9 20" xfId="11734"/>
    <cellStyle name="Input [yellow] 2 7 9 21" xfId="22904"/>
    <cellStyle name="Input [yellow] 2 7 9 22" xfId="34071"/>
    <cellStyle name="Input [yellow] 2 7 9 23" xfId="45257"/>
    <cellStyle name="Input [yellow] 2 7 9 3" xfId="1753"/>
    <cellStyle name="Input [yellow] 2 7 9 3 2" xfId="12950"/>
    <cellStyle name="Input [yellow] 2 7 9 3 3" xfId="24118"/>
    <cellStyle name="Input [yellow] 2 7 9 3 4" xfId="35283"/>
    <cellStyle name="Input [yellow] 2 7 9 3 5" xfId="46476"/>
    <cellStyle name="Input [yellow] 2 7 9 4" xfId="2459"/>
    <cellStyle name="Input [yellow] 2 7 9 4 2" xfId="13656"/>
    <cellStyle name="Input [yellow] 2 7 9 4 3" xfId="24824"/>
    <cellStyle name="Input [yellow] 2 7 9 4 4" xfId="35989"/>
    <cellStyle name="Input [yellow] 2 7 9 4 5" xfId="47182"/>
    <cellStyle name="Input [yellow] 2 7 9 5" xfId="2884"/>
    <cellStyle name="Input [yellow] 2 7 9 5 2" xfId="14081"/>
    <cellStyle name="Input [yellow] 2 7 9 5 3" xfId="25249"/>
    <cellStyle name="Input [yellow] 2 7 9 5 4" xfId="36414"/>
    <cellStyle name="Input [yellow] 2 7 9 5 5" xfId="47607"/>
    <cellStyle name="Input [yellow] 2 7 9 6" xfId="3518"/>
    <cellStyle name="Input [yellow] 2 7 9 6 2" xfId="14715"/>
    <cellStyle name="Input [yellow] 2 7 9 6 3" xfId="25883"/>
    <cellStyle name="Input [yellow] 2 7 9 6 4" xfId="37048"/>
    <cellStyle name="Input [yellow] 2 7 9 6 5" xfId="48241"/>
    <cellStyle name="Input [yellow] 2 7 9 7" xfId="4152"/>
    <cellStyle name="Input [yellow] 2 7 9 7 2" xfId="15349"/>
    <cellStyle name="Input [yellow] 2 7 9 7 3" xfId="26517"/>
    <cellStyle name="Input [yellow] 2 7 9 7 4" xfId="37682"/>
    <cellStyle name="Input [yellow] 2 7 9 7 5" xfId="48875"/>
    <cellStyle name="Input [yellow] 2 7 9 8" xfId="4785"/>
    <cellStyle name="Input [yellow] 2 7 9 8 2" xfId="15982"/>
    <cellStyle name="Input [yellow] 2 7 9 8 3" xfId="27150"/>
    <cellStyle name="Input [yellow] 2 7 9 8 4" xfId="38315"/>
    <cellStyle name="Input [yellow] 2 7 9 8 5" xfId="49508"/>
    <cellStyle name="Input [yellow] 2 7 9 9" xfId="5416"/>
    <cellStyle name="Input [yellow] 2 7 9 9 2" xfId="16613"/>
    <cellStyle name="Input [yellow] 2 7 9 9 3" xfId="27781"/>
    <cellStyle name="Input [yellow] 2 7 9 9 4" xfId="38946"/>
    <cellStyle name="Input [yellow] 2 7 9 9 5" xfId="50139"/>
    <cellStyle name="Input [yellow] 2 8" xfId="70"/>
    <cellStyle name="Input [yellow] 2 8 10" xfId="467"/>
    <cellStyle name="Input [yellow] 2 8 10 10" xfId="5824"/>
    <cellStyle name="Input [yellow] 2 8 10 10 2" xfId="17021"/>
    <cellStyle name="Input [yellow] 2 8 10 10 3" xfId="28189"/>
    <cellStyle name="Input [yellow] 2 8 10 10 4" xfId="39354"/>
    <cellStyle name="Input [yellow] 2 8 10 10 5" xfId="50547"/>
    <cellStyle name="Input [yellow] 2 8 10 11" xfId="6403"/>
    <cellStyle name="Input [yellow] 2 8 10 11 2" xfId="17600"/>
    <cellStyle name="Input [yellow] 2 8 10 11 3" xfId="28768"/>
    <cellStyle name="Input [yellow] 2 8 10 11 4" xfId="39933"/>
    <cellStyle name="Input [yellow] 2 8 10 11 5" xfId="51126"/>
    <cellStyle name="Input [yellow] 2 8 10 12" xfId="7036"/>
    <cellStyle name="Input [yellow] 2 8 10 12 2" xfId="18233"/>
    <cellStyle name="Input [yellow] 2 8 10 12 3" xfId="29401"/>
    <cellStyle name="Input [yellow] 2 8 10 12 4" xfId="40566"/>
    <cellStyle name="Input [yellow] 2 8 10 12 5" xfId="51759"/>
    <cellStyle name="Input [yellow] 2 8 10 13" xfId="7670"/>
    <cellStyle name="Input [yellow] 2 8 10 13 2" xfId="18867"/>
    <cellStyle name="Input [yellow] 2 8 10 13 3" xfId="30035"/>
    <cellStyle name="Input [yellow] 2 8 10 13 4" xfId="41200"/>
    <cellStyle name="Input [yellow] 2 8 10 13 5" xfId="52393"/>
    <cellStyle name="Input [yellow] 2 8 10 14" xfId="8304"/>
    <cellStyle name="Input [yellow] 2 8 10 14 2" xfId="19501"/>
    <cellStyle name="Input [yellow] 2 8 10 14 3" xfId="30669"/>
    <cellStyle name="Input [yellow] 2 8 10 14 4" xfId="41834"/>
    <cellStyle name="Input [yellow] 2 8 10 14 5" xfId="53027"/>
    <cellStyle name="Input [yellow] 2 8 10 15" xfId="8932"/>
    <cellStyle name="Input [yellow] 2 8 10 15 2" xfId="20129"/>
    <cellStyle name="Input [yellow] 2 8 10 15 3" xfId="31297"/>
    <cellStyle name="Input [yellow] 2 8 10 15 4" xfId="42462"/>
    <cellStyle name="Input [yellow] 2 8 10 15 5" xfId="53655"/>
    <cellStyle name="Input [yellow] 2 8 10 16" xfId="9355"/>
    <cellStyle name="Input [yellow] 2 8 10 16 2" xfId="20552"/>
    <cellStyle name="Input [yellow] 2 8 10 16 3" xfId="31720"/>
    <cellStyle name="Input [yellow] 2 8 10 16 4" xfId="42885"/>
    <cellStyle name="Input [yellow] 2 8 10 16 5" xfId="54078"/>
    <cellStyle name="Input [yellow] 2 8 10 17" xfId="9981"/>
    <cellStyle name="Input [yellow] 2 8 10 17 2" xfId="21178"/>
    <cellStyle name="Input [yellow] 2 8 10 17 3" xfId="32346"/>
    <cellStyle name="Input [yellow] 2 8 10 17 4" xfId="43511"/>
    <cellStyle name="Input [yellow] 2 8 10 17 5" xfId="54704"/>
    <cellStyle name="Input [yellow] 2 8 10 18" xfId="9989"/>
    <cellStyle name="Input [yellow] 2 8 10 18 2" xfId="21186"/>
    <cellStyle name="Input [yellow] 2 8 10 18 3" xfId="32354"/>
    <cellStyle name="Input [yellow] 2 8 10 18 4" xfId="43519"/>
    <cellStyle name="Input [yellow] 2 8 10 18 5" xfId="54712"/>
    <cellStyle name="Input [yellow] 2 8 10 19" xfId="11020"/>
    <cellStyle name="Input [yellow] 2 8 10 19 2" xfId="22217"/>
    <cellStyle name="Input [yellow] 2 8 10 19 3" xfId="33385"/>
    <cellStyle name="Input [yellow] 2 8 10 19 4" xfId="44550"/>
    <cellStyle name="Input [yellow] 2 8 10 19 5" xfId="55743"/>
    <cellStyle name="Input [yellow] 2 8 10 2" xfId="1116"/>
    <cellStyle name="Input [yellow] 2 8 10 2 2" xfId="12313"/>
    <cellStyle name="Input [yellow] 2 8 10 2 3" xfId="23481"/>
    <cellStyle name="Input [yellow] 2 8 10 2 4" xfId="34646"/>
    <cellStyle name="Input [yellow] 2 8 10 2 5" xfId="45839"/>
    <cellStyle name="Input [yellow] 2 8 10 20" xfId="11667"/>
    <cellStyle name="Input [yellow] 2 8 10 21" xfId="22837"/>
    <cellStyle name="Input [yellow] 2 8 10 22" xfId="34004"/>
    <cellStyle name="Input [yellow] 2 8 10 23" xfId="45190"/>
    <cellStyle name="Input [yellow] 2 8 10 3" xfId="1821"/>
    <cellStyle name="Input [yellow] 2 8 10 3 2" xfId="13018"/>
    <cellStyle name="Input [yellow] 2 8 10 3 3" xfId="24186"/>
    <cellStyle name="Input [yellow] 2 8 10 3 4" xfId="35351"/>
    <cellStyle name="Input [yellow] 2 8 10 3 5" xfId="46544"/>
    <cellStyle name="Input [yellow] 2 8 10 4" xfId="2392"/>
    <cellStyle name="Input [yellow] 2 8 10 4 2" xfId="13589"/>
    <cellStyle name="Input [yellow] 2 8 10 4 3" xfId="24757"/>
    <cellStyle name="Input [yellow] 2 8 10 4 4" xfId="35922"/>
    <cellStyle name="Input [yellow] 2 8 10 4 5" xfId="47115"/>
    <cellStyle name="Input [yellow] 2 8 10 5" xfId="2817"/>
    <cellStyle name="Input [yellow] 2 8 10 5 2" xfId="14014"/>
    <cellStyle name="Input [yellow] 2 8 10 5 3" xfId="25182"/>
    <cellStyle name="Input [yellow] 2 8 10 5 4" xfId="36347"/>
    <cellStyle name="Input [yellow] 2 8 10 5 5" xfId="47540"/>
    <cellStyle name="Input [yellow] 2 8 10 6" xfId="3451"/>
    <cellStyle name="Input [yellow] 2 8 10 6 2" xfId="14648"/>
    <cellStyle name="Input [yellow] 2 8 10 6 3" xfId="25816"/>
    <cellStyle name="Input [yellow] 2 8 10 6 4" xfId="36981"/>
    <cellStyle name="Input [yellow] 2 8 10 6 5" xfId="48174"/>
    <cellStyle name="Input [yellow] 2 8 10 7" xfId="4085"/>
    <cellStyle name="Input [yellow] 2 8 10 7 2" xfId="15282"/>
    <cellStyle name="Input [yellow] 2 8 10 7 3" xfId="26450"/>
    <cellStyle name="Input [yellow] 2 8 10 7 4" xfId="37615"/>
    <cellStyle name="Input [yellow] 2 8 10 7 5" xfId="48808"/>
    <cellStyle name="Input [yellow] 2 8 10 8" xfId="4718"/>
    <cellStyle name="Input [yellow] 2 8 10 8 2" xfId="15915"/>
    <cellStyle name="Input [yellow] 2 8 10 8 3" xfId="27083"/>
    <cellStyle name="Input [yellow] 2 8 10 8 4" xfId="38248"/>
    <cellStyle name="Input [yellow] 2 8 10 8 5" xfId="49441"/>
    <cellStyle name="Input [yellow] 2 8 10 9" xfId="5349"/>
    <cellStyle name="Input [yellow] 2 8 10 9 2" xfId="16546"/>
    <cellStyle name="Input [yellow] 2 8 10 9 3" xfId="27714"/>
    <cellStyle name="Input [yellow] 2 8 10 9 4" xfId="38879"/>
    <cellStyle name="Input [yellow] 2 8 10 9 5" xfId="50072"/>
    <cellStyle name="Input [yellow] 2 8 11" xfId="610"/>
    <cellStyle name="Input [yellow] 2 8 11 10" xfId="6020"/>
    <cellStyle name="Input [yellow] 2 8 11 10 2" xfId="17217"/>
    <cellStyle name="Input [yellow] 2 8 11 10 3" xfId="28385"/>
    <cellStyle name="Input [yellow] 2 8 11 10 4" xfId="39550"/>
    <cellStyle name="Input [yellow] 2 8 11 10 5" xfId="50743"/>
    <cellStyle name="Input [yellow] 2 8 11 11" xfId="6546"/>
    <cellStyle name="Input [yellow] 2 8 11 11 2" xfId="17743"/>
    <cellStyle name="Input [yellow] 2 8 11 11 3" xfId="28911"/>
    <cellStyle name="Input [yellow] 2 8 11 11 4" xfId="40076"/>
    <cellStyle name="Input [yellow] 2 8 11 11 5" xfId="51269"/>
    <cellStyle name="Input [yellow] 2 8 11 12" xfId="7179"/>
    <cellStyle name="Input [yellow] 2 8 11 12 2" xfId="18376"/>
    <cellStyle name="Input [yellow] 2 8 11 12 3" xfId="29544"/>
    <cellStyle name="Input [yellow] 2 8 11 12 4" xfId="40709"/>
    <cellStyle name="Input [yellow] 2 8 11 12 5" xfId="51902"/>
    <cellStyle name="Input [yellow] 2 8 11 13" xfId="7813"/>
    <cellStyle name="Input [yellow] 2 8 11 13 2" xfId="19010"/>
    <cellStyle name="Input [yellow] 2 8 11 13 3" xfId="30178"/>
    <cellStyle name="Input [yellow] 2 8 11 13 4" xfId="41343"/>
    <cellStyle name="Input [yellow] 2 8 11 13 5" xfId="52536"/>
    <cellStyle name="Input [yellow] 2 8 11 14" xfId="8447"/>
    <cellStyle name="Input [yellow] 2 8 11 14 2" xfId="19644"/>
    <cellStyle name="Input [yellow] 2 8 11 14 3" xfId="30812"/>
    <cellStyle name="Input [yellow] 2 8 11 14 4" xfId="41977"/>
    <cellStyle name="Input [yellow] 2 8 11 14 5" xfId="53170"/>
    <cellStyle name="Input [yellow] 2 8 11 15" xfId="9075"/>
    <cellStyle name="Input [yellow] 2 8 11 15 2" xfId="20272"/>
    <cellStyle name="Input [yellow] 2 8 11 15 3" xfId="31440"/>
    <cellStyle name="Input [yellow] 2 8 11 15 4" xfId="42605"/>
    <cellStyle name="Input [yellow] 2 8 11 15 5" xfId="53798"/>
    <cellStyle name="Input [yellow] 2 8 11 16" xfId="9498"/>
    <cellStyle name="Input [yellow] 2 8 11 16 2" xfId="20695"/>
    <cellStyle name="Input [yellow] 2 8 11 16 3" xfId="31863"/>
    <cellStyle name="Input [yellow] 2 8 11 16 4" xfId="43028"/>
    <cellStyle name="Input [yellow] 2 8 11 16 5" xfId="54221"/>
    <cellStyle name="Input [yellow] 2 8 11 17" xfId="10123"/>
    <cellStyle name="Input [yellow] 2 8 11 17 2" xfId="21320"/>
    <cellStyle name="Input [yellow] 2 8 11 17 3" xfId="32488"/>
    <cellStyle name="Input [yellow] 2 8 11 17 4" xfId="43653"/>
    <cellStyle name="Input [yellow] 2 8 11 17 5" xfId="54846"/>
    <cellStyle name="Input [yellow] 2 8 11 18" xfId="10540"/>
    <cellStyle name="Input [yellow] 2 8 11 18 2" xfId="21737"/>
    <cellStyle name="Input [yellow] 2 8 11 18 3" xfId="32905"/>
    <cellStyle name="Input [yellow] 2 8 11 18 4" xfId="44070"/>
    <cellStyle name="Input [yellow] 2 8 11 18 5" xfId="55263"/>
    <cellStyle name="Input [yellow] 2 8 11 19" xfId="11163"/>
    <cellStyle name="Input [yellow] 2 8 11 19 2" xfId="22360"/>
    <cellStyle name="Input [yellow] 2 8 11 19 3" xfId="33528"/>
    <cellStyle name="Input [yellow] 2 8 11 19 4" xfId="44693"/>
    <cellStyle name="Input [yellow] 2 8 11 19 5" xfId="55886"/>
    <cellStyle name="Input [yellow] 2 8 11 2" xfId="1259"/>
    <cellStyle name="Input [yellow] 2 8 11 2 2" xfId="12456"/>
    <cellStyle name="Input [yellow] 2 8 11 2 3" xfId="23624"/>
    <cellStyle name="Input [yellow] 2 8 11 2 4" xfId="34789"/>
    <cellStyle name="Input [yellow] 2 8 11 2 5" xfId="45982"/>
    <cellStyle name="Input [yellow] 2 8 11 20" xfId="11810"/>
    <cellStyle name="Input [yellow] 2 8 11 21" xfId="22980"/>
    <cellStyle name="Input [yellow] 2 8 11 22" xfId="34147"/>
    <cellStyle name="Input [yellow] 2 8 11 23" xfId="45333"/>
    <cellStyle name="Input [yellow] 2 8 11 3" xfId="1389"/>
    <cellStyle name="Input [yellow] 2 8 11 3 2" xfId="12586"/>
    <cellStyle name="Input [yellow] 2 8 11 3 3" xfId="23754"/>
    <cellStyle name="Input [yellow] 2 8 11 3 4" xfId="34919"/>
    <cellStyle name="Input [yellow] 2 8 11 3 5" xfId="46112"/>
    <cellStyle name="Input [yellow] 2 8 11 4" xfId="2535"/>
    <cellStyle name="Input [yellow] 2 8 11 4 2" xfId="13732"/>
    <cellStyle name="Input [yellow] 2 8 11 4 3" xfId="24900"/>
    <cellStyle name="Input [yellow] 2 8 11 4 4" xfId="36065"/>
    <cellStyle name="Input [yellow] 2 8 11 4 5" xfId="47258"/>
    <cellStyle name="Input [yellow] 2 8 11 5" xfId="2960"/>
    <cellStyle name="Input [yellow] 2 8 11 5 2" xfId="14157"/>
    <cellStyle name="Input [yellow] 2 8 11 5 3" xfId="25325"/>
    <cellStyle name="Input [yellow] 2 8 11 5 4" xfId="36490"/>
    <cellStyle name="Input [yellow] 2 8 11 5 5" xfId="47683"/>
    <cellStyle name="Input [yellow] 2 8 11 6" xfId="3594"/>
    <cellStyle name="Input [yellow] 2 8 11 6 2" xfId="14791"/>
    <cellStyle name="Input [yellow] 2 8 11 6 3" xfId="25959"/>
    <cellStyle name="Input [yellow] 2 8 11 6 4" xfId="37124"/>
    <cellStyle name="Input [yellow] 2 8 11 6 5" xfId="48317"/>
    <cellStyle name="Input [yellow] 2 8 11 7" xfId="4228"/>
    <cellStyle name="Input [yellow] 2 8 11 7 2" xfId="15425"/>
    <cellStyle name="Input [yellow] 2 8 11 7 3" xfId="26593"/>
    <cellStyle name="Input [yellow] 2 8 11 7 4" xfId="37758"/>
    <cellStyle name="Input [yellow] 2 8 11 7 5" xfId="48951"/>
    <cellStyle name="Input [yellow] 2 8 11 8" xfId="4861"/>
    <cellStyle name="Input [yellow] 2 8 11 8 2" xfId="16058"/>
    <cellStyle name="Input [yellow] 2 8 11 8 3" xfId="27226"/>
    <cellStyle name="Input [yellow] 2 8 11 8 4" xfId="38391"/>
    <cellStyle name="Input [yellow] 2 8 11 8 5" xfId="49584"/>
    <cellStyle name="Input [yellow] 2 8 11 9" xfId="5492"/>
    <cellStyle name="Input [yellow] 2 8 11 9 2" xfId="16689"/>
    <cellStyle name="Input [yellow] 2 8 11 9 3" xfId="27857"/>
    <cellStyle name="Input [yellow] 2 8 11 9 4" xfId="39022"/>
    <cellStyle name="Input [yellow] 2 8 11 9 5" xfId="50215"/>
    <cellStyle name="Input [yellow] 2 8 12" xfId="719"/>
    <cellStyle name="Input [yellow] 2 8 12 2" xfId="11917"/>
    <cellStyle name="Input [yellow] 2 8 12 3" xfId="23086"/>
    <cellStyle name="Input [yellow] 2 8 12 4" xfId="34251"/>
    <cellStyle name="Input [yellow] 2 8 12 5" xfId="45442"/>
    <cellStyle name="Input [yellow] 2 8 13" xfId="1544"/>
    <cellStyle name="Input [yellow] 2 8 13 2" xfId="12741"/>
    <cellStyle name="Input [yellow] 2 8 13 3" xfId="23909"/>
    <cellStyle name="Input [yellow] 2 8 13 4" xfId="35074"/>
    <cellStyle name="Input [yellow] 2 8 13 5" xfId="46267"/>
    <cellStyle name="Input [yellow] 2 8 14" xfId="1996"/>
    <cellStyle name="Input [yellow] 2 8 14 2" xfId="13193"/>
    <cellStyle name="Input [yellow] 2 8 14 3" xfId="24361"/>
    <cellStyle name="Input [yellow] 2 8 14 4" xfId="35526"/>
    <cellStyle name="Input [yellow] 2 8 14 5" xfId="46719"/>
    <cellStyle name="Input [yellow] 2 8 15" xfId="2120"/>
    <cellStyle name="Input [yellow] 2 8 15 2" xfId="13317"/>
    <cellStyle name="Input [yellow] 2 8 15 3" xfId="24485"/>
    <cellStyle name="Input [yellow] 2 8 15 4" xfId="35650"/>
    <cellStyle name="Input [yellow] 2 8 15 5" xfId="46843"/>
    <cellStyle name="Input [yellow] 2 8 16" xfId="3054"/>
    <cellStyle name="Input [yellow] 2 8 16 2" xfId="14251"/>
    <cellStyle name="Input [yellow] 2 8 16 3" xfId="25419"/>
    <cellStyle name="Input [yellow] 2 8 16 4" xfId="36584"/>
    <cellStyle name="Input [yellow] 2 8 16 5" xfId="47777"/>
    <cellStyle name="Input [yellow] 2 8 17" xfId="3689"/>
    <cellStyle name="Input [yellow] 2 8 17 2" xfId="14886"/>
    <cellStyle name="Input [yellow] 2 8 17 3" xfId="26054"/>
    <cellStyle name="Input [yellow] 2 8 17 4" xfId="37219"/>
    <cellStyle name="Input [yellow] 2 8 17 5" xfId="48412"/>
    <cellStyle name="Input [yellow] 2 8 18" xfId="4321"/>
    <cellStyle name="Input [yellow] 2 8 18 2" xfId="15518"/>
    <cellStyle name="Input [yellow] 2 8 18 3" xfId="26686"/>
    <cellStyle name="Input [yellow] 2 8 18 4" xfId="37851"/>
    <cellStyle name="Input [yellow] 2 8 18 5" xfId="49044"/>
    <cellStyle name="Input [yellow] 2 8 19" xfId="4954"/>
    <cellStyle name="Input [yellow] 2 8 19 2" xfId="16151"/>
    <cellStyle name="Input [yellow] 2 8 19 3" xfId="27319"/>
    <cellStyle name="Input [yellow] 2 8 19 4" xfId="38484"/>
    <cellStyle name="Input [yellow] 2 8 19 5" xfId="49677"/>
    <cellStyle name="Input [yellow] 2 8 2" xfId="135"/>
    <cellStyle name="Input [yellow] 2 8 2 10" xfId="6170"/>
    <cellStyle name="Input [yellow] 2 8 2 10 2" xfId="17367"/>
    <cellStyle name="Input [yellow] 2 8 2 10 3" xfId="28535"/>
    <cellStyle name="Input [yellow] 2 8 2 10 4" xfId="39700"/>
    <cellStyle name="Input [yellow] 2 8 2 10 5" xfId="50893"/>
    <cellStyle name="Input [yellow] 2 8 2 11" xfId="5843"/>
    <cellStyle name="Input [yellow] 2 8 2 11 2" xfId="17040"/>
    <cellStyle name="Input [yellow] 2 8 2 11 3" xfId="28208"/>
    <cellStyle name="Input [yellow] 2 8 2 11 4" xfId="39373"/>
    <cellStyle name="Input [yellow] 2 8 2 11 5" xfId="50566"/>
    <cellStyle name="Input [yellow] 2 8 2 12" xfId="6704"/>
    <cellStyle name="Input [yellow] 2 8 2 12 2" xfId="17901"/>
    <cellStyle name="Input [yellow] 2 8 2 12 3" xfId="29069"/>
    <cellStyle name="Input [yellow] 2 8 2 12 4" xfId="40234"/>
    <cellStyle name="Input [yellow] 2 8 2 12 5" xfId="51427"/>
    <cellStyle name="Input [yellow] 2 8 2 13" xfId="7338"/>
    <cellStyle name="Input [yellow] 2 8 2 13 2" xfId="18535"/>
    <cellStyle name="Input [yellow] 2 8 2 13 3" xfId="29703"/>
    <cellStyle name="Input [yellow] 2 8 2 13 4" xfId="40868"/>
    <cellStyle name="Input [yellow] 2 8 2 13 5" xfId="52061"/>
    <cellStyle name="Input [yellow] 2 8 2 14" xfId="7972"/>
    <cellStyle name="Input [yellow] 2 8 2 14 2" xfId="19169"/>
    <cellStyle name="Input [yellow] 2 8 2 14 3" xfId="30337"/>
    <cellStyle name="Input [yellow] 2 8 2 14 4" xfId="41502"/>
    <cellStyle name="Input [yellow] 2 8 2 14 5" xfId="52695"/>
    <cellStyle name="Input [yellow] 2 8 2 15" xfId="8603"/>
    <cellStyle name="Input [yellow] 2 8 2 15 2" xfId="19800"/>
    <cellStyle name="Input [yellow] 2 8 2 15 3" xfId="30968"/>
    <cellStyle name="Input [yellow] 2 8 2 15 4" xfId="42133"/>
    <cellStyle name="Input [yellow] 2 8 2 15 5" xfId="53326"/>
    <cellStyle name="Input [yellow] 2 8 2 16" xfId="9056"/>
    <cellStyle name="Input [yellow] 2 8 2 16 2" xfId="20253"/>
    <cellStyle name="Input [yellow] 2 8 2 16 3" xfId="31421"/>
    <cellStyle name="Input [yellow] 2 8 2 16 4" xfId="42586"/>
    <cellStyle name="Input [yellow] 2 8 2 16 5" xfId="53779"/>
    <cellStyle name="Input [yellow] 2 8 2 17" xfId="9656"/>
    <cellStyle name="Input [yellow] 2 8 2 17 2" xfId="20853"/>
    <cellStyle name="Input [yellow] 2 8 2 17 3" xfId="32021"/>
    <cellStyle name="Input [yellow] 2 8 2 17 4" xfId="43186"/>
    <cellStyle name="Input [yellow] 2 8 2 17 5" xfId="54379"/>
    <cellStyle name="Input [yellow] 2 8 2 18" xfId="10226"/>
    <cellStyle name="Input [yellow] 2 8 2 18 2" xfId="21423"/>
    <cellStyle name="Input [yellow] 2 8 2 18 3" xfId="32591"/>
    <cellStyle name="Input [yellow] 2 8 2 18 4" xfId="43756"/>
    <cellStyle name="Input [yellow] 2 8 2 18 5" xfId="54949"/>
    <cellStyle name="Input [yellow] 2 8 2 19" xfId="10688"/>
    <cellStyle name="Input [yellow] 2 8 2 19 2" xfId="21885"/>
    <cellStyle name="Input [yellow] 2 8 2 19 3" xfId="33053"/>
    <cellStyle name="Input [yellow] 2 8 2 19 4" xfId="44218"/>
    <cellStyle name="Input [yellow] 2 8 2 19 5" xfId="55411"/>
    <cellStyle name="Input [yellow] 2 8 2 2" xfId="784"/>
    <cellStyle name="Input [yellow] 2 8 2 2 2" xfId="11981"/>
    <cellStyle name="Input [yellow] 2 8 2 2 3" xfId="23149"/>
    <cellStyle name="Input [yellow] 2 8 2 2 4" xfId="34314"/>
    <cellStyle name="Input [yellow] 2 8 2 2 5" xfId="45507"/>
    <cellStyle name="Input [yellow] 2 8 2 20" xfId="11335"/>
    <cellStyle name="Input [yellow] 2 8 2 21" xfId="22505"/>
    <cellStyle name="Input [yellow] 2 8 2 22" xfId="33672"/>
    <cellStyle name="Input [yellow] 2 8 2 23" xfId="44858"/>
    <cellStyle name="Input [yellow] 2 8 2 3" xfId="1405"/>
    <cellStyle name="Input [yellow] 2 8 2 3 2" xfId="12602"/>
    <cellStyle name="Input [yellow] 2 8 2 3 3" xfId="23770"/>
    <cellStyle name="Input [yellow] 2 8 2 3 4" xfId="34935"/>
    <cellStyle name="Input [yellow] 2 8 2 3 5" xfId="46128"/>
    <cellStyle name="Input [yellow] 2 8 2 4" xfId="2061"/>
    <cellStyle name="Input [yellow] 2 8 2 4 2" xfId="13258"/>
    <cellStyle name="Input [yellow] 2 8 2 4 3" xfId="24426"/>
    <cellStyle name="Input [yellow] 2 8 2 4 4" xfId="35591"/>
    <cellStyle name="Input [yellow] 2 8 2 4 5" xfId="46784"/>
    <cellStyle name="Input [yellow] 2 8 2 5" xfId="2315"/>
    <cellStyle name="Input [yellow] 2 8 2 5 2" xfId="13512"/>
    <cellStyle name="Input [yellow] 2 8 2 5 3" xfId="24680"/>
    <cellStyle name="Input [yellow] 2 8 2 5 4" xfId="35845"/>
    <cellStyle name="Input [yellow] 2 8 2 5 5" xfId="47038"/>
    <cellStyle name="Input [yellow] 2 8 2 6" xfId="3119"/>
    <cellStyle name="Input [yellow] 2 8 2 6 2" xfId="14316"/>
    <cellStyle name="Input [yellow] 2 8 2 6 3" xfId="25484"/>
    <cellStyle name="Input [yellow] 2 8 2 6 4" xfId="36649"/>
    <cellStyle name="Input [yellow] 2 8 2 6 5" xfId="47842"/>
    <cellStyle name="Input [yellow] 2 8 2 7" xfId="3753"/>
    <cellStyle name="Input [yellow] 2 8 2 7 2" xfId="14950"/>
    <cellStyle name="Input [yellow] 2 8 2 7 3" xfId="26118"/>
    <cellStyle name="Input [yellow] 2 8 2 7 4" xfId="37283"/>
    <cellStyle name="Input [yellow] 2 8 2 7 5" xfId="48476"/>
    <cellStyle name="Input [yellow] 2 8 2 8" xfId="4386"/>
    <cellStyle name="Input [yellow] 2 8 2 8 2" xfId="15583"/>
    <cellStyle name="Input [yellow] 2 8 2 8 3" xfId="26751"/>
    <cellStyle name="Input [yellow] 2 8 2 8 4" xfId="37916"/>
    <cellStyle name="Input [yellow] 2 8 2 8 5" xfId="49109"/>
    <cellStyle name="Input [yellow] 2 8 2 9" xfId="5017"/>
    <cellStyle name="Input [yellow] 2 8 2 9 2" xfId="16214"/>
    <cellStyle name="Input [yellow] 2 8 2 9 3" xfId="27382"/>
    <cellStyle name="Input [yellow] 2 8 2 9 4" xfId="38547"/>
    <cellStyle name="Input [yellow] 2 8 2 9 5" xfId="49740"/>
    <cellStyle name="Input [yellow] 2 8 20" xfId="6115"/>
    <cellStyle name="Input [yellow] 2 8 20 2" xfId="17312"/>
    <cellStyle name="Input [yellow] 2 8 20 3" xfId="28480"/>
    <cellStyle name="Input [yellow] 2 8 20 4" xfId="39645"/>
    <cellStyle name="Input [yellow] 2 8 20 5" xfId="50838"/>
    <cellStyle name="Input [yellow] 2 8 21" xfId="6054"/>
    <cellStyle name="Input [yellow] 2 8 21 2" xfId="17251"/>
    <cellStyle name="Input [yellow] 2 8 21 3" xfId="28419"/>
    <cellStyle name="Input [yellow] 2 8 21 4" xfId="39584"/>
    <cellStyle name="Input [yellow] 2 8 21 5" xfId="50777"/>
    <cellStyle name="Input [yellow] 2 8 22" xfId="6641"/>
    <cellStyle name="Input [yellow] 2 8 22 2" xfId="17838"/>
    <cellStyle name="Input [yellow] 2 8 22 3" xfId="29006"/>
    <cellStyle name="Input [yellow] 2 8 22 4" xfId="40171"/>
    <cellStyle name="Input [yellow] 2 8 22 5" xfId="51364"/>
    <cellStyle name="Input [yellow] 2 8 23" xfId="7273"/>
    <cellStyle name="Input [yellow] 2 8 23 2" xfId="18470"/>
    <cellStyle name="Input [yellow] 2 8 23 3" xfId="29638"/>
    <cellStyle name="Input [yellow] 2 8 23 4" xfId="40803"/>
    <cellStyle name="Input [yellow] 2 8 23 5" xfId="51996"/>
    <cellStyle name="Input [yellow] 2 8 24" xfId="7907"/>
    <cellStyle name="Input [yellow] 2 8 24 2" xfId="19104"/>
    <cellStyle name="Input [yellow] 2 8 24 3" xfId="30272"/>
    <cellStyle name="Input [yellow] 2 8 24 4" xfId="41437"/>
    <cellStyle name="Input [yellow] 2 8 24 5" xfId="52630"/>
    <cellStyle name="Input [yellow] 2 8 25" xfId="8540"/>
    <cellStyle name="Input [yellow] 2 8 25 2" xfId="19737"/>
    <cellStyle name="Input [yellow] 2 8 25 3" xfId="30905"/>
    <cellStyle name="Input [yellow] 2 8 25 4" xfId="42070"/>
    <cellStyle name="Input [yellow] 2 8 25 5" xfId="53263"/>
    <cellStyle name="Input [yellow] 2 8 26" xfId="8837"/>
    <cellStyle name="Input [yellow] 2 8 26 2" xfId="20034"/>
    <cellStyle name="Input [yellow] 2 8 26 3" xfId="31202"/>
    <cellStyle name="Input [yellow] 2 8 26 4" xfId="42367"/>
    <cellStyle name="Input [yellow] 2 8 26 5" xfId="53560"/>
    <cellStyle name="Input [yellow] 2 8 27" xfId="9592"/>
    <cellStyle name="Input [yellow] 2 8 27 2" xfId="20789"/>
    <cellStyle name="Input [yellow] 2 8 27 3" xfId="31957"/>
    <cellStyle name="Input [yellow] 2 8 27 4" xfId="43122"/>
    <cellStyle name="Input [yellow] 2 8 27 5" xfId="54315"/>
    <cellStyle name="Input [yellow] 2 8 28" xfId="10229"/>
    <cellStyle name="Input [yellow] 2 8 28 2" xfId="21426"/>
    <cellStyle name="Input [yellow] 2 8 28 3" xfId="32594"/>
    <cellStyle name="Input [yellow] 2 8 28 4" xfId="43759"/>
    <cellStyle name="Input [yellow] 2 8 28 5" xfId="54952"/>
    <cellStyle name="Input [yellow] 2 8 29" xfId="10625"/>
    <cellStyle name="Input [yellow] 2 8 29 2" xfId="21822"/>
    <cellStyle name="Input [yellow] 2 8 29 3" xfId="32990"/>
    <cellStyle name="Input [yellow] 2 8 29 4" xfId="44155"/>
    <cellStyle name="Input [yellow] 2 8 29 5" xfId="55348"/>
    <cellStyle name="Input [yellow] 2 8 3" xfId="191"/>
    <cellStyle name="Input [yellow] 2 8 3 10" xfId="6125"/>
    <cellStyle name="Input [yellow] 2 8 3 10 2" xfId="17322"/>
    <cellStyle name="Input [yellow] 2 8 3 10 3" xfId="28490"/>
    <cellStyle name="Input [yellow] 2 8 3 10 4" xfId="39655"/>
    <cellStyle name="Input [yellow] 2 8 3 10 5" xfId="50848"/>
    <cellStyle name="Input [yellow] 2 8 3 11" xfId="6021"/>
    <cellStyle name="Input [yellow] 2 8 3 11 2" xfId="17218"/>
    <cellStyle name="Input [yellow] 2 8 3 11 3" xfId="28386"/>
    <cellStyle name="Input [yellow] 2 8 3 11 4" xfId="39551"/>
    <cellStyle name="Input [yellow] 2 8 3 11 5" xfId="50744"/>
    <cellStyle name="Input [yellow] 2 8 3 12" xfId="6760"/>
    <cellStyle name="Input [yellow] 2 8 3 12 2" xfId="17957"/>
    <cellStyle name="Input [yellow] 2 8 3 12 3" xfId="29125"/>
    <cellStyle name="Input [yellow] 2 8 3 12 4" xfId="40290"/>
    <cellStyle name="Input [yellow] 2 8 3 12 5" xfId="51483"/>
    <cellStyle name="Input [yellow] 2 8 3 13" xfId="7394"/>
    <cellStyle name="Input [yellow] 2 8 3 13 2" xfId="18591"/>
    <cellStyle name="Input [yellow] 2 8 3 13 3" xfId="29759"/>
    <cellStyle name="Input [yellow] 2 8 3 13 4" xfId="40924"/>
    <cellStyle name="Input [yellow] 2 8 3 13 5" xfId="52117"/>
    <cellStyle name="Input [yellow] 2 8 3 14" xfId="8028"/>
    <cellStyle name="Input [yellow] 2 8 3 14 2" xfId="19225"/>
    <cellStyle name="Input [yellow] 2 8 3 14 3" xfId="30393"/>
    <cellStyle name="Input [yellow] 2 8 3 14 4" xfId="41558"/>
    <cellStyle name="Input [yellow] 2 8 3 14 5" xfId="52751"/>
    <cellStyle name="Input [yellow] 2 8 3 15" xfId="8659"/>
    <cellStyle name="Input [yellow] 2 8 3 15 2" xfId="19856"/>
    <cellStyle name="Input [yellow] 2 8 3 15 3" xfId="31024"/>
    <cellStyle name="Input [yellow] 2 8 3 15 4" xfId="42189"/>
    <cellStyle name="Input [yellow] 2 8 3 15 5" xfId="53382"/>
    <cellStyle name="Input [yellow] 2 8 3 16" xfId="8905"/>
    <cellStyle name="Input [yellow] 2 8 3 16 2" xfId="20102"/>
    <cellStyle name="Input [yellow] 2 8 3 16 3" xfId="31270"/>
    <cellStyle name="Input [yellow] 2 8 3 16 4" xfId="42435"/>
    <cellStyle name="Input [yellow] 2 8 3 16 5" xfId="53628"/>
    <cellStyle name="Input [yellow] 2 8 3 17" xfId="9711"/>
    <cellStyle name="Input [yellow] 2 8 3 17 2" xfId="20908"/>
    <cellStyle name="Input [yellow] 2 8 3 17 3" xfId="32076"/>
    <cellStyle name="Input [yellow] 2 8 3 17 4" xfId="43241"/>
    <cellStyle name="Input [yellow] 2 8 3 17 5" xfId="54434"/>
    <cellStyle name="Input [yellow] 2 8 3 18" xfId="8860"/>
    <cellStyle name="Input [yellow] 2 8 3 18 2" xfId="20057"/>
    <cellStyle name="Input [yellow] 2 8 3 18 3" xfId="31225"/>
    <cellStyle name="Input [yellow] 2 8 3 18 4" xfId="42390"/>
    <cellStyle name="Input [yellow] 2 8 3 18 5" xfId="53583"/>
    <cellStyle name="Input [yellow] 2 8 3 19" xfId="10744"/>
    <cellStyle name="Input [yellow] 2 8 3 19 2" xfId="21941"/>
    <cellStyle name="Input [yellow] 2 8 3 19 3" xfId="33109"/>
    <cellStyle name="Input [yellow] 2 8 3 19 4" xfId="44274"/>
    <cellStyle name="Input [yellow] 2 8 3 19 5" xfId="55467"/>
    <cellStyle name="Input [yellow] 2 8 3 2" xfId="840"/>
    <cellStyle name="Input [yellow] 2 8 3 2 2" xfId="12037"/>
    <cellStyle name="Input [yellow] 2 8 3 2 3" xfId="23205"/>
    <cellStyle name="Input [yellow] 2 8 3 2 4" xfId="34370"/>
    <cellStyle name="Input [yellow] 2 8 3 2 5" xfId="45563"/>
    <cellStyle name="Input [yellow] 2 8 3 20" xfId="11391"/>
    <cellStyle name="Input [yellow] 2 8 3 21" xfId="22561"/>
    <cellStyle name="Input [yellow] 2 8 3 22" xfId="33728"/>
    <cellStyle name="Input [yellow] 2 8 3 23" xfId="44914"/>
    <cellStyle name="Input [yellow] 2 8 3 3" xfId="1497"/>
    <cellStyle name="Input [yellow] 2 8 3 3 2" xfId="12694"/>
    <cellStyle name="Input [yellow] 2 8 3 3 3" xfId="23862"/>
    <cellStyle name="Input [yellow] 2 8 3 3 4" xfId="35027"/>
    <cellStyle name="Input [yellow] 2 8 3 3 5" xfId="46220"/>
    <cellStyle name="Input [yellow] 2 8 3 4" xfId="2117"/>
    <cellStyle name="Input [yellow] 2 8 3 4 2" xfId="13314"/>
    <cellStyle name="Input [yellow] 2 8 3 4 3" xfId="24482"/>
    <cellStyle name="Input [yellow] 2 8 3 4 4" xfId="35647"/>
    <cellStyle name="Input [yellow] 2 8 3 4 5" xfId="46840"/>
    <cellStyle name="Input [yellow] 2 8 3 5" xfId="2200"/>
    <cellStyle name="Input [yellow] 2 8 3 5 2" xfId="13397"/>
    <cellStyle name="Input [yellow] 2 8 3 5 3" xfId="24565"/>
    <cellStyle name="Input [yellow] 2 8 3 5 4" xfId="35730"/>
    <cellStyle name="Input [yellow] 2 8 3 5 5" xfId="46923"/>
    <cellStyle name="Input [yellow] 2 8 3 6" xfId="3175"/>
    <cellStyle name="Input [yellow] 2 8 3 6 2" xfId="14372"/>
    <cellStyle name="Input [yellow] 2 8 3 6 3" xfId="25540"/>
    <cellStyle name="Input [yellow] 2 8 3 6 4" xfId="36705"/>
    <cellStyle name="Input [yellow] 2 8 3 6 5" xfId="47898"/>
    <cellStyle name="Input [yellow] 2 8 3 7" xfId="3809"/>
    <cellStyle name="Input [yellow] 2 8 3 7 2" xfId="15006"/>
    <cellStyle name="Input [yellow] 2 8 3 7 3" xfId="26174"/>
    <cellStyle name="Input [yellow] 2 8 3 7 4" xfId="37339"/>
    <cellStyle name="Input [yellow] 2 8 3 7 5" xfId="48532"/>
    <cellStyle name="Input [yellow] 2 8 3 8" xfId="4442"/>
    <cellStyle name="Input [yellow] 2 8 3 8 2" xfId="15639"/>
    <cellStyle name="Input [yellow] 2 8 3 8 3" xfId="26807"/>
    <cellStyle name="Input [yellow] 2 8 3 8 4" xfId="37972"/>
    <cellStyle name="Input [yellow] 2 8 3 8 5" xfId="49165"/>
    <cellStyle name="Input [yellow] 2 8 3 9" xfId="5073"/>
    <cellStyle name="Input [yellow] 2 8 3 9 2" xfId="16270"/>
    <cellStyle name="Input [yellow] 2 8 3 9 3" xfId="27438"/>
    <cellStyle name="Input [yellow] 2 8 3 9 4" xfId="38603"/>
    <cellStyle name="Input [yellow] 2 8 3 9 5" xfId="49796"/>
    <cellStyle name="Input [yellow] 2 8 30" xfId="11271"/>
    <cellStyle name="Input [yellow] 2 8 31" xfId="22442"/>
    <cellStyle name="Input [yellow] 2 8 32" xfId="33609"/>
    <cellStyle name="Input [yellow] 2 8 33" xfId="44793"/>
    <cellStyle name="Input [yellow] 2 8 4" xfId="179"/>
    <cellStyle name="Input [yellow] 2 8 4 10" xfId="6031"/>
    <cellStyle name="Input [yellow] 2 8 4 10 2" xfId="17228"/>
    <cellStyle name="Input [yellow] 2 8 4 10 3" xfId="28396"/>
    <cellStyle name="Input [yellow] 2 8 4 10 4" xfId="39561"/>
    <cellStyle name="Input [yellow] 2 8 4 10 5" xfId="50754"/>
    <cellStyle name="Input [yellow] 2 8 4 11" xfId="6114"/>
    <cellStyle name="Input [yellow] 2 8 4 11 2" xfId="17311"/>
    <cellStyle name="Input [yellow] 2 8 4 11 3" xfId="28479"/>
    <cellStyle name="Input [yellow] 2 8 4 11 4" xfId="39644"/>
    <cellStyle name="Input [yellow] 2 8 4 11 5" xfId="50837"/>
    <cellStyle name="Input [yellow] 2 8 4 12" xfId="6748"/>
    <cellStyle name="Input [yellow] 2 8 4 12 2" xfId="17945"/>
    <cellStyle name="Input [yellow] 2 8 4 12 3" xfId="29113"/>
    <cellStyle name="Input [yellow] 2 8 4 12 4" xfId="40278"/>
    <cellStyle name="Input [yellow] 2 8 4 12 5" xfId="51471"/>
    <cellStyle name="Input [yellow] 2 8 4 13" xfId="7382"/>
    <cellStyle name="Input [yellow] 2 8 4 13 2" xfId="18579"/>
    <cellStyle name="Input [yellow] 2 8 4 13 3" xfId="29747"/>
    <cellStyle name="Input [yellow] 2 8 4 13 4" xfId="40912"/>
    <cellStyle name="Input [yellow] 2 8 4 13 5" xfId="52105"/>
    <cellStyle name="Input [yellow] 2 8 4 14" xfId="8016"/>
    <cellStyle name="Input [yellow] 2 8 4 14 2" xfId="19213"/>
    <cellStyle name="Input [yellow] 2 8 4 14 3" xfId="30381"/>
    <cellStyle name="Input [yellow] 2 8 4 14 4" xfId="41546"/>
    <cellStyle name="Input [yellow] 2 8 4 14 5" xfId="52739"/>
    <cellStyle name="Input [yellow] 2 8 4 15" xfId="8647"/>
    <cellStyle name="Input [yellow] 2 8 4 15 2" xfId="19844"/>
    <cellStyle name="Input [yellow] 2 8 4 15 3" xfId="31012"/>
    <cellStyle name="Input [yellow] 2 8 4 15 4" xfId="42177"/>
    <cellStyle name="Input [yellow] 2 8 4 15 5" xfId="53370"/>
    <cellStyle name="Input [yellow] 2 8 4 16" xfId="8973"/>
    <cellStyle name="Input [yellow] 2 8 4 16 2" xfId="20170"/>
    <cellStyle name="Input [yellow] 2 8 4 16 3" xfId="31338"/>
    <cellStyle name="Input [yellow] 2 8 4 16 4" xfId="42503"/>
    <cellStyle name="Input [yellow] 2 8 4 16 5" xfId="53696"/>
    <cellStyle name="Input [yellow] 2 8 4 17" xfId="9699"/>
    <cellStyle name="Input [yellow] 2 8 4 17 2" xfId="20896"/>
    <cellStyle name="Input [yellow] 2 8 4 17 3" xfId="32064"/>
    <cellStyle name="Input [yellow] 2 8 4 17 4" xfId="43229"/>
    <cellStyle name="Input [yellow] 2 8 4 17 5" xfId="54422"/>
    <cellStyle name="Input [yellow] 2 8 4 18" xfId="10253"/>
    <cellStyle name="Input [yellow] 2 8 4 18 2" xfId="21450"/>
    <cellStyle name="Input [yellow] 2 8 4 18 3" xfId="32618"/>
    <cellStyle name="Input [yellow] 2 8 4 18 4" xfId="43783"/>
    <cellStyle name="Input [yellow] 2 8 4 18 5" xfId="54976"/>
    <cellStyle name="Input [yellow] 2 8 4 19" xfId="10732"/>
    <cellStyle name="Input [yellow] 2 8 4 19 2" xfId="21929"/>
    <cellStyle name="Input [yellow] 2 8 4 19 3" xfId="33097"/>
    <cellStyle name="Input [yellow] 2 8 4 19 4" xfId="44262"/>
    <cellStyle name="Input [yellow] 2 8 4 19 5" xfId="55455"/>
    <cellStyle name="Input [yellow] 2 8 4 2" xfId="828"/>
    <cellStyle name="Input [yellow] 2 8 4 2 2" xfId="12025"/>
    <cellStyle name="Input [yellow] 2 8 4 2 3" xfId="23193"/>
    <cellStyle name="Input [yellow] 2 8 4 2 4" xfId="34358"/>
    <cellStyle name="Input [yellow] 2 8 4 2 5" xfId="45551"/>
    <cellStyle name="Input [yellow] 2 8 4 20" xfId="11379"/>
    <cellStyle name="Input [yellow] 2 8 4 21" xfId="22549"/>
    <cellStyle name="Input [yellow] 2 8 4 22" xfId="33716"/>
    <cellStyle name="Input [yellow] 2 8 4 23" xfId="44902"/>
    <cellStyle name="Input [yellow] 2 8 4 3" xfId="1569"/>
    <cellStyle name="Input [yellow] 2 8 4 3 2" xfId="12766"/>
    <cellStyle name="Input [yellow] 2 8 4 3 3" xfId="23934"/>
    <cellStyle name="Input [yellow] 2 8 4 3 4" xfId="35099"/>
    <cellStyle name="Input [yellow] 2 8 4 3 5" xfId="46292"/>
    <cellStyle name="Input [yellow] 2 8 4 4" xfId="2105"/>
    <cellStyle name="Input [yellow] 2 8 4 4 2" xfId="13302"/>
    <cellStyle name="Input [yellow] 2 8 4 4 3" xfId="24470"/>
    <cellStyle name="Input [yellow] 2 8 4 4 4" xfId="35635"/>
    <cellStyle name="Input [yellow] 2 8 4 4 5" xfId="46828"/>
    <cellStyle name="Input [yellow] 2 8 4 5" xfId="2226"/>
    <cellStyle name="Input [yellow] 2 8 4 5 2" xfId="13423"/>
    <cellStyle name="Input [yellow] 2 8 4 5 3" xfId="24591"/>
    <cellStyle name="Input [yellow] 2 8 4 5 4" xfId="35756"/>
    <cellStyle name="Input [yellow] 2 8 4 5 5" xfId="46949"/>
    <cellStyle name="Input [yellow] 2 8 4 6" xfId="3163"/>
    <cellStyle name="Input [yellow] 2 8 4 6 2" xfId="14360"/>
    <cellStyle name="Input [yellow] 2 8 4 6 3" xfId="25528"/>
    <cellStyle name="Input [yellow] 2 8 4 6 4" xfId="36693"/>
    <cellStyle name="Input [yellow] 2 8 4 6 5" xfId="47886"/>
    <cellStyle name="Input [yellow] 2 8 4 7" xfId="3797"/>
    <cellStyle name="Input [yellow] 2 8 4 7 2" xfId="14994"/>
    <cellStyle name="Input [yellow] 2 8 4 7 3" xfId="26162"/>
    <cellStyle name="Input [yellow] 2 8 4 7 4" xfId="37327"/>
    <cellStyle name="Input [yellow] 2 8 4 7 5" xfId="48520"/>
    <cellStyle name="Input [yellow] 2 8 4 8" xfId="4430"/>
    <cellStyle name="Input [yellow] 2 8 4 8 2" xfId="15627"/>
    <cellStyle name="Input [yellow] 2 8 4 8 3" xfId="26795"/>
    <cellStyle name="Input [yellow] 2 8 4 8 4" xfId="37960"/>
    <cellStyle name="Input [yellow] 2 8 4 8 5" xfId="49153"/>
    <cellStyle name="Input [yellow] 2 8 4 9" xfId="5061"/>
    <cellStyle name="Input [yellow] 2 8 4 9 2" xfId="16258"/>
    <cellStyle name="Input [yellow] 2 8 4 9 3" xfId="27426"/>
    <cellStyle name="Input [yellow] 2 8 4 9 4" xfId="38591"/>
    <cellStyle name="Input [yellow] 2 8 4 9 5" xfId="49784"/>
    <cellStyle name="Input [yellow] 2 8 5" xfId="300"/>
    <cellStyle name="Input [yellow] 2 8 5 10" xfId="5583"/>
    <cellStyle name="Input [yellow] 2 8 5 10 2" xfId="16780"/>
    <cellStyle name="Input [yellow] 2 8 5 10 3" xfId="27948"/>
    <cellStyle name="Input [yellow] 2 8 5 10 4" xfId="39113"/>
    <cellStyle name="Input [yellow] 2 8 5 10 5" xfId="50306"/>
    <cellStyle name="Input [yellow] 2 8 5 11" xfId="6236"/>
    <cellStyle name="Input [yellow] 2 8 5 11 2" xfId="17433"/>
    <cellStyle name="Input [yellow] 2 8 5 11 3" xfId="28601"/>
    <cellStyle name="Input [yellow] 2 8 5 11 4" xfId="39766"/>
    <cellStyle name="Input [yellow] 2 8 5 11 5" xfId="50959"/>
    <cellStyle name="Input [yellow] 2 8 5 12" xfId="6869"/>
    <cellStyle name="Input [yellow] 2 8 5 12 2" xfId="18066"/>
    <cellStyle name="Input [yellow] 2 8 5 12 3" xfId="29234"/>
    <cellStyle name="Input [yellow] 2 8 5 12 4" xfId="40399"/>
    <cellStyle name="Input [yellow] 2 8 5 12 5" xfId="51592"/>
    <cellStyle name="Input [yellow] 2 8 5 13" xfId="7503"/>
    <cellStyle name="Input [yellow] 2 8 5 13 2" xfId="18700"/>
    <cellStyle name="Input [yellow] 2 8 5 13 3" xfId="29868"/>
    <cellStyle name="Input [yellow] 2 8 5 13 4" xfId="41033"/>
    <cellStyle name="Input [yellow] 2 8 5 13 5" xfId="52226"/>
    <cellStyle name="Input [yellow] 2 8 5 14" xfId="8137"/>
    <cellStyle name="Input [yellow] 2 8 5 14 2" xfId="19334"/>
    <cellStyle name="Input [yellow] 2 8 5 14 3" xfId="30502"/>
    <cellStyle name="Input [yellow] 2 8 5 14 4" xfId="41667"/>
    <cellStyle name="Input [yellow] 2 8 5 14 5" xfId="52860"/>
    <cellStyle name="Input [yellow] 2 8 5 15" xfId="8766"/>
    <cellStyle name="Input [yellow] 2 8 5 15 2" xfId="19963"/>
    <cellStyle name="Input [yellow] 2 8 5 15 3" xfId="31131"/>
    <cellStyle name="Input [yellow] 2 8 5 15 4" xfId="42296"/>
    <cellStyle name="Input [yellow] 2 8 5 15 5" xfId="53489"/>
    <cellStyle name="Input [yellow] 2 8 5 16" xfId="9188"/>
    <cellStyle name="Input [yellow] 2 8 5 16 2" xfId="20385"/>
    <cellStyle name="Input [yellow] 2 8 5 16 3" xfId="31553"/>
    <cellStyle name="Input [yellow] 2 8 5 16 4" xfId="42718"/>
    <cellStyle name="Input [yellow] 2 8 5 16 5" xfId="53911"/>
    <cellStyle name="Input [yellow] 2 8 5 17" xfId="9815"/>
    <cellStyle name="Input [yellow] 2 8 5 17 2" xfId="21012"/>
    <cellStyle name="Input [yellow] 2 8 5 17 3" xfId="32180"/>
    <cellStyle name="Input [yellow] 2 8 5 17 4" xfId="43345"/>
    <cellStyle name="Input [yellow] 2 8 5 17 5" xfId="54538"/>
    <cellStyle name="Input [yellow] 2 8 5 18" xfId="10450"/>
    <cellStyle name="Input [yellow] 2 8 5 18 2" xfId="21647"/>
    <cellStyle name="Input [yellow] 2 8 5 18 3" xfId="32815"/>
    <cellStyle name="Input [yellow] 2 8 5 18 4" xfId="43980"/>
    <cellStyle name="Input [yellow] 2 8 5 18 5" xfId="55173"/>
    <cellStyle name="Input [yellow] 2 8 5 19" xfId="10853"/>
    <cellStyle name="Input [yellow] 2 8 5 19 2" xfId="22050"/>
    <cellStyle name="Input [yellow] 2 8 5 19 3" xfId="33218"/>
    <cellStyle name="Input [yellow] 2 8 5 19 4" xfId="44383"/>
    <cellStyle name="Input [yellow] 2 8 5 19 5" xfId="55576"/>
    <cellStyle name="Input [yellow] 2 8 5 2" xfId="949"/>
    <cellStyle name="Input [yellow] 2 8 5 2 2" xfId="12146"/>
    <cellStyle name="Input [yellow] 2 8 5 2 3" xfId="23314"/>
    <cellStyle name="Input [yellow] 2 8 5 2 4" xfId="34479"/>
    <cellStyle name="Input [yellow] 2 8 5 2 5" xfId="45672"/>
    <cellStyle name="Input [yellow] 2 8 5 20" xfId="11500"/>
    <cellStyle name="Input [yellow] 2 8 5 21" xfId="22670"/>
    <cellStyle name="Input [yellow] 2 8 5 22" xfId="33837"/>
    <cellStyle name="Input [yellow] 2 8 5 23" xfId="45023"/>
    <cellStyle name="Input [yellow] 2 8 5 3" xfId="1746"/>
    <cellStyle name="Input [yellow] 2 8 5 3 2" xfId="12943"/>
    <cellStyle name="Input [yellow] 2 8 5 3 3" xfId="24111"/>
    <cellStyle name="Input [yellow] 2 8 5 3 4" xfId="35276"/>
    <cellStyle name="Input [yellow] 2 8 5 3 5" xfId="46469"/>
    <cellStyle name="Input [yellow] 2 8 5 4" xfId="2225"/>
    <cellStyle name="Input [yellow] 2 8 5 4 2" xfId="13422"/>
    <cellStyle name="Input [yellow] 2 8 5 4 3" xfId="24590"/>
    <cellStyle name="Input [yellow] 2 8 5 4 4" xfId="35755"/>
    <cellStyle name="Input [yellow] 2 8 5 4 5" xfId="46948"/>
    <cellStyle name="Input [yellow] 2 8 5 5" xfId="2650"/>
    <cellStyle name="Input [yellow] 2 8 5 5 2" xfId="13847"/>
    <cellStyle name="Input [yellow] 2 8 5 5 3" xfId="25015"/>
    <cellStyle name="Input [yellow] 2 8 5 5 4" xfId="36180"/>
    <cellStyle name="Input [yellow] 2 8 5 5 5" xfId="47373"/>
    <cellStyle name="Input [yellow] 2 8 5 6" xfId="3284"/>
    <cellStyle name="Input [yellow] 2 8 5 6 2" xfId="14481"/>
    <cellStyle name="Input [yellow] 2 8 5 6 3" xfId="25649"/>
    <cellStyle name="Input [yellow] 2 8 5 6 4" xfId="36814"/>
    <cellStyle name="Input [yellow] 2 8 5 6 5" xfId="48007"/>
    <cellStyle name="Input [yellow] 2 8 5 7" xfId="3918"/>
    <cellStyle name="Input [yellow] 2 8 5 7 2" xfId="15115"/>
    <cellStyle name="Input [yellow] 2 8 5 7 3" xfId="26283"/>
    <cellStyle name="Input [yellow] 2 8 5 7 4" xfId="37448"/>
    <cellStyle name="Input [yellow] 2 8 5 7 5" xfId="48641"/>
    <cellStyle name="Input [yellow] 2 8 5 8" xfId="4551"/>
    <cellStyle name="Input [yellow] 2 8 5 8 2" xfId="15748"/>
    <cellStyle name="Input [yellow] 2 8 5 8 3" xfId="26916"/>
    <cellStyle name="Input [yellow] 2 8 5 8 4" xfId="38081"/>
    <cellStyle name="Input [yellow] 2 8 5 8 5" xfId="49274"/>
    <cellStyle name="Input [yellow] 2 8 5 9" xfId="5182"/>
    <cellStyle name="Input [yellow] 2 8 5 9 2" xfId="16379"/>
    <cellStyle name="Input [yellow] 2 8 5 9 3" xfId="27547"/>
    <cellStyle name="Input [yellow] 2 8 5 9 4" xfId="38712"/>
    <cellStyle name="Input [yellow] 2 8 5 9 5" xfId="49905"/>
    <cellStyle name="Input [yellow] 2 8 6" xfId="340"/>
    <cellStyle name="Input [yellow] 2 8 6 10" xfId="6126"/>
    <cellStyle name="Input [yellow] 2 8 6 10 2" xfId="17323"/>
    <cellStyle name="Input [yellow] 2 8 6 10 3" xfId="28491"/>
    <cellStyle name="Input [yellow] 2 8 6 10 4" xfId="39656"/>
    <cellStyle name="Input [yellow] 2 8 6 10 5" xfId="50849"/>
    <cellStyle name="Input [yellow] 2 8 6 11" xfId="6276"/>
    <cellStyle name="Input [yellow] 2 8 6 11 2" xfId="17473"/>
    <cellStyle name="Input [yellow] 2 8 6 11 3" xfId="28641"/>
    <cellStyle name="Input [yellow] 2 8 6 11 4" xfId="39806"/>
    <cellStyle name="Input [yellow] 2 8 6 11 5" xfId="50999"/>
    <cellStyle name="Input [yellow] 2 8 6 12" xfId="6909"/>
    <cellStyle name="Input [yellow] 2 8 6 12 2" xfId="18106"/>
    <cellStyle name="Input [yellow] 2 8 6 12 3" xfId="29274"/>
    <cellStyle name="Input [yellow] 2 8 6 12 4" xfId="40439"/>
    <cellStyle name="Input [yellow] 2 8 6 12 5" xfId="51632"/>
    <cellStyle name="Input [yellow] 2 8 6 13" xfId="7543"/>
    <cellStyle name="Input [yellow] 2 8 6 13 2" xfId="18740"/>
    <cellStyle name="Input [yellow] 2 8 6 13 3" xfId="29908"/>
    <cellStyle name="Input [yellow] 2 8 6 13 4" xfId="41073"/>
    <cellStyle name="Input [yellow] 2 8 6 13 5" xfId="52266"/>
    <cellStyle name="Input [yellow] 2 8 6 14" xfId="8177"/>
    <cellStyle name="Input [yellow] 2 8 6 14 2" xfId="19374"/>
    <cellStyle name="Input [yellow] 2 8 6 14 3" xfId="30542"/>
    <cellStyle name="Input [yellow] 2 8 6 14 4" xfId="41707"/>
    <cellStyle name="Input [yellow] 2 8 6 14 5" xfId="52900"/>
    <cellStyle name="Input [yellow] 2 8 6 15" xfId="8806"/>
    <cellStyle name="Input [yellow] 2 8 6 15 2" xfId="20003"/>
    <cellStyle name="Input [yellow] 2 8 6 15 3" xfId="31171"/>
    <cellStyle name="Input [yellow] 2 8 6 15 4" xfId="42336"/>
    <cellStyle name="Input [yellow] 2 8 6 15 5" xfId="53529"/>
    <cellStyle name="Input [yellow] 2 8 6 16" xfId="9228"/>
    <cellStyle name="Input [yellow] 2 8 6 16 2" xfId="20425"/>
    <cellStyle name="Input [yellow] 2 8 6 16 3" xfId="31593"/>
    <cellStyle name="Input [yellow] 2 8 6 16 4" xfId="42758"/>
    <cellStyle name="Input [yellow] 2 8 6 16 5" xfId="53951"/>
    <cellStyle name="Input [yellow] 2 8 6 17" xfId="9855"/>
    <cellStyle name="Input [yellow] 2 8 6 17 2" xfId="21052"/>
    <cellStyle name="Input [yellow] 2 8 6 17 3" xfId="32220"/>
    <cellStyle name="Input [yellow] 2 8 6 17 4" xfId="43385"/>
    <cellStyle name="Input [yellow] 2 8 6 17 5" xfId="54578"/>
    <cellStyle name="Input [yellow] 2 8 6 18" xfId="10537"/>
    <cellStyle name="Input [yellow] 2 8 6 18 2" xfId="21734"/>
    <cellStyle name="Input [yellow] 2 8 6 18 3" xfId="32902"/>
    <cellStyle name="Input [yellow] 2 8 6 18 4" xfId="44067"/>
    <cellStyle name="Input [yellow] 2 8 6 18 5" xfId="55260"/>
    <cellStyle name="Input [yellow] 2 8 6 19" xfId="10893"/>
    <cellStyle name="Input [yellow] 2 8 6 19 2" xfId="22090"/>
    <cellStyle name="Input [yellow] 2 8 6 19 3" xfId="33258"/>
    <cellStyle name="Input [yellow] 2 8 6 19 4" xfId="44423"/>
    <cellStyle name="Input [yellow] 2 8 6 19 5" xfId="55616"/>
    <cellStyle name="Input [yellow] 2 8 6 2" xfId="989"/>
    <cellStyle name="Input [yellow] 2 8 6 2 2" xfId="12186"/>
    <cellStyle name="Input [yellow] 2 8 6 2 3" xfId="23354"/>
    <cellStyle name="Input [yellow] 2 8 6 2 4" xfId="34519"/>
    <cellStyle name="Input [yellow] 2 8 6 2 5" xfId="45712"/>
    <cellStyle name="Input [yellow] 2 8 6 20" xfId="11540"/>
    <cellStyle name="Input [yellow] 2 8 6 21" xfId="22710"/>
    <cellStyle name="Input [yellow] 2 8 6 22" xfId="33877"/>
    <cellStyle name="Input [yellow] 2 8 6 23" xfId="45063"/>
    <cellStyle name="Input [yellow] 2 8 6 3" xfId="1341"/>
    <cellStyle name="Input [yellow] 2 8 6 3 2" xfId="12538"/>
    <cellStyle name="Input [yellow] 2 8 6 3 3" xfId="23706"/>
    <cellStyle name="Input [yellow] 2 8 6 3 4" xfId="34871"/>
    <cellStyle name="Input [yellow] 2 8 6 3 5" xfId="46064"/>
    <cellStyle name="Input [yellow] 2 8 6 4" xfId="2265"/>
    <cellStyle name="Input [yellow] 2 8 6 4 2" xfId="13462"/>
    <cellStyle name="Input [yellow] 2 8 6 4 3" xfId="24630"/>
    <cellStyle name="Input [yellow] 2 8 6 4 4" xfId="35795"/>
    <cellStyle name="Input [yellow] 2 8 6 4 5" xfId="46988"/>
    <cellStyle name="Input [yellow] 2 8 6 5" xfId="2690"/>
    <cellStyle name="Input [yellow] 2 8 6 5 2" xfId="13887"/>
    <cellStyle name="Input [yellow] 2 8 6 5 3" xfId="25055"/>
    <cellStyle name="Input [yellow] 2 8 6 5 4" xfId="36220"/>
    <cellStyle name="Input [yellow] 2 8 6 5 5" xfId="47413"/>
    <cellStyle name="Input [yellow] 2 8 6 6" xfId="3324"/>
    <cellStyle name="Input [yellow] 2 8 6 6 2" xfId="14521"/>
    <cellStyle name="Input [yellow] 2 8 6 6 3" xfId="25689"/>
    <cellStyle name="Input [yellow] 2 8 6 6 4" xfId="36854"/>
    <cellStyle name="Input [yellow] 2 8 6 6 5" xfId="48047"/>
    <cellStyle name="Input [yellow] 2 8 6 7" xfId="3958"/>
    <cellStyle name="Input [yellow] 2 8 6 7 2" xfId="15155"/>
    <cellStyle name="Input [yellow] 2 8 6 7 3" xfId="26323"/>
    <cellStyle name="Input [yellow] 2 8 6 7 4" xfId="37488"/>
    <cellStyle name="Input [yellow] 2 8 6 7 5" xfId="48681"/>
    <cellStyle name="Input [yellow] 2 8 6 8" xfId="4591"/>
    <cellStyle name="Input [yellow] 2 8 6 8 2" xfId="15788"/>
    <cellStyle name="Input [yellow] 2 8 6 8 3" xfId="26956"/>
    <cellStyle name="Input [yellow] 2 8 6 8 4" xfId="38121"/>
    <cellStyle name="Input [yellow] 2 8 6 8 5" xfId="49314"/>
    <cellStyle name="Input [yellow] 2 8 6 9" xfId="5222"/>
    <cellStyle name="Input [yellow] 2 8 6 9 2" xfId="16419"/>
    <cellStyle name="Input [yellow] 2 8 6 9 3" xfId="27587"/>
    <cellStyle name="Input [yellow] 2 8 6 9 4" xfId="38752"/>
    <cellStyle name="Input [yellow] 2 8 6 9 5" xfId="49945"/>
    <cellStyle name="Input [yellow] 2 8 7" xfId="426"/>
    <cellStyle name="Input [yellow] 2 8 7 10" xfId="6162"/>
    <cellStyle name="Input [yellow] 2 8 7 10 2" xfId="17359"/>
    <cellStyle name="Input [yellow] 2 8 7 10 3" xfId="28527"/>
    <cellStyle name="Input [yellow] 2 8 7 10 4" xfId="39692"/>
    <cellStyle name="Input [yellow] 2 8 7 10 5" xfId="50885"/>
    <cellStyle name="Input [yellow] 2 8 7 11" xfId="6362"/>
    <cellStyle name="Input [yellow] 2 8 7 11 2" xfId="17559"/>
    <cellStyle name="Input [yellow] 2 8 7 11 3" xfId="28727"/>
    <cellStyle name="Input [yellow] 2 8 7 11 4" xfId="39892"/>
    <cellStyle name="Input [yellow] 2 8 7 11 5" xfId="51085"/>
    <cellStyle name="Input [yellow] 2 8 7 12" xfId="6995"/>
    <cellStyle name="Input [yellow] 2 8 7 12 2" xfId="18192"/>
    <cellStyle name="Input [yellow] 2 8 7 12 3" xfId="29360"/>
    <cellStyle name="Input [yellow] 2 8 7 12 4" xfId="40525"/>
    <cellStyle name="Input [yellow] 2 8 7 12 5" xfId="51718"/>
    <cellStyle name="Input [yellow] 2 8 7 13" xfId="7629"/>
    <cellStyle name="Input [yellow] 2 8 7 13 2" xfId="18826"/>
    <cellStyle name="Input [yellow] 2 8 7 13 3" xfId="29994"/>
    <cellStyle name="Input [yellow] 2 8 7 13 4" xfId="41159"/>
    <cellStyle name="Input [yellow] 2 8 7 13 5" xfId="52352"/>
    <cellStyle name="Input [yellow] 2 8 7 14" xfId="8263"/>
    <cellStyle name="Input [yellow] 2 8 7 14 2" xfId="19460"/>
    <cellStyle name="Input [yellow] 2 8 7 14 3" xfId="30628"/>
    <cellStyle name="Input [yellow] 2 8 7 14 4" xfId="41793"/>
    <cellStyle name="Input [yellow] 2 8 7 14 5" xfId="52986"/>
    <cellStyle name="Input [yellow] 2 8 7 15" xfId="8891"/>
    <cellStyle name="Input [yellow] 2 8 7 15 2" xfId="20088"/>
    <cellStyle name="Input [yellow] 2 8 7 15 3" xfId="31256"/>
    <cellStyle name="Input [yellow] 2 8 7 15 4" xfId="42421"/>
    <cellStyle name="Input [yellow] 2 8 7 15 5" xfId="53614"/>
    <cellStyle name="Input [yellow] 2 8 7 16" xfId="9314"/>
    <cellStyle name="Input [yellow] 2 8 7 16 2" xfId="20511"/>
    <cellStyle name="Input [yellow] 2 8 7 16 3" xfId="31679"/>
    <cellStyle name="Input [yellow] 2 8 7 16 4" xfId="42844"/>
    <cellStyle name="Input [yellow] 2 8 7 16 5" xfId="54037"/>
    <cellStyle name="Input [yellow] 2 8 7 17" xfId="9940"/>
    <cellStyle name="Input [yellow] 2 8 7 17 2" xfId="21137"/>
    <cellStyle name="Input [yellow] 2 8 7 17 3" xfId="32305"/>
    <cellStyle name="Input [yellow] 2 8 7 17 4" xfId="43470"/>
    <cellStyle name="Input [yellow] 2 8 7 17 5" xfId="54663"/>
    <cellStyle name="Input [yellow] 2 8 7 18" xfId="9774"/>
    <cellStyle name="Input [yellow] 2 8 7 18 2" xfId="20971"/>
    <cellStyle name="Input [yellow] 2 8 7 18 3" xfId="32139"/>
    <cellStyle name="Input [yellow] 2 8 7 18 4" xfId="43304"/>
    <cellStyle name="Input [yellow] 2 8 7 18 5" xfId="54497"/>
    <cellStyle name="Input [yellow] 2 8 7 19" xfId="10979"/>
    <cellStyle name="Input [yellow] 2 8 7 19 2" xfId="22176"/>
    <cellStyle name="Input [yellow] 2 8 7 19 3" xfId="33344"/>
    <cellStyle name="Input [yellow] 2 8 7 19 4" xfId="44509"/>
    <cellStyle name="Input [yellow] 2 8 7 19 5" xfId="55702"/>
    <cellStyle name="Input [yellow] 2 8 7 2" xfId="1075"/>
    <cellStyle name="Input [yellow] 2 8 7 2 2" xfId="12272"/>
    <cellStyle name="Input [yellow] 2 8 7 2 3" xfId="23440"/>
    <cellStyle name="Input [yellow] 2 8 7 2 4" xfId="34605"/>
    <cellStyle name="Input [yellow] 2 8 7 2 5" xfId="45798"/>
    <cellStyle name="Input [yellow] 2 8 7 20" xfId="11626"/>
    <cellStyle name="Input [yellow] 2 8 7 21" xfId="22796"/>
    <cellStyle name="Input [yellow] 2 8 7 22" xfId="33963"/>
    <cellStyle name="Input [yellow] 2 8 7 23" xfId="45149"/>
    <cellStyle name="Input [yellow] 2 8 7 3" xfId="1941"/>
    <cellStyle name="Input [yellow] 2 8 7 3 2" xfId="13138"/>
    <cellStyle name="Input [yellow] 2 8 7 3 3" xfId="24306"/>
    <cellStyle name="Input [yellow] 2 8 7 3 4" xfId="35471"/>
    <cellStyle name="Input [yellow] 2 8 7 3 5" xfId="46664"/>
    <cellStyle name="Input [yellow] 2 8 7 4" xfId="2351"/>
    <cellStyle name="Input [yellow] 2 8 7 4 2" xfId="13548"/>
    <cellStyle name="Input [yellow] 2 8 7 4 3" xfId="24716"/>
    <cellStyle name="Input [yellow] 2 8 7 4 4" xfId="35881"/>
    <cellStyle name="Input [yellow] 2 8 7 4 5" xfId="47074"/>
    <cellStyle name="Input [yellow] 2 8 7 5" xfId="2776"/>
    <cellStyle name="Input [yellow] 2 8 7 5 2" xfId="13973"/>
    <cellStyle name="Input [yellow] 2 8 7 5 3" xfId="25141"/>
    <cellStyle name="Input [yellow] 2 8 7 5 4" xfId="36306"/>
    <cellStyle name="Input [yellow] 2 8 7 5 5" xfId="47499"/>
    <cellStyle name="Input [yellow] 2 8 7 6" xfId="3410"/>
    <cellStyle name="Input [yellow] 2 8 7 6 2" xfId="14607"/>
    <cellStyle name="Input [yellow] 2 8 7 6 3" xfId="25775"/>
    <cellStyle name="Input [yellow] 2 8 7 6 4" xfId="36940"/>
    <cellStyle name="Input [yellow] 2 8 7 6 5" xfId="48133"/>
    <cellStyle name="Input [yellow] 2 8 7 7" xfId="4044"/>
    <cellStyle name="Input [yellow] 2 8 7 7 2" xfId="15241"/>
    <cellStyle name="Input [yellow] 2 8 7 7 3" xfId="26409"/>
    <cellStyle name="Input [yellow] 2 8 7 7 4" xfId="37574"/>
    <cellStyle name="Input [yellow] 2 8 7 7 5" xfId="48767"/>
    <cellStyle name="Input [yellow] 2 8 7 8" xfId="4677"/>
    <cellStyle name="Input [yellow] 2 8 7 8 2" xfId="15874"/>
    <cellStyle name="Input [yellow] 2 8 7 8 3" xfId="27042"/>
    <cellStyle name="Input [yellow] 2 8 7 8 4" xfId="38207"/>
    <cellStyle name="Input [yellow] 2 8 7 8 5" xfId="49400"/>
    <cellStyle name="Input [yellow] 2 8 7 9" xfId="5308"/>
    <cellStyle name="Input [yellow] 2 8 7 9 2" xfId="16505"/>
    <cellStyle name="Input [yellow] 2 8 7 9 3" xfId="27673"/>
    <cellStyle name="Input [yellow] 2 8 7 9 4" xfId="38838"/>
    <cellStyle name="Input [yellow] 2 8 7 9 5" xfId="50031"/>
    <cellStyle name="Input [yellow] 2 8 8" xfId="479"/>
    <cellStyle name="Input [yellow] 2 8 8 10" xfId="5981"/>
    <cellStyle name="Input [yellow] 2 8 8 10 2" xfId="17178"/>
    <cellStyle name="Input [yellow] 2 8 8 10 3" xfId="28346"/>
    <cellStyle name="Input [yellow] 2 8 8 10 4" xfId="39511"/>
    <cellStyle name="Input [yellow] 2 8 8 10 5" xfId="50704"/>
    <cellStyle name="Input [yellow] 2 8 8 11" xfId="6415"/>
    <cellStyle name="Input [yellow] 2 8 8 11 2" xfId="17612"/>
    <cellStyle name="Input [yellow] 2 8 8 11 3" xfId="28780"/>
    <cellStyle name="Input [yellow] 2 8 8 11 4" xfId="39945"/>
    <cellStyle name="Input [yellow] 2 8 8 11 5" xfId="51138"/>
    <cellStyle name="Input [yellow] 2 8 8 12" xfId="7048"/>
    <cellStyle name="Input [yellow] 2 8 8 12 2" xfId="18245"/>
    <cellStyle name="Input [yellow] 2 8 8 12 3" xfId="29413"/>
    <cellStyle name="Input [yellow] 2 8 8 12 4" xfId="40578"/>
    <cellStyle name="Input [yellow] 2 8 8 12 5" xfId="51771"/>
    <cellStyle name="Input [yellow] 2 8 8 13" xfId="7682"/>
    <cellStyle name="Input [yellow] 2 8 8 13 2" xfId="18879"/>
    <cellStyle name="Input [yellow] 2 8 8 13 3" xfId="30047"/>
    <cellStyle name="Input [yellow] 2 8 8 13 4" xfId="41212"/>
    <cellStyle name="Input [yellow] 2 8 8 13 5" xfId="52405"/>
    <cellStyle name="Input [yellow] 2 8 8 14" xfId="8316"/>
    <cellStyle name="Input [yellow] 2 8 8 14 2" xfId="19513"/>
    <cellStyle name="Input [yellow] 2 8 8 14 3" xfId="30681"/>
    <cellStyle name="Input [yellow] 2 8 8 14 4" xfId="41846"/>
    <cellStyle name="Input [yellow] 2 8 8 14 5" xfId="53039"/>
    <cellStyle name="Input [yellow] 2 8 8 15" xfId="8944"/>
    <cellStyle name="Input [yellow] 2 8 8 15 2" xfId="20141"/>
    <cellStyle name="Input [yellow] 2 8 8 15 3" xfId="31309"/>
    <cellStyle name="Input [yellow] 2 8 8 15 4" xfId="42474"/>
    <cellStyle name="Input [yellow] 2 8 8 15 5" xfId="53667"/>
    <cellStyle name="Input [yellow] 2 8 8 16" xfId="9367"/>
    <cellStyle name="Input [yellow] 2 8 8 16 2" xfId="20564"/>
    <cellStyle name="Input [yellow] 2 8 8 16 3" xfId="31732"/>
    <cellStyle name="Input [yellow] 2 8 8 16 4" xfId="42897"/>
    <cellStyle name="Input [yellow] 2 8 8 16 5" xfId="54090"/>
    <cellStyle name="Input [yellow] 2 8 8 17" xfId="9993"/>
    <cellStyle name="Input [yellow] 2 8 8 17 2" xfId="21190"/>
    <cellStyle name="Input [yellow] 2 8 8 17 3" xfId="32358"/>
    <cellStyle name="Input [yellow] 2 8 8 17 4" xfId="43523"/>
    <cellStyle name="Input [yellow] 2 8 8 17 5" xfId="54716"/>
    <cellStyle name="Input [yellow] 2 8 8 18" xfId="10473"/>
    <cellStyle name="Input [yellow] 2 8 8 18 2" xfId="21670"/>
    <cellStyle name="Input [yellow] 2 8 8 18 3" xfId="32838"/>
    <cellStyle name="Input [yellow] 2 8 8 18 4" xfId="44003"/>
    <cellStyle name="Input [yellow] 2 8 8 18 5" xfId="55196"/>
    <cellStyle name="Input [yellow] 2 8 8 19" xfId="11032"/>
    <cellStyle name="Input [yellow] 2 8 8 19 2" xfId="22229"/>
    <cellStyle name="Input [yellow] 2 8 8 19 3" xfId="33397"/>
    <cellStyle name="Input [yellow] 2 8 8 19 4" xfId="44562"/>
    <cellStyle name="Input [yellow] 2 8 8 19 5" xfId="55755"/>
    <cellStyle name="Input [yellow] 2 8 8 2" xfId="1128"/>
    <cellStyle name="Input [yellow] 2 8 8 2 2" xfId="12325"/>
    <cellStyle name="Input [yellow] 2 8 8 2 3" xfId="23493"/>
    <cellStyle name="Input [yellow] 2 8 8 2 4" xfId="34658"/>
    <cellStyle name="Input [yellow] 2 8 8 2 5" xfId="45851"/>
    <cellStyle name="Input [yellow] 2 8 8 20" xfId="11679"/>
    <cellStyle name="Input [yellow] 2 8 8 21" xfId="22849"/>
    <cellStyle name="Input [yellow] 2 8 8 22" xfId="34016"/>
    <cellStyle name="Input [yellow] 2 8 8 23" xfId="45202"/>
    <cellStyle name="Input [yellow] 2 8 8 3" xfId="1770"/>
    <cellStyle name="Input [yellow] 2 8 8 3 2" xfId="12967"/>
    <cellStyle name="Input [yellow] 2 8 8 3 3" xfId="24135"/>
    <cellStyle name="Input [yellow] 2 8 8 3 4" xfId="35300"/>
    <cellStyle name="Input [yellow] 2 8 8 3 5" xfId="46493"/>
    <cellStyle name="Input [yellow] 2 8 8 4" xfId="2404"/>
    <cellStyle name="Input [yellow] 2 8 8 4 2" xfId="13601"/>
    <cellStyle name="Input [yellow] 2 8 8 4 3" xfId="24769"/>
    <cellStyle name="Input [yellow] 2 8 8 4 4" xfId="35934"/>
    <cellStyle name="Input [yellow] 2 8 8 4 5" xfId="47127"/>
    <cellStyle name="Input [yellow] 2 8 8 5" xfId="2829"/>
    <cellStyle name="Input [yellow] 2 8 8 5 2" xfId="14026"/>
    <cellStyle name="Input [yellow] 2 8 8 5 3" xfId="25194"/>
    <cellStyle name="Input [yellow] 2 8 8 5 4" xfId="36359"/>
    <cellStyle name="Input [yellow] 2 8 8 5 5" xfId="47552"/>
    <cellStyle name="Input [yellow] 2 8 8 6" xfId="3463"/>
    <cellStyle name="Input [yellow] 2 8 8 6 2" xfId="14660"/>
    <cellStyle name="Input [yellow] 2 8 8 6 3" xfId="25828"/>
    <cellStyle name="Input [yellow] 2 8 8 6 4" xfId="36993"/>
    <cellStyle name="Input [yellow] 2 8 8 6 5" xfId="48186"/>
    <cellStyle name="Input [yellow] 2 8 8 7" xfId="4097"/>
    <cellStyle name="Input [yellow] 2 8 8 7 2" xfId="15294"/>
    <cellStyle name="Input [yellow] 2 8 8 7 3" xfId="26462"/>
    <cellStyle name="Input [yellow] 2 8 8 7 4" xfId="37627"/>
    <cellStyle name="Input [yellow] 2 8 8 7 5" xfId="48820"/>
    <cellStyle name="Input [yellow] 2 8 8 8" xfId="4730"/>
    <cellStyle name="Input [yellow] 2 8 8 8 2" xfId="15927"/>
    <cellStyle name="Input [yellow] 2 8 8 8 3" xfId="27095"/>
    <cellStyle name="Input [yellow] 2 8 8 8 4" xfId="38260"/>
    <cellStyle name="Input [yellow] 2 8 8 8 5" xfId="49453"/>
    <cellStyle name="Input [yellow] 2 8 8 9" xfId="5361"/>
    <cellStyle name="Input [yellow] 2 8 8 9 2" xfId="16558"/>
    <cellStyle name="Input [yellow] 2 8 8 9 3" xfId="27726"/>
    <cellStyle name="Input [yellow] 2 8 8 9 4" xfId="38891"/>
    <cellStyle name="Input [yellow] 2 8 8 9 5" xfId="50084"/>
    <cellStyle name="Input [yellow] 2 8 9" xfId="537"/>
    <cellStyle name="Input [yellow] 2 8 9 10" xfId="6085"/>
    <cellStyle name="Input [yellow] 2 8 9 10 2" xfId="17282"/>
    <cellStyle name="Input [yellow] 2 8 9 10 3" xfId="28450"/>
    <cellStyle name="Input [yellow] 2 8 9 10 4" xfId="39615"/>
    <cellStyle name="Input [yellow] 2 8 9 10 5" xfId="50808"/>
    <cellStyle name="Input [yellow] 2 8 9 11" xfId="6473"/>
    <cellStyle name="Input [yellow] 2 8 9 11 2" xfId="17670"/>
    <cellStyle name="Input [yellow] 2 8 9 11 3" xfId="28838"/>
    <cellStyle name="Input [yellow] 2 8 9 11 4" xfId="40003"/>
    <cellStyle name="Input [yellow] 2 8 9 11 5" xfId="51196"/>
    <cellStyle name="Input [yellow] 2 8 9 12" xfId="7106"/>
    <cellStyle name="Input [yellow] 2 8 9 12 2" xfId="18303"/>
    <cellStyle name="Input [yellow] 2 8 9 12 3" xfId="29471"/>
    <cellStyle name="Input [yellow] 2 8 9 12 4" xfId="40636"/>
    <cellStyle name="Input [yellow] 2 8 9 12 5" xfId="51829"/>
    <cellStyle name="Input [yellow] 2 8 9 13" xfId="7740"/>
    <cellStyle name="Input [yellow] 2 8 9 13 2" xfId="18937"/>
    <cellStyle name="Input [yellow] 2 8 9 13 3" xfId="30105"/>
    <cellStyle name="Input [yellow] 2 8 9 13 4" xfId="41270"/>
    <cellStyle name="Input [yellow] 2 8 9 13 5" xfId="52463"/>
    <cellStyle name="Input [yellow] 2 8 9 14" xfId="8374"/>
    <cellStyle name="Input [yellow] 2 8 9 14 2" xfId="19571"/>
    <cellStyle name="Input [yellow] 2 8 9 14 3" xfId="30739"/>
    <cellStyle name="Input [yellow] 2 8 9 14 4" xfId="41904"/>
    <cellStyle name="Input [yellow] 2 8 9 14 5" xfId="53097"/>
    <cellStyle name="Input [yellow] 2 8 9 15" xfId="9002"/>
    <cellStyle name="Input [yellow] 2 8 9 15 2" xfId="20199"/>
    <cellStyle name="Input [yellow] 2 8 9 15 3" xfId="31367"/>
    <cellStyle name="Input [yellow] 2 8 9 15 4" xfId="42532"/>
    <cellStyle name="Input [yellow] 2 8 9 15 5" xfId="53725"/>
    <cellStyle name="Input [yellow] 2 8 9 16" xfId="9425"/>
    <cellStyle name="Input [yellow] 2 8 9 16 2" xfId="20622"/>
    <cellStyle name="Input [yellow] 2 8 9 16 3" xfId="31790"/>
    <cellStyle name="Input [yellow] 2 8 9 16 4" xfId="42955"/>
    <cellStyle name="Input [yellow] 2 8 9 16 5" xfId="54148"/>
    <cellStyle name="Input [yellow] 2 8 9 17" xfId="10050"/>
    <cellStyle name="Input [yellow] 2 8 9 17 2" xfId="21247"/>
    <cellStyle name="Input [yellow] 2 8 9 17 3" xfId="32415"/>
    <cellStyle name="Input [yellow] 2 8 9 17 4" xfId="43580"/>
    <cellStyle name="Input [yellow] 2 8 9 17 5" xfId="54773"/>
    <cellStyle name="Input [yellow] 2 8 9 18" xfId="10284"/>
    <cellStyle name="Input [yellow] 2 8 9 18 2" xfId="21481"/>
    <cellStyle name="Input [yellow] 2 8 9 18 3" xfId="32649"/>
    <cellStyle name="Input [yellow] 2 8 9 18 4" xfId="43814"/>
    <cellStyle name="Input [yellow] 2 8 9 18 5" xfId="55007"/>
    <cellStyle name="Input [yellow] 2 8 9 19" xfId="11090"/>
    <cellStyle name="Input [yellow] 2 8 9 19 2" xfId="22287"/>
    <cellStyle name="Input [yellow] 2 8 9 19 3" xfId="33455"/>
    <cellStyle name="Input [yellow] 2 8 9 19 4" xfId="44620"/>
    <cellStyle name="Input [yellow] 2 8 9 19 5" xfId="55813"/>
    <cellStyle name="Input [yellow] 2 8 9 2" xfId="1186"/>
    <cellStyle name="Input [yellow] 2 8 9 2 2" xfId="12383"/>
    <cellStyle name="Input [yellow] 2 8 9 2 3" xfId="23551"/>
    <cellStyle name="Input [yellow] 2 8 9 2 4" xfId="34716"/>
    <cellStyle name="Input [yellow] 2 8 9 2 5" xfId="45909"/>
    <cellStyle name="Input [yellow] 2 8 9 20" xfId="11737"/>
    <cellStyle name="Input [yellow] 2 8 9 21" xfId="22907"/>
    <cellStyle name="Input [yellow] 2 8 9 22" xfId="34074"/>
    <cellStyle name="Input [yellow] 2 8 9 23" xfId="45260"/>
    <cellStyle name="Input [yellow] 2 8 9 3" xfId="1559"/>
    <cellStyle name="Input [yellow] 2 8 9 3 2" xfId="12756"/>
    <cellStyle name="Input [yellow] 2 8 9 3 3" xfId="23924"/>
    <cellStyle name="Input [yellow] 2 8 9 3 4" xfId="35089"/>
    <cellStyle name="Input [yellow] 2 8 9 3 5" xfId="46282"/>
    <cellStyle name="Input [yellow] 2 8 9 4" xfId="2462"/>
    <cellStyle name="Input [yellow] 2 8 9 4 2" xfId="13659"/>
    <cellStyle name="Input [yellow] 2 8 9 4 3" xfId="24827"/>
    <cellStyle name="Input [yellow] 2 8 9 4 4" xfId="35992"/>
    <cellStyle name="Input [yellow] 2 8 9 4 5" xfId="47185"/>
    <cellStyle name="Input [yellow] 2 8 9 5" xfId="2887"/>
    <cellStyle name="Input [yellow] 2 8 9 5 2" xfId="14084"/>
    <cellStyle name="Input [yellow] 2 8 9 5 3" xfId="25252"/>
    <cellStyle name="Input [yellow] 2 8 9 5 4" xfId="36417"/>
    <cellStyle name="Input [yellow] 2 8 9 5 5" xfId="47610"/>
    <cellStyle name="Input [yellow] 2 8 9 6" xfId="3521"/>
    <cellStyle name="Input [yellow] 2 8 9 6 2" xfId="14718"/>
    <cellStyle name="Input [yellow] 2 8 9 6 3" xfId="25886"/>
    <cellStyle name="Input [yellow] 2 8 9 6 4" xfId="37051"/>
    <cellStyle name="Input [yellow] 2 8 9 6 5" xfId="48244"/>
    <cellStyle name="Input [yellow] 2 8 9 7" xfId="4155"/>
    <cellStyle name="Input [yellow] 2 8 9 7 2" xfId="15352"/>
    <cellStyle name="Input [yellow] 2 8 9 7 3" xfId="26520"/>
    <cellStyle name="Input [yellow] 2 8 9 7 4" xfId="37685"/>
    <cellStyle name="Input [yellow] 2 8 9 7 5" xfId="48878"/>
    <cellStyle name="Input [yellow] 2 8 9 8" xfId="4788"/>
    <cellStyle name="Input [yellow] 2 8 9 8 2" xfId="15985"/>
    <cellStyle name="Input [yellow] 2 8 9 8 3" xfId="27153"/>
    <cellStyle name="Input [yellow] 2 8 9 8 4" xfId="38318"/>
    <cellStyle name="Input [yellow] 2 8 9 8 5" xfId="49511"/>
    <cellStyle name="Input [yellow] 2 8 9 9" xfId="5419"/>
    <cellStyle name="Input [yellow] 2 8 9 9 2" xfId="16616"/>
    <cellStyle name="Input [yellow] 2 8 9 9 3" xfId="27784"/>
    <cellStyle name="Input [yellow] 2 8 9 9 4" xfId="38949"/>
    <cellStyle name="Input [yellow] 2 8 9 9 5" xfId="50142"/>
    <cellStyle name="Input [yellow] 2 9" xfId="75"/>
    <cellStyle name="Input [yellow] 2 9 10" xfId="593"/>
    <cellStyle name="Input [yellow] 2 9 10 10" xfId="6073"/>
    <cellStyle name="Input [yellow] 2 9 10 10 2" xfId="17270"/>
    <cellStyle name="Input [yellow] 2 9 10 10 3" xfId="28438"/>
    <cellStyle name="Input [yellow] 2 9 10 10 4" xfId="39603"/>
    <cellStyle name="Input [yellow] 2 9 10 10 5" xfId="50796"/>
    <cellStyle name="Input [yellow] 2 9 10 11" xfId="6529"/>
    <cellStyle name="Input [yellow] 2 9 10 11 2" xfId="17726"/>
    <cellStyle name="Input [yellow] 2 9 10 11 3" xfId="28894"/>
    <cellStyle name="Input [yellow] 2 9 10 11 4" xfId="40059"/>
    <cellStyle name="Input [yellow] 2 9 10 11 5" xfId="51252"/>
    <cellStyle name="Input [yellow] 2 9 10 12" xfId="7162"/>
    <cellStyle name="Input [yellow] 2 9 10 12 2" xfId="18359"/>
    <cellStyle name="Input [yellow] 2 9 10 12 3" xfId="29527"/>
    <cellStyle name="Input [yellow] 2 9 10 12 4" xfId="40692"/>
    <cellStyle name="Input [yellow] 2 9 10 12 5" xfId="51885"/>
    <cellStyle name="Input [yellow] 2 9 10 13" xfId="7796"/>
    <cellStyle name="Input [yellow] 2 9 10 13 2" xfId="18993"/>
    <cellStyle name="Input [yellow] 2 9 10 13 3" xfId="30161"/>
    <cellStyle name="Input [yellow] 2 9 10 13 4" xfId="41326"/>
    <cellStyle name="Input [yellow] 2 9 10 13 5" xfId="52519"/>
    <cellStyle name="Input [yellow] 2 9 10 14" xfId="8430"/>
    <cellStyle name="Input [yellow] 2 9 10 14 2" xfId="19627"/>
    <cellStyle name="Input [yellow] 2 9 10 14 3" xfId="30795"/>
    <cellStyle name="Input [yellow] 2 9 10 14 4" xfId="41960"/>
    <cellStyle name="Input [yellow] 2 9 10 14 5" xfId="53153"/>
    <cellStyle name="Input [yellow] 2 9 10 15" xfId="9058"/>
    <cellStyle name="Input [yellow] 2 9 10 15 2" xfId="20255"/>
    <cellStyle name="Input [yellow] 2 9 10 15 3" xfId="31423"/>
    <cellStyle name="Input [yellow] 2 9 10 15 4" xfId="42588"/>
    <cellStyle name="Input [yellow] 2 9 10 15 5" xfId="53781"/>
    <cellStyle name="Input [yellow] 2 9 10 16" xfId="9481"/>
    <cellStyle name="Input [yellow] 2 9 10 16 2" xfId="20678"/>
    <cellStyle name="Input [yellow] 2 9 10 16 3" xfId="31846"/>
    <cellStyle name="Input [yellow] 2 9 10 16 4" xfId="43011"/>
    <cellStyle name="Input [yellow] 2 9 10 16 5" xfId="54204"/>
    <cellStyle name="Input [yellow] 2 9 10 17" xfId="10106"/>
    <cellStyle name="Input [yellow] 2 9 10 17 2" xfId="21303"/>
    <cellStyle name="Input [yellow] 2 9 10 17 3" xfId="32471"/>
    <cellStyle name="Input [yellow] 2 9 10 17 4" xfId="43636"/>
    <cellStyle name="Input [yellow] 2 9 10 17 5" xfId="54829"/>
    <cellStyle name="Input [yellow] 2 9 10 18" xfId="10324"/>
    <cellStyle name="Input [yellow] 2 9 10 18 2" xfId="21521"/>
    <cellStyle name="Input [yellow] 2 9 10 18 3" xfId="32689"/>
    <cellStyle name="Input [yellow] 2 9 10 18 4" xfId="43854"/>
    <cellStyle name="Input [yellow] 2 9 10 18 5" xfId="55047"/>
    <cellStyle name="Input [yellow] 2 9 10 19" xfId="11146"/>
    <cellStyle name="Input [yellow] 2 9 10 19 2" xfId="22343"/>
    <cellStyle name="Input [yellow] 2 9 10 19 3" xfId="33511"/>
    <cellStyle name="Input [yellow] 2 9 10 19 4" xfId="44676"/>
    <cellStyle name="Input [yellow] 2 9 10 19 5" xfId="55869"/>
    <cellStyle name="Input [yellow] 2 9 10 2" xfId="1242"/>
    <cellStyle name="Input [yellow] 2 9 10 2 2" xfId="12439"/>
    <cellStyle name="Input [yellow] 2 9 10 2 3" xfId="23607"/>
    <cellStyle name="Input [yellow] 2 9 10 2 4" xfId="34772"/>
    <cellStyle name="Input [yellow] 2 9 10 2 5" xfId="45965"/>
    <cellStyle name="Input [yellow] 2 9 10 20" xfId="11793"/>
    <cellStyle name="Input [yellow] 2 9 10 21" xfId="22963"/>
    <cellStyle name="Input [yellow] 2 9 10 22" xfId="34130"/>
    <cellStyle name="Input [yellow] 2 9 10 23" xfId="45316"/>
    <cellStyle name="Input [yellow] 2 9 10 3" xfId="1596"/>
    <cellStyle name="Input [yellow] 2 9 10 3 2" xfId="12793"/>
    <cellStyle name="Input [yellow] 2 9 10 3 3" xfId="23961"/>
    <cellStyle name="Input [yellow] 2 9 10 3 4" xfId="35126"/>
    <cellStyle name="Input [yellow] 2 9 10 3 5" xfId="46319"/>
    <cellStyle name="Input [yellow] 2 9 10 4" xfId="2518"/>
    <cellStyle name="Input [yellow] 2 9 10 4 2" xfId="13715"/>
    <cellStyle name="Input [yellow] 2 9 10 4 3" xfId="24883"/>
    <cellStyle name="Input [yellow] 2 9 10 4 4" xfId="36048"/>
    <cellStyle name="Input [yellow] 2 9 10 4 5" xfId="47241"/>
    <cellStyle name="Input [yellow] 2 9 10 5" xfId="2943"/>
    <cellStyle name="Input [yellow] 2 9 10 5 2" xfId="14140"/>
    <cellStyle name="Input [yellow] 2 9 10 5 3" xfId="25308"/>
    <cellStyle name="Input [yellow] 2 9 10 5 4" xfId="36473"/>
    <cellStyle name="Input [yellow] 2 9 10 5 5" xfId="47666"/>
    <cellStyle name="Input [yellow] 2 9 10 6" xfId="3577"/>
    <cellStyle name="Input [yellow] 2 9 10 6 2" xfId="14774"/>
    <cellStyle name="Input [yellow] 2 9 10 6 3" xfId="25942"/>
    <cellStyle name="Input [yellow] 2 9 10 6 4" xfId="37107"/>
    <cellStyle name="Input [yellow] 2 9 10 6 5" xfId="48300"/>
    <cellStyle name="Input [yellow] 2 9 10 7" xfId="4211"/>
    <cellStyle name="Input [yellow] 2 9 10 7 2" xfId="15408"/>
    <cellStyle name="Input [yellow] 2 9 10 7 3" xfId="26576"/>
    <cellStyle name="Input [yellow] 2 9 10 7 4" xfId="37741"/>
    <cellStyle name="Input [yellow] 2 9 10 7 5" xfId="48934"/>
    <cellStyle name="Input [yellow] 2 9 10 8" xfId="4844"/>
    <cellStyle name="Input [yellow] 2 9 10 8 2" xfId="16041"/>
    <cellStyle name="Input [yellow] 2 9 10 8 3" xfId="27209"/>
    <cellStyle name="Input [yellow] 2 9 10 8 4" xfId="38374"/>
    <cellStyle name="Input [yellow] 2 9 10 8 5" xfId="49567"/>
    <cellStyle name="Input [yellow] 2 9 10 9" xfId="5475"/>
    <cellStyle name="Input [yellow] 2 9 10 9 2" xfId="16672"/>
    <cellStyle name="Input [yellow] 2 9 10 9 3" xfId="27840"/>
    <cellStyle name="Input [yellow] 2 9 10 9 4" xfId="39005"/>
    <cellStyle name="Input [yellow] 2 9 10 9 5" xfId="50198"/>
    <cellStyle name="Input [yellow] 2 9 11" xfId="661"/>
    <cellStyle name="Input [yellow] 2 9 11 10" xfId="5645"/>
    <cellStyle name="Input [yellow] 2 9 11 10 2" xfId="16842"/>
    <cellStyle name="Input [yellow] 2 9 11 10 3" xfId="28010"/>
    <cellStyle name="Input [yellow] 2 9 11 10 4" xfId="39175"/>
    <cellStyle name="Input [yellow] 2 9 11 10 5" xfId="50368"/>
    <cellStyle name="Input [yellow] 2 9 11 11" xfId="6597"/>
    <cellStyle name="Input [yellow] 2 9 11 11 2" xfId="17794"/>
    <cellStyle name="Input [yellow] 2 9 11 11 3" xfId="28962"/>
    <cellStyle name="Input [yellow] 2 9 11 11 4" xfId="40127"/>
    <cellStyle name="Input [yellow] 2 9 11 11 5" xfId="51320"/>
    <cellStyle name="Input [yellow] 2 9 11 12" xfId="7230"/>
    <cellStyle name="Input [yellow] 2 9 11 12 2" xfId="18427"/>
    <cellStyle name="Input [yellow] 2 9 11 12 3" xfId="29595"/>
    <cellStyle name="Input [yellow] 2 9 11 12 4" xfId="40760"/>
    <cellStyle name="Input [yellow] 2 9 11 12 5" xfId="51953"/>
    <cellStyle name="Input [yellow] 2 9 11 13" xfId="7864"/>
    <cellStyle name="Input [yellow] 2 9 11 13 2" xfId="19061"/>
    <cellStyle name="Input [yellow] 2 9 11 13 3" xfId="30229"/>
    <cellStyle name="Input [yellow] 2 9 11 13 4" xfId="41394"/>
    <cellStyle name="Input [yellow] 2 9 11 13 5" xfId="52587"/>
    <cellStyle name="Input [yellow] 2 9 11 14" xfId="8498"/>
    <cellStyle name="Input [yellow] 2 9 11 14 2" xfId="19695"/>
    <cellStyle name="Input [yellow] 2 9 11 14 3" xfId="30863"/>
    <cellStyle name="Input [yellow] 2 9 11 14 4" xfId="42028"/>
    <cellStyle name="Input [yellow] 2 9 11 14 5" xfId="53221"/>
    <cellStyle name="Input [yellow] 2 9 11 15" xfId="9126"/>
    <cellStyle name="Input [yellow] 2 9 11 15 2" xfId="20323"/>
    <cellStyle name="Input [yellow] 2 9 11 15 3" xfId="31491"/>
    <cellStyle name="Input [yellow] 2 9 11 15 4" xfId="42656"/>
    <cellStyle name="Input [yellow] 2 9 11 15 5" xfId="53849"/>
    <cellStyle name="Input [yellow] 2 9 11 16" xfId="9549"/>
    <cellStyle name="Input [yellow] 2 9 11 16 2" xfId="20746"/>
    <cellStyle name="Input [yellow] 2 9 11 16 3" xfId="31914"/>
    <cellStyle name="Input [yellow] 2 9 11 16 4" xfId="43079"/>
    <cellStyle name="Input [yellow] 2 9 11 16 5" xfId="54272"/>
    <cellStyle name="Input [yellow] 2 9 11 17" xfId="10173"/>
    <cellStyle name="Input [yellow] 2 9 11 17 2" xfId="21370"/>
    <cellStyle name="Input [yellow] 2 9 11 17 3" xfId="32538"/>
    <cellStyle name="Input [yellow] 2 9 11 17 4" xfId="43703"/>
    <cellStyle name="Input [yellow] 2 9 11 17 5" xfId="54896"/>
    <cellStyle name="Input [yellow] 2 9 11 18" xfId="10204"/>
    <cellStyle name="Input [yellow] 2 9 11 18 2" xfId="21401"/>
    <cellStyle name="Input [yellow] 2 9 11 18 3" xfId="32569"/>
    <cellStyle name="Input [yellow] 2 9 11 18 4" xfId="43734"/>
    <cellStyle name="Input [yellow] 2 9 11 18 5" xfId="54927"/>
    <cellStyle name="Input [yellow] 2 9 11 19" xfId="11214"/>
    <cellStyle name="Input [yellow] 2 9 11 19 2" xfId="22411"/>
    <cellStyle name="Input [yellow] 2 9 11 19 3" xfId="33579"/>
    <cellStyle name="Input [yellow] 2 9 11 19 4" xfId="44744"/>
    <cellStyle name="Input [yellow] 2 9 11 19 5" xfId="55937"/>
    <cellStyle name="Input [yellow] 2 9 11 2" xfId="1310"/>
    <cellStyle name="Input [yellow] 2 9 11 2 2" xfId="12507"/>
    <cellStyle name="Input [yellow] 2 9 11 2 3" xfId="23675"/>
    <cellStyle name="Input [yellow] 2 9 11 2 4" xfId="34840"/>
    <cellStyle name="Input [yellow] 2 9 11 2 5" xfId="46033"/>
    <cellStyle name="Input [yellow] 2 9 11 20" xfId="11861"/>
    <cellStyle name="Input [yellow] 2 9 11 21" xfId="23031"/>
    <cellStyle name="Input [yellow] 2 9 11 22" xfId="34198"/>
    <cellStyle name="Input [yellow] 2 9 11 23" xfId="45384"/>
    <cellStyle name="Input [yellow] 2 9 11 3" xfId="1488"/>
    <cellStyle name="Input [yellow] 2 9 11 3 2" xfId="12685"/>
    <cellStyle name="Input [yellow] 2 9 11 3 3" xfId="23853"/>
    <cellStyle name="Input [yellow] 2 9 11 3 4" xfId="35018"/>
    <cellStyle name="Input [yellow] 2 9 11 3 5" xfId="46211"/>
    <cellStyle name="Input [yellow] 2 9 11 4" xfId="2586"/>
    <cellStyle name="Input [yellow] 2 9 11 4 2" xfId="13783"/>
    <cellStyle name="Input [yellow] 2 9 11 4 3" xfId="24951"/>
    <cellStyle name="Input [yellow] 2 9 11 4 4" xfId="36116"/>
    <cellStyle name="Input [yellow] 2 9 11 4 5" xfId="47309"/>
    <cellStyle name="Input [yellow] 2 9 11 5" xfId="3011"/>
    <cellStyle name="Input [yellow] 2 9 11 5 2" xfId="14208"/>
    <cellStyle name="Input [yellow] 2 9 11 5 3" xfId="25376"/>
    <cellStyle name="Input [yellow] 2 9 11 5 4" xfId="36541"/>
    <cellStyle name="Input [yellow] 2 9 11 5 5" xfId="47734"/>
    <cellStyle name="Input [yellow] 2 9 11 6" xfId="3645"/>
    <cellStyle name="Input [yellow] 2 9 11 6 2" xfId="14842"/>
    <cellStyle name="Input [yellow] 2 9 11 6 3" xfId="26010"/>
    <cellStyle name="Input [yellow] 2 9 11 6 4" xfId="37175"/>
    <cellStyle name="Input [yellow] 2 9 11 6 5" xfId="48368"/>
    <cellStyle name="Input [yellow] 2 9 11 7" xfId="4279"/>
    <cellStyle name="Input [yellow] 2 9 11 7 2" xfId="15476"/>
    <cellStyle name="Input [yellow] 2 9 11 7 3" xfId="26644"/>
    <cellStyle name="Input [yellow] 2 9 11 7 4" xfId="37809"/>
    <cellStyle name="Input [yellow] 2 9 11 7 5" xfId="49002"/>
    <cellStyle name="Input [yellow] 2 9 11 8" xfId="4912"/>
    <cellStyle name="Input [yellow] 2 9 11 8 2" xfId="16109"/>
    <cellStyle name="Input [yellow] 2 9 11 8 3" xfId="27277"/>
    <cellStyle name="Input [yellow] 2 9 11 8 4" xfId="38442"/>
    <cellStyle name="Input [yellow] 2 9 11 8 5" xfId="49635"/>
    <cellStyle name="Input [yellow] 2 9 11 9" xfId="5543"/>
    <cellStyle name="Input [yellow] 2 9 11 9 2" xfId="16740"/>
    <cellStyle name="Input [yellow] 2 9 11 9 3" xfId="27908"/>
    <cellStyle name="Input [yellow] 2 9 11 9 4" xfId="39073"/>
    <cellStyle name="Input [yellow] 2 9 11 9 5" xfId="50266"/>
    <cellStyle name="Input [yellow] 2 9 12" xfId="724"/>
    <cellStyle name="Input [yellow] 2 9 12 2" xfId="11922"/>
    <cellStyle name="Input [yellow] 2 9 12 3" xfId="23090"/>
    <cellStyle name="Input [yellow] 2 9 12 4" xfId="34255"/>
    <cellStyle name="Input [yellow] 2 9 12 5" xfId="45447"/>
    <cellStyle name="Input [yellow] 2 9 13" xfId="1356"/>
    <cellStyle name="Input [yellow] 2 9 13 2" xfId="12553"/>
    <cellStyle name="Input [yellow] 2 9 13 3" xfId="23721"/>
    <cellStyle name="Input [yellow] 2 9 13 4" xfId="34886"/>
    <cellStyle name="Input [yellow] 2 9 13 5" xfId="46079"/>
    <cellStyle name="Input [yellow] 2 9 14" xfId="2001"/>
    <cellStyle name="Input [yellow] 2 9 14 2" xfId="13198"/>
    <cellStyle name="Input [yellow] 2 9 14 3" xfId="24366"/>
    <cellStyle name="Input [yellow] 2 9 14 4" xfId="35531"/>
    <cellStyle name="Input [yellow] 2 9 14 5" xfId="46724"/>
    <cellStyle name="Input [yellow] 2 9 15" xfId="2461"/>
    <cellStyle name="Input [yellow] 2 9 15 2" xfId="13658"/>
    <cellStyle name="Input [yellow] 2 9 15 3" xfId="24826"/>
    <cellStyle name="Input [yellow] 2 9 15 4" xfId="35991"/>
    <cellStyle name="Input [yellow] 2 9 15 5" xfId="47184"/>
    <cellStyle name="Input [yellow] 2 9 16" xfId="3059"/>
    <cellStyle name="Input [yellow] 2 9 16 2" xfId="14256"/>
    <cellStyle name="Input [yellow] 2 9 16 3" xfId="25424"/>
    <cellStyle name="Input [yellow] 2 9 16 4" xfId="36589"/>
    <cellStyle name="Input [yellow] 2 9 16 5" xfId="47782"/>
    <cellStyle name="Input [yellow] 2 9 17" xfId="3693"/>
    <cellStyle name="Input [yellow] 2 9 17 2" xfId="14890"/>
    <cellStyle name="Input [yellow] 2 9 17 3" xfId="26058"/>
    <cellStyle name="Input [yellow] 2 9 17 4" xfId="37223"/>
    <cellStyle name="Input [yellow] 2 9 17 5" xfId="48416"/>
    <cellStyle name="Input [yellow] 2 9 18" xfId="4326"/>
    <cellStyle name="Input [yellow] 2 9 18 2" xfId="15523"/>
    <cellStyle name="Input [yellow] 2 9 18 3" xfId="26691"/>
    <cellStyle name="Input [yellow] 2 9 18 4" xfId="37856"/>
    <cellStyle name="Input [yellow] 2 9 18 5" xfId="49049"/>
    <cellStyle name="Input [yellow] 2 9 19" xfId="4958"/>
    <cellStyle name="Input [yellow] 2 9 19 2" xfId="16155"/>
    <cellStyle name="Input [yellow] 2 9 19 3" xfId="27323"/>
    <cellStyle name="Input [yellow] 2 9 19 4" xfId="38488"/>
    <cellStyle name="Input [yellow] 2 9 19 5" xfId="49681"/>
    <cellStyle name="Input [yellow] 2 9 2" xfId="139"/>
    <cellStyle name="Input [yellow] 2 9 2 10" xfId="5863"/>
    <cellStyle name="Input [yellow] 2 9 2 10 2" xfId="17060"/>
    <cellStyle name="Input [yellow] 2 9 2 10 3" xfId="28228"/>
    <cellStyle name="Input [yellow] 2 9 2 10 4" xfId="39393"/>
    <cellStyle name="Input [yellow] 2 9 2 10 5" xfId="50586"/>
    <cellStyle name="Input [yellow] 2 9 2 11" xfId="5618"/>
    <cellStyle name="Input [yellow] 2 9 2 11 2" xfId="16815"/>
    <cellStyle name="Input [yellow] 2 9 2 11 3" xfId="27983"/>
    <cellStyle name="Input [yellow] 2 9 2 11 4" xfId="39148"/>
    <cellStyle name="Input [yellow] 2 9 2 11 5" xfId="50341"/>
    <cellStyle name="Input [yellow] 2 9 2 12" xfId="6708"/>
    <cellStyle name="Input [yellow] 2 9 2 12 2" xfId="17905"/>
    <cellStyle name="Input [yellow] 2 9 2 12 3" xfId="29073"/>
    <cellStyle name="Input [yellow] 2 9 2 12 4" xfId="40238"/>
    <cellStyle name="Input [yellow] 2 9 2 12 5" xfId="51431"/>
    <cellStyle name="Input [yellow] 2 9 2 13" xfId="7342"/>
    <cellStyle name="Input [yellow] 2 9 2 13 2" xfId="18539"/>
    <cellStyle name="Input [yellow] 2 9 2 13 3" xfId="29707"/>
    <cellStyle name="Input [yellow] 2 9 2 13 4" xfId="40872"/>
    <cellStyle name="Input [yellow] 2 9 2 13 5" xfId="52065"/>
    <cellStyle name="Input [yellow] 2 9 2 14" xfId="7976"/>
    <cellStyle name="Input [yellow] 2 9 2 14 2" xfId="19173"/>
    <cellStyle name="Input [yellow] 2 9 2 14 3" xfId="30341"/>
    <cellStyle name="Input [yellow] 2 9 2 14 4" xfId="41506"/>
    <cellStyle name="Input [yellow] 2 9 2 14 5" xfId="52699"/>
    <cellStyle name="Input [yellow] 2 9 2 15" xfId="8607"/>
    <cellStyle name="Input [yellow] 2 9 2 15 2" xfId="19804"/>
    <cellStyle name="Input [yellow] 2 9 2 15 3" xfId="30972"/>
    <cellStyle name="Input [yellow] 2 9 2 15 4" xfId="42137"/>
    <cellStyle name="Input [yellow] 2 9 2 15 5" xfId="53330"/>
    <cellStyle name="Input [yellow] 2 9 2 16" xfId="8815"/>
    <cellStyle name="Input [yellow] 2 9 2 16 2" xfId="20012"/>
    <cellStyle name="Input [yellow] 2 9 2 16 3" xfId="31180"/>
    <cellStyle name="Input [yellow] 2 9 2 16 4" xfId="42345"/>
    <cellStyle name="Input [yellow] 2 9 2 16 5" xfId="53538"/>
    <cellStyle name="Input [yellow] 2 9 2 17" xfId="9660"/>
    <cellStyle name="Input [yellow] 2 9 2 17 2" xfId="20857"/>
    <cellStyle name="Input [yellow] 2 9 2 17 3" xfId="32025"/>
    <cellStyle name="Input [yellow] 2 9 2 17 4" xfId="43190"/>
    <cellStyle name="Input [yellow] 2 9 2 17 5" xfId="54383"/>
    <cellStyle name="Input [yellow] 2 9 2 18" xfId="10531"/>
    <cellStyle name="Input [yellow] 2 9 2 18 2" xfId="21728"/>
    <cellStyle name="Input [yellow] 2 9 2 18 3" xfId="32896"/>
    <cellStyle name="Input [yellow] 2 9 2 18 4" xfId="44061"/>
    <cellStyle name="Input [yellow] 2 9 2 18 5" xfId="55254"/>
    <cellStyle name="Input [yellow] 2 9 2 19" xfId="10692"/>
    <cellStyle name="Input [yellow] 2 9 2 19 2" xfId="21889"/>
    <cellStyle name="Input [yellow] 2 9 2 19 3" xfId="33057"/>
    <cellStyle name="Input [yellow] 2 9 2 19 4" xfId="44222"/>
    <cellStyle name="Input [yellow] 2 9 2 19 5" xfId="55415"/>
    <cellStyle name="Input [yellow] 2 9 2 2" xfId="788"/>
    <cellStyle name="Input [yellow] 2 9 2 2 2" xfId="11985"/>
    <cellStyle name="Input [yellow] 2 9 2 2 3" xfId="23153"/>
    <cellStyle name="Input [yellow] 2 9 2 2 4" xfId="34318"/>
    <cellStyle name="Input [yellow] 2 9 2 2 5" xfId="45511"/>
    <cellStyle name="Input [yellow] 2 9 2 20" xfId="11339"/>
    <cellStyle name="Input [yellow] 2 9 2 21" xfId="22509"/>
    <cellStyle name="Input [yellow] 2 9 2 22" xfId="33676"/>
    <cellStyle name="Input [yellow] 2 9 2 23" xfId="44862"/>
    <cellStyle name="Input [yellow] 2 9 2 3" xfId="1910"/>
    <cellStyle name="Input [yellow] 2 9 2 3 2" xfId="13107"/>
    <cellStyle name="Input [yellow] 2 9 2 3 3" xfId="24275"/>
    <cellStyle name="Input [yellow] 2 9 2 3 4" xfId="35440"/>
    <cellStyle name="Input [yellow] 2 9 2 3 5" xfId="46633"/>
    <cellStyle name="Input [yellow] 2 9 2 4" xfId="2065"/>
    <cellStyle name="Input [yellow] 2 9 2 4 2" xfId="13262"/>
    <cellStyle name="Input [yellow] 2 9 2 4 3" xfId="24430"/>
    <cellStyle name="Input [yellow] 2 9 2 4 4" xfId="35595"/>
    <cellStyle name="Input [yellow] 2 9 2 4 5" xfId="46788"/>
    <cellStyle name="Input [yellow] 2 9 2 5" xfId="2185"/>
    <cellStyle name="Input [yellow] 2 9 2 5 2" xfId="13382"/>
    <cellStyle name="Input [yellow] 2 9 2 5 3" xfId="24550"/>
    <cellStyle name="Input [yellow] 2 9 2 5 4" xfId="35715"/>
    <cellStyle name="Input [yellow] 2 9 2 5 5" xfId="46908"/>
    <cellStyle name="Input [yellow] 2 9 2 6" xfId="3123"/>
    <cellStyle name="Input [yellow] 2 9 2 6 2" xfId="14320"/>
    <cellStyle name="Input [yellow] 2 9 2 6 3" xfId="25488"/>
    <cellStyle name="Input [yellow] 2 9 2 6 4" xfId="36653"/>
    <cellStyle name="Input [yellow] 2 9 2 6 5" xfId="47846"/>
    <cellStyle name="Input [yellow] 2 9 2 7" xfId="3757"/>
    <cellStyle name="Input [yellow] 2 9 2 7 2" xfId="14954"/>
    <cellStyle name="Input [yellow] 2 9 2 7 3" xfId="26122"/>
    <cellStyle name="Input [yellow] 2 9 2 7 4" xfId="37287"/>
    <cellStyle name="Input [yellow] 2 9 2 7 5" xfId="48480"/>
    <cellStyle name="Input [yellow] 2 9 2 8" xfId="4390"/>
    <cellStyle name="Input [yellow] 2 9 2 8 2" xfId="15587"/>
    <cellStyle name="Input [yellow] 2 9 2 8 3" xfId="26755"/>
    <cellStyle name="Input [yellow] 2 9 2 8 4" xfId="37920"/>
    <cellStyle name="Input [yellow] 2 9 2 8 5" xfId="49113"/>
    <cellStyle name="Input [yellow] 2 9 2 9" xfId="5021"/>
    <cellStyle name="Input [yellow] 2 9 2 9 2" xfId="16218"/>
    <cellStyle name="Input [yellow] 2 9 2 9 3" xfId="27386"/>
    <cellStyle name="Input [yellow] 2 9 2 9 4" xfId="38551"/>
    <cellStyle name="Input [yellow] 2 9 2 9 5" xfId="49744"/>
    <cellStyle name="Input [yellow] 2 9 20" xfId="6171"/>
    <cellStyle name="Input [yellow] 2 9 20 2" xfId="17368"/>
    <cellStyle name="Input [yellow] 2 9 20 3" xfId="28536"/>
    <cellStyle name="Input [yellow] 2 9 20 4" xfId="39701"/>
    <cellStyle name="Input [yellow] 2 9 20 5" xfId="50894"/>
    <cellStyle name="Input [yellow] 2 9 21" xfId="5723"/>
    <cellStyle name="Input [yellow] 2 9 21 2" xfId="16920"/>
    <cellStyle name="Input [yellow] 2 9 21 3" xfId="28088"/>
    <cellStyle name="Input [yellow] 2 9 21 4" xfId="39253"/>
    <cellStyle name="Input [yellow] 2 9 21 5" xfId="50446"/>
    <cellStyle name="Input [yellow] 2 9 22" xfId="6645"/>
    <cellStyle name="Input [yellow] 2 9 22 2" xfId="17842"/>
    <cellStyle name="Input [yellow] 2 9 22 3" xfId="29010"/>
    <cellStyle name="Input [yellow] 2 9 22 4" xfId="40175"/>
    <cellStyle name="Input [yellow] 2 9 22 5" xfId="51368"/>
    <cellStyle name="Input [yellow] 2 9 23" xfId="7278"/>
    <cellStyle name="Input [yellow] 2 9 23 2" xfId="18475"/>
    <cellStyle name="Input [yellow] 2 9 23 3" xfId="29643"/>
    <cellStyle name="Input [yellow] 2 9 23 4" xfId="40808"/>
    <cellStyle name="Input [yellow] 2 9 23 5" xfId="52001"/>
    <cellStyle name="Input [yellow] 2 9 24" xfId="7912"/>
    <cellStyle name="Input [yellow] 2 9 24 2" xfId="19109"/>
    <cellStyle name="Input [yellow] 2 9 24 3" xfId="30277"/>
    <cellStyle name="Input [yellow] 2 9 24 4" xfId="41442"/>
    <cellStyle name="Input [yellow] 2 9 24 5" xfId="52635"/>
    <cellStyle name="Input [yellow] 2 9 25" xfId="8544"/>
    <cellStyle name="Input [yellow] 2 9 25 2" xfId="19741"/>
    <cellStyle name="Input [yellow] 2 9 25 3" xfId="30909"/>
    <cellStyle name="Input [yellow] 2 9 25 4" xfId="42074"/>
    <cellStyle name="Input [yellow] 2 9 25 5" xfId="53267"/>
    <cellStyle name="Input [yellow] 2 9 26" xfId="9129"/>
    <cellStyle name="Input [yellow] 2 9 26 2" xfId="20326"/>
    <cellStyle name="Input [yellow] 2 9 26 3" xfId="31494"/>
    <cellStyle name="Input [yellow] 2 9 26 4" xfId="42659"/>
    <cellStyle name="Input [yellow] 2 9 26 5" xfId="53852"/>
    <cellStyle name="Input [yellow] 2 9 27" xfId="9597"/>
    <cellStyle name="Input [yellow] 2 9 27 2" xfId="20794"/>
    <cellStyle name="Input [yellow] 2 9 27 3" xfId="31962"/>
    <cellStyle name="Input [yellow] 2 9 27 4" xfId="43127"/>
    <cellStyle name="Input [yellow] 2 9 27 5" xfId="54320"/>
    <cellStyle name="Input [yellow] 2 9 28" xfId="10356"/>
    <cellStyle name="Input [yellow] 2 9 28 2" xfId="21553"/>
    <cellStyle name="Input [yellow] 2 9 28 3" xfId="32721"/>
    <cellStyle name="Input [yellow] 2 9 28 4" xfId="43886"/>
    <cellStyle name="Input [yellow] 2 9 28 5" xfId="55079"/>
    <cellStyle name="Input [yellow] 2 9 29" xfId="10629"/>
    <cellStyle name="Input [yellow] 2 9 29 2" xfId="21826"/>
    <cellStyle name="Input [yellow] 2 9 29 3" xfId="32994"/>
    <cellStyle name="Input [yellow] 2 9 29 4" xfId="44159"/>
    <cellStyle name="Input [yellow] 2 9 29 5" xfId="55352"/>
    <cellStyle name="Input [yellow] 2 9 3" xfId="195"/>
    <cellStyle name="Input [yellow] 2 9 3 10" xfId="6088"/>
    <cellStyle name="Input [yellow] 2 9 3 10 2" xfId="17285"/>
    <cellStyle name="Input [yellow] 2 9 3 10 3" xfId="28453"/>
    <cellStyle name="Input [yellow] 2 9 3 10 4" xfId="39618"/>
    <cellStyle name="Input [yellow] 2 9 3 10 5" xfId="50811"/>
    <cellStyle name="Input [yellow] 2 9 3 11" xfId="5621"/>
    <cellStyle name="Input [yellow] 2 9 3 11 2" xfId="16818"/>
    <cellStyle name="Input [yellow] 2 9 3 11 3" xfId="27986"/>
    <cellStyle name="Input [yellow] 2 9 3 11 4" xfId="39151"/>
    <cellStyle name="Input [yellow] 2 9 3 11 5" xfId="50344"/>
    <cellStyle name="Input [yellow] 2 9 3 12" xfId="6764"/>
    <cellStyle name="Input [yellow] 2 9 3 12 2" xfId="17961"/>
    <cellStyle name="Input [yellow] 2 9 3 12 3" xfId="29129"/>
    <cellStyle name="Input [yellow] 2 9 3 12 4" xfId="40294"/>
    <cellStyle name="Input [yellow] 2 9 3 12 5" xfId="51487"/>
    <cellStyle name="Input [yellow] 2 9 3 13" xfId="7398"/>
    <cellStyle name="Input [yellow] 2 9 3 13 2" xfId="18595"/>
    <cellStyle name="Input [yellow] 2 9 3 13 3" xfId="29763"/>
    <cellStyle name="Input [yellow] 2 9 3 13 4" xfId="40928"/>
    <cellStyle name="Input [yellow] 2 9 3 13 5" xfId="52121"/>
    <cellStyle name="Input [yellow] 2 9 3 14" xfId="8032"/>
    <cellStyle name="Input [yellow] 2 9 3 14 2" xfId="19229"/>
    <cellStyle name="Input [yellow] 2 9 3 14 3" xfId="30397"/>
    <cellStyle name="Input [yellow] 2 9 3 14 4" xfId="41562"/>
    <cellStyle name="Input [yellow] 2 9 3 14 5" xfId="52755"/>
    <cellStyle name="Input [yellow] 2 9 3 15" xfId="8663"/>
    <cellStyle name="Input [yellow] 2 9 3 15 2" xfId="19860"/>
    <cellStyle name="Input [yellow] 2 9 3 15 3" xfId="31028"/>
    <cellStyle name="Input [yellow] 2 9 3 15 4" xfId="42193"/>
    <cellStyle name="Input [yellow] 2 9 3 15 5" xfId="53386"/>
    <cellStyle name="Input [yellow] 2 9 3 16" xfId="8683"/>
    <cellStyle name="Input [yellow] 2 9 3 16 2" xfId="19880"/>
    <cellStyle name="Input [yellow] 2 9 3 16 3" xfId="31048"/>
    <cellStyle name="Input [yellow] 2 9 3 16 4" xfId="42213"/>
    <cellStyle name="Input [yellow] 2 9 3 16 5" xfId="53406"/>
    <cellStyle name="Input [yellow] 2 9 3 17" xfId="9714"/>
    <cellStyle name="Input [yellow] 2 9 3 17 2" xfId="20911"/>
    <cellStyle name="Input [yellow] 2 9 3 17 3" xfId="32079"/>
    <cellStyle name="Input [yellow] 2 9 3 17 4" xfId="43244"/>
    <cellStyle name="Input [yellow] 2 9 3 17 5" xfId="54437"/>
    <cellStyle name="Input [yellow] 2 9 3 18" xfId="10506"/>
    <cellStyle name="Input [yellow] 2 9 3 18 2" xfId="21703"/>
    <cellStyle name="Input [yellow] 2 9 3 18 3" xfId="32871"/>
    <cellStyle name="Input [yellow] 2 9 3 18 4" xfId="44036"/>
    <cellStyle name="Input [yellow] 2 9 3 18 5" xfId="55229"/>
    <cellStyle name="Input [yellow] 2 9 3 19" xfId="10748"/>
    <cellStyle name="Input [yellow] 2 9 3 19 2" xfId="21945"/>
    <cellStyle name="Input [yellow] 2 9 3 19 3" xfId="33113"/>
    <cellStyle name="Input [yellow] 2 9 3 19 4" xfId="44278"/>
    <cellStyle name="Input [yellow] 2 9 3 19 5" xfId="55471"/>
    <cellStyle name="Input [yellow] 2 9 3 2" xfId="844"/>
    <cellStyle name="Input [yellow] 2 9 3 2 2" xfId="12041"/>
    <cellStyle name="Input [yellow] 2 9 3 2 3" xfId="23209"/>
    <cellStyle name="Input [yellow] 2 9 3 2 4" xfId="34374"/>
    <cellStyle name="Input [yellow] 2 9 3 2 5" xfId="45567"/>
    <cellStyle name="Input [yellow] 2 9 3 20" xfId="11395"/>
    <cellStyle name="Input [yellow] 2 9 3 21" xfId="22565"/>
    <cellStyle name="Input [yellow] 2 9 3 22" xfId="33732"/>
    <cellStyle name="Input [yellow] 2 9 3 23" xfId="44918"/>
    <cellStyle name="Input [yellow] 2 9 3 3" xfId="1380"/>
    <cellStyle name="Input [yellow] 2 9 3 3 2" xfId="12577"/>
    <cellStyle name="Input [yellow] 2 9 3 3 3" xfId="23745"/>
    <cellStyle name="Input [yellow] 2 9 3 3 4" xfId="34910"/>
    <cellStyle name="Input [yellow] 2 9 3 3 5" xfId="46103"/>
    <cellStyle name="Input [yellow] 2 9 3 4" xfId="2121"/>
    <cellStyle name="Input [yellow] 2 9 3 4 2" xfId="13318"/>
    <cellStyle name="Input [yellow] 2 9 3 4 3" xfId="24486"/>
    <cellStyle name="Input [yellow] 2 9 3 4 4" xfId="35651"/>
    <cellStyle name="Input [yellow] 2 9 3 4 5" xfId="46844"/>
    <cellStyle name="Input [yellow] 2 9 3 5" xfId="2446"/>
    <cellStyle name="Input [yellow] 2 9 3 5 2" xfId="13643"/>
    <cellStyle name="Input [yellow] 2 9 3 5 3" xfId="24811"/>
    <cellStyle name="Input [yellow] 2 9 3 5 4" xfId="35976"/>
    <cellStyle name="Input [yellow] 2 9 3 5 5" xfId="47169"/>
    <cellStyle name="Input [yellow] 2 9 3 6" xfId="3179"/>
    <cellStyle name="Input [yellow] 2 9 3 6 2" xfId="14376"/>
    <cellStyle name="Input [yellow] 2 9 3 6 3" xfId="25544"/>
    <cellStyle name="Input [yellow] 2 9 3 6 4" xfId="36709"/>
    <cellStyle name="Input [yellow] 2 9 3 6 5" xfId="47902"/>
    <cellStyle name="Input [yellow] 2 9 3 7" xfId="3813"/>
    <cellStyle name="Input [yellow] 2 9 3 7 2" xfId="15010"/>
    <cellStyle name="Input [yellow] 2 9 3 7 3" xfId="26178"/>
    <cellStyle name="Input [yellow] 2 9 3 7 4" xfId="37343"/>
    <cellStyle name="Input [yellow] 2 9 3 7 5" xfId="48536"/>
    <cellStyle name="Input [yellow] 2 9 3 8" xfId="4446"/>
    <cellStyle name="Input [yellow] 2 9 3 8 2" xfId="15643"/>
    <cellStyle name="Input [yellow] 2 9 3 8 3" xfId="26811"/>
    <cellStyle name="Input [yellow] 2 9 3 8 4" xfId="37976"/>
    <cellStyle name="Input [yellow] 2 9 3 8 5" xfId="49169"/>
    <cellStyle name="Input [yellow] 2 9 3 9" xfId="5077"/>
    <cellStyle name="Input [yellow] 2 9 3 9 2" xfId="16274"/>
    <cellStyle name="Input [yellow] 2 9 3 9 3" xfId="27442"/>
    <cellStyle name="Input [yellow] 2 9 3 9 4" xfId="38607"/>
    <cellStyle name="Input [yellow] 2 9 3 9 5" xfId="49800"/>
    <cellStyle name="Input [yellow] 2 9 30" xfId="11276"/>
    <cellStyle name="Input [yellow] 2 9 31" xfId="22446"/>
    <cellStyle name="Input [yellow] 2 9 32" xfId="33613"/>
    <cellStyle name="Input [yellow] 2 9 33" xfId="44798"/>
    <cellStyle name="Input [yellow] 2 9 4" xfId="247"/>
    <cellStyle name="Input [yellow] 2 9 4 10" xfId="5727"/>
    <cellStyle name="Input [yellow] 2 9 4 10 2" xfId="16924"/>
    <cellStyle name="Input [yellow] 2 9 4 10 3" xfId="28092"/>
    <cellStyle name="Input [yellow] 2 9 4 10 4" xfId="39257"/>
    <cellStyle name="Input [yellow] 2 9 4 10 5" xfId="50450"/>
    <cellStyle name="Input [yellow] 2 9 4 11" xfId="5757"/>
    <cellStyle name="Input [yellow] 2 9 4 11 2" xfId="16954"/>
    <cellStyle name="Input [yellow] 2 9 4 11 3" xfId="28122"/>
    <cellStyle name="Input [yellow] 2 9 4 11 4" xfId="39287"/>
    <cellStyle name="Input [yellow] 2 9 4 11 5" xfId="50480"/>
    <cellStyle name="Input [yellow] 2 9 4 12" xfId="6816"/>
    <cellStyle name="Input [yellow] 2 9 4 12 2" xfId="18013"/>
    <cellStyle name="Input [yellow] 2 9 4 12 3" xfId="29181"/>
    <cellStyle name="Input [yellow] 2 9 4 12 4" xfId="40346"/>
    <cellStyle name="Input [yellow] 2 9 4 12 5" xfId="51539"/>
    <cellStyle name="Input [yellow] 2 9 4 13" xfId="7450"/>
    <cellStyle name="Input [yellow] 2 9 4 13 2" xfId="18647"/>
    <cellStyle name="Input [yellow] 2 9 4 13 3" xfId="29815"/>
    <cellStyle name="Input [yellow] 2 9 4 13 4" xfId="40980"/>
    <cellStyle name="Input [yellow] 2 9 4 13 5" xfId="52173"/>
    <cellStyle name="Input [yellow] 2 9 4 14" xfId="8084"/>
    <cellStyle name="Input [yellow] 2 9 4 14 2" xfId="19281"/>
    <cellStyle name="Input [yellow] 2 9 4 14 3" xfId="30449"/>
    <cellStyle name="Input [yellow] 2 9 4 14 4" xfId="41614"/>
    <cellStyle name="Input [yellow] 2 9 4 14 5" xfId="52807"/>
    <cellStyle name="Input [yellow] 2 9 4 15" xfId="8714"/>
    <cellStyle name="Input [yellow] 2 9 4 15 2" xfId="19911"/>
    <cellStyle name="Input [yellow] 2 9 4 15 3" xfId="31079"/>
    <cellStyle name="Input [yellow] 2 9 4 15 4" xfId="42244"/>
    <cellStyle name="Input [yellow] 2 9 4 15 5" xfId="53437"/>
    <cellStyle name="Input [yellow] 2 9 4 16" xfId="7885"/>
    <cellStyle name="Input [yellow] 2 9 4 16 2" xfId="19082"/>
    <cellStyle name="Input [yellow] 2 9 4 16 3" xfId="30250"/>
    <cellStyle name="Input [yellow] 2 9 4 16 4" xfId="41415"/>
    <cellStyle name="Input [yellow] 2 9 4 16 5" xfId="52608"/>
    <cellStyle name="Input [yellow] 2 9 4 17" xfId="9764"/>
    <cellStyle name="Input [yellow] 2 9 4 17 2" xfId="20961"/>
    <cellStyle name="Input [yellow] 2 9 4 17 3" xfId="32129"/>
    <cellStyle name="Input [yellow] 2 9 4 17 4" xfId="43294"/>
    <cellStyle name="Input [yellow] 2 9 4 17 5" xfId="54487"/>
    <cellStyle name="Input [yellow] 2 9 4 18" xfId="10021"/>
    <cellStyle name="Input [yellow] 2 9 4 18 2" xfId="21218"/>
    <cellStyle name="Input [yellow] 2 9 4 18 3" xfId="32386"/>
    <cellStyle name="Input [yellow] 2 9 4 18 4" xfId="43551"/>
    <cellStyle name="Input [yellow] 2 9 4 18 5" xfId="54744"/>
    <cellStyle name="Input [yellow] 2 9 4 19" xfId="10800"/>
    <cellStyle name="Input [yellow] 2 9 4 19 2" xfId="21997"/>
    <cellStyle name="Input [yellow] 2 9 4 19 3" xfId="33165"/>
    <cellStyle name="Input [yellow] 2 9 4 19 4" xfId="44330"/>
    <cellStyle name="Input [yellow] 2 9 4 19 5" xfId="55523"/>
    <cellStyle name="Input [yellow] 2 9 4 2" xfId="896"/>
    <cellStyle name="Input [yellow] 2 9 4 2 2" xfId="12093"/>
    <cellStyle name="Input [yellow] 2 9 4 2 3" xfId="23261"/>
    <cellStyle name="Input [yellow] 2 9 4 2 4" xfId="34426"/>
    <cellStyle name="Input [yellow] 2 9 4 2 5" xfId="45619"/>
    <cellStyle name="Input [yellow] 2 9 4 20" xfId="11447"/>
    <cellStyle name="Input [yellow] 2 9 4 21" xfId="22617"/>
    <cellStyle name="Input [yellow] 2 9 4 22" xfId="33784"/>
    <cellStyle name="Input [yellow] 2 9 4 23" xfId="44970"/>
    <cellStyle name="Input [yellow] 2 9 4 3" xfId="1479"/>
    <cellStyle name="Input [yellow] 2 9 4 3 2" xfId="12676"/>
    <cellStyle name="Input [yellow] 2 9 4 3 3" xfId="23844"/>
    <cellStyle name="Input [yellow] 2 9 4 3 4" xfId="35009"/>
    <cellStyle name="Input [yellow] 2 9 4 3 5" xfId="46202"/>
    <cellStyle name="Input [yellow] 2 9 4 4" xfId="2173"/>
    <cellStyle name="Input [yellow] 2 9 4 4 2" xfId="13370"/>
    <cellStyle name="Input [yellow] 2 9 4 4 3" xfId="24538"/>
    <cellStyle name="Input [yellow] 2 9 4 4 4" xfId="35703"/>
    <cellStyle name="Input [yellow] 2 9 4 4 5" xfId="46896"/>
    <cellStyle name="Input [yellow] 2 9 4 5" xfId="2597"/>
    <cellStyle name="Input [yellow] 2 9 4 5 2" xfId="13794"/>
    <cellStyle name="Input [yellow] 2 9 4 5 3" xfId="24962"/>
    <cellStyle name="Input [yellow] 2 9 4 5 4" xfId="36127"/>
    <cellStyle name="Input [yellow] 2 9 4 5 5" xfId="47320"/>
    <cellStyle name="Input [yellow] 2 9 4 6" xfId="3231"/>
    <cellStyle name="Input [yellow] 2 9 4 6 2" xfId="14428"/>
    <cellStyle name="Input [yellow] 2 9 4 6 3" xfId="25596"/>
    <cellStyle name="Input [yellow] 2 9 4 6 4" xfId="36761"/>
    <cellStyle name="Input [yellow] 2 9 4 6 5" xfId="47954"/>
    <cellStyle name="Input [yellow] 2 9 4 7" xfId="3865"/>
    <cellStyle name="Input [yellow] 2 9 4 7 2" xfId="15062"/>
    <cellStyle name="Input [yellow] 2 9 4 7 3" xfId="26230"/>
    <cellStyle name="Input [yellow] 2 9 4 7 4" xfId="37395"/>
    <cellStyle name="Input [yellow] 2 9 4 7 5" xfId="48588"/>
    <cellStyle name="Input [yellow] 2 9 4 8" xfId="4498"/>
    <cellStyle name="Input [yellow] 2 9 4 8 2" xfId="15695"/>
    <cellStyle name="Input [yellow] 2 9 4 8 3" xfId="26863"/>
    <cellStyle name="Input [yellow] 2 9 4 8 4" xfId="38028"/>
    <cellStyle name="Input [yellow] 2 9 4 8 5" xfId="49221"/>
    <cellStyle name="Input [yellow] 2 9 4 9" xfId="5129"/>
    <cellStyle name="Input [yellow] 2 9 4 9 2" xfId="16326"/>
    <cellStyle name="Input [yellow] 2 9 4 9 3" xfId="27494"/>
    <cellStyle name="Input [yellow] 2 9 4 9 4" xfId="38659"/>
    <cellStyle name="Input [yellow] 2 9 4 9 5" xfId="49852"/>
    <cellStyle name="Input [yellow] 2 9 5" xfId="333"/>
    <cellStyle name="Input [yellow] 2 9 5 10" xfId="4297"/>
    <cellStyle name="Input [yellow] 2 9 5 10 2" xfId="15494"/>
    <cellStyle name="Input [yellow] 2 9 5 10 3" xfId="26662"/>
    <cellStyle name="Input [yellow] 2 9 5 10 4" xfId="37827"/>
    <cellStyle name="Input [yellow] 2 9 5 10 5" xfId="49020"/>
    <cellStyle name="Input [yellow] 2 9 5 11" xfId="6269"/>
    <cellStyle name="Input [yellow] 2 9 5 11 2" xfId="17466"/>
    <cellStyle name="Input [yellow] 2 9 5 11 3" xfId="28634"/>
    <cellStyle name="Input [yellow] 2 9 5 11 4" xfId="39799"/>
    <cellStyle name="Input [yellow] 2 9 5 11 5" xfId="50992"/>
    <cellStyle name="Input [yellow] 2 9 5 12" xfId="6902"/>
    <cellStyle name="Input [yellow] 2 9 5 12 2" xfId="18099"/>
    <cellStyle name="Input [yellow] 2 9 5 12 3" xfId="29267"/>
    <cellStyle name="Input [yellow] 2 9 5 12 4" xfId="40432"/>
    <cellStyle name="Input [yellow] 2 9 5 12 5" xfId="51625"/>
    <cellStyle name="Input [yellow] 2 9 5 13" xfId="7536"/>
    <cellStyle name="Input [yellow] 2 9 5 13 2" xfId="18733"/>
    <cellStyle name="Input [yellow] 2 9 5 13 3" xfId="29901"/>
    <cellStyle name="Input [yellow] 2 9 5 13 4" xfId="41066"/>
    <cellStyle name="Input [yellow] 2 9 5 13 5" xfId="52259"/>
    <cellStyle name="Input [yellow] 2 9 5 14" xfId="8170"/>
    <cellStyle name="Input [yellow] 2 9 5 14 2" xfId="19367"/>
    <cellStyle name="Input [yellow] 2 9 5 14 3" xfId="30535"/>
    <cellStyle name="Input [yellow] 2 9 5 14 4" xfId="41700"/>
    <cellStyle name="Input [yellow] 2 9 5 14 5" xfId="52893"/>
    <cellStyle name="Input [yellow] 2 9 5 15" xfId="8799"/>
    <cellStyle name="Input [yellow] 2 9 5 15 2" xfId="19996"/>
    <cellStyle name="Input [yellow] 2 9 5 15 3" xfId="31164"/>
    <cellStyle name="Input [yellow] 2 9 5 15 4" xfId="42329"/>
    <cellStyle name="Input [yellow] 2 9 5 15 5" xfId="53522"/>
    <cellStyle name="Input [yellow] 2 9 5 16" xfId="9221"/>
    <cellStyle name="Input [yellow] 2 9 5 16 2" xfId="20418"/>
    <cellStyle name="Input [yellow] 2 9 5 16 3" xfId="31586"/>
    <cellStyle name="Input [yellow] 2 9 5 16 4" xfId="42751"/>
    <cellStyle name="Input [yellow] 2 9 5 16 5" xfId="53944"/>
    <cellStyle name="Input [yellow] 2 9 5 17" xfId="9848"/>
    <cellStyle name="Input [yellow] 2 9 5 17 2" xfId="21045"/>
    <cellStyle name="Input [yellow] 2 9 5 17 3" xfId="32213"/>
    <cellStyle name="Input [yellow] 2 9 5 17 4" xfId="43378"/>
    <cellStyle name="Input [yellow] 2 9 5 17 5" xfId="54571"/>
    <cellStyle name="Input [yellow] 2 9 5 18" xfId="10382"/>
    <cellStyle name="Input [yellow] 2 9 5 18 2" xfId="21579"/>
    <cellStyle name="Input [yellow] 2 9 5 18 3" xfId="32747"/>
    <cellStyle name="Input [yellow] 2 9 5 18 4" xfId="43912"/>
    <cellStyle name="Input [yellow] 2 9 5 18 5" xfId="55105"/>
    <cellStyle name="Input [yellow] 2 9 5 19" xfId="10886"/>
    <cellStyle name="Input [yellow] 2 9 5 19 2" xfId="22083"/>
    <cellStyle name="Input [yellow] 2 9 5 19 3" xfId="33251"/>
    <cellStyle name="Input [yellow] 2 9 5 19 4" xfId="44416"/>
    <cellStyle name="Input [yellow] 2 9 5 19 5" xfId="55609"/>
    <cellStyle name="Input [yellow] 2 9 5 2" xfId="982"/>
    <cellStyle name="Input [yellow] 2 9 5 2 2" xfId="12179"/>
    <cellStyle name="Input [yellow] 2 9 5 2 3" xfId="23347"/>
    <cellStyle name="Input [yellow] 2 9 5 2 4" xfId="34512"/>
    <cellStyle name="Input [yellow] 2 9 5 2 5" xfId="45705"/>
    <cellStyle name="Input [yellow] 2 9 5 20" xfId="11533"/>
    <cellStyle name="Input [yellow] 2 9 5 21" xfId="22703"/>
    <cellStyle name="Input [yellow] 2 9 5 22" xfId="33870"/>
    <cellStyle name="Input [yellow] 2 9 5 23" xfId="45056"/>
    <cellStyle name="Input [yellow] 2 9 5 3" xfId="1579"/>
    <cellStyle name="Input [yellow] 2 9 5 3 2" xfId="12776"/>
    <cellStyle name="Input [yellow] 2 9 5 3 3" xfId="23944"/>
    <cellStyle name="Input [yellow] 2 9 5 3 4" xfId="35109"/>
    <cellStyle name="Input [yellow] 2 9 5 3 5" xfId="46302"/>
    <cellStyle name="Input [yellow] 2 9 5 4" xfId="2258"/>
    <cellStyle name="Input [yellow] 2 9 5 4 2" xfId="13455"/>
    <cellStyle name="Input [yellow] 2 9 5 4 3" xfId="24623"/>
    <cellStyle name="Input [yellow] 2 9 5 4 4" xfId="35788"/>
    <cellStyle name="Input [yellow] 2 9 5 4 5" xfId="46981"/>
    <cellStyle name="Input [yellow] 2 9 5 5" xfId="2683"/>
    <cellStyle name="Input [yellow] 2 9 5 5 2" xfId="13880"/>
    <cellStyle name="Input [yellow] 2 9 5 5 3" xfId="25048"/>
    <cellStyle name="Input [yellow] 2 9 5 5 4" xfId="36213"/>
    <cellStyle name="Input [yellow] 2 9 5 5 5" xfId="47406"/>
    <cellStyle name="Input [yellow] 2 9 5 6" xfId="3317"/>
    <cellStyle name="Input [yellow] 2 9 5 6 2" xfId="14514"/>
    <cellStyle name="Input [yellow] 2 9 5 6 3" xfId="25682"/>
    <cellStyle name="Input [yellow] 2 9 5 6 4" xfId="36847"/>
    <cellStyle name="Input [yellow] 2 9 5 6 5" xfId="48040"/>
    <cellStyle name="Input [yellow] 2 9 5 7" xfId="3951"/>
    <cellStyle name="Input [yellow] 2 9 5 7 2" xfId="15148"/>
    <cellStyle name="Input [yellow] 2 9 5 7 3" xfId="26316"/>
    <cellStyle name="Input [yellow] 2 9 5 7 4" xfId="37481"/>
    <cellStyle name="Input [yellow] 2 9 5 7 5" xfId="48674"/>
    <cellStyle name="Input [yellow] 2 9 5 8" xfId="4584"/>
    <cellStyle name="Input [yellow] 2 9 5 8 2" xfId="15781"/>
    <cellStyle name="Input [yellow] 2 9 5 8 3" xfId="26949"/>
    <cellStyle name="Input [yellow] 2 9 5 8 4" xfId="38114"/>
    <cellStyle name="Input [yellow] 2 9 5 8 5" xfId="49307"/>
    <cellStyle name="Input [yellow] 2 9 5 9" xfId="5215"/>
    <cellStyle name="Input [yellow] 2 9 5 9 2" xfId="16412"/>
    <cellStyle name="Input [yellow] 2 9 5 9 3" xfId="27580"/>
    <cellStyle name="Input [yellow] 2 9 5 9 4" xfId="38745"/>
    <cellStyle name="Input [yellow] 2 9 5 9 5" xfId="49938"/>
    <cellStyle name="Input [yellow] 2 9 6" xfId="354"/>
    <cellStyle name="Input [yellow] 2 9 6 10" xfId="5881"/>
    <cellStyle name="Input [yellow] 2 9 6 10 2" xfId="17078"/>
    <cellStyle name="Input [yellow] 2 9 6 10 3" xfId="28246"/>
    <cellStyle name="Input [yellow] 2 9 6 10 4" xfId="39411"/>
    <cellStyle name="Input [yellow] 2 9 6 10 5" xfId="50604"/>
    <cellStyle name="Input [yellow] 2 9 6 11" xfId="6290"/>
    <cellStyle name="Input [yellow] 2 9 6 11 2" xfId="17487"/>
    <cellStyle name="Input [yellow] 2 9 6 11 3" xfId="28655"/>
    <cellStyle name="Input [yellow] 2 9 6 11 4" xfId="39820"/>
    <cellStyle name="Input [yellow] 2 9 6 11 5" xfId="51013"/>
    <cellStyle name="Input [yellow] 2 9 6 12" xfId="6923"/>
    <cellStyle name="Input [yellow] 2 9 6 12 2" xfId="18120"/>
    <cellStyle name="Input [yellow] 2 9 6 12 3" xfId="29288"/>
    <cellStyle name="Input [yellow] 2 9 6 12 4" xfId="40453"/>
    <cellStyle name="Input [yellow] 2 9 6 12 5" xfId="51646"/>
    <cellStyle name="Input [yellow] 2 9 6 13" xfId="7557"/>
    <cellStyle name="Input [yellow] 2 9 6 13 2" xfId="18754"/>
    <cellStyle name="Input [yellow] 2 9 6 13 3" xfId="29922"/>
    <cellStyle name="Input [yellow] 2 9 6 13 4" xfId="41087"/>
    <cellStyle name="Input [yellow] 2 9 6 13 5" xfId="52280"/>
    <cellStyle name="Input [yellow] 2 9 6 14" xfId="8191"/>
    <cellStyle name="Input [yellow] 2 9 6 14 2" xfId="19388"/>
    <cellStyle name="Input [yellow] 2 9 6 14 3" xfId="30556"/>
    <cellStyle name="Input [yellow] 2 9 6 14 4" xfId="41721"/>
    <cellStyle name="Input [yellow] 2 9 6 14 5" xfId="52914"/>
    <cellStyle name="Input [yellow] 2 9 6 15" xfId="8820"/>
    <cellStyle name="Input [yellow] 2 9 6 15 2" xfId="20017"/>
    <cellStyle name="Input [yellow] 2 9 6 15 3" xfId="31185"/>
    <cellStyle name="Input [yellow] 2 9 6 15 4" xfId="42350"/>
    <cellStyle name="Input [yellow] 2 9 6 15 5" xfId="53543"/>
    <cellStyle name="Input [yellow] 2 9 6 16" xfId="9242"/>
    <cellStyle name="Input [yellow] 2 9 6 16 2" xfId="20439"/>
    <cellStyle name="Input [yellow] 2 9 6 16 3" xfId="31607"/>
    <cellStyle name="Input [yellow] 2 9 6 16 4" xfId="42772"/>
    <cellStyle name="Input [yellow] 2 9 6 16 5" xfId="53965"/>
    <cellStyle name="Input [yellow] 2 9 6 17" xfId="9869"/>
    <cellStyle name="Input [yellow] 2 9 6 17 2" xfId="21066"/>
    <cellStyle name="Input [yellow] 2 9 6 17 3" xfId="32234"/>
    <cellStyle name="Input [yellow] 2 9 6 17 4" xfId="43399"/>
    <cellStyle name="Input [yellow] 2 9 6 17 5" xfId="54592"/>
    <cellStyle name="Input [yellow] 2 9 6 18" xfId="10442"/>
    <cellStyle name="Input [yellow] 2 9 6 18 2" xfId="21639"/>
    <cellStyle name="Input [yellow] 2 9 6 18 3" xfId="32807"/>
    <cellStyle name="Input [yellow] 2 9 6 18 4" xfId="43972"/>
    <cellStyle name="Input [yellow] 2 9 6 18 5" xfId="55165"/>
    <cellStyle name="Input [yellow] 2 9 6 19" xfId="10907"/>
    <cellStyle name="Input [yellow] 2 9 6 19 2" xfId="22104"/>
    <cellStyle name="Input [yellow] 2 9 6 19 3" xfId="33272"/>
    <cellStyle name="Input [yellow] 2 9 6 19 4" xfId="44437"/>
    <cellStyle name="Input [yellow] 2 9 6 19 5" xfId="55630"/>
    <cellStyle name="Input [yellow] 2 9 6 2" xfId="1003"/>
    <cellStyle name="Input [yellow] 2 9 6 2 2" xfId="12200"/>
    <cellStyle name="Input [yellow] 2 9 6 2 3" xfId="23368"/>
    <cellStyle name="Input [yellow] 2 9 6 2 4" xfId="34533"/>
    <cellStyle name="Input [yellow] 2 9 6 2 5" xfId="45726"/>
    <cellStyle name="Input [yellow] 2 9 6 20" xfId="11554"/>
    <cellStyle name="Input [yellow] 2 9 6 21" xfId="22724"/>
    <cellStyle name="Input [yellow] 2 9 6 22" xfId="33891"/>
    <cellStyle name="Input [yellow] 2 9 6 23" xfId="45077"/>
    <cellStyle name="Input [yellow] 2 9 6 3" xfId="1698"/>
    <cellStyle name="Input [yellow] 2 9 6 3 2" xfId="12895"/>
    <cellStyle name="Input [yellow] 2 9 6 3 3" xfId="24063"/>
    <cellStyle name="Input [yellow] 2 9 6 3 4" xfId="35228"/>
    <cellStyle name="Input [yellow] 2 9 6 3 5" xfId="46421"/>
    <cellStyle name="Input [yellow] 2 9 6 4" xfId="2279"/>
    <cellStyle name="Input [yellow] 2 9 6 4 2" xfId="13476"/>
    <cellStyle name="Input [yellow] 2 9 6 4 3" xfId="24644"/>
    <cellStyle name="Input [yellow] 2 9 6 4 4" xfId="35809"/>
    <cellStyle name="Input [yellow] 2 9 6 4 5" xfId="47002"/>
    <cellStyle name="Input [yellow] 2 9 6 5" xfId="2704"/>
    <cellStyle name="Input [yellow] 2 9 6 5 2" xfId="13901"/>
    <cellStyle name="Input [yellow] 2 9 6 5 3" xfId="25069"/>
    <cellStyle name="Input [yellow] 2 9 6 5 4" xfId="36234"/>
    <cellStyle name="Input [yellow] 2 9 6 5 5" xfId="47427"/>
    <cellStyle name="Input [yellow] 2 9 6 6" xfId="3338"/>
    <cellStyle name="Input [yellow] 2 9 6 6 2" xfId="14535"/>
    <cellStyle name="Input [yellow] 2 9 6 6 3" xfId="25703"/>
    <cellStyle name="Input [yellow] 2 9 6 6 4" xfId="36868"/>
    <cellStyle name="Input [yellow] 2 9 6 6 5" xfId="48061"/>
    <cellStyle name="Input [yellow] 2 9 6 7" xfId="3972"/>
    <cellStyle name="Input [yellow] 2 9 6 7 2" xfId="15169"/>
    <cellStyle name="Input [yellow] 2 9 6 7 3" xfId="26337"/>
    <cellStyle name="Input [yellow] 2 9 6 7 4" xfId="37502"/>
    <cellStyle name="Input [yellow] 2 9 6 7 5" xfId="48695"/>
    <cellStyle name="Input [yellow] 2 9 6 8" xfId="4605"/>
    <cellStyle name="Input [yellow] 2 9 6 8 2" xfId="15802"/>
    <cellStyle name="Input [yellow] 2 9 6 8 3" xfId="26970"/>
    <cellStyle name="Input [yellow] 2 9 6 8 4" xfId="38135"/>
    <cellStyle name="Input [yellow] 2 9 6 8 5" xfId="49328"/>
    <cellStyle name="Input [yellow] 2 9 6 9" xfId="5236"/>
    <cellStyle name="Input [yellow] 2 9 6 9 2" xfId="16433"/>
    <cellStyle name="Input [yellow] 2 9 6 9 3" xfId="27601"/>
    <cellStyle name="Input [yellow] 2 9 6 9 4" xfId="38766"/>
    <cellStyle name="Input [yellow] 2 9 6 9 5" xfId="49959"/>
    <cellStyle name="Input [yellow] 2 9 7" xfId="457"/>
    <cellStyle name="Input [yellow] 2 9 7 10" xfId="5948"/>
    <cellStyle name="Input [yellow] 2 9 7 10 2" xfId="17145"/>
    <cellStyle name="Input [yellow] 2 9 7 10 3" xfId="28313"/>
    <cellStyle name="Input [yellow] 2 9 7 10 4" xfId="39478"/>
    <cellStyle name="Input [yellow] 2 9 7 10 5" xfId="50671"/>
    <cellStyle name="Input [yellow] 2 9 7 11" xfId="6393"/>
    <cellStyle name="Input [yellow] 2 9 7 11 2" xfId="17590"/>
    <cellStyle name="Input [yellow] 2 9 7 11 3" xfId="28758"/>
    <cellStyle name="Input [yellow] 2 9 7 11 4" xfId="39923"/>
    <cellStyle name="Input [yellow] 2 9 7 11 5" xfId="51116"/>
    <cellStyle name="Input [yellow] 2 9 7 12" xfId="7026"/>
    <cellStyle name="Input [yellow] 2 9 7 12 2" xfId="18223"/>
    <cellStyle name="Input [yellow] 2 9 7 12 3" xfId="29391"/>
    <cellStyle name="Input [yellow] 2 9 7 12 4" xfId="40556"/>
    <cellStyle name="Input [yellow] 2 9 7 12 5" xfId="51749"/>
    <cellStyle name="Input [yellow] 2 9 7 13" xfId="7660"/>
    <cellStyle name="Input [yellow] 2 9 7 13 2" xfId="18857"/>
    <cellStyle name="Input [yellow] 2 9 7 13 3" xfId="30025"/>
    <cellStyle name="Input [yellow] 2 9 7 13 4" xfId="41190"/>
    <cellStyle name="Input [yellow] 2 9 7 13 5" xfId="52383"/>
    <cellStyle name="Input [yellow] 2 9 7 14" xfId="8294"/>
    <cellStyle name="Input [yellow] 2 9 7 14 2" xfId="19491"/>
    <cellStyle name="Input [yellow] 2 9 7 14 3" xfId="30659"/>
    <cellStyle name="Input [yellow] 2 9 7 14 4" xfId="41824"/>
    <cellStyle name="Input [yellow] 2 9 7 14 5" xfId="53017"/>
    <cellStyle name="Input [yellow] 2 9 7 15" xfId="8922"/>
    <cellStyle name="Input [yellow] 2 9 7 15 2" xfId="20119"/>
    <cellStyle name="Input [yellow] 2 9 7 15 3" xfId="31287"/>
    <cellStyle name="Input [yellow] 2 9 7 15 4" xfId="42452"/>
    <cellStyle name="Input [yellow] 2 9 7 15 5" xfId="53645"/>
    <cellStyle name="Input [yellow] 2 9 7 16" xfId="9345"/>
    <cellStyle name="Input [yellow] 2 9 7 16 2" xfId="20542"/>
    <cellStyle name="Input [yellow] 2 9 7 16 3" xfId="31710"/>
    <cellStyle name="Input [yellow] 2 9 7 16 4" xfId="42875"/>
    <cellStyle name="Input [yellow] 2 9 7 16 5" xfId="54068"/>
    <cellStyle name="Input [yellow] 2 9 7 17" xfId="9971"/>
    <cellStyle name="Input [yellow] 2 9 7 17 2" xfId="21168"/>
    <cellStyle name="Input [yellow] 2 9 7 17 3" xfId="32336"/>
    <cellStyle name="Input [yellow] 2 9 7 17 4" xfId="43501"/>
    <cellStyle name="Input [yellow] 2 9 7 17 5" xfId="54694"/>
    <cellStyle name="Input [yellow] 2 9 7 18" xfId="10486"/>
    <cellStyle name="Input [yellow] 2 9 7 18 2" xfId="21683"/>
    <cellStyle name="Input [yellow] 2 9 7 18 3" xfId="32851"/>
    <cellStyle name="Input [yellow] 2 9 7 18 4" xfId="44016"/>
    <cellStyle name="Input [yellow] 2 9 7 18 5" xfId="55209"/>
    <cellStyle name="Input [yellow] 2 9 7 19" xfId="11010"/>
    <cellStyle name="Input [yellow] 2 9 7 19 2" xfId="22207"/>
    <cellStyle name="Input [yellow] 2 9 7 19 3" xfId="33375"/>
    <cellStyle name="Input [yellow] 2 9 7 19 4" xfId="44540"/>
    <cellStyle name="Input [yellow] 2 9 7 19 5" xfId="55733"/>
    <cellStyle name="Input [yellow] 2 9 7 2" xfId="1106"/>
    <cellStyle name="Input [yellow] 2 9 7 2 2" xfId="12303"/>
    <cellStyle name="Input [yellow] 2 9 7 2 3" xfId="23471"/>
    <cellStyle name="Input [yellow] 2 9 7 2 4" xfId="34636"/>
    <cellStyle name="Input [yellow] 2 9 7 2 5" xfId="45829"/>
    <cellStyle name="Input [yellow] 2 9 7 20" xfId="11657"/>
    <cellStyle name="Input [yellow] 2 9 7 21" xfId="22827"/>
    <cellStyle name="Input [yellow] 2 9 7 22" xfId="33994"/>
    <cellStyle name="Input [yellow] 2 9 7 23" xfId="45180"/>
    <cellStyle name="Input [yellow] 2 9 7 3" xfId="1783"/>
    <cellStyle name="Input [yellow] 2 9 7 3 2" xfId="12980"/>
    <cellStyle name="Input [yellow] 2 9 7 3 3" xfId="24148"/>
    <cellStyle name="Input [yellow] 2 9 7 3 4" xfId="35313"/>
    <cellStyle name="Input [yellow] 2 9 7 3 5" xfId="46506"/>
    <cellStyle name="Input [yellow] 2 9 7 4" xfId="2382"/>
    <cellStyle name="Input [yellow] 2 9 7 4 2" xfId="13579"/>
    <cellStyle name="Input [yellow] 2 9 7 4 3" xfId="24747"/>
    <cellStyle name="Input [yellow] 2 9 7 4 4" xfId="35912"/>
    <cellStyle name="Input [yellow] 2 9 7 4 5" xfId="47105"/>
    <cellStyle name="Input [yellow] 2 9 7 5" xfId="2807"/>
    <cellStyle name="Input [yellow] 2 9 7 5 2" xfId="14004"/>
    <cellStyle name="Input [yellow] 2 9 7 5 3" xfId="25172"/>
    <cellStyle name="Input [yellow] 2 9 7 5 4" xfId="36337"/>
    <cellStyle name="Input [yellow] 2 9 7 5 5" xfId="47530"/>
    <cellStyle name="Input [yellow] 2 9 7 6" xfId="3441"/>
    <cellStyle name="Input [yellow] 2 9 7 6 2" xfId="14638"/>
    <cellStyle name="Input [yellow] 2 9 7 6 3" xfId="25806"/>
    <cellStyle name="Input [yellow] 2 9 7 6 4" xfId="36971"/>
    <cellStyle name="Input [yellow] 2 9 7 6 5" xfId="48164"/>
    <cellStyle name="Input [yellow] 2 9 7 7" xfId="4075"/>
    <cellStyle name="Input [yellow] 2 9 7 7 2" xfId="15272"/>
    <cellStyle name="Input [yellow] 2 9 7 7 3" xfId="26440"/>
    <cellStyle name="Input [yellow] 2 9 7 7 4" xfId="37605"/>
    <cellStyle name="Input [yellow] 2 9 7 7 5" xfId="48798"/>
    <cellStyle name="Input [yellow] 2 9 7 8" xfId="4708"/>
    <cellStyle name="Input [yellow] 2 9 7 8 2" xfId="15905"/>
    <cellStyle name="Input [yellow] 2 9 7 8 3" xfId="27073"/>
    <cellStyle name="Input [yellow] 2 9 7 8 4" xfId="38238"/>
    <cellStyle name="Input [yellow] 2 9 7 8 5" xfId="49431"/>
    <cellStyle name="Input [yellow] 2 9 7 9" xfId="5339"/>
    <cellStyle name="Input [yellow] 2 9 7 9 2" xfId="16536"/>
    <cellStyle name="Input [yellow] 2 9 7 9 3" xfId="27704"/>
    <cellStyle name="Input [yellow] 2 9 7 9 4" xfId="38869"/>
    <cellStyle name="Input [yellow] 2 9 7 9 5" xfId="50062"/>
    <cellStyle name="Input [yellow] 2 9 8" xfId="484"/>
    <cellStyle name="Input [yellow] 2 9 8 10" xfId="5701"/>
    <cellStyle name="Input [yellow] 2 9 8 10 2" xfId="16898"/>
    <cellStyle name="Input [yellow] 2 9 8 10 3" xfId="28066"/>
    <cellStyle name="Input [yellow] 2 9 8 10 4" xfId="39231"/>
    <cellStyle name="Input [yellow] 2 9 8 10 5" xfId="50424"/>
    <cellStyle name="Input [yellow] 2 9 8 11" xfId="6420"/>
    <cellStyle name="Input [yellow] 2 9 8 11 2" xfId="17617"/>
    <cellStyle name="Input [yellow] 2 9 8 11 3" xfId="28785"/>
    <cellStyle name="Input [yellow] 2 9 8 11 4" xfId="39950"/>
    <cellStyle name="Input [yellow] 2 9 8 11 5" xfId="51143"/>
    <cellStyle name="Input [yellow] 2 9 8 12" xfId="7053"/>
    <cellStyle name="Input [yellow] 2 9 8 12 2" xfId="18250"/>
    <cellStyle name="Input [yellow] 2 9 8 12 3" xfId="29418"/>
    <cellStyle name="Input [yellow] 2 9 8 12 4" xfId="40583"/>
    <cellStyle name="Input [yellow] 2 9 8 12 5" xfId="51776"/>
    <cellStyle name="Input [yellow] 2 9 8 13" xfId="7687"/>
    <cellStyle name="Input [yellow] 2 9 8 13 2" xfId="18884"/>
    <cellStyle name="Input [yellow] 2 9 8 13 3" xfId="30052"/>
    <cellStyle name="Input [yellow] 2 9 8 13 4" xfId="41217"/>
    <cellStyle name="Input [yellow] 2 9 8 13 5" xfId="52410"/>
    <cellStyle name="Input [yellow] 2 9 8 14" xfId="8321"/>
    <cellStyle name="Input [yellow] 2 9 8 14 2" xfId="19518"/>
    <cellStyle name="Input [yellow] 2 9 8 14 3" xfId="30686"/>
    <cellStyle name="Input [yellow] 2 9 8 14 4" xfId="41851"/>
    <cellStyle name="Input [yellow] 2 9 8 14 5" xfId="53044"/>
    <cellStyle name="Input [yellow] 2 9 8 15" xfId="8949"/>
    <cellStyle name="Input [yellow] 2 9 8 15 2" xfId="20146"/>
    <cellStyle name="Input [yellow] 2 9 8 15 3" xfId="31314"/>
    <cellStyle name="Input [yellow] 2 9 8 15 4" xfId="42479"/>
    <cellStyle name="Input [yellow] 2 9 8 15 5" xfId="53672"/>
    <cellStyle name="Input [yellow] 2 9 8 16" xfId="9372"/>
    <cellStyle name="Input [yellow] 2 9 8 16 2" xfId="20569"/>
    <cellStyle name="Input [yellow] 2 9 8 16 3" xfId="31737"/>
    <cellStyle name="Input [yellow] 2 9 8 16 4" xfId="42902"/>
    <cellStyle name="Input [yellow] 2 9 8 16 5" xfId="54095"/>
    <cellStyle name="Input [yellow] 2 9 8 17" xfId="9997"/>
    <cellStyle name="Input [yellow] 2 9 8 17 2" xfId="21194"/>
    <cellStyle name="Input [yellow] 2 9 8 17 3" xfId="32362"/>
    <cellStyle name="Input [yellow] 2 9 8 17 4" xfId="43527"/>
    <cellStyle name="Input [yellow] 2 9 8 17 5" xfId="54720"/>
    <cellStyle name="Input [yellow] 2 9 8 18" xfId="10203"/>
    <cellStyle name="Input [yellow] 2 9 8 18 2" xfId="21400"/>
    <cellStyle name="Input [yellow] 2 9 8 18 3" xfId="32568"/>
    <cellStyle name="Input [yellow] 2 9 8 18 4" xfId="43733"/>
    <cellStyle name="Input [yellow] 2 9 8 18 5" xfId="54926"/>
    <cellStyle name="Input [yellow] 2 9 8 19" xfId="11037"/>
    <cellStyle name="Input [yellow] 2 9 8 19 2" xfId="22234"/>
    <cellStyle name="Input [yellow] 2 9 8 19 3" xfId="33402"/>
    <cellStyle name="Input [yellow] 2 9 8 19 4" xfId="44567"/>
    <cellStyle name="Input [yellow] 2 9 8 19 5" xfId="55760"/>
    <cellStyle name="Input [yellow] 2 9 8 2" xfId="1133"/>
    <cellStyle name="Input [yellow] 2 9 8 2 2" xfId="12330"/>
    <cellStyle name="Input [yellow] 2 9 8 2 3" xfId="23498"/>
    <cellStyle name="Input [yellow] 2 9 8 2 4" xfId="34663"/>
    <cellStyle name="Input [yellow] 2 9 8 2 5" xfId="45856"/>
    <cellStyle name="Input [yellow] 2 9 8 20" xfId="11684"/>
    <cellStyle name="Input [yellow] 2 9 8 21" xfId="22854"/>
    <cellStyle name="Input [yellow] 2 9 8 22" xfId="34021"/>
    <cellStyle name="Input [yellow] 2 9 8 23" xfId="45207"/>
    <cellStyle name="Input [yellow] 2 9 8 3" xfId="1485"/>
    <cellStyle name="Input [yellow] 2 9 8 3 2" xfId="12682"/>
    <cellStyle name="Input [yellow] 2 9 8 3 3" xfId="23850"/>
    <cellStyle name="Input [yellow] 2 9 8 3 4" xfId="35015"/>
    <cellStyle name="Input [yellow] 2 9 8 3 5" xfId="46208"/>
    <cellStyle name="Input [yellow] 2 9 8 4" xfId="2409"/>
    <cellStyle name="Input [yellow] 2 9 8 4 2" xfId="13606"/>
    <cellStyle name="Input [yellow] 2 9 8 4 3" xfId="24774"/>
    <cellStyle name="Input [yellow] 2 9 8 4 4" xfId="35939"/>
    <cellStyle name="Input [yellow] 2 9 8 4 5" xfId="47132"/>
    <cellStyle name="Input [yellow] 2 9 8 5" xfId="2834"/>
    <cellStyle name="Input [yellow] 2 9 8 5 2" xfId="14031"/>
    <cellStyle name="Input [yellow] 2 9 8 5 3" xfId="25199"/>
    <cellStyle name="Input [yellow] 2 9 8 5 4" xfId="36364"/>
    <cellStyle name="Input [yellow] 2 9 8 5 5" xfId="47557"/>
    <cellStyle name="Input [yellow] 2 9 8 6" xfId="3468"/>
    <cellStyle name="Input [yellow] 2 9 8 6 2" xfId="14665"/>
    <cellStyle name="Input [yellow] 2 9 8 6 3" xfId="25833"/>
    <cellStyle name="Input [yellow] 2 9 8 6 4" xfId="36998"/>
    <cellStyle name="Input [yellow] 2 9 8 6 5" xfId="48191"/>
    <cellStyle name="Input [yellow] 2 9 8 7" xfId="4102"/>
    <cellStyle name="Input [yellow] 2 9 8 7 2" xfId="15299"/>
    <cellStyle name="Input [yellow] 2 9 8 7 3" xfId="26467"/>
    <cellStyle name="Input [yellow] 2 9 8 7 4" xfId="37632"/>
    <cellStyle name="Input [yellow] 2 9 8 7 5" xfId="48825"/>
    <cellStyle name="Input [yellow] 2 9 8 8" xfId="4735"/>
    <cellStyle name="Input [yellow] 2 9 8 8 2" xfId="15932"/>
    <cellStyle name="Input [yellow] 2 9 8 8 3" xfId="27100"/>
    <cellStyle name="Input [yellow] 2 9 8 8 4" xfId="38265"/>
    <cellStyle name="Input [yellow] 2 9 8 8 5" xfId="49458"/>
    <cellStyle name="Input [yellow] 2 9 8 9" xfId="5366"/>
    <cellStyle name="Input [yellow] 2 9 8 9 2" xfId="16563"/>
    <cellStyle name="Input [yellow] 2 9 8 9 3" xfId="27731"/>
    <cellStyle name="Input [yellow] 2 9 8 9 4" xfId="38896"/>
    <cellStyle name="Input [yellow] 2 9 8 9 5" xfId="50089"/>
    <cellStyle name="Input [yellow] 2 9 9" xfId="542"/>
    <cellStyle name="Input [yellow] 2 9 9 10" xfId="5790"/>
    <cellStyle name="Input [yellow] 2 9 9 10 2" xfId="16987"/>
    <cellStyle name="Input [yellow] 2 9 9 10 3" xfId="28155"/>
    <cellStyle name="Input [yellow] 2 9 9 10 4" xfId="39320"/>
    <cellStyle name="Input [yellow] 2 9 9 10 5" xfId="50513"/>
    <cellStyle name="Input [yellow] 2 9 9 11" xfId="6478"/>
    <cellStyle name="Input [yellow] 2 9 9 11 2" xfId="17675"/>
    <cellStyle name="Input [yellow] 2 9 9 11 3" xfId="28843"/>
    <cellStyle name="Input [yellow] 2 9 9 11 4" xfId="40008"/>
    <cellStyle name="Input [yellow] 2 9 9 11 5" xfId="51201"/>
    <cellStyle name="Input [yellow] 2 9 9 12" xfId="7111"/>
    <cellStyle name="Input [yellow] 2 9 9 12 2" xfId="18308"/>
    <cellStyle name="Input [yellow] 2 9 9 12 3" xfId="29476"/>
    <cellStyle name="Input [yellow] 2 9 9 12 4" xfId="40641"/>
    <cellStyle name="Input [yellow] 2 9 9 12 5" xfId="51834"/>
    <cellStyle name="Input [yellow] 2 9 9 13" xfId="7745"/>
    <cellStyle name="Input [yellow] 2 9 9 13 2" xfId="18942"/>
    <cellStyle name="Input [yellow] 2 9 9 13 3" xfId="30110"/>
    <cellStyle name="Input [yellow] 2 9 9 13 4" xfId="41275"/>
    <cellStyle name="Input [yellow] 2 9 9 13 5" xfId="52468"/>
    <cellStyle name="Input [yellow] 2 9 9 14" xfId="8379"/>
    <cellStyle name="Input [yellow] 2 9 9 14 2" xfId="19576"/>
    <cellStyle name="Input [yellow] 2 9 9 14 3" xfId="30744"/>
    <cellStyle name="Input [yellow] 2 9 9 14 4" xfId="41909"/>
    <cellStyle name="Input [yellow] 2 9 9 14 5" xfId="53102"/>
    <cellStyle name="Input [yellow] 2 9 9 15" xfId="9007"/>
    <cellStyle name="Input [yellow] 2 9 9 15 2" xfId="20204"/>
    <cellStyle name="Input [yellow] 2 9 9 15 3" xfId="31372"/>
    <cellStyle name="Input [yellow] 2 9 9 15 4" xfId="42537"/>
    <cellStyle name="Input [yellow] 2 9 9 15 5" xfId="53730"/>
    <cellStyle name="Input [yellow] 2 9 9 16" xfId="9430"/>
    <cellStyle name="Input [yellow] 2 9 9 16 2" xfId="20627"/>
    <cellStyle name="Input [yellow] 2 9 9 16 3" xfId="31795"/>
    <cellStyle name="Input [yellow] 2 9 9 16 4" xfId="42960"/>
    <cellStyle name="Input [yellow] 2 9 9 16 5" xfId="54153"/>
    <cellStyle name="Input [yellow] 2 9 9 17" xfId="10055"/>
    <cellStyle name="Input [yellow] 2 9 9 17 2" xfId="21252"/>
    <cellStyle name="Input [yellow] 2 9 9 17 3" xfId="32420"/>
    <cellStyle name="Input [yellow] 2 9 9 17 4" xfId="43585"/>
    <cellStyle name="Input [yellow] 2 9 9 17 5" xfId="54778"/>
    <cellStyle name="Input [yellow] 2 9 9 18" xfId="10577"/>
    <cellStyle name="Input [yellow] 2 9 9 18 2" xfId="21774"/>
    <cellStyle name="Input [yellow] 2 9 9 18 3" xfId="32942"/>
    <cellStyle name="Input [yellow] 2 9 9 18 4" xfId="44107"/>
    <cellStyle name="Input [yellow] 2 9 9 18 5" xfId="55300"/>
    <cellStyle name="Input [yellow] 2 9 9 19" xfId="11095"/>
    <cellStyle name="Input [yellow] 2 9 9 19 2" xfId="22292"/>
    <cellStyle name="Input [yellow] 2 9 9 19 3" xfId="33460"/>
    <cellStyle name="Input [yellow] 2 9 9 19 4" xfId="44625"/>
    <cellStyle name="Input [yellow] 2 9 9 19 5" xfId="55818"/>
    <cellStyle name="Input [yellow] 2 9 9 2" xfId="1191"/>
    <cellStyle name="Input [yellow] 2 9 9 2 2" xfId="12388"/>
    <cellStyle name="Input [yellow] 2 9 9 2 3" xfId="23556"/>
    <cellStyle name="Input [yellow] 2 9 9 2 4" xfId="34721"/>
    <cellStyle name="Input [yellow] 2 9 9 2 5" xfId="45914"/>
    <cellStyle name="Input [yellow] 2 9 9 20" xfId="11742"/>
    <cellStyle name="Input [yellow] 2 9 9 21" xfId="22912"/>
    <cellStyle name="Input [yellow] 2 9 9 22" xfId="34079"/>
    <cellStyle name="Input [yellow] 2 9 9 23" xfId="45265"/>
    <cellStyle name="Input [yellow] 2 9 9 3" xfId="1866"/>
    <cellStyle name="Input [yellow] 2 9 9 3 2" xfId="13063"/>
    <cellStyle name="Input [yellow] 2 9 9 3 3" xfId="24231"/>
    <cellStyle name="Input [yellow] 2 9 9 3 4" xfId="35396"/>
    <cellStyle name="Input [yellow] 2 9 9 3 5" xfId="46589"/>
    <cellStyle name="Input [yellow] 2 9 9 4" xfId="2467"/>
    <cellStyle name="Input [yellow] 2 9 9 4 2" xfId="13664"/>
    <cellStyle name="Input [yellow] 2 9 9 4 3" xfId="24832"/>
    <cellStyle name="Input [yellow] 2 9 9 4 4" xfId="35997"/>
    <cellStyle name="Input [yellow] 2 9 9 4 5" xfId="47190"/>
    <cellStyle name="Input [yellow] 2 9 9 5" xfId="2892"/>
    <cellStyle name="Input [yellow] 2 9 9 5 2" xfId="14089"/>
    <cellStyle name="Input [yellow] 2 9 9 5 3" xfId="25257"/>
    <cellStyle name="Input [yellow] 2 9 9 5 4" xfId="36422"/>
    <cellStyle name="Input [yellow] 2 9 9 5 5" xfId="47615"/>
    <cellStyle name="Input [yellow] 2 9 9 6" xfId="3526"/>
    <cellStyle name="Input [yellow] 2 9 9 6 2" xfId="14723"/>
    <cellStyle name="Input [yellow] 2 9 9 6 3" xfId="25891"/>
    <cellStyle name="Input [yellow] 2 9 9 6 4" xfId="37056"/>
    <cellStyle name="Input [yellow] 2 9 9 6 5" xfId="48249"/>
    <cellStyle name="Input [yellow] 2 9 9 7" xfId="4160"/>
    <cellStyle name="Input [yellow] 2 9 9 7 2" xfId="15357"/>
    <cellStyle name="Input [yellow] 2 9 9 7 3" xfId="26525"/>
    <cellStyle name="Input [yellow] 2 9 9 7 4" xfId="37690"/>
    <cellStyle name="Input [yellow] 2 9 9 7 5" xfId="48883"/>
    <cellStyle name="Input [yellow] 2 9 9 8" xfId="4793"/>
    <cellStyle name="Input [yellow] 2 9 9 8 2" xfId="15990"/>
    <cellStyle name="Input [yellow] 2 9 9 8 3" xfId="27158"/>
    <cellStyle name="Input [yellow] 2 9 9 8 4" xfId="38323"/>
    <cellStyle name="Input [yellow] 2 9 9 8 5" xfId="49516"/>
    <cellStyle name="Input [yellow] 2 9 9 9" xfId="5424"/>
    <cellStyle name="Input [yellow] 2 9 9 9 2" xfId="16621"/>
    <cellStyle name="Input [yellow] 2 9 9 9 3" xfId="27789"/>
    <cellStyle name="Input [yellow] 2 9 9 9 4" xfId="38954"/>
    <cellStyle name="Input [yellow] 2 9 9 9 5" xfId="50147"/>
    <cellStyle name="Input [yellow] 3" xfId="41"/>
    <cellStyle name="Input [yellow] 3 10" xfId="79"/>
    <cellStyle name="Input [yellow] 3 10 10" xfId="578"/>
    <cellStyle name="Input [yellow] 3 10 10 10" xfId="5944"/>
    <cellStyle name="Input [yellow] 3 10 10 10 2" xfId="17141"/>
    <cellStyle name="Input [yellow] 3 10 10 10 3" xfId="28309"/>
    <cellStyle name="Input [yellow] 3 10 10 10 4" xfId="39474"/>
    <cellStyle name="Input [yellow] 3 10 10 10 5" xfId="50667"/>
    <cellStyle name="Input [yellow] 3 10 10 11" xfId="6514"/>
    <cellStyle name="Input [yellow] 3 10 10 11 2" xfId="17711"/>
    <cellStyle name="Input [yellow] 3 10 10 11 3" xfId="28879"/>
    <cellStyle name="Input [yellow] 3 10 10 11 4" xfId="40044"/>
    <cellStyle name="Input [yellow] 3 10 10 11 5" xfId="51237"/>
    <cellStyle name="Input [yellow] 3 10 10 12" xfId="7147"/>
    <cellStyle name="Input [yellow] 3 10 10 12 2" xfId="18344"/>
    <cellStyle name="Input [yellow] 3 10 10 12 3" xfId="29512"/>
    <cellStyle name="Input [yellow] 3 10 10 12 4" xfId="40677"/>
    <cellStyle name="Input [yellow] 3 10 10 12 5" xfId="51870"/>
    <cellStyle name="Input [yellow] 3 10 10 13" xfId="7781"/>
    <cellStyle name="Input [yellow] 3 10 10 13 2" xfId="18978"/>
    <cellStyle name="Input [yellow] 3 10 10 13 3" xfId="30146"/>
    <cellStyle name="Input [yellow] 3 10 10 13 4" xfId="41311"/>
    <cellStyle name="Input [yellow] 3 10 10 13 5" xfId="52504"/>
    <cellStyle name="Input [yellow] 3 10 10 14" xfId="8415"/>
    <cellStyle name="Input [yellow] 3 10 10 14 2" xfId="19612"/>
    <cellStyle name="Input [yellow] 3 10 10 14 3" xfId="30780"/>
    <cellStyle name="Input [yellow] 3 10 10 14 4" xfId="41945"/>
    <cellStyle name="Input [yellow] 3 10 10 14 5" xfId="53138"/>
    <cellStyle name="Input [yellow] 3 10 10 15" xfId="9043"/>
    <cellStyle name="Input [yellow] 3 10 10 15 2" xfId="20240"/>
    <cellStyle name="Input [yellow] 3 10 10 15 3" xfId="31408"/>
    <cellStyle name="Input [yellow] 3 10 10 15 4" xfId="42573"/>
    <cellStyle name="Input [yellow] 3 10 10 15 5" xfId="53766"/>
    <cellStyle name="Input [yellow] 3 10 10 16" xfId="9466"/>
    <cellStyle name="Input [yellow] 3 10 10 16 2" xfId="20663"/>
    <cellStyle name="Input [yellow] 3 10 10 16 3" xfId="31831"/>
    <cellStyle name="Input [yellow] 3 10 10 16 4" xfId="42996"/>
    <cellStyle name="Input [yellow] 3 10 10 16 5" xfId="54189"/>
    <cellStyle name="Input [yellow] 3 10 10 17" xfId="10091"/>
    <cellStyle name="Input [yellow] 3 10 10 17 2" xfId="21288"/>
    <cellStyle name="Input [yellow] 3 10 10 17 3" xfId="32456"/>
    <cellStyle name="Input [yellow] 3 10 10 17 4" xfId="43621"/>
    <cellStyle name="Input [yellow] 3 10 10 17 5" xfId="54814"/>
    <cellStyle name="Input [yellow] 3 10 10 18" xfId="9585"/>
    <cellStyle name="Input [yellow] 3 10 10 18 2" xfId="20782"/>
    <cellStyle name="Input [yellow] 3 10 10 18 3" xfId="31950"/>
    <cellStyle name="Input [yellow] 3 10 10 18 4" xfId="43115"/>
    <cellStyle name="Input [yellow] 3 10 10 18 5" xfId="54308"/>
    <cellStyle name="Input [yellow] 3 10 10 19" xfId="11131"/>
    <cellStyle name="Input [yellow] 3 10 10 19 2" xfId="22328"/>
    <cellStyle name="Input [yellow] 3 10 10 19 3" xfId="33496"/>
    <cellStyle name="Input [yellow] 3 10 10 19 4" xfId="44661"/>
    <cellStyle name="Input [yellow] 3 10 10 19 5" xfId="55854"/>
    <cellStyle name="Input [yellow] 3 10 10 2" xfId="1227"/>
    <cellStyle name="Input [yellow] 3 10 10 2 2" xfId="12424"/>
    <cellStyle name="Input [yellow] 3 10 10 2 3" xfId="23592"/>
    <cellStyle name="Input [yellow] 3 10 10 2 4" xfId="34757"/>
    <cellStyle name="Input [yellow] 3 10 10 2 5" xfId="45950"/>
    <cellStyle name="Input [yellow] 3 10 10 20" xfId="11778"/>
    <cellStyle name="Input [yellow] 3 10 10 21" xfId="22948"/>
    <cellStyle name="Input [yellow] 3 10 10 22" xfId="34115"/>
    <cellStyle name="Input [yellow] 3 10 10 23" xfId="45301"/>
    <cellStyle name="Input [yellow] 3 10 10 3" xfId="1856"/>
    <cellStyle name="Input [yellow] 3 10 10 3 2" xfId="13053"/>
    <cellStyle name="Input [yellow] 3 10 10 3 3" xfId="24221"/>
    <cellStyle name="Input [yellow] 3 10 10 3 4" xfId="35386"/>
    <cellStyle name="Input [yellow] 3 10 10 3 5" xfId="46579"/>
    <cellStyle name="Input [yellow] 3 10 10 4" xfId="2503"/>
    <cellStyle name="Input [yellow] 3 10 10 4 2" xfId="13700"/>
    <cellStyle name="Input [yellow] 3 10 10 4 3" xfId="24868"/>
    <cellStyle name="Input [yellow] 3 10 10 4 4" xfId="36033"/>
    <cellStyle name="Input [yellow] 3 10 10 4 5" xfId="47226"/>
    <cellStyle name="Input [yellow] 3 10 10 5" xfId="2928"/>
    <cellStyle name="Input [yellow] 3 10 10 5 2" xfId="14125"/>
    <cellStyle name="Input [yellow] 3 10 10 5 3" xfId="25293"/>
    <cellStyle name="Input [yellow] 3 10 10 5 4" xfId="36458"/>
    <cellStyle name="Input [yellow] 3 10 10 5 5" xfId="47651"/>
    <cellStyle name="Input [yellow] 3 10 10 6" xfId="3562"/>
    <cellStyle name="Input [yellow] 3 10 10 6 2" xfId="14759"/>
    <cellStyle name="Input [yellow] 3 10 10 6 3" xfId="25927"/>
    <cellStyle name="Input [yellow] 3 10 10 6 4" xfId="37092"/>
    <cellStyle name="Input [yellow] 3 10 10 6 5" xfId="48285"/>
    <cellStyle name="Input [yellow] 3 10 10 7" xfId="4196"/>
    <cellStyle name="Input [yellow] 3 10 10 7 2" xfId="15393"/>
    <cellStyle name="Input [yellow] 3 10 10 7 3" xfId="26561"/>
    <cellStyle name="Input [yellow] 3 10 10 7 4" xfId="37726"/>
    <cellStyle name="Input [yellow] 3 10 10 7 5" xfId="48919"/>
    <cellStyle name="Input [yellow] 3 10 10 8" xfId="4829"/>
    <cellStyle name="Input [yellow] 3 10 10 8 2" xfId="16026"/>
    <cellStyle name="Input [yellow] 3 10 10 8 3" xfId="27194"/>
    <cellStyle name="Input [yellow] 3 10 10 8 4" xfId="38359"/>
    <cellStyle name="Input [yellow] 3 10 10 8 5" xfId="49552"/>
    <cellStyle name="Input [yellow] 3 10 10 9" xfId="5460"/>
    <cellStyle name="Input [yellow] 3 10 10 9 2" xfId="16657"/>
    <cellStyle name="Input [yellow] 3 10 10 9 3" xfId="27825"/>
    <cellStyle name="Input [yellow] 3 10 10 9 4" xfId="38990"/>
    <cellStyle name="Input [yellow] 3 10 10 9 5" xfId="50183"/>
    <cellStyle name="Input [yellow] 3 10 11" xfId="650"/>
    <cellStyle name="Input [yellow] 3 10 11 10" xfId="5986"/>
    <cellStyle name="Input [yellow] 3 10 11 10 2" xfId="17183"/>
    <cellStyle name="Input [yellow] 3 10 11 10 3" xfId="28351"/>
    <cellStyle name="Input [yellow] 3 10 11 10 4" xfId="39516"/>
    <cellStyle name="Input [yellow] 3 10 11 10 5" xfId="50709"/>
    <cellStyle name="Input [yellow] 3 10 11 11" xfId="6586"/>
    <cellStyle name="Input [yellow] 3 10 11 11 2" xfId="17783"/>
    <cellStyle name="Input [yellow] 3 10 11 11 3" xfId="28951"/>
    <cellStyle name="Input [yellow] 3 10 11 11 4" xfId="40116"/>
    <cellStyle name="Input [yellow] 3 10 11 11 5" xfId="51309"/>
    <cellStyle name="Input [yellow] 3 10 11 12" xfId="7219"/>
    <cellStyle name="Input [yellow] 3 10 11 12 2" xfId="18416"/>
    <cellStyle name="Input [yellow] 3 10 11 12 3" xfId="29584"/>
    <cellStyle name="Input [yellow] 3 10 11 12 4" xfId="40749"/>
    <cellStyle name="Input [yellow] 3 10 11 12 5" xfId="51942"/>
    <cellStyle name="Input [yellow] 3 10 11 13" xfId="7853"/>
    <cellStyle name="Input [yellow] 3 10 11 13 2" xfId="19050"/>
    <cellStyle name="Input [yellow] 3 10 11 13 3" xfId="30218"/>
    <cellStyle name="Input [yellow] 3 10 11 13 4" xfId="41383"/>
    <cellStyle name="Input [yellow] 3 10 11 13 5" xfId="52576"/>
    <cellStyle name="Input [yellow] 3 10 11 14" xfId="8487"/>
    <cellStyle name="Input [yellow] 3 10 11 14 2" xfId="19684"/>
    <cellStyle name="Input [yellow] 3 10 11 14 3" xfId="30852"/>
    <cellStyle name="Input [yellow] 3 10 11 14 4" xfId="42017"/>
    <cellStyle name="Input [yellow] 3 10 11 14 5" xfId="53210"/>
    <cellStyle name="Input [yellow] 3 10 11 15" xfId="9115"/>
    <cellStyle name="Input [yellow] 3 10 11 15 2" xfId="20312"/>
    <cellStyle name="Input [yellow] 3 10 11 15 3" xfId="31480"/>
    <cellStyle name="Input [yellow] 3 10 11 15 4" xfId="42645"/>
    <cellStyle name="Input [yellow] 3 10 11 15 5" xfId="53838"/>
    <cellStyle name="Input [yellow] 3 10 11 16" xfId="9538"/>
    <cellStyle name="Input [yellow] 3 10 11 16 2" xfId="20735"/>
    <cellStyle name="Input [yellow] 3 10 11 16 3" xfId="31903"/>
    <cellStyle name="Input [yellow] 3 10 11 16 4" xfId="43068"/>
    <cellStyle name="Input [yellow] 3 10 11 16 5" xfId="54261"/>
    <cellStyle name="Input [yellow] 3 10 11 17" xfId="10163"/>
    <cellStyle name="Input [yellow] 3 10 11 17 2" xfId="21360"/>
    <cellStyle name="Input [yellow] 3 10 11 17 3" xfId="32528"/>
    <cellStyle name="Input [yellow] 3 10 11 17 4" xfId="43693"/>
    <cellStyle name="Input [yellow] 3 10 11 17 5" xfId="54886"/>
    <cellStyle name="Input [yellow] 3 10 11 18" xfId="10208"/>
    <cellStyle name="Input [yellow] 3 10 11 18 2" xfId="21405"/>
    <cellStyle name="Input [yellow] 3 10 11 18 3" xfId="32573"/>
    <cellStyle name="Input [yellow] 3 10 11 18 4" xfId="43738"/>
    <cellStyle name="Input [yellow] 3 10 11 18 5" xfId="54931"/>
    <cellStyle name="Input [yellow] 3 10 11 19" xfId="11203"/>
    <cellStyle name="Input [yellow] 3 10 11 19 2" xfId="22400"/>
    <cellStyle name="Input [yellow] 3 10 11 19 3" xfId="33568"/>
    <cellStyle name="Input [yellow] 3 10 11 19 4" xfId="44733"/>
    <cellStyle name="Input [yellow] 3 10 11 19 5" xfId="55926"/>
    <cellStyle name="Input [yellow] 3 10 11 2" xfId="1299"/>
    <cellStyle name="Input [yellow] 3 10 11 2 2" xfId="12496"/>
    <cellStyle name="Input [yellow] 3 10 11 2 3" xfId="23664"/>
    <cellStyle name="Input [yellow] 3 10 11 2 4" xfId="34829"/>
    <cellStyle name="Input [yellow] 3 10 11 2 5" xfId="46022"/>
    <cellStyle name="Input [yellow] 3 10 11 20" xfId="11850"/>
    <cellStyle name="Input [yellow] 3 10 11 21" xfId="23020"/>
    <cellStyle name="Input [yellow] 3 10 11 22" xfId="34187"/>
    <cellStyle name="Input [yellow] 3 10 11 23" xfId="45373"/>
    <cellStyle name="Input [yellow] 3 10 11 3" xfId="1491"/>
    <cellStyle name="Input [yellow] 3 10 11 3 2" xfId="12688"/>
    <cellStyle name="Input [yellow] 3 10 11 3 3" xfId="23856"/>
    <cellStyle name="Input [yellow] 3 10 11 3 4" xfId="35021"/>
    <cellStyle name="Input [yellow] 3 10 11 3 5" xfId="46214"/>
    <cellStyle name="Input [yellow] 3 10 11 4" xfId="2575"/>
    <cellStyle name="Input [yellow] 3 10 11 4 2" xfId="13772"/>
    <cellStyle name="Input [yellow] 3 10 11 4 3" xfId="24940"/>
    <cellStyle name="Input [yellow] 3 10 11 4 4" xfId="36105"/>
    <cellStyle name="Input [yellow] 3 10 11 4 5" xfId="47298"/>
    <cellStyle name="Input [yellow] 3 10 11 5" xfId="3000"/>
    <cellStyle name="Input [yellow] 3 10 11 5 2" xfId="14197"/>
    <cellStyle name="Input [yellow] 3 10 11 5 3" xfId="25365"/>
    <cellStyle name="Input [yellow] 3 10 11 5 4" xfId="36530"/>
    <cellStyle name="Input [yellow] 3 10 11 5 5" xfId="47723"/>
    <cellStyle name="Input [yellow] 3 10 11 6" xfId="3634"/>
    <cellStyle name="Input [yellow] 3 10 11 6 2" xfId="14831"/>
    <cellStyle name="Input [yellow] 3 10 11 6 3" xfId="25999"/>
    <cellStyle name="Input [yellow] 3 10 11 6 4" xfId="37164"/>
    <cellStyle name="Input [yellow] 3 10 11 6 5" xfId="48357"/>
    <cellStyle name="Input [yellow] 3 10 11 7" xfId="4268"/>
    <cellStyle name="Input [yellow] 3 10 11 7 2" xfId="15465"/>
    <cellStyle name="Input [yellow] 3 10 11 7 3" xfId="26633"/>
    <cellStyle name="Input [yellow] 3 10 11 7 4" xfId="37798"/>
    <cellStyle name="Input [yellow] 3 10 11 7 5" xfId="48991"/>
    <cellStyle name="Input [yellow] 3 10 11 8" xfId="4901"/>
    <cellStyle name="Input [yellow] 3 10 11 8 2" xfId="16098"/>
    <cellStyle name="Input [yellow] 3 10 11 8 3" xfId="27266"/>
    <cellStyle name="Input [yellow] 3 10 11 8 4" xfId="38431"/>
    <cellStyle name="Input [yellow] 3 10 11 8 5" xfId="49624"/>
    <cellStyle name="Input [yellow] 3 10 11 9" xfId="5532"/>
    <cellStyle name="Input [yellow] 3 10 11 9 2" xfId="16729"/>
    <cellStyle name="Input [yellow] 3 10 11 9 3" xfId="27897"/>
    <cellStyle name="Input [yellow] 3 10 11 9 4" xfId="39062"/>
    <cellStyle name="Input [yellow] 3 10 11 9 5" xfId="50255"/>
    <cellStyle name="Input [yellow] 3 10 12" xfId="728"/>
    <cellStyle name="Input [yellow] 3 10 12 2" xfId="11926"/>
    <cellStyle name="Input [yellow] 3 10 12 3" xfId="23094"/>
    <cellStyle name="Input [yellow] 3 10 12 4" xfId="34259"/>
    <cellStyle name="Input [yellow] 3 10 12 5" xfId="45451"/>
    <cellStyle name="Input [yellow] 3 10 13" xfId="1648"/>
    <cellStyle name="Input [yellow] 3 10 13 2" xfId="12845"/>
    <cellStyle name="Input [yellow] 3 10 13 3" xfId="24013"/>
    <cellStyle name="Input [yellow] 3 10 13 4" xfId="35178"/>
    <cellStyle name="Input [yellow] 3 10 13 5" xfId="46371"/>
    <cellStyle name="Input [yellow] 3 10 14" xfId="2005"/>
    <cellStyle name="Input [yellow] 3 10 14 2" xfId="13202"/>
    <cellStyle name="Input [yellow] 3 10 14 3" xfId="24370"/>
    <cellStyle name="Input [yellow] 3 10 14 4" xfId="35535"/>
    <cellStyle name="Input [yellow] 3 10 14 5" xfId="46728"/>
    <cellStyle name="Input [yellow] 3 10 15" xfId="2271"/>
    <cellStyle name="Input [yellow] 3 10 15 2" xfId="13468"/>
    <cellStyle name="Input [yellow] 3 10 15 3" xfId="24636"/>
    <cellStyle name="Input [yellow] 3 10 15 4" xfId="35801"/>
    <cellStyle name="Input [yellow] 3 10 15 5" xfId="46994"/>
    <cellStyle name="Input [yellow] 3 10 16" xfId="3063"/>
    <cellStyle name="Input [yellow] 3 10 16 2" xfId="14260"/>
    <cellStyle name="Input [yellow] 3 10 16 3" xfId="25428"/>
    <cellStyle name="Input [yellow] 3 10 16 4" xfId="36593"/>
    <cellStyle name="Input [yellow] 3 10 16 5" xfId="47786"/>
    <cellStyle name="Input [yellow] 3 10 17" xfId="3697"/>
    <cellStyle name="Input [yellow] 3 10 17 2" xfId="14894"/>
    <cellStyle name="Input [yellow] 3 10 17 3" xfId="26062"/>
    <cellStyle name="Input [yellow] 3 10 17 4" xfId="37227"/>
    <cellStyle name="Input [yellow] 3 10 17 5" xfId="48420"/>
    <cellStyle name="Input [yellow] 3 10 18" xfId="4330"/>
    <cellStyle name="Input [yellow] 3 10 18 2" xfId="15527"/>
    <cellStyle name="Input [yellow] 3 10 18 3" xfId="26695"/>
    <cellStyle name="Input [yellow] 3 10 18 4" xfId="37860"/>
    <cellStyle name="Input [yellow] 3 10 18 5" xfId="49053"/>
    <cellStyle name="Input [yellow] 3 10 19" xfId="4962"/>
    <cellStyle name="Input [yellow] 3 10 19 2" xfId="16159"/>
    <cellStyle name="Input [yellow] 3 10 19 3" xfId="27327"/>
    <cellStyle name="Input [yellow] 3 10 19 4" xfId="38492"/>
    <cellStyle name="Input [yellow] 3 10 19 5" xfId="49685"/>
    <cellStyle name="Input [yellow] 3 10 2" xfId="143"/>
    <cellStyle name="Input [yellow] 3 10 2 10" xfId="6048"/>
    <cellStyle name="Input [yellow] 3 10 2 10 2" xfId="17245"/>
    <cellStyle name="Input [yellow] 3 10 2 10 3" xfId="28413"/>
    <cellStyle name="Input [yellow] 3 10 2 10 4" xfId="39578"/>
    <cellStyle name="Input [yellow] 3 10 2 10 5" xfId="50771"/>
    <cellStyle name="Input [yellow] 3 10 2 11" xfId="5641"/>
    <cellStyle name="Input [yellow] 3 10 2 11 2" xfId="16838"/>
    <cellStyle name="Input [yellow] 3 10 2 11 3" xfId="28006"/>
    <cellStyle name="Input [yellow] 3 10 2 11 4" xfId="39171"/>
    <cellStyle name="Input [yellow] 3 10 2 11 5" xfId="50364"/>
    <cellStyle name="Input [yellow] 3 10 2 12" xfId="6712"/>
    <cellStyle name="Input [yellow] 3 10 2 12 2" xfId="17909"/>
    <cellStyle name="Input [yellow] 3 10 2 12 3" xfId="29077"/>
    <cellStyle name="Input [yellow] 3 10 2 12 4" xfId="40242"/>
    <cellStyle name="Input [yellow] 3 10 2 12 5" xfId="51435"/>
    <cellStyle name="Input [yellow] 3 10 2 13" xfId="7346"/>
    <cellStyle name="Input [yellow] 3 10 2 13 2" xfId="18543"/>
    <cellStyle name="Input [yellow] 3 10 2 13 3" xfId="29711"/>
    <cellStyle name="Input [yellow] 3 10 2 13 4" xfId="40876"/>
    <cellStyle name="Input [yellow] 3 10 2 13 5" xfId="52069"/>
    <cellStyle name="Input [yellow] 3 10 2 14" xfId="7980"/>
    <cellStyle name="Input [yellow] 3 10 2 14 2" xfId="19177"/>
    <cellStyle name="Input [yellow] 3 10 2 14 3" xfId="30345"/>
    <cellStyle name="Input [yellow] 3 10 2 14 4" xfId="41510"/>
    <cellStyle name="Input [yellow] 3 10 2 14 5" xfId="52703"/>
    <cellStyle name="Input [yellow] 3 10 2 15" xfId="8611"/>
    <cellStyle name="Input [yellow] 3 10 2 15 2" xfId="19808"/>
    <cellStyle name="Input [yellow] 3 10 2 15 3" xfId="30976"/>
    <cellStyle name="Input [yellow] 3 10 2 15 4" xfId="42141"/>
    <cellStyle name="Input [yellow] 3 10 2 15 5" xfId="53334"/>
    <cellStyle name="Input [yellow] 3 10 2 16" xfId="8984"/>
    <cellStyle name="Input [yellow] 3 10 2 16 2" xfId="20181"/>
    <cellStyle name="Input [yellow] 3 10 2 16 3" xfId="31349"/>
    <cellStyle name="Input [yellow] 3 10 2 16 4" xfId="42514"/>
    <cellStyle name="Input [yellow] 3 10 2 16 5" xfId="53707"/>
    <cellStyle name="Input [yellow] 3 10 2 17" xfId="9664"/>
    <cellStyle name="Input [yellow] 3 10 2 17 2" xfId="20861"/>
    <cellStyle name="Input [yellow] 3 10 2 17 3" xfId="32029"/>
    <cellStyle name="Input [yellow] 3 10 2 17 4" xfId="43194"/>
    <cellStyle name="Input [yellow] 3 10 2 17 5" xfId="54387"/>
    <cellStyle name="Input [yellow] 3 10 2 18" xfId="10440"/>
    <cellStyle name="Input [yellow] 3 10 2 18 2" xfId="21637"/>
    <cellStyle name="Input [yellow] 3 10 2 18 3" xfId="32805"/>
    <cellStyle name="Input [yellow] 3 10 2 18 4" xfId="43970"/>
    <cellStyle name="Input [yellow] 3 10 2 18 5" xfId="55163"/>
    <cellStyle name="Input [yellow] 3 10 2 19" xfId="10696"/>
    <cellStyle name="Input [yellow] 3 10 2 19 2" xfId="21893"/>
    <cellStyle name="Input [yellow] 3 10 2 19 3" xfId="33061"/>
    <cellStyle name="Input [yellow] 3 10 2 19 4" xfId="44226"/>
    <cellStyle name="Input [yellow] 3 10 2 19 5" xfId="55419"/>
    <cellStyle name="Input [yellow] 3 10 2 2" xfId="792"/>
    <cellStyle name="Input [yellow] 3 10 2 2 2" xfId="11989"/>
    <cellStyle name="Input [yellow] 3 10 2 2 3" xfId="23157"/>
    <cellStyle name="Input [yellow] 3 10 2 2 4" xfId="34322"/>
    <cellStyle name="Input [yellow] 3 10 2 2 5" xfId="45515"/>
    <cellStyle name="Input [yellow] 3 10 2 20" xfId="11343"/>
    <cellStyle name="Input [yellow] 3 10 2 21" xfId="22513"/>
    <cellStyle name="Input [yellow] 3 10 2 22" xfId="33680"/>
    <cellStyle name="Input [yellow] 3 10 2 23" xfId="44866"/>
    <cellStyle name="Input [yellow] 3 10 2 3" xfId="1715"/>
    <cellStyle name="Input [yellow] 3 10 2 3 2" xfId="12912"/>
    <cellStyle name="Input [yellow] 3 10 2 3 3" xfId="24080"/>
    <cellStyle name="Input [yellow] 3 10 2 3 4" xfId="35245"/>
    <cellStyle name="Input [yellow] 3 10 2 3 5" xfId="46438"/>
    <cellStyle name="Input [yellow] 3 10 2 4" xfId="2069"/>
    <cellStyle name="Input [yellow] 3 10 2 4 2" xfId="13266"/>
    <cellStyle name="Input [yellow] 3 10 2 4 3" xfId="24434"/>
    <cellStyle name="Input [yellow] 3 10 2 4 4" xfId="35599"/>
    <cellStyle name="Input [yellow] 3 10 2 4 5" xfId="46792"/>
    <cellStyle name="Input [yellow] 3 10 2 5" xfId="2243"/>
    <cellStyle name="Input [yellow] 3 10 2 5 2" xfId="13440"/>
    <cellStyle name="Input [yellow] 3 10 2 5 3" xfId="24608"/>
    <cellStyle name="Input [yellow] 3 10 2 5 4" xfId="35773"/>
    <cellStyle name="Input [yellow] 3 10 2 5 5" xfId="46966"/>
    <cellStyle name="Input [yellow] 3 10 2 6" xfId="3127"/>
    <cellStyle name="Input [yellow] 3 10 2 6 2" xfId="14324"/>
    <cellStyle name="Input [yellow] 3 10 2 6 3" xfId="25492"/>
    <cellStyle name="Input [yellow] 3 10 2 6 4" xfId="36657"/>
    <cellStyle name="Input [yellow] 3 10 2 6 5" xfId="47850"/>
    <cellStyle name="Input [yellow] 3 10 2 7" xfId="3761"/>
    <cellStyle name="Input [yellow] 3 10 2 7 2" xfId="14958"/>
    <cellStyle name="Input [yellow] 3 10 2 7 3" xfId="26126"/>
    <cellStyle name="Input [yellow] 3 10 2 7 4" xfId="37291"/>
    <cellStyle name="Input [yellow] 3 10 2 7 5" xfId="48484"/>
    <cellStyle name="Input [yellow] 3 10 2 8" xfId="4394"/>
    <cellStyle name="Input [yellow] 3 10 2 8 2" xfId="15591"/>
    <cellStyle name="Input [yellow] 3 10 2 8 3" xfId="26759"/>
    <cellStyle name="Input [yellow] 3 10 2 8 4" xfId="37924"/>
    <cellStyle name="Input [yellow] 3 10 2 8 5" xfId="49117"/>
    <cellStyle name="Input [yellow] 3 10 2 9" xfId="5025"/>
    <cellStyle name="Input [yellow] 3 10 2 9 2" xfId="16222"/>
    <cellStyle name="Input [yellow] 3 10 2 9 3" xfId="27390"/>
    <cellStyle name="Input [yellow] 3 10 2 9 4" xfId="38555"/>
    <cellStyle name="Input [yellow] 3 10 2 9 5" xfId="49748"/>
    <cellStyle name="Input [yellow] 3 10 20" xfId="5658"/>
    <cellStyle name="Input [yellow] 3 10 20 2" xfId="16855"/>
    <cellStyle name="Input [yellow] 3 10 20 3" xfId="28023"/>
    <cellStyle name="Input [yellow] 3 10 20 4" xfId="39188"/>
    <cellStyle name="Input [yellow] 3 10 20 5" xfId="50381"/>
    <cellStyle name="Input [yellow] 3 10 21" xfId="5797"/>
    <cellStyle name="Input [yellow] 3 10 21 2" xfId="16994"/>
    <cellStyle name="Input [yellow] 3 10 21 3" xfId="28162"/>
    <cellStyle name="Input [yellow] 3 10 21 4" xfId="39327"/>
    <cellStyle name="Input [yellow] 3 10 21 5" xfId="50520"/>
    <cellStyle name="Input [yellow] 3 10 22" xfId="6649"/>
    <cellStyle name="Input [yellow] 3 10 22 2" xfId="17846"/>
    <cellStyle name="Input [yellow] 3 10 22 3" xfId="29014"/>
    <cellStyle name="Input [yellow] 3 10 22 4" xfId="40179"/>
    <cellStyle name="Input [yellow] 3 10 22 5" xfId="51372"/>
    <cellStyle name="Input [yellow] 3 10 23" xfId="7282"/>
    <cellStyle name="Input [yellow] 3 10 23 2" xfId="18479"/>
    <cellStyle name="Input [yellow] 3 10 23 3" xfId="29647"/>
    <cellStyle name="Input [yellow] 3 10 23 4" xfId="40812"/>
    <cellStyle name="Input [yellow] 3 10 23 5" xfId="52005"/>
    <cellStyle name="Input [yellow] 3 10 24" xfId="7916"/>
    <cellStyle name="Input [yellow] 3 10 24 2" xfId="19113"/>
    <cellStyle name="Input [yellow] 3 10 24 3" xfId="30281"/>
    <cellStyle name="Input [yellow] 3 10 24 4" xfId="41446"/>
    <cellStyle name="Input [yellow] 3 10 24 5" xfId="52639"/>
    <cellStyle name="Input [yellow] 3 10 25" xfId="8548"/>
    <cellStyle name="Input [yellow] 3 10 25 2" xfId="19745"/>
    <cellStyle name="Input [yellow] 3 10 25 3" xfId="30913"/>
    <cellStyle name="Input [yellow] 3 10 25 4" xfId="42078"/>
    <cellStyle name="Input [yellow] 3 10 25 5" xfId="53271"/>
    <cellStyle name="Input [yellow] 3 10 26" xfId="8943"/>
    <cellStyle name="Input [yellow] 3 10 26 2" xfId="20140"/>
    <cellStyle name="Input [yellow] 3 10 26 3" xfId="31308"/>
    <cellStyle name="Input [yellow] 3 10 26 4" xfId="42473"/>
    <cellStyle name="Input [yellow] 3 10 26 5" xfId="53666"/>
    <cellStyle name="Input [yellow] 3 10 27" xfId="9601"/>
    <cellStyle name="Input [yellow] 3 10 27 2" xfId="20798"/>
    <cellStyle name="Input [yellow] 3 10 27 3" xfId="31966"/>
    <cellStyle name="Input [yellow] 3 10 27 4" xfId="43131"/>
    <cellStyle name="Input [yellow] 3 10 27 5" xfId="54324"/>
    <cellStyle name="Input [yellow] 3 10 28" xfId="10376"/>
    <cellStyle name="Input [yellow] 3 10 28 2" xfId="21573"/>
    <cellStyle name="Input [yellow] 3 10 28 3" xfId="32741"/>
    <cellStyle name="Input [yellow] 3 10 28 4" xfId="43906"/>
    <cellStyle name="Input [yellow] 3 10 28 5" xfId="55099"/>
    <cellStyle name="Input [yellow] 3 10 29" xfId="10633"/>
    <cellStyle name="Input [yellow] 3 10 29 2" xfId="21830"/>
    <cellStyle name="Input [yellow] 3 10 29 3" xfId="32998"/>
    <cellStyle name="Input [yellow] 3 10 29 4" xfId="44163"/>
    <cellStyle name="Input [yellow] 3 10 29 5" xfId="55356"/>
    <cellStyle name="Input [yellow] 3 10 3" xfId="199"/>
    <cellStyle name="Input [yellow] 3 10 3 10" xfId="5597"/>
    <cellStyle name="Input [yellow] 3 10 3 10 2" xfId="16794"/>
    <cellStyle name="Input [yellow] 3 10 3 10 3" xfId="27962"/>
    <cellStyle name="Input [yellow] 3 10 3 10 4" xfId="39127"/>
    <cellStyle name="Input [yellow] 3 10 3 10 5" xfId="50320"/>
    <cellStyle name="Input [yellow] 3 10 3 11" xfId="5812"/>
    <cellStyle name="Input [yellow] 3 10 3 11 2" xfId="17009"/>
    <cellStyle name="Input [yellow] 3 10 3 11 3" xfId="28177"/>
    <cellStyle name="Input [yellow] 3 10 3 11 4" xfId="39342"/>
    <cellStyle name="Input [yellow] 3 10 3 11 5" xfId="50535"/>
    <cellStyle name="Input [yellow] 3 10 3 12" xfId="6768"/>
    <cellStyle name="Input [yellow] 3 10 3 12 2" xfId="17965"/>
    <cellStyle name="Input [yellow] 3 10 3 12 3" xfId="29133"/>
    <cellStyle name="Input [yellow] 3 10 3 12 4" xfId="40298"/>
    <cellStyle name="Input [yellow] 3 10 3 12 5" xfId="51491"/>
    <cellStyle name="Input [yellow] 3 10 3 13" xfId="7402"/>
    <cellStyle name="Input [yellow] 3 10 3 13 2" xfId="18599"/>
    <cellStyle name="Input [yellow] 3 10 3 13 3" xfId="29767"/>
    <cellStyle name="Input [yellow] 3 10 3 13 4" xfId="40932"/>
    <cellStyle name="Input [yellow] 3 10 3 13 5" xfId="52125"/>
    <cellStyle name="Input [yellow] 3 10 3 14" xfId="8036"/>
    <cellStyle name="Input [yellow] 3 10 3 14 2" xfId="19233"/>
    <cellStyle name="Input [yellow] 3 10 3 14 3" xfId="30401"/>
    <cellStyle name="Input [yellow] 3 10 3 14 4" xfId="41566"/>
    <cellStyle name="Input [yellow] 3 10 3 14 5" xfId="52759"/>
    <cellStyle name="Input [yellow] 3 10 3 15" xfId="8667"/>
    <cellStyle name="Input [yellow] 3 10 3 15 2" xfId="19864"/>
    <cellStyle name="Input [yellow] 3 10 3 15 3" xfId="31032"/>
    <cellStyle name="Input [yellow] 3 10 3 15 4" xfId="42197"/>
    <cellStyle name="Input [yellow] 3 10 3 15 5" xfId="53390"/>
    <cellStyle name="Input [yellow] 3 10 3 16" xfId="8564"/>
    <cellStyle name="Input [yellow] 3 10 3 16 2" xfId="19761"/>
    <cellStyle name="Input [yellow] 3 10 3 16 3" xfId="30929"/>
    <cellStyle name="Input [yellow] 3 10 3 16 4" xfId="42094"/>
    <cellStyle name="Input [yellow] 3 10 3 16 5" xfId="53287"/>
    <cellStyle name="Input [yellow] 3 10 3 17" xfId="9718"/>
    <cellStyle name="Input [yellow] 3 10 3 17 2" xfId="20915"/>
    <cellStyle name="Input [yellow] 3 10 3 17 3" xfId="32083"/>
    <cellStyle name="Input [yellow] 3 10 3 17 4" xfId="43248"/>
    <cellStyle name="Input [yellow] 3 10 3 17 5" xfId="54441"/>
    <cellStyle name="Input [yellow] 3 10 3 18" xfId="10368"/>
    <cellStyle name="Input [yellow] 3 10 3 18 2" xfId="21565"/>
    <cellStyle name="Input [yellow] 3 10 3 18 3" xfId="32733"/>
    <cellStyle name="Input [yellow] 3 10 3 18 4" xfId="43898"/>
    <cellStyle name="Input [yellow] 3 10 3 18 5" xfId="55091"/>
    <cellStyle name="Input [yellow] 3 10 3 19" xfId="10752"/>
    <cellStyle name="Input [yellow] 3 10 3 19 2" xfId="21949"/>
    <cellStyle name="Input [yellow] 3 10 3 19 3" xfId="33117"/>
    <cellStyle name="Input [yellow] 3 10 3 19 4" xfId="44282"/>
    <cellStyle name="Input [yellow] 3 10 3 19 5" xfId="55475"/>
    <cellStyle name="Input [yellow] 3 10 3 2" xfId="848"/>
    <cellStyle name="Input [yellow] 3 10 3 2 2" xfId="12045"/>
    <cellStyle name="Input [yellow] 3 10 3 2 3" xfId="23213"/>
    <cellStyle name="Input [yellow] 3 10 3 2 4" xfId="34378"/>
    <cellStyle name="Input [yellow] 3 10 3 2 5" xfId="45571"/>
    <cellStyle name="Input [yellow] 3 10 3 20" xfId="11399"/>
    <cellStyle name="Input [yellow] 3 10 3 21" xfId="22569"/>
    <cellStyle name="Input [yellow] 3 10 3 22" xfId="33736"/>
    <cellStyle name="Input [yellow] 3 10 3 23" xfId="44922"/>
    <cellStyle name="Input [yellow] 3 10 3 3" xfId="1675"/>
    <cellStyle name="Input [yellow] 3 10 3 3 2" xfId="12872"/>
    <cellStyle name="Input [yellow] 3 10 3 3 3" xfId="24040"/>
    <cellStyle name="Input [yellow] 3 10 3 3 4" xfId="35205"/>
    <cellStyle name="Input [yellow] 3 10 3 3 5" xfId="46398"/>
    <cellStyle name="Input [yellow] 3 10 3 4" xfId="2125"/>
    <cellStyle name="Input [yellow] 3 10 3 4 2" xfId="13322"/>
    <cellStyle name="Input [yellow] 3 10 3 4 3" xfId="24490"/>
    <cellStyle name="Input [yellow] 3 10 3 4 4" xfId="35655"/>
    <cellStyle name="Input [yellow] 3 10 3 4 5" xfId="46848"/>
    <cellStyle name="Input [yellow] 3 10 3 5" xfId="2381"/>
    <cellStyle name="Input [yellow] 3 10 3 5 2" xfId="13578"/>
    <cellStyle name="Input [yellow] 3 10 3 5 3" xfId="24746"/>
    <cellStyle name="Input [yellow] 3 10 3 5 4" xfId="35911"/>
    <cellStyle name="Input [yellow] 3 10 3 5 5" xfId="47104"/>
    <cellStyle name="Input [yellow] 3 10 3 6" xfId="3183"/>
    <cellStyle name="Input [yellow] 3 10 3 6 2" xfId="14380"/>
    <cellStyle name="Input [yellow] 3 10 3 6 3" xfId="25548"/>
    <cellStyle name="Input [yellow] 3 10 3 6 4" xfId="36713"/>
    <cellStyle name="Input [yellow] 3 10 3 6 5" xfId="47906"/>
    <cellStyle name="Input [yellow] 3 10 3 7" xfId="3817"/>
    <cellStyle name="Input [yellow] 3 10 3 7 2" xfId="15014"/>
    <cellStyle name="Input [yellow] 3 10 3 7 3" xfId="26182"/>
    <cellStyle name="Input [yellow] 3 10 3 7 4" xfId="37347"/>
    <cellStyle name="Input [yellow] 3 10 3 7 5" xfId="48540"/>
    <cellStyle name="Input [yellow] 3 10 3 8" xfId="4450"/>
    <cellStyle name="Input [yellow] 3 10 3 8 2" xfId="15647"/>
    <cellStyle name="Input [yellow] 3 10 3 8 3" xfId="26815"/>
    <cellStyle name="Input [yellow] 3 10 3 8 4" xfId="37980"/>
    <cellStyle name="Input [yellow] 3 10 3 8 5" xfId="49173"/>
    <cellStyle name="Input [yellow] 3 10 3 9" xfId="5081"/>
    <cellStyle name="Input [yellow] 3 10 3 9 2" xfId="16278"/>
    <cellStyle name="Input [yellow] 3 10 3 9 3" xfId="27446"/>
    <cellStyle name="Input [yellow] 3 10 3 9 4" xfId="38611"/>
    <cellStyle name="Input [yellow] 3 10 3 9 5" xfId="49804"/>
    <cellStyle name="Input [yellow] 3 10 30" xfId="11280"/>
    <cellStyle name="Input [yellow] 3 10 31" xfId="22450"/>
    <cellStyle name="Input [yellow] 3 10 32" xfId="33617"/>
    <cellStyle name="Input [yellow] 3 10 33" xfId="44802"/>
    <cellStyle name="Input [yellow] 3 10 4" xfId="246"/>
    <cellStyle name="Input [yellow] 3 10 4 10" xfId="5949"/>
    <cellStyle name="Input [yellow] 3 10 4 10 2" xfId="17146"/>
    <cellStyle name="Input [yellow] 3 10 4 10 3" xfId="28314"/>
    <cellStyle name="Input [yellow] 3 10 4 10 4" xfId="39479"/>
    <cellStyle name="Input [yellow] 3 10 4 10 5" xfId="50672"/>
    <cellStyle name="Input [yellow] 3 10 4 11" xfId="5731"/>
    <cellStyle name="Input [yellow] 3 10 4 11 2" xfId="16928"/>
    <cellStyle name="Input [yellow] 3 10 4 11 3" xfId="28096"/>
    <cellStyle name="Input [yellow] 3 10 4 11 4" xfId="39261"/>
    <cellStyle name="Input [yellow] 3 10 4 11 5" xfId="50454"/>
    <cellStyle name="Input [yellow] 3 10 4 12" xfId="6815"/>
    <cellStyle name="Input [yellow] 3 10 4 12 2" xfId="18012"/>
    <cellStyle name="Input [yellow] 3 10 4 12 3" xfId="29180"/>
    <cellStyle name="Input [yellow] 3 10 4 12 4" xfId="40345"/>
    <cellStyle name="Input [yellow] 3 10 4 12 5" xfId="51538"/>
    <cellStyle name="Input [yellow] 3 10 4 13" xfId="7449"/>
    <cellStyle name="Input [yellow] 3 10 4 13 2" xfId="18646"/>
    <cellStyle name="Input [yellow] 3 10 4 13 3" xfId="29814"/>
    <cellStyle name="Input [yellow] 3 10 4 13 4" xfId="40979"/>
    <cellStyle name="Input [yellow] 3 10 4 13 5" xfId="52172"/>
    <cellStyle name="Input [yellow] 3 10 4 14" xfId="8083"/>
    <cellStyle name="Input [yellow] 3 10 4 14 2" xfId="19280"/>
    <cellStyle name="Input [yellow] 3 10 4 14 3" xfId="30448"/>
    <cellStyle name="Input [yellow] 3 10 4 14 4" xfId="41613"/>
    <cellStyle name="Input [yellow] 3 10 4 14 5" xfId="52806"/>
    <cellStyle name="Input [yellow] 3 10 4 15" xfId="8713"/>
    <cellStyle name="Input [yellow] 3 10 4 15 2" xfId="19910"/>
    <cellStyle name="Input [yellow] 3 10 4 15 3" xfId="31078"/>
    <cellStyle name="Input [yellow] 3 10 4 15 4" xfId="42243"/>
    <cellStyle name="Input [yellow] 3 10 4 15 5" xfId="53436"/>
    <cellStyle name="Input [yellow] 3 10 4 16" xfId="7884"/>
    <cellStyle name="Input [yellow] 3 10 4 16 2" xfId="19081"/>
    <cellStyle name="Input [yellow] 3 10 4 16 3" xfId="30249"/>
    <cellStyle name="Input [yellow] 3 10 4 16 4" xfId="41414"/>
    <cellStyle name="Input [yellow] 3 10 4 16 5" xfId="52607"/>
    <cellStyle name="Input [yellow] 3 10 4 17" xfId="9763"/>
    <cellStyle name="Input [yellow] 3 10 4 17 2" xfId="20960"/>
    <cellStyle name="Input [yellow] 3 10 4 17 3" xfId="32128"/>
    <cellStyle name="Input [yellow] 3 10 4 17 4" xfId="43293"/>
    <cellStyle name="Input [yellow] 3 10 4 17 5" xfId="54486"/>
    <cellStyle name="Input [yellow] 3 10 4 18" xfId="10234"/>
    <cellStyle name="Input [yellow] 3 10 4 18 2" xfId="21431"/>
    <cellStyle name="Input [yellow] 3 10 4 18 3" xfId="32599"/>
    <cellStyle name="Input [yellow] 3 10 4 18 4" xfId="43764"/>
    <cellStyle name="Input [yellow] 3 10 4 18 5" xfId="54957"/>
    <cellStyle name="Input [yellow] 3 10 4 19" xfId="10799"/>
    <cellStyle name="Input [yellow] 3 10 4 19 2" xfId="21996"/>
    <cellStyle name="Input [yellow] 3 10 4 19 3" xfId="33164"/>
    <cellStyle name="Input [yellow] 3 10 4 19 4" xfId="44329"/>
    <cellStyle name="Input [yellow] 3 10 4 19 5" xfId="55522"/>
    <cellStyle name="Input [yellow] 3 10 4 2" xfId="895"/>
    <cellStyle name="Input [yellow] 3 10 4 2 2" xfId="12092"/>
    <cellStyle name="Input [yellow] 3 10 4 2 3" xfId="23260"/>
    <cellStyle name="Input [yellow] 3 10 4 2 4" xfId="34425"/>
    <cellStyle name="Input [yellow] 3 10 4 2 5" xfId="45618"/>
    <cellStyle name="Input [yellow] 3 10 4 20" xfId="11446"/>
    <cellStyle name="Input [yellow] 3 10 4 21" xfId="22616"/>
    <cellStyle name="Input [yellow] 3 10 4 22" xfId="33783"/>
    <cellStyle name="Input [yellow] 3 10 4 23" xfId="44969"/>
    <cellStyle name="Input [yellow] 3 10 4 3" xfId="1467"/>
    <cellStyle name="Input [yellow] 3 10 4 3 2" xfId="12664"/>
    <cellStyle name="Input [yellow] 3 10 4 3 3" xfId="23832"/>
    <cellStyle name="Input [yellow] 3 10 4 3 4" xfId="34997"/>
    <cellStyle name="Input [yellow] 3 10 4 3 5" xfId="46190"/>
    <cellStyle name="Input [yellow] 3 10 4 4" xfId="2172"/>
    <cellStyle name="Input [yellow] 3 10 4 4 2" xfId="13369"/>
    <cellStyle name="Input [yellow] 3 10 4 4 3" xfId="24537"/>
    <cellStyle name="Input [yellow] 3 10 4 4 4" xfId="35702"/>
    <cellStyle name="Input [yellow] 3 10 4 4 5" xfId="46895"/>
    <cellStyle name="Input [yellow] 3 10 4 5" xfId="1420"/>
    <cellStyle name="Input [yellow] 3 10 4 5 2" xfId="12617"/>
    <cellStyle name="Input [yellow] 3 10 4 5 3" xfId="23785"/>
    <cellStyle name="Input [yellow] 3 10 4 5 4" xfId="34950"/>
    <cellStyle name="Input [yellow] 3 10 4 5 5" xfId="46143"/>
    <cellStyle name="Input [yellow] 3 10 4 6" xfId="3230"/>
    <cellStyle name="Input [yellow] 3 10 4 6 2" xfId="14427"/>
    <cellStyle name="Input [yellow] 3 10 4 6 3" xfId="25595"/>
    <cellStyle name="Input [yellow] 3 10 4 6 4" xfId="36760"/>
    <cellStyle name="Input [yellow] 3 10 4 6 5" xfId="47953"/>
    <cellStyle name="Input [yellow] 3 10 4 7" xfId="3864"/>
    <cellStyle name="Input [yellow] 3 10 4 7 2" xfId="15061"/>
    <cellStyle name="Input [yellow] 3 10 4 7 3" xfId="26229"/>
    <cellStyle name="Input [yellow] 3 10 4 7 4" xfId="37394"/>
    <cellStyle name="Input [yellow] 3 10 4 7 5" xfId="48587"/>
    <cellStyle name="Input [yellow] 3 10 4 8" xfId="4497"/>
    <cellStyle name="Input [yellow] 3 10 4 8 2" xfId="15694"/>
    <cellStyle name="Input [yellow] 3 10 4 8 3" xfId="26862"/>
    <cellStyle name="Input [yellow] 3 10 4 8 4" xfId="38027"/>
    <cellStyle name="Input [yellow] 3 10 4 8 5" xfId="49220"/>
    <cellStyle name="Input [yellow] 3 10 4 9" xfId="5128"/>
    <cellStyle name="Input [yellow] 3 10 4 9 2" xfId="16325"/>
    <cellStyle name="Input [yellow] 3 10 4 9 3" xfId="27493"/>
    <cellStyle name="Input [yellow] 3 10 4 9 4" xfId="38658"/>
    <cellStyle name="Input [yellow] 3 10 4 9 5" xfId="49851"/>
    <cellStyle name="Input [yellow] 3 10 5" xfId="327"/>
    <cellStyle name="Input [yellow] 3 10 5 10" xfId="6181"/>
    <cellStyle name="Input [yellow] 3 10 5 10 2" xfId="17378"/>
    <cellStyle name="Input [yellow] 3 10 5 10 3" xfId="28546"/>
    <cellStyle name="Input [yellow] 3 10 5 10 4" xfId="39711"/>
    <cellStyle name="Input [yellow] 3 10 5 10 5" xfId="50904"/>
    <cellStyle name="Input [yellow] 3 10 5 11" xfId="6263"/>
    <cellStyle name="Input [yellow] 3 10 5 11 2" xfId="17460"/>
    <cellStyle name="Input [yellow] 3 10 5 11 3" xfId="28628"/>
    <cellStyle name="Input [yellow] 3 10 5 11 4" xfId="39793"/>
    <cellStyle name="Input [yellow] 3 10 5 11 5" xfId="50986"/>
    <cellStyle name="Input [yellow] 3 10 5 12" xfId="6896"/>
    <cellStyle name="Input [yellow] 3 10 5 12 2" xfId="18093"/>
    <cellStyle name="Input [yellow] 3 10 5 12 3" xfId="29261"/>
    <cellStyle name="Input [yellow] 3 10 5 12 4" xfId="40426"/>
    <cellStyle name="Input [yellow] 3 10 5 12 5" xfId="51619"/>
    <cellStyle name="Input [yellow] 3 10 5 13" xfId="7530"/>
    <cellStyle name="Input [yellow] 3 10 5 13 2" xfId="18727"/>
    <cellStyle name="Input [yellow] 3 10 5 13 3" xfId="29895"/>
    <cellStyle name="Input [yellow] 3 10 5 13 4" xfId="41060"/>
    <cellStyle name="Input [yellow] 3 10 5 13 5" xfId="52253"/>
    <cellStyle name="Input [yellow] 3 10 5 14" xfId="8164"/>
    <cellStyle name="Input [yellow] 3 10 5 14 2" xfId="19361"/>
    <cellStyle name="Input [yellow] 3 10 5 14 3" xfId="30529"/>
    <cellStyle name="Input [yellow] 3 10 5 14 4" xfId="41694"/>
    <cellStyle name="Input [yellow] 3 10 5 14 5" xfId="52887"/>
    <cellStyle name="Input [yellow] 3 10 5 15" xfId="8793"/>
    <cellStyle name="Input [yellow] 3 10 5 15 2" xfId="19990"/>
    <cellStyle name="Input [yellow] 3 10 5 15 3" xfId="31158"/>
    <cellStyle name="Input [yellow] 3 10 5 15 4" xfId="42323"/>
    <cellStyle name="Input [yellow] 3 10 5 15 5" xfId="53516"/>
    <cellStyle name="Input [yellow] 3 10 5 16" xfId="9215"/>
    <cellStyle name="Input [yellow] 3 10 5 16 2" xfId="20412"/>
    <cellStyle name="Input [yellow] 3 10 5 16 3" xfId="31580"/>
    <cellStyle name="Input [yellow] 3 10 5 16 4" xfId="42745"/>
    <cellStyle name="Input [yellow] 3 10 5 16 5" xfId="53938"/>
    <cellStyle name="Input [yellow] 3 10 5 17" xfId="9842"/>
    <cellStyle name="Input [yellow] 3 10 5 17 2" xfId="21039"/>
    <cellStyle name="Input [yellow] 3 10 5 17 3" xfId="32207"/>
    <cellStyle name="Input [yellow] 3 10 5 17 4" xfId="43372"/>
    <cellStyle name="Input [yellow] 3 10 5 17 5" xfId="54565"/>
    <cellStyle name="Input [yellow] 3 10 5 18" xfId="9907"/>
    <cellStyle name="Input [yellow] 3 10 5 18 2" xfId="21104"/>
    <cellStyle name="Input [yellow] 3 10 5 18 3" xfId="32272"/>
    <cellStyle name="Input [yellow] 3 10 5 18 4" xfId="43437"/>
    <cellStyle name="Input [yellow] 3 10 5 18 5" xfId="54630"/>
    <cellStyle name="Input [yellow] 3 10 5 19" xfId="10880"/>
    <cellStyle name="Input [yellow] 3 10 5 19 2" xfId="22077"/>
    <cellStyle name="Input [yellow] 3 10 5 19 3" xfId="33245"/>
    <cellStyle name="Input [yellow] 3 10 5 19 4" xfId="44410"/>
    <cellStyle name="Input [yellow] 3 10 5 19 5" xfId="55603"/>
    <cellStyle name="Input [yellow] 3 10 5 2" xfId="976"/>
    <cellStyle name="Input [yellow] 3 10 5 2 2" xfId="12173"/>
    <cellStyle name="Input [yellow] 3 10 5 2 3" xfId="23341"/>
    <cellStyle name="Input [yellow] 3 10 5 2 4" xfId="34506"/>
    <cellStyle name="Input [yellow] 3 10 5 2 5" xfId="45699"/>
    <cellStyle name="Input [yellow] 3 10 5 20" xfId="11527"/>
    <cellStyle name="Input [yellow] 3 10 5 21" xfId="22697"/>
    <cellStyle name="Input [yellow] 3 10 5 22" xfId="33864"/>
    <cellStyle name="Input [yellow] 3 10 5 23" xfId="45050"/>
    <cellStyle name="Input [yellow] 3 10 5 3" xfId="1867"/>
    <cellStyle name="Input [yellow] 3 10 5 3 2" xfId="13064"/>
    <cellStyle name="Input [yellow] 3 10 5 3 3" xfId="24232"/>
    <cellStyle name="Input [yellow] 3 10 5 3 4" xfId="35397"/>
    <cellStyle name="Input [yellow] 3 10 5 3 5" xfId="46590"/>
    <cellStyle name="Input [yellow] 3 10 5 4" xfId="2252"/>
    <cellStyle name="Input [yellow] 3 10 5 4 2" xfId="13449"/>
    <cellStyle name="Input [yellow] 3 10 5 4 3" xfId="24617"/>
    <cellStyle name="Input [yellow] 3 10 5 4 4" xfId="35782"/>
    <cellStyle name="Input [yellow] 3 10 5 4 5" xfId="46975"/>
    <cellStyle name="Input [yellow] 3 10 5 5" xfId="2677"/>
    <cellStyle name="Input [yellow] 3 10 5 5 2" xfId="13874"/>
    <cellStyle name="Input [yellow] 3 10 5 5 3" xfId="25042"/>
    <cellStyle name="Input [yellow] 3 10 5 5 4" xfId="36207"/>
    <cellStyle name="Input [yellow] 3 10 5 5 5" xfId="47400"/>
    <cellStyle name="Input [yellow] 3 10 5 6" xfId="3311"/>
    <cellStyle name="Input [yellow] 3 10 5 6 2" xfId="14508"/>
    <cellStyle name="Input [yellow] 3 10 5 6 3" xfId="25676"/>
    <cellStyle name="Input [yellow] 3 10 5 6 4" xfId="36841"/>
    <cellStyle name="Input [yellow] 3 10 5 6 5" xfId="48034"/>
    <cellStyle name="Input [yellow] 3 10 5 7" xfId="3945"/>
    <cellStyle name="Input [yellow] 3 10 5 7 2" xfId="15142"/>
    <cellStyle name="Input [yellow] 3 10 5 7 3" xfId="26310"/>
    <cellStyle name="Input [yellow] 3 10 5 7 4" xfId="37475"/>
    <cellStyle name="Input [yellow] 3 10 5 7 5" xfId="48668"/>
    <cellStyle name="Input [yellow] 3 10 5 8" xfId="4578"/>
    <cellStyle name="Input [yellow] 3 10 5 8 2" xfId="15775"/>
    <cellStyle name="Input [yellow] 3 10 5 8 3" xfId="26943"/>
    <cellStyle name="Input [yellow] 3 10 5 8 4" xfId="38108"/>
    <cellStyle name="Input [yellow] 3 10 5 8 5" xfId="49301"/>
    <cellStyle name="Input [yellow] 3 10 5 9" xfId="5209"/>
    <cellStyle name="Input [yellow] 3 10 5 9 2" xfId="16406"/>
    <cellStyle name="Input [yellow] 3 10 5 9 3" xfId="27574"/>
    <cellStyle name="Input [yellow] 3 10 5 9 4" xfId="38739"/>
    <cellStyle name="Input [yellow] 3 10 5 9 5" xfId="49932"/>
    <cellStyle name="Input [yellow] 3 10 6" xfId="373"/>
    <cellStyle name="Input [yellow] 3 10 6 10" xfId="6081"/>
    <cellStyle name="Input [yellow] 3 10 6 10 2" xfId="17278"/>
    <cellStyle name="Input [yellow] 3 10 6 10 3" xfId="28446"/>
    <cellStyle name="Input [yellow] 3 10 6 10 4" xfId="39611"/>
    <cellStyle name="Input [yellow] 3 10 6 10 5" xfId="50804"/>
    <cellStyle name="Input [yellow] 3 10 6 11" xfId="6309"/>
    <cellStyle name="Input [yellow] 3 10 6 11 2" xfId="17506"/>
    <cellStyle name="Input [yellow] 3 10 6 11 3" xfId="28674"/>
    <cellStyle name="Input [yellow] 3 10 6 11 4" xfId="39839"/>
    <cellStyle name="Input [yellow] 3 10 6 11 5" xfId="51032"/>
    <cellStyle name="Input [yellow] 3 10 6 12" xfId="6942"/>
    <cellStyle name="Input [yellow] 3 10 6 12 2" xfId="18139"/>
    <cellStyle name="Input [yellow] 3 10 6 12 3" xfId="29307"/>
    <cellStyle name="Input [yellow] 3 10 6 12 4" xfId="40472"/>
    <cellStyle name="Input [yellow] 3 10 6 12 5" xfId="51665"/>
    <cellStyle name="Input [yellow] 3 10 6 13" xfId="7576"/>
    <cellStyle name="Input [yellow] 3 10 6 13 2" xfId="18773"/>
    <cellStyle name="Input [yellow] 3 10 6 13 3" xfId="29941"/>
    <cellStyle name="Input [yellow] 3 10 6 13 4" xfId="41106"/>
    <cellStyle name="Input [yellow] 3 10 6 13 5" xfId="52299"/>
    <cellStyle name="Input [yellow] 3 10 6 14" xfId="8210"/>
    <cellStyle name="Input [yellow] 3 10 6 14 2" xfId="19407"/>
    <cellStyle name="Input [yellow] 3 10 6 14 3" xfId="30575"/>
    <cellStyle name="Input [yellow] 3 10 6 14 4" xfId="41740"/>
    <cellStyle name="Input [yellow] 3 10 6 14 5" xfId="52933"/>
    <cellStyle name="Input [yellow] 3 10 6 15" xfId="8838"/>
    <cellStyle name="Input [yellow] 3 10 6 15 2" xfId="20035"/>
    <cellStyle name="Input [yellow] 3 10 6 15 3" xfId="31203"/>
    <cellStyle name="Input [yellow] 3 10 6 15 4" xfId="42368"/>
    <cellStyle name="Input [yellow] 3 10 6 15 5" xfId="53561"/>
    <cellStyle name="Input [yellow] 3 10 6 16" xfId="9261"/>
    <cellStyle name="Input [yellow] 3 10 6 16 2" xfId="20458"/>
    <cellStyle name="Input [yellow] 3 10 6 16 3" xfId="31626"/>
    <cellStyle name="Input [yellow] 3 10 6 16 4" xfId="42791"/>
    <cellStyle name="Input [yellow] 3 10 6 16 5" xfId="53984"/>
    <cellStyle name="Input [yellow] 3 10 6 17" xfId="9887"/>
    <cellStyle name="Input [yellow] 3 10 6 17 2" xfId="21084"/>
    <cellStyle name="Input [yellow] 3 10 6 17 3" xfId="32252"/>
    <cellStyle name="Input [yellow] 3 10 6 17 4" xfId="43417"/>
    <cellStyle name="Input [yellow] 3 10 6 17 5" xfId="54610"/>
    <cellStyle name="Input [yellow] 3 10 6 18" xfId="10528"/>
    <cellStyle name="Input [yellow] 3 10 6 18 2" xfId="21725"/>
    <cellStyle name="Input [yellow] 3 10 6 18 3" xfId="32893"/>
    <cellStyle name="Input [yellow] 3 10 6 18 4" xfId="44058"/>
    <cellStyle name="Input [yellow] 3 10 6 18 5" xfId="55251"/>
    <cellStyle name="Input [yellow] 3 10 6 19" xfId="10926"/>
    <cellStyle name="Input [yellow] 3 10 6 19 2" xfId="22123"/>
    <cellStyle name="Input [yellow] 3 10 6 19 3" xfId="33291"/>
    <cellStyle name="Input [yellow] 3 10 6 19 4" xfId="44456"/>
    <cellStyle name="Input [yellow] 3 10 6 19 5" xfId="55649"/>
    <cellStyle name="Input [yellow] 3 10 6 2" xfId="1022"/>
    <cellStyle name="Input [yellow] 3 10 6 2 2" xfId="12219"/>
    <cellStyle name="Input [yellow] 3 10 6 2 3" xfId="23387"/>
    <cellStyle name="Input [yellow] 3 10 6 2 4" xfId="34552"/>
    <cellStyle name="Input [yellow] 3 10 6 2 5" xfId="45745"/>
    <cellStyle name="Input [yellow] 3 10 6 20" xfId="11573"/>
    <cellStyle name="Input [yellow] 3 10 6 21" xfId="22743"/>
    <cellStyle name="Input [yellow] 3 10 6 22" xfId="33910"/>
    <cellStyle name="Input [yellow] 3 10 6 23" xfId="45096"/>
    <cellStyle name="Input [yellow] 3 10 6 3" xfId="1390"/>
    <cellStyle name="Input [yellow] 3 10 6 3 2" xfId="12587"/>
    <cellStyle name="Input [yellow] 3 10 6 3 3" xfId="23755"/>
    <cellStyle name="Input [yellow] 3 10 6 3 4" xfId="34920"/>
    <cellStyle name="Input [yellow] 3 10 6 3 5" xfId="46113"/>
    <cellStyle name="Input [yellow] 3 10 6 4" xfId="2298"/>
    <cellStyle name="Input [yellow] 3 10 6 4 2" xfId="13495"/>
    <cellStyle name="Input [yellow] 3 10 6 4 3" xfId="24663"/>
    <cellStyle name="Input [yellow] 3 10 6 4 4" xfId="35828"/>
    <cellStyle name="Input [yellow] 3 10 6 4 5" xfId="47021"/>
    <cellStyle name="Input [yellow] 3 10 6 5" xfId="2723"/>
    <cellStyle name="Input [yellow] 3 10 6 5 2" xfId="13920"/>
    <cellStyle name="Input [yellow] 3 10 6 5 3" xfId="25088"/>
    <cellStyle name="Input [yellow] 3 10 6 5 4" xfId="36253"/>
    <cellStyle name="Input [yellow] 3 10 6 5 5" xfId="47446"/>
    <cellStyle name="Input [yellow] 3 10 6 6" xfId="3357"/>
    <cellStyle name="Input [yellow] 3 10 6 6 2" xfId="14554"/>
    <cellStyle name="Input [yellow] 3 10 6 6 3" xfId="25722"/>
    <cellStyle name="Input [yellow] 3 10 6 6 4" xfId="36887"/>
    <cellStyle name="Input [yellow] 3 10 6 6 5" xfId="48080"/>
    <cellStyle name="Input [yellow] 3 10 6 7" xfId="3991"/>
    <cellStyle name="Input [yellow] 3 10 6 7 2" xfId="15188"/>
    <cellStyle name="Input [yellow] 3 10 6 7 3" xfId="26356"/>
    <cellStyle name="Input [yellow] 3 10 6 7 4" xfId="37521"/>
    <cellStyle name="Input [yellow] 3 10 6 7 5" xfId="48714"/>
    <cellStyle name="Input [yellow] 3 10 6 8" xfId="4624"/>
    <cellStyle name="Input [yellow] 3 10 6 8 2" xfId="15821"/>
    <cellStyle name="Input [yellow] 3 10 6 8 3" xfId="26989"/>
    <cellStyle name="Input [yellow] 3 10 6 8 4" xfId="38154"/>
    <cellStyle name="Input [yellow] 3 10 6 8 5" xfId="49347"/>
    <cellStyle name="Input [yellow] 3 10 6 9" xfId="5255"/>
    <cellStyle name="Input [yellow] 3 10 6 9 2" xfId="16452"/>
    <cellStyle name="Input [yellow] 3 10 6 9 3" xfId="27620"/>
    <cellStyle name="Input [yellow] 3 10 6 9 4" xfId="38785"/>
    <cellStyle name="Input [yellow] 3 10 6 9 5" xfId="49978"/>
    <cellStyle name="Input [yellow] 3 10 7" xfId="326"/>
    <cellStyle name="Input [yellow] 3 10 7 10" xfId="6093"/>
    <cellStyle name="Input [yellow] 3 10 7 10 2" xfId="17290"/>
    <cellStyle name="Input [yellow] 3 10 7 10 3" xfId="28458"/>
    <cellStyle name="Input [yellow] 3 10 7 10 4" xfId="39623"/>
    <cellStyle name="Input [yellow] 3 10 7 10 5" xfId="50816"/>
    <cellStyle name="Input [yellow] 3 10 7 11" xfId="6262"/>
    <cellStyle name="Input [yellow] 3 10 7 11 2" xfId="17459"/>
    <cellStyle name="Input [yellow] 3 10 7 11 3" xfId="28627"/>
    <cellStyle name="Input [yellow] 3 10 7 11 4" xfId="39792"/>
    <cellStyle name="Input [yellow] 3 10 7 11 5" xfId="50985"/>
    <cellStyle name="Input [yellow] 3 10 7 12" xfId="6895"/>
    <cellStyle name="Input [yellow] 3 10 7 12 2" xfId="18092"/>
    <cellStyle name="Input [yellow] 3 10 7 12 3" xfId="29260"/>
    <cellStyle name="Input [yellow] 3 10 7 12 4" xfId="40425"/>
    <cellStyle name="Input [yellow] 3 10 7 12 5" xfId="51618"/>
    <cellStyle name="Input [yellow] 3 10 7 13" xfId="7529"/>
    <cellStyle name="Input [yellow] 3 10 7 13 2" xfId="18726"/>
    <cellStyle name="Input [yellow] 3 10 7 13 3" xfId="29894"/>
    <cellStyle name="Input [yellow] 3 10 7 13 4" xfId="41059"/>
    <cellStyle name="Input [yellow] 3 10 7 13 5" xfId="52252"/>
    <cellStyle name="Input [yellow] 3 10 7 14" xfId="8163"/>
    <cellStyle name="Input [yellow] 3 10 7 14 2" xfId="19360"/>
    <cellStyle name="Input [yellow] 3 10 7 14 3" xfId="30528"/>
    <cellStyle name="Input [yellow] 3 10 7 14 4" xfId="41693"/>
    <cellStyle name="Input [yellow] 3 10 7 14 5" xfId="52886"/>
    <cellStyle name="Input [yellow] 3 10 7 15" xfId="8792"/>
    <cellStyle name="Input [yellow] 3 10 7 15 2" xfId="19989"/>
    <cellStyle name="Input [yellow] 3 10 7 15 3" xfId="31157"/>
    <cellStyle name="Input [yellow] 3 10 7 15 4" xfId="42322"/>
    <cellStyle name="Input [yellow] 3 10 7 15 5" xfId="53515"/>
    <cellStyle name="Input [yellow] 3 10 7 16" xfId="9214"/>
    <cellStyle name="Input [yellow] 3 10 7 16 2" xfId="20411"/>
    <cellStyle name="Input [yellow] 3 10 7 16 3" xfId="31579"/>
    <cellStyle name="Input [yellow] 3 10 7 16 4" xfId="42744"/>
    <cellStyle name="Input [yellow] 3 10 7 16 5" xfId="53937"/>
    <cellStyle name="Input [yellow] 3 10 7 17" xfId="9841"/>
    <cellStyle name="Input [yellow] 3 10 7 17 2" xfId="21038"/>
    <cellStyle name="Input [yellow] 3 10 7 17 3" xfId="32206"/>
    <cellStyle name="Input [yellow] 3 10 7 17 4" xfId="43371"/>
    <cellStyle name="Input [yellow] 3 10 7 17 5" xfId="54564"/>
    <cellStyle name="Input [yellow] 3 10 7 18" xfId="9747"/>
    <cellStyle name="Input [yellow] 3 10 7 18 2" xfId="20944"/>
    <cellStyle name="Input [yellow] 3 10 7 18 3" xfId="32112"/>
    <cellStyle name="Input [yellow] 3 10 7 18 4" xfId="43277"/>
    <cellStyle name="Input [yellow] 3 10 7 18 5" xfId="54470"/>
    <cellStyle name="Input [yellow] 3 10 7 19" xfId="10879"/>
    <cellStyle name="Input [yellow] 3 10 7 19 2" xfId="22076"/>
    <cellStyle name="Input [yellow] 3 10 7 19 3" xfId="33244"/>
    <cellStyle name="Input [yellow] 3 10 7 19 4" xfId="44409"/>
    <cellStyle name="Input [yellow] 3 10 7 19 5" xfId="55602"/>
    <cellStyle name="Input [yellow] 3 10 7 2" xfId="975"/>
    <cellStyle name="Input [yellow] 3 10 7 2 2" xfId="12172"/>
    <cellStyle name="Input [yellow] 3 10 7 2 3" xfId="23340"/>
    <cellStyle name="Input [yellow] 3 10 7 2 4" xfId="34505"/>
    <cellStyle name="Input [yellow] 3 10 7 2 5" xfId="45698"/>
    <cellStyle name="Input [yellow] 3 10 7 20" xfId="11526"/>
    <cellStyle name="Input [yellow] 3 10 7 21" xfId="22696"/>
    <cellStyle name="Input [yellow] 3 10 7 22" xfId="33863"/>
    <cellStyle name="Input [yellow] 3 10 7 23" xfId="45049"/>
    <cellStyle name="Input [yellow] 3 10 7 3" xfId="1458"/>
    <cellStyle name="Input [yellow] 3 10 7 3 2" xfId="12655"/>
    <cellStyle name="Input [yellow] 3 10 7 3 3" xfId="23823"/>
    <cellStyle name="Input [yellow] 3 10 7 3 4" xfId="34988"/>
    <cellStyle name="Input [yellow] 3 10 7 3 5" xfId="46181"/>
    <cellStyle name="Input [yellow] 3 10 7 4" xfId="2251"/>
    <cellStyle name="Input [yellow] 3 10 7 4 2" xfId="13448"/>
    <cellStyle name="Input [yellow] 3 10 7 4 3" xfId="24616"/>
    <cellStyle name="Input [yellow] 3 10 7 4 4" xfId="35781"/>
    <cellStyle name="Input [yellow] 3 10 7 4 5" xfId="46974"/>
    <cellStyle name="Input [yellow] 3 10 7 5" xfId="2676"/>
    <cellStyle name="Input [yellow] 3 10 7 5 2" xfId="13873"/>
    <cellStyle name="Input [yellow] 3 10 7 5 3" xfId="25041"/>
    <cellStyle name="Input [yellow] 3 10 7 5 4" xfId="36206"/>
    <cellStyle name="Input [yellow] 3 10 7 5 5" xfId="47399"/>
    <cellStyle name="Input [yellow] 3 10 7 6" xfId="3310"/>
    <cellStyle name="Input [yellow] 3 10 7 6 2" xfId="14507"/>
    <cellStyle name="Input [yellow] 3 10 7 6 3" xfId="25675"/>
    <cellStyle name="Input [yellow] 3 10 7 6 4" xfId="36840"/>
    <cellStyle name="Input [yellow] 3 10 7 6 5" xfId="48033"/>
    <cellStyle name="Input [yellow] 3 10 7 7" xfId="3944"/>
    <cellStyle name="Input [yellow] 3 10 7 7 2" xfId="15141"/>
    <cellStyle name="Input [yellow] 3 10 7 7 3" xfId="26309"/>
    <cellStyle name="Input [yellow] 3 10 7 7 4" xfId="37474"/>
    <cellStyle name="Input [yellow] 3 10 7 7 5" xfId="48667"/>
    <cellStyle name="Input [yellow] 3 10 7 8" xfId="4577"/>
    <cellStyle name="Input [yellow] 3 10 7 8 2" xfId="15774"/>
    <cellStyle name="Input [yellow] 3 10 7 8 3" xfId="26942"/>
    <cellStyle name="Input [yellow] 3 10 7 8 4" xfId="38107"/>
    <cellStyle name="Input [yellow] 3 10 7 8 5" xfId="49300"/>
    <cellStyle name="Input [yellow] 3 10 7 9" xfId="5208"/>
    <cellStyle name="Input [yellow] 3 10 7 9 2" xfId="16405"/>
    <cellStyle name="Input [yellow] 3 10 7 9 3" xfId="27573"/>
    <cellStyle name="Input [yellow] 3 10 7 9 4" xfId="38738"/>
    <cellStyle name="Input [yellow] 3 10 7 9 5" xfId="49931"/>
    <cellStyle name="Input [yellow] 3 10 8" xfId="488"/>
    <cellStyle name="Input [yellow] 3 10 8 10" xfId="5615"/>
    <cellStyle name="Input [yellow] 3 10 8 10 2" xfId="16812"/>
    <cellStyle name="Input [yellow] 3 10 8 10 3" xfId="27980"/>
    <cellStyle name="Input [yellow] 3 10 8 10 4" xfId="39145"/>
    <cellStyle name="Input [yellow] 3 10 8 10 5" xfId="50338"/>
    <cellStyle name="Input [yellow] 3 10 8 11" xfId="6424"/>
    <cellStyle name="Input [yellow] 3 10 8 11 2" xfId="17621"/>
    <cellStyle name="Input [yellow] 3 10 8 11 3" xfId="28789"/>
    <cellStyle name="Input [yellow] 3 10 8 11 4" xfId="39954"/>
    <cellStyle name="Input [yellow] 3 10 8 11 5" xfId="51147"/>
    <cellStyle name="Input [yellow] 3 10 8 12" xfId="7057"/>
    <cellStyle name="Input [yellow] 3 10 8 12 2" xfId="18254"/>
    <cellStyle name="Input [yellow] 3 10 8 12 3" xfId="29422"/>
    <cellStyle name="Input [yellow] 3 10 8 12 4" xfId="40587"/>
    <cellStyle name="Input [yellow] 3 10 8 12 5" xfId="51780"/>
    <cellStyle name="Input [yellow] 3 10 8 13" xfId="7691"/>
    <cellStyle name="Input [yellow] 3 10 8 13 2" xfId="18888"/>
    <cellStyle name="Input [yellow] 3 10 8 13 3" xfId="30056"/>
    <cellStyle name="Input [yellow] 3 10 8 13 4" xfId="41221"/>
    <cellStyle name="Input [yellow] 3 10 8 13 5" xfId="52414"/>
    <cellStyle name="Input [yellow] 3 10 8 14" xfId="8325"/>
    <cellStyle name="Input [yellow] 3 10 8 14 2" xfId="19522"/>
    <cellStyle name="Input [yellow] 3 10 8 14 3" xfId="30690"/>
    <cellStyle name="Input [yellow] 3 10 8 14 4" xfId="41855"/>
    <cellStyle name="Input [yellow] 3 10 8 14 5" xfId="53048"/>
    <cellStyle name="Input [yellow] 3 10 8 15" xfId="8953"/>
    <cellStyle name="Input [yellow] 3 10 8 15 2" xfId="20150"/>
    <cellStyle name="Input [yellow] 3 10 8 15 3" xfId="31318"/>
    <cellStyle name="Input [yellow] 3 10 8 15 4" xfId="42483"/>
    <cellStyle name="Input [yellow] 3 10 8 15 5" xfId="53676"/>
    <cellStyle name="Input [yellow] 3 10 8 16" xfId="9376"/>
    <cellStyle name="Input [yellow] 3 10 8 16 2" xfId="20573"/>
    <cellStyle name="Input [yellow] 3 10 8 16 3" xfId="31741"/>
    <cellStyle name="Input [yellow] 3 10 8 16 4" xfId="42906"/>
    <cellStyle name="Input [yellow] 3 10 8 16 5" xfId="54099"/>
    <cellStyle name="Input [yellow] 3 10 8 17" xfId="10001"/>
    <cellStyle name="Input [yellow] 3 10 8 17 2" xfId="21198"/>
    <cellStyle name="Input [yellow] 3 10 8 17 3" xfId="32366"/>
    <cellStyle name="Input [yellow] 3 10 8 17 4" xfId="43531"/>
    <cellStyle name="Input [yellow] 3 10 8 17 5" xfId="54724"/>
    <cellStyle name="Input [yellow] 3 10 8 18" xfId="10538"/>
    <cellStyle name="Input [yellow] 3 10 8 18 2" xfId="21735"/>
    <cellStyle name="Input [yellow] 3 10 8 18 3" xfId="32903"/>
    <cellStyle name="Input [yellow] 3 10 8 18 4" xfId="44068"/>
    <cellStyle name="Input [yellow] 3 10 8 18 5" xfId="55261"/>
    <cellStyle name="Input [yellow] 3 10 8 19" xfId="11041"/>
    <cellStyle name="Input [yellow] 3 10 8 19 2" xfId="22238"/>
    <cellStyle name="Input [yellow] 3 10 8 19 3" xfId="33406"/>
    <cellStyle name="Input [yellow] 3 10 8 19 4" xfId="44571"/>
    <cellStyle name="Input [yellow] 3 10 8 19 5" xfId="55764"/>
    <cellStyle name="Input [yellow] 3 10 8 2" xfId="1137"/>
    <cellStyle name="Input [yellow] 3 10 8 2 2" xfId="12334"/>
    <cellStyle name="Input [yellow] 3 10 8 2 3" xfId="23502"/>
    <cellStyle name="Input [yellow] 3 10 8 2 4" xfId="34667"/>
    <cellStyle name="Input [yellow] 3 10 8 2 5" xfId="45860"/>
    <cellStyle name="Input [yellow] 3 10 8 20" xfId="11688"/>
    <cellStyle name="Input [yellow] 3 10 8 21" xfId="22858"/>
    <cellStyle name="Input [yellow] 3 10 8 22" xfId="34025"/>
    <cellStyle name="Input [yellow] 3 10 8 23" xfId="45211"/>
    <cellStyle name="Input [yellow] 3 10 8 3" xfId="1368"/>
    <cellStyle name="Input [yellow] 3 10 8 3 2" xfId="12565"/>
    <cellStyle name="Input [yellow] 3 10 8 3 3" xfId="23733"/>
    <cellStyle name="Input [yellow] 3 10 8 3 4" xfId="34898"/>
    <cellStyle name="Input [yellow] 3 10 8 3 5" xfId="46091"/>
    <cellStyle name="Input [yellow] 3 10 8 4" xfId="2413"/>
    <cellStyle name="Input [yellow] 3 10 8 4 2" xfId="13610"/>
    <cellStyle name="Input [yellow] 3 10 8 4 3" xfId="24778"/>
    <cellStyle name="Input [yellow] 3 10 8 4 4" xfId="35943"/>
    <cellStyle name="Input [yellow] 3 10 8 4 5" xfId="47136"/>
    <cellStyle name="Input [yellow] 3 10 8 5" xfId="2838"/>
    <cellStyle name="Input [yellow] 3 10 8 5 2" xfId="14035"/>
    <cellStyle name="Input [yellow] 3 10 8 5 3" xfId="25203"/>
    <cellStyle name="Input [yellow] 3 10 8 5 4" xfId="36368"/>
    <cellStyle name="Input [yellow] 3 10 8 5 5" xfId="47561"/>
    <cellStyle name="Input [yellow] 3 10 8 6" xfId="3472"/>
    <cellStyle name="Input [yellow] 3 10 8 6 2" xfId="14669"/>
    <cellStyle name="Input [yellow] 3 10 8 6 3" xfId="25837"/>
    <cellStyle name="Input [yellow] 3 10 8 6 4" xfId="37002"/>
    <cellStyle name="Input [yellow] 3 10 8 6 5" xfId="48195"/>
    <cellStyle name="Input [yellow] 3 10 8 7" xfId="4106"/>
    <cellStyle name="Input [yellow] 3 10 8 7 2" xfId="15303"/>
    <cellStyle name="Input [yellow] 3 10 8 7 3" xfId="26471"/>
    <cellStyle name="Input [yellow] 3 10 8 7 4" xfId="37636"/>
    <cellStyle name="Input [yellow] 3 10 8 7 5" xfId="48829"/>
    <cellStyle name="Input [yellow] 3 10 8 8" xfId="4739"/>
    <cellStyle name="Input [yellow] 3 10 8 8 2" xfId="15936"/>
    <cellStyle name="Input [yellow] 3 10 8 8 3" xfId="27104"/>
    <cellStyle name="Input [yellow] 3 10 8 8 4" xfId="38269"/>
    <cellStyle name="Input [yellow] 3 10 8 8 5" xfId="49462"/>
    <cellStyle name="Input [yellow] 3 10 8 9" xfId="5370"/>
    <cellStyle name="Input [yellow] 3 10 8 9 2" xfId="16567"/>
    <cellStyle name="Input [yellow] 3 10 8 9 3" xfId="27735"/>
    <cellStyle name="Input [yellow] 3 10 8 9 4" xfId="38900"/>
    <cellStyle name="Input [yellow] 3 10 8 9 5" xfId="50093"/>
    <cellStyle name="Input [yellow] 3 10 9" xfId="546"/>
    <cellStyle name="Input [yellow] 3 10 9 10" xfId="5606"/>
    <cellStyle name="Input [yellow] 3 10 9 10 2" xfId="16803"/>
    <cellStyle name="Input [yellow] 3 10 9 10 3" xfId="27971"/>
    <cellStyle name="Input [yellow] 3 10 9 10 4" xfId="39136"/>
    <cellStyle name="Input [yellow] 3 10 9 10 5" xfId="50329"/>
    <cellStyle name="Input [yellow] 3 10 9 11" xfId="6482"/>
    <cellStyle name="Input [yellow] 3 10 9 11 2" xfId="17679"/>
    <cellStyle name="Input [yellow] 3 10 9 11 3" xfId="28847"/>
    <cellStyle name="Input [yellow] 3 10 9 11 4" xfId="40012"/>
    <cellStyle name="Input [yellow] 3 10 9 11 5" xfId="51205"/>
    <cellStyle name="Input [yellow] 3 10 9 12" xfId="7115"/>
    <cellStyle name="Input [yellow] 3 10 9 12 2" xfId="18312"/>
    <cellStyle name="Input [yellow] 3 10 9 12 3" xfId="29480"/>
    <cellStyle name="Input [yellow] 3 10 9 12 4" xfId="40645"/>
    <cellStyle name="Input [yellow] 3 10 9 12 5" xfId="51838"/>
    <cellStyle name="Input [yellow] 3 10 9 13" xfId="7749"/>
    <cellStyle name="Input [yellow] 3 10 9 13 2" xfId="18946"/>
    <cellStyle name="Input [yellow] 3 10 9 13 3" xfId="30114"/>
    <cellStyle name="Input [yellow] 3 10 9 13 4" xfId="41279"/>
    <cellStyle name="Input [yellow] 3 10 9 13 5" xfId="52472"/>
    <cellStyle name="Input [yellow] 3 10 9 14" xfId="8383"/>
    <cellStyle name="Input [yellow] 3 10 9 14 2" xfId="19580"/>
    <cellStyle name="Input [yellow] 3 10 9 14 3" xfId="30748"/>
    <cellStyle name="Input [yellow] 3 10 9 14 4" xfId="41913"/>
    <cellStyle name="Input [yellow] 3 10 9 14 5" xfId="53106"/>
    <cellStyle name="Input [yellow] 3 10 9 15" xfId="9011"/>
    <cellStyle name="Input [yellow] 3 10 9 15 2" xfId="20208"/>
    <cellStyle name="Input [yellow] 3 10 9 15 3" xfId="31376"/>
    <cellStyle name="Input [yellow] 3 10 9 15 4" xfId="42541"/>
    <cellStyle name="Input [yellow] 3 10 9 15 5" xfId="53734"/>
    <cellStyle name="Input [yellow] 3 10 9 16" xfId="9434"/>
    <cellStyle name="Input [yellow] 3 10 9 16 2" xfId="20631"/>
    <cellStyle name="Input [yellow] 3 10 9 16 3" xfId="31799"/>
    <cellStyle name="Input [yellow] 3 10 9 16 4" xfId="42964"/>
    <cellStyle name="Input [yellow] 3 10 9 16 5" xfId="54157"/>
    <cellStyle name="Input [yellow] 3 10 9 17" xfId="10059"/>
    <cellStyle name="Input [yellow] 3 10 9 17 2" xfId="21256"/>
    <cellStyle name="Input [yellow] 3 10 9 17 3" xfId="32424"/>
    <cellStyle name="Input [yellow] 3 10 9 17 4" xfId="43589"/>
    <cellStyle name="Input [yellow] 3 10 9 17 5" xfId="54782"/>
    <cellStyle name="Input [yellow] 3 10 9 18" xfId="10395"/>
    <cellStyle name="Input [yellow] 3 10 9 18 2" xfId="21592"/>
    <cellStyle name="Input [yellow] 3 10 9 18 3" xfId="32760"/>
    <cellStyle name="Input [yellow] 3 10 9 18 4" xfId="43925"/>
    <cellStyle name="Input [yellow] 3 10 9 18 5" xfId="55118"/>
    <cellStyle name="Input [yellow] 3 10 9 19" xfId="11099"/>
    <cellStyle name="Input [yellow] 3 10 9 19 2" xfId="22296"/>
    <cellStyle name="Input [yellow] 3 10 9 19 3" xfId="33464"/>
    <cellStyle name="Input [yellow] 3 10 9 19 4" xfId="44629"/>
    <cellStyle name="Input [yellow] 3 10 9 19 5" xfId="55822"/>
    <cellStyle name="Input [yellow] 3 10 9 2" xfId="1195"/>
    <cellStyle name="Input [yellow] 3 10 9 2 2" xfId="12392"/>
    <cellStyle name="Input [yellow] 3 10 9 2 3" xfId="23560"/>
    <cellStyle name="Input [yellow] 3 10 9 2 4" xfId="34725"/>
    <cellStyle name="Input [yellow] 3 10 9 2 5" xfId="45918"/>
    <cellStyle name="Input [yellow] 3 10 9 20" xfId="11746"/>
    <cellStyle name="Input [yellow] 3 10 9 21" xfId="22916"/>
    <cellStyle name="Input [yellow] 3 10 9 22" xfId="34083"/>
    <cellStyle name="Input [yellow] 3 10 9 23" xfId="45269"/>
    <cellStyle name="Input [yellow] 3 10 9 3" xfId="1696"/>
    <cellStyle name="Input [yellow] 3 10 9 3 2" xfId="12893"/>
    <cellStyle name="Input [yellow] 3 10 9 3 3" xfId="24061"/>
    <cellStyle name="Input [yellow] 3 10 9 3 4" xfId="35226"/>
    <cellStyle name="Input [yellow] 3 10 9 3 5" xfId="46419"/>
    <cellStyle name="Input [yellow] 3 10 9 4" xfId="2471"/>
    <cellStyle name="Input [yellow] 3 10 9 4 2" xfId="13668"/>
    <cellStyle name="Input [yellow] 3 10 9 4 3" xfId="24836"/>
    <cellStyle name="Input [yellow] 3 10 9 4 4" xfId="36001"/>
    <cellStyle name="Input [yellow] 3 10 9 4 5" xfId="47194"/>
    <cellStyle name="Input [yellow] 3 10 9 5" xfId="2896"/>
    <cellStyle name="Input [yellow] 3 10 9 5 2" xfId="14093"/>
    <cellStyle name="Input [yellow] 3 10 9 5 3" xfId="25261"/>
    <cellStyle name="Input [yellow] 3 10 9 5 4" xfId="36426"/>
    <cellStyle name="Input [yellow] 3 10 9 5 5" xfId="47619"/>
    <cellStyle name="Input [yellow] 3 10 9 6" xfId="3530"/>
    <cellStyle name="Input [yellow] 3 10 9 6 2" xfId="14727"/>
    <cellStyle name="Input [yellow] 3 10 9 6 3" xfId="25895"/>
    <cellStyle name="Input [yellow] 3 10 9 6 4" xfId="37060"/>
    <cellStyle name="Input [yellow] 3 10 9 6 5" xfId="48253"/>
    <cellStyle name="Input [yellow] 3 10 9 7" xfId="4164"/>
    <cellStyle name="Input [yellow] 3 10 9 7 2" xfId="15361"/>
    <cellStyle name="Input [yellow] 3 10 9 7 3" xfId="26529"/>
    <cellStyle name="Input [yellow] 3 10 9 7 4" xfId="37694"/>
    <cellStyle name="Input [yellow] 3 10 9 7 5" xfId="48887"/>
    <cellStyle name="Input [yellow] 3 10 9 8" xfId="4797"/>
    <cellStyle name="Input [yellow] 3 10 9 8 2" xfId="15994"/>
    <cellStyle name="Input [yellow] 3 10 9 8 3" xfId="27162"/>
    <cellStyle name="Input [yellow] 3 10 9 8 4" xfId="38327"/>
    <cellStyle name="Input [yellow] 3 10 9 8 5" xfId="49520"/>
    <cellStyle name="Input [yellow] 3 10 9 9" xfId="5428"/>
    <cellStyle name="Input [yellow] 3 10 9 9 2" xfId="16625"/>
    <cellStyle name="Input [yellow] 3 10 9 9 3" xfId="27793"/>
    <cellStyle name="Input [yellow] 3 10 9 9 4" xfId="38958"/>
    <cellStyle name="Input [yellow] 3 10 9 9 5" xfId="50151"/>
    <cellStyle name="Input [yellow] 3 11" xfId="82"/>
    <cellStyle name="Input [yellow] 3 11 10" xfId="481"/>
    <cellStyle name="Input [yellow] 3 11 10 10" xfId="5664"/>
    <cellStyle name="Input [yellow] 3 11 10 10 2" xfId="16861"/>
    <cellStyle name="Input [yellow] 3 11 10 10 3" xfId="28029"/>
    <cellStyle name="Input [yellow] 3 11 10 10 4" xfId="39194"/>
    <cellStyle name="Input [yellow] 3 11 10 10 5" xfId="50387"/>
    <cellStyle name="Input [yellow] 3 11 10 11" xfId="6417"/>
    <cellStyle name="Input [yellow] 3 11 10 11 2" xfId="17614"/>
    <cellStyle name="Input [yellow] 3 11 10 11 3" xfId="28782"/>
    <cellStyle name="Input [yellow] 3 11 10 11 4" xfId="39947"/>
    <cellStyle name="Input [yellow] 3 11 10 11 5" xfId="51140"/>
    <cellStyle name="Input [yellow] 3 11 10 12" xfId="7050"/>
    <cellStyle name="Input [yellow] 3 11 10 12 2" xfId="18247"/>
    <cellStyle name="Input [yellow] 3 11 10 12 3" xfId="29415"/>
    <cellStyle name="Input [yellow] 3 11 10 12 4" xfId="40580"/>
    <cellStyle name="Input [yellow] 3 11 10 12 5" xfId="51773"/>
    <cellStyle name="Input [yellow] 3 11 10 13" xfId="7684"/>
    <cellStyle name="Input [yellow] 3 11 10 13 2" xfId="18881"/>
    <cellStyle name="Input [yellow] 3 11 10 13 3" xfId="30049"/>
    <cellStyle name="Input [yellow] 3 11 10 13 4" xfId="41214"/>
    <cellStyle name="Input [yellow] 3 11 10 13 5" xfId="52407"/>
    <cellStyle name="Input [yellow] 3 11 10 14" xfId="8318"/>
    <cellStyle name="Input [yellow] 3 11 10 14 2" xfId="19515"/>
    <cellStyle name="Input [yellow] 3 11 10 14 3" xfId="30683"/>
    <cellStyle name="Input [yellow] 3 11 10 14 4" xfId="41848"/>
    <cellStyle name="Input [yellow] 3 11 10 14 5" xfId="53041"/>
    <cellStyle name="Input [yellow] 3 11 10 15" xfId="8946"/>
    <cellStyle name="Input [yellow] 3 11 10 15 2" xfId="20143"/>
    <cellStyle name="Input [yellow] 3 11 10 15 3" xfId="31311"/>
    <cellStyle name="Input [yellow] 3 11 10 15 4" xfId="42476"/>
    <cellStyle name="Input [yellow] 3 11 10 15 5" xfId="53669"/>
    <cellStyle name="Input [yellow] 3 11 10 16" xfId="9369"/>
    <cellStyle name="Input [yellow] 3 11 10 16 2" xfId="20566"/>
    <cellStyle name="Input [yellow] 3 11 10 16 3" xfId="31734"/>
    <cellStyle name="Input [yellow] 3 11 10 16 4" xfId="42899"/>
    <cellStyle name="Input [yellow] 3 11 10 16 5" xfId="54092"/>
    <cellStyle name="Input [yellow] 3 11 10 17" xfId="9994"/>
    <cellStyle name="Input [yellow] 3 11 10 17 2" xfId="21191"/>
    <cellStyle name="Input [yellow] 3 11 10 17 3" xfId="32359"/>
    <cellStyle name="Input [yellow] 3 11 10 17 4" xfId="43524"/>
    <cellStyle name="Input [yellow] 3 11 10 17 5" xfId="54717"/>
    <cellStyle name="Input [yellow] 3 11 10 18" xfId="10355"/>
    <cellStyle name="Input [yellow] 3 11 10 18 2" xfId="21552"/>
    <cellStyle name="Input [yellow] 3 11 10 18 3" xfId="32720"/>
    <cellStyle name="Input [yellow] 3 11 10 18 4" xfId="43885"/>
    <cellStyle name="Input [yellow] 3 11 10 18 5" xfId="55078"/>
    <cellStyle name="Input [yellow] 3 11 10 19" xfId="11034"/>
    <cellStyle name="Input [yellow] 3 11 10 19 2" xfId="22231"/>
    <cellStyle name="Input [yellow] 3 11 10 19 3" xfId="33399"/>
    <cellStyle name="Input [yellow] 3 11 10 19 4" xfId="44564"/>
    <cellStyle name="Input [yellow] 3 11 10 19 5" xfId="55757"/>
    <cellStyle name="Input [yellow] 3 11 10 2" xfId="1130"/>
    <cellStyle name="Input [yellow] 3 11 10 2 2" xfId="12327"/>
    <cellStyle name="Input [yellow] 3 11 10 2 3" xfId="23495"/>
    <cellStyle name="Input [yellow] 3 11 10 2 4" xfId="34660"/>
    <cellStyle name="Input [yellow] 3 11 10 2 5" xfId="45853"/>
    <cellStyle name="Input [yellow] 3 11 10 20" xfId="11681"/>
    <cellStyle name="Input [yellow] 3 11 10 21" xfId="22851"/>
    <cellStyle name="Input [yellow] 3 11 10 22" xfId="34018"/>
    <cellStyle name="Input [yellow] 3 11 10 23" xfId="45204"/>
    <cellStyle name="Input [yellow] 3 11 10 3" xfId="1642"/>
    <cellStyle name="Input [yellow] 3 11 10 3 2" xfId="12839"/>
    <cellStyle name="Input [yellow] 3 11 10 3 3" xfId="24007"/>
    <cellStyle name="Input [yellow] 3 11 10 3 4" xfId="35172"/>
    <cellStyle name="Input [yellow] 3 11 10 3 5" xfId="46365"/>
    <cellStyle name="Input [yellow] 3 11 10 4" xfId="2406"/>
    <cellStyle name="Input [yellow] 3 11 10 4 2" xfId="13603"/>
    <cellStyle name="Input [yellow] 3 11 10 4 3" xfId="24771"/>
    <cellStyle name="Input [yellow] 3 11 10 4 4" xfId="35936"/>
    <cellStyle name="Input [yellow] 3 11 10 4 5" xfId="47129"/>
    <cellStyle name="Input [yellow] 3 11 10 5" xfId="2831"/>
    <cellStyle name="Input [yellow] 3 11 10 5 2" xfId="14028"/>
    <cellStyle name="Input [yellow] 3 11 10 5 3" xfId="25196"/>
    <cellStyle name="Input [yellow] 3 11 10 5 4" xfId="36361"/>
    <cellStyle name="Input [yellow] 3 11 10 5 5" xfId="47554"/>
    <cellStyle name="Input [yellow] 3 11 10 6" xfId="3465"/>
    <cellStyle name="Input [yellow] 3 11 10 6 2" xfId="14662"/>
    <cellStyle name="Input [yellow] 3 11 10 6 3" xfId="25830"/>
    <cellStyle name="Input [yellow] 3 11 10 6 4" xfId="36995"/>
    <cellStyle name="Input [yellow] 3 11 10 6 5" xfId="48188"/>
    <cellStyle name="Input [yellow] 3 11 10 7" xfId="4099"/>
    <cellStyle name="Input [yellow] 3 11 10 7 2" xfId="15296"/>
    <cellStyle name="Input [yellow] 3 11 10 7 3" xfId="26464"/>
    <cellStyle name="Input [yellow] 3 11 10 7 4" xfId="37629"/>
    <cellStyle name="Input [yellow] 3 11 10 7 5" xfId="48822"/>
    <cellStyle name="Input [yellow] 3 11 10 8" xfId="4732"/>
    <cellStyle name="Input [yellow] 3 11 10 8 2" xfId="15929"/>
    <cellStyle name="Input [yellow] 3 11 10 8 3" xfId="27097"/>
    <cellStyle name="Input [yellow] 3 11 10 8 4" xfId="38262"/>
    <cellStyle name="Input [yellow] 3 11 10 8 5" xfId="49455"/>
    <cellStyle name="Input [yellow] 3 11 10 9" xfId="5363"/>
    <cellStyle name="Input [yellow] 3 11 10 9 2" xfId="16560"/>
    <cellStyle name="Input [yellow] 3 11 10 9 3" xfId="27728"/>
    <cellStyle name="Input [yellow] 3 11 10 9 4" xfId="38893"/>
    <cellStyle name="Input [yellow] 3 11 10 9 5" xfId="50086"/>
    <cellStyle name="Input [yellow] 3 11 11" xfId="588"/>
    <cellStyle name="Input [yellow] 3 11 11 10" xfId="5672"/>
    <cellStyle name="Input [yellow] 3 11 11 10 2" xfId="16869"/>
    <cellStyle name="Input [yellow] 3 11 11 10 3" xfId="28037"/>
    <cellStyle name="Input [yellow] 3 11 11 10 4" xfId="39202"/>
    <cellStyle name="Input [yellow] 3 11 11 10 5" xfId="50395"/>
    <cellStyle name="Input [yellow] 3 11 11 11" xfId="6524"/>
    <cellStyle name="Input [yellow] 3 11 11 11 2" xfId="17721"/>
    <cellStyle name="Input [yellow] 3 11 11 11 3" xfId="28889"/>
    <cellStyle name="Input [yellow] 3 11 11 11 4" xfId="40054"/>
    <cellStyle name="Input [yellow] 3 11 11 11 5" xfId="51247"/>
    <cellStyle name="Input [yellow] 3 11 11 12" xfId="7157"/>
    <cellStyle name="Input [yellow] 3 11 11 12 2" xfId="18354"/>
    <cellStyle name="Input [yellow] 3 11 11 12 3" xfId="29522"/>
    <cellStyle name="Input [yellow] 3 11 11 12 4" xfId="40687"/>
    <cellStyle name="Input [yellow] 3 11 11 12 5" xfId="51880"/>
    <cellStyle name="Input [yellow] 3 11 11 13" xfId="7791"/>
    <cellStyle name="Input [yellow] 3 11 11 13 2" xfId="18988"/>
    <cellStyle name="Input [yellow] 3 11 11 13 3" xfId="30156"/>
    <cellStyle name="Input [yellow] 3 11 11 13 4" xfId="41321"/>
    <cellStyle name="Input [yellow] 3 11 11 13 5" xfId="52514"/>
    <cellStyle name="Input [yellow] 3 11 11 14" xfId="8425"/>
    <cellStyle name="Input [yellow] 3 11 11 14 2" xfId="19622"/>
    <cellStyle name="Input [yellow] 3 11 11 14 3" xfId="30790"/>
    <cellStyle name="Input [yellow] 3 11 11 14 4" xfId="41955"/>
    <cellStyle name="Input [yellow] 3 11 11 14 5" xfId="53148"/>
    <cellStyle name="Input [yellow] 3 11 11 15" xfId="9053"/>
    <cellStyle name="Input [yellow] 3 11 11 15 2" xfId="20250"/>
    <cellStyle name="Input [yellow] 3 11 11 15 3" xfId="31418"/>
    <cellStyle name="Input [yellow] 3 11 11 15 4" xfId="42583"/>
    <cellStyle name="Input [yellow] 3 11 11 15 5" xfId="53776"/>
    <cellStyle name="Input [yellow] 3 11 11 16" xfId="9476"/>
    <cellStyle name="Input [yellow] 3 11 11 16 2" xfId="20673"/>
    <cellStyle name="Input [yellow] 3 11 11 16 3" xfId="31841"/>
    <cellStyle name="Input [yellow] 3 11 11 16 4" xfId="43006"/>
    <cellStyle name="Input [yellow] 3 11 11 16 5" xfId="54199"/>
    <cellStyle name="Input [yellow] 3 11 11 17" xfId="10101"/>
    <cellStyle name="Input [yellow] 3 11 11 17 2" xfId="21298"/>
    <cellStyle name="Input [yellow] 3 11 11 17 3" xfId="32466"/>
    <cellStyle name="Input [yellow] 3 11 11 17 4" xfId="43631"/>
    <cellStyle name="Input [yellow] 3 11 11 17 5" xfId="54824"/>
    <cellStyle name="Input [yellow] 3 11 11 18" xfId="10557"/>
    <cellStyle name="Input [yellow] 3 11 11 18 2" xfId="21754"/>
    <cellStyle name="Input [yellow] 3 11 11 18 3" xfId="32922"/>
    <cellStyle name="Input [yellow] 3 11 11 18 4" xfId="44087"/>
    <cellStyle name="Input [yellow] 3 11 11 18 5" xfId="55280"/>
    <cellStyle name="Input [yellow] 3 11 11 19" xfId="11141"/>
    <cellStyle name="Input [yellow] 3 11 11 19 2" xfId="22338"/>
    <cellStyle name="Input [yellow] 3 11 11 19 3" xfId="33506"/>
    <cellStyle name="Input [yellow] 3 11 11 19 4" xfId="44671"/>
    <cellStyle name="Input [yellow] 3 11 11 19 5" xfId="55864"/>
    <cellStyle name="Input [yellow] 3 11 11 2" xfId="1237"/>
    <cellStyle name="Input [yellow] 3 11 11 2 2" xfId="12434"/>
    <cellStyle name="Input [yellow] 3 11 11 2 3" xfId="23602"/>
    <cellStyle name="Input [yellow] 3 11 11 2 4" xfId="34767"/>
    <cellStyle name="Input [yellow] 3 11 11 2 5" xfId="45960"/>
    <cellStyle name="Input [yellow] 3 11 11 20" xfId="11788"/>
    <cellStyle name="Input [yellow] 3 11 11 21" xfId="22958"/>
    <cellStyle name="Input [yellow] 3 11 11 22" xfId="34125"/>
    <cellStyle name="Input [yellow] 3 11 11 23" xfId="45311"/>
    <cellStyle name="Input [yellow] 3 11 11 3" xfId="1396"/>
    <cellStyle name="Input [yellow] 3 11 11 3 2" xfId="12593"/>
    <cellStyle name="Input [yellow] 3 11 11 3 3" xfId="23761"/>
    <cellStyle name="Input [yellow] 3 11 11 3 4" xfId="34926"/>
    <cellStyle name="Input [yellow] 3 11 11 3 5" xfId="46119"/>
    <cellStyle name="Input [yellow] 3 11 11 4" xfId="2513"/>
    <cellStyle name="Input [yellow] 3 11 11 4 2" xfId="13710"/>
    <cellStyle name="Input [yellow] 3 11 11 4 3" xfId="24878"/>
    <cellStyle name="Input [yellow] 3 11 11 4 4" xfId="36043"/>
    <cellStyle name="Input [yellow] 3 11 11 4 5" xfId="47236"/>
    <cellStyle name="Input [yellow] 3 11 11 5" xfId="2938"/>
    <cellStyle name="Input [yellow] 3 11 11 5 2" xfId="14135"/>
    <cellStyle name="Input [yellow] 3 11 11 5 3" xfId="25303"/>
    <cellStyle name="Input [yellow] 3 11 11 5 4" xfId="36468"/>
    <cellStyle name="Input [yellow] 3 11 11 5 5" xfId="47661"/>
    <cellStyle name="Input [yellow] 3 11 11 6" xfId="3572"/>
    <cellStyle name="Input [yellow] 3 11 11 6 2" xfId="14769"/>
    <cellStyle name="Input [yellow] 3 11 11 6 3" xfId="25937"/>
    <cellStyle name="Input [yellow] 3 11 11 6 4" xfId="37102"/>
    <cellStyle name="Input [yellow] 3 11 11 6 5" xfId="48295"/>
    <cellStyle name="Input [yellow] 3 11 11 7" xfId="4206"/>
    <cellStyle name="Input [yellow] 3 11 11 7 2" xfId="15403"/>
    <cellStyle name="Input [yellow] 3 11 11 7 3" xfId="26571"/>
    <cellStyle name="Input [yellow] 3 11 11 7 4" xfId="37736"/>
    <cellStyle name="Input [yellow] 3 11 11 7 5" xfId="48929"/>
    <cellStyle name="Input [yellow] 3 11 11 8" xfId="4839"/>
    <cellStyle name="Input [yellow] 3 11 11 8 2" xfId="16036"/>
    <cellStyle name="Input [yellow] 3 11 11 8 3" xfId="27204"/>
    <cellStyle name="Input [yellow] 3 11 11 8 4" xfId="38369"/>
    <cellStyle name="Input [yellow] 3 11 11 8 5" xfId="49562"/>
    <cellStyle name="Input [yellow] 3 11 11 9" xfId="5470"/>
    <cellStyle name="Input [yellow] 3 11 11 9 2" xfId="16667"/>
    <cellStyle name="Input [yellow] 3 11 11 9 3" xfId="27835"/>
    <cellStyle name="Input [yellow] 3 11 11 9 4" xfId="39000"/>
    <cellStyle name="Input [yellow] 3 11 11 9 5" xfId="50193"/>
    <cellStyle name="Input [yellow] 3 11 12" xfId="731"/>
    <cellStyle name="Input [yellow] 3 11 12 2" xfId="11929"/>
    <cellStyle name="Input [yellow] 3 11 12 3" xfId="23097"/>
    <cellStyle name="Input [yellow] 3 11 12 4" xfId="34262"/>
    <cellStyle name="Input [yellow] 3 11 12 5" xfId="45454"/>
    <cellStyle name="Input [yellow] 3 11 13" xfId="1471"/>
    <cellStyle name="Input [yellow] 3 11 13 2" xfId="12668"/>
    <cellStyle name="Input [yellow] 3 11 13 3" xfId="23836"/>
    <cellStyle name="Input [yellow] 3 11 13 4" xfId="35001"/>
    <cellStyle name="Input [yellow] 3 11 13 5" xfId="46194"/>
    <cellStyle name="Input [yellow] 3 11 14" xfId="2008"/>
    <cellStyle name="Input [yellow] 3 11 14 2" xfId="13205"/>
    <cellStyle name="Input [yellow] 3 11 14 3" xfId="24373"/>
    <cellStyle name="Input [yellow] 3 11 14 4" xfId="35538"/>
    <cellStyle name="Input [yellow] 3 11 14 5" xfId="46731"/>
    <cellStyle name="Input [yellow] 3 11 15" xfId="2060"/>
    <cellStyle name="Input [yellow] 3 11 15 2" xfId="13257"/>
    <cellStyle name="Input [yellow] 3 11 15 3" xfId="24425"/>
    <cellStyle name="Input [yellow] 3 11 15 4" xfId="35590"/>
    <cellStyle name="Input [yellow] 3 11 15 5" xfId="46783"/>
    <cellStyle name="Input [yellow] 3 11 16" xfId="3066"/>
    <cellStyle name="Input [yellow] 3 11 16 2" xfId="14263"/>
    <cellStyle name="Input [yellow] 3 11 16 3" xfId="25431"/>
    <cellStyle name="Input [yellow] 3 11 16 4" xfId="36596"/>
    <cellStyle name="Input [yellow] 3 11 16 5" xfId="47789"/>
    <cellStyle name="Input [yellow] 3 11 17" xfId="3700"/>
    <cellStyle name="Input [yellow] 3 11 17 2" xfId="14897"/>
    <cellStyle name="Input [yellow] 3 11 17 3" xfId="26065"/>
    <cellStyle name="Input [yellow] 3 11 17 4" xfId="37230"/>
    <cellStyle name="Input [yellow] 3 11 17 5" xfId="48423"/>
    <cellStyle name="Input [yellow] 3 11 18" xfId="4333"/>
    <cellStyle name="Input [yellow] 3 11 18 2" xfId="15530"/>
    <cellStyle name="Input [yellow] 3 11 18 3" xfId="26698"/>
    <cellStyle name="Input [yellow] 3 11 18 4" xfId="37863"/>
    <cellStyle name="Input [yellow] 3 11 18 5" xfId="49056"/>
    <cellStyle name="Input [yellow] 3 11 19" xfId="4965"/>
    <cellStyle name="Input [yellow] 3 11 19 2" xfId="16162"/>
    <cellStyle name="Input [yellow] 3 11 19 3" xfId="27330"/>
    <cellStyle name="Input [yellow] 3 11 19 4" xfId="38495"/>
    <cellStyle name="Input [yellow] 3 11 19 5" xfId="49688"/>
    <cellStyle name="Input [yellow] 3 11 2" xfId="146"/>
    <cellStyle name="Input [yellow] 3 11 2 10" xfId="5586"/>
    <cellStyle name="Input [yellow] 3 11 2 10 2" xfId="16783"/>
    <cellStyle name="Input [yellow] 3 11 2 10 3" xfId="27951"/>
    <cellStyle name="Input [yellow] 3 11 2 10 4" xfId="39116"/>
    <cellStyle name="Input [yellow] 3 11 2 10 5" xfId="50309"/>
    <cellStyle name="Input [yellow] 3 11 2 11" xfId="5978"/>
    <cellStyle name="Input [yellow] 3 11 2 11 2" xfId="17175"/>
    <cellStyle name="Input [yellow] 3 11 2 11 3" xfId="28343"/>
    <cellStyle name="Input [yellow] 3 11 2 11 4" xfId="39508"/>
    <cellStyle name="Input [yellow] 3 11 2 11 5" xfId="50701"/>
    <cellStyle name="Input [yellow] 3 11 2 12" xfId="6715"/>
    <cellStyle name="Input [yellow] 3 11 2 12 2" xfId="17912"/>
    <cellStyle name="Input [yellow] 3 11 2 12 3" xfId="29080"/>
    <cellStyle name="Input [yellow] 3 11 2 12 4" xfId="40245"/>
    <cellStyle name="Input [yellow] 3 11 2 12 5" xfId="51438"/>
    <cellStyle name="Input [yellow] 3 11 2 13" xfId="7349"/>
    <cellStyle name="Input [yellow] 3 11 2 13 2" xfId="18546"/>
    <cellStyle name="Input [yellow] 3 11 2 13 3" xfId="29714"/>
    <cellStyle name="Input [yellow] 3 11 2 13 4" xfId="40879"/>
    <cellStyle name="Input [yellow] 3 11 2 13 5" xfId="52072"/>
    <cellStyle name="Input [yellow] 3 11 2 14" xfId="7983"/>
    <cellStyle name="Input [yellow] 3 11 2 14 2" xfId="19180"/>
    <cellStyle name="Input [yellow] 3 11 2 14 3" xfId="30348"/>
    <cellStyle name="Input [yellow] 3 11 2 14 4" xfId="41513"/>
    <cellStyle name="Input [yellow] 3 11 2 14 5" xfId="52706"/>
    <cellStyle name="Input [yellow] 3 11 2 15" xfId="8614"/>
    <cellStyle name="Input [yellow] 3 11 2 15 2" xfId="19811"/>
    <cellStyle name="Input [yellow] 3 11 2 15 3" xfId="30979"/>
    <cellStyle name="Input [yellow] 3 11 2 15 4" xfId="42144"/>
    <cellStyle name="Input [yellow] 3 11 2 15 5" xfId="53337"/>
    <cellStyle name="Input [yellow] 3 11 2 16" xfId="8784"/>
    <cellStyle name="Input [yellow] 3 11 2 16 2" xfId="19981"/>
    <cellStyle name="Input [yellow] 3 11 2 16 3" xfId="31149"/>
    <cellStyle name="Input [yellow] 3 11 2 16 4" xfId="42314"/>
    <cellStyle name="Input [yellow] 3 11 2 16 5" xfId="53507"/>
    <cellStyle name="Input [yellow] 3 11 2 17" xfId="9667"/>
    <cellStyle name="Input [yellow] 3 11 2 17 2" xfId="20864"/>
    <cellStyle name="Input [yellow] 3 11 2 17 3" xfId="32032"/>
    <cellStyle name="Input [yellow] 3 11 2 17 4" xfId="43197"/>
    <cellStyle name="Input [yellow] 3 11 2 17 5" xfId="54390"/>
    <cellStyle name="Input [yellow] 3 11 2 18" xfId="10185"/>
    <cellStyle name="Input [yellow] 3 11 2 18 2" xfId="21382"/>
    <cellStyle name="Input [yellow] 3 11 2 18 3" xfId="32550"/>
    <cellStyle name="Input [yellow] 3 11 2 18 4" xfId="43715"/>
    <cellStyle name="Input [yellow] 3 11 2 18 5" xfId="54908"/>
    <cellStyle name="Input [yellow] 3 11 2 19" xfId="10699"/>
    <cellStyle name="Input [yellow] 3 11 2 19 2" xfId="21896"/>
    <cellStyle name="Input [yellow] 3 11 2 19 3" xfId="33064"/>
    <cellStyle name="Input [yellow] 3 11 2 19 4" xfId="44229"/>
    <cellStyle name="Input [yellow] 3 11 2 19 5" xfId="55422"/>
    <cellStyle name="Input [yellow] 3 11 2 2" xfId="795"/>
    <cellStyle name="Input [yellow] 3 11 2 2 2" xfId="11992"/>
    <cellStyle name="Input [yellow] 3 11 2 2 3" xfId="23160"/>
    <cellStyle name="Input [yellow] 3 11 2 2 4" xfId="34325"/>
    <cellStyle name="Input [yellow] 3 11 2 2 5" xfId="45518"/>
    <cellStyle name="Input [yellow] 3 11 2 20" xfId="11346"/>
    <cellStyle name="Input [yellow] 3 11 2 21" xfId="22516"/>
    <cellStyle name="Input [yellow] 3 11 2 22" xfId="33683"/>
    <cellStyle name="Input [yellow] 3 11 2 23" xfId="44869"/>
    <cellStyle name="Input [yellow] 3 11 2 3" xfId="1404"/>
    <cellStyle name="Input [yellow] 3 11 2 3 2" xfId="12601"/>
    <cellStyle name="Input [yellow] 3 11 2 3 3" xfId="23769"/>
    <cellStyle name="Input [yellow] 3 11 2 3 4" xfId="34934"/>
    <cellStyle name="Input [yellow] 3 11 2 3 5" xfId="46127"/>
    <cellStyle name="Input [yellow] 3 11 2 4" xfId="2072"/>
    <cellStyle name="Input [yellow] 3 11 2 4 2" xfId="13269"/>
    <cellStyle name="Input [yellow] 3 11 2 4 3" xfId="24437"/>
    <cellStyle name="Input [yellow] 3 11 2 4 4" xfId="35602"/>
    <cellStyle name="Input [yellow] 3 11 2 4 5" xfId="46795"/>
    <cellStyle name="Input [yellow] 3 11 2 5" xfId="2099"/>
    <cellStyle name="Input [yellow] 3 11 2 5 2" xfId="13296"/>
    <cellStyle name="Input [yellow] 3 11 2 5 3" xfId="24464"/>
    <cellStyle name="Input [yellow] 3 11 2 5 4" xfId="35629"/>
    <cellStyle name="Input [yellow] 3 11 2 5 5" xfId="46822"/>
    <cellStyle name="Input [yellow] 3 11 2 6" xfId="3130"/>
    <cellStyle name="Input [yellow] 3 11 2 6 2" xfId="14327"/>
    <cellStyle name="Input [yellow] 3 11 2 6 3" xfId="25495"/>
    <cellStyle name="Input [yellow] 3 11 2 6 4" xfId="36660"/>
    <cellStyle name="Input [yellow] 3 11 2 6 5" xfId="47853"/>
    <cellStyle name="Input [yellow] 3 11 2 7" xfId="3764"/>
    <cellStyle name="Input [yellow] 3 11 2 7 2" xfId="14961"/>
    <cellStyle name="Input [yellow] 3 11 2 7 3" xfId="26129"/>
    <cellStyle name="Input [yellow] 3 11 2 7 4" xfId="37294"/>
    <cellStyle name="Input [yellow] 3 11 2 7 5" xfId="48487"/>
    <cellStyle name="Input [yellow] 3 11 2 8" xfId="4397"/>
    <cellStyle name="Input [yellow] 3 11 2 8 2" xfId="15594"/>
    <cellStyle name="Input [yellow] 3 11 2 8 3" xfId="26762"/>
    <cellStyle name="Input [yellow] 3 11 2 8 4" xfId="37927"/>
    <cellStyle name="Input [yellow] 3 11 2 8 5" xfId="49120"/>
    <cellStyle name="Input [yellow] 3 11 2 9" xfId="5028"/>
    <cellStyle name="Input [yellow] 3 11 2 9 2" xfId="16225"/>
    <cellStyle name="Input [yellow] 3 11 2 9 3" xfId="27393"/>
    <cellStyle name="Input [yellow] 3 11 2 9 4" xfId="38558"/>
    <cellStyle name="Input [yellow] 3 11 2 9 5" xfId="49751"/>
    <cellStyle name="Input [yellow] 3 11 20" xfId="5688"/>
    <cellStyle name="Input [yellow] 3 11 20 2" xfId="16885"/>
    <cellStyle name="Input [yellow] 3 11 20 3" xfId="28053"/>
    <cellStyle name="Input [yellow] 3 11 20 4" xfId="39218"/>
    <cellStyle name="Input [yellow] 3 11 20 5" xfId="50411"/>
    <cellStyle name="Input [yellow] 3 11 21" xfId="6129"/>
    <cellStyle name="Input [yellow] 3 11 21 2" xfId="17326"/>
    <cellStyle name="Input [yellow] 3 11 21 3" xfId="28494"/>
    <cellStyle name="Input [yellow] 3 11 21 4" xfId="39659"/>
    <cellStyle name="Input [yellow] 3 11 21 5" xfId="50852"/>
    <cellStyle name="Input [yellow] 3 11 22" xfId="6652"/>
    <cellStyle name="Input [yellow] 3 11 22 2" xfId="17849"/>
    <cellStyle name="Input [yellow] 3 11 22 3" xfId="29017"/>
    <cellStyle name="Input [yellow] 3 11 22 4" xfId="40182"/>
    <cellStyle name="Input [yellow] 3 11 22 5" xfId="51375"/>
    <cellStyle name="Input [yellow] 3 11 23" xfId="7285"/>
    <cellStyle name="Input [yellow] 3 11 23 2" xfId="18482"/>
    <cellStyle name="Input [yellow] 3 11 23 3" xfId="29650"/>
    <cellStyle name="Input [yellow] 3 11 23 4" xfId="40815"/>
    <cellStyle name="Input [yellow] 3 11 23 5" xfId="52008"/>
    <cellStyle name="Input [yellow] 3 11 24" xfId="7919"/>
    <cellStyle name="Input [yellow] 3 11 24 2" xfId="19116"/>
    <cellStyle name="Input [yellow] 3 11 24 3" xfId="30284"/>
    <cellStyle name="Input [yellow] 3 11 24 4" xfId="41449"/>
    <cellStyle name="Input [yellow] 3 11 24 5" xfId="52642"/>
    <cellStyle name="Input [yellow] 3 11 25" xfId="8551"/>
    <cellStyle name="Input [yellow] 3 11 25 2" xfId="19748"/>
    <cellStyle name="Input [yellow] 3 11 25 3" xfId="30916"/>
    <cellStyle name="Input [yellow] 3 11 25 4" xfId="42081"/>
    <cellStyle name="Input [yellow] 3 11 25 5" xfId="53274"/>
    <cellStyle name="Input [yellow] 3 11 26" xfId="8812"/>
    <cellStyle name="Input [yellow] 3 11 26 2" xfId="20009"/>
    <cellStyle name="Input [yellow] 3 11 26 3" xfId="31177"/>
    <cellStyle name="Input [yellow] 3 11 26 4" xfId="42342"/>
    <cellStyle name="Input [yellow] 3 11 26 5" xfId="53535"/>
    <cellStyle name="Input [yellow] 3 11 27" xfId="9603"/>
    <cellStyle name="Input [yellow] 3 11 27 2" xfId="20800"/>
    <cellStyle name="Input [yellow] 3 11 27 3" xfId="31968"/>
    <cellStyle name="Input [yellow] 3 11 27 4" xfId="43133"/>
    <cellStyle name="Input [yellow] 3 11 27 5" xfId="54326"/>
    <cellStyle name="Input [yellow] 3 11 28" xfId="9979"/>
    <cellStyle name="Input [yellow] 3 11 28 2" xfId="21176"/>
    <cellStyle name="Input [yellow] 3 11 28 3" xfId="32344"/>
    <cellStyle name="Input [yellow] 3 11 28 4" xfId="43509"/>
    <cellStyle name="Input [yellow] 3 11 28 5" xfId="54702"/>
    <cellStyle name="Input [yellow] 3 11 29" xfId="10636"/>
    <cellStyle name="Input [yellow] 3 11 29 2" xfId="21833"/>
    <cellStyle name="Input [yellow] 3 11 29 3" xfId="33001"/>
    <cellStyle name="Input [yellow] 3 11 29 4" xfId="44166"/>
    <cellStyle name="Input [yellow] 3 11 29 5" xfId="55359"/>
    <cellStyle name="Input [yellow] 3 11 3" xfId="202"/>
    <cellStyle name="Input [yellow] 3 11 3 10" xfId="5698"/>
    <cellStyle name="Input [yellow] 3 11 3 10 2" xfId="16895"/>
    <cellStyle name="Input [yellow] 3 11 3 10 3" xfId="28063"/>
    <cellStyle name="Input [yellow] 3 11 3 10 4" xfId="39228"/>
    <cellStyle name="Input [yellow] 3 11 3 10 5" xfId="50421"/>
    <cellStyle name="Input [yellow] 3 11 3 11" xfId="5560"/>
    <cellStyle name="Input [yellow] 3 11 3 11 2" xfId="16757"/>
    <cellStyle name="Input [yellow] 3 11 3 11 3" xfId="27925"/>
    <cellStyle name="Input [yellow] 3 11 3 11 4" xfId="39090"/>
    <cellStyle name="Input [yellow] 3 11 3 11 5" xfId="50283"/>
    <cellStyle name="Input [yellow] 3 11 3 12" xfId="6771"/>
    <cellStyle name="Input [yellow] 3 11 3 12 2" xfId="17968"/>
    <cellStyle name="Input [yellow] 3 11 3 12 3" xfId="29136"/>
    <cellStyle name="Input [yellow] 3 11 3 12 4" xfId="40301"/>
    <cellStyle name="Input [yellow] 3 11 3 12 5" xfId="51494"/>
    <cellStyle name="Input [yellow] 3 11 3 13" xfId="7405"/>
    <cellStyle name="Input [yellow] 3 11 3 13 2" xfId="18602"/>
    <cellStyle name="Input [yellow] 3 11 3 13 3" xfId="29770"/>
    <cellStyle name="Input [yellow] 3 11 3 13 4" xfId="40935"/>
    <cellStyle name="Input [yellow] 3 11 3 13 5" xfId="52128"/>
    <cellStyle name="Input [yellow] 3 11 3 14" xfId="8039"/>
    <cellStyle name="Input [yellow] 3 11 3 14 2" xfId="19236"/>
    <cellStyle name="Input [yellow] 3 11 3 14 3" xfId="30404"/>
    <cellStyle name="Input [yellow] 3 11 3 14 4" xfId="41569"/>
    <cellStyle name="Input [yellow] 3 11 3 14 5" xfId="52762"/>
    <cellStyle name="Input [yellow] 3 11 3 15" xfId="8670"/>
    <cellStyle name="Input [yellow] 3 11 3 15 2" xfId="19867"/>
    <cellStyle name="Input [yellow] 3 11 3 15 3" xfId="31035"/>
    <cellStyle name="Input [yellow] 3 11 3 15 4" xfId="42200"/>
    <cellStyle name="Input [yellow] 3 11 3 15 5" xfId="53393"/>
    <cellStyle name="Input [yellow] 3 11 3 16" xfId="8921"/>
    <cellStyle name="Input [yellow] 3 11 3 16 2" xfId="20118"/>
    <cellStyle name="Input [yellow] 3 11 3 16 3" xfId="31286"/>
    <cellStyle name="Input [yellow] 3 11 3 16 4" xfId="42451"/>
    <cellStyle name="Input [yellow] 3 11 3 16 5" xfId="53644"/>
    <cellStyle name="Input [yellow] 3 11 3 17" xfId="9721"/>
    <cellStyle name="Input [yellow] 3 11 3 17 2" xfId="20918"/>
    <cellStyle name="Input [yellow] 3 11 3 17 3" xfId="32086"/>
    <cellStyle name="Input [yellow] 3 11 3 17 4" xfId="43251"/>
    <cellStyle name="Input [yellow] 3 11 3 17 5" xfId="54444"/>
    <cellStyle name="Input [yellow] 3 11 3 18" xfId="10213"/>
    <cellStyle name="Input [yellow] 3 11 3 18 2" xfId="21410"/>
    <cellStyle name="Input [yellow] 3 11 3 18 3" xfId="32578"/>
    <cellStyle name="Input [yellow] 3 11 3 18 4" xfId="43743"/>
    <cellStyle name="Input [yellow] 3 11 3 18 5" xfId="54936"/>
    <cellStyle name="Input [yellow] 3 11 3 19" xfId="10755"/>
    <cellStyle name="Input [yellow] 3 11 3 19 2" xfId="21952"/>
    <cellStyle name="Input [yellow] 3 11 3 19 3" xfId="33120"/>
    <cellStyle name="Input [yellow] 3 11 3 19 4" xfId="44285"/>
    <cellStyle name="Input [yellow] 3 11 3 19 5" xfId="55478"/>
    <cellStyle name="Input [yellow] 3 11 3 2" xfId="851"/>
    <cellStyle name="Input [yellow] 3 11 3 2 2" xfId="12048"/>
    <cellStyle name="Input [yellow] 3 11 3 2 3" xfId="23216"/>
    <cellStyle name="Input [yellow] 3 11 3 2 4" xfId="34381"/>
    <cellStyle name="Input [yellow] 3 11 3 2 5" xfId="45574"/>
    <cellStyle name="Input [yellow] 3 11 3 20" xfId="11402"/>
    <cellStyle name="Input [yellow] 3 11 3 21" xfId="22572"/>
    <cellStyle name="Input [yellow] 3 11 3 22" xfId="33739"/>
    <cellStyle name="Input [yellow] 3 11 3 23" xfId="44925"/>
    <cellStyle name="Input [yellow] 3 11 3 3" xfId="1494"/>
    <cellStyle name="Input [yellow] 3 11 3 3 2" xfId="12691"/>
    <cellStyle name="Input [yellow] 3 11 3 3 3" xfId="23859"/>
    <cellStyle name="Input [yellow] 3 11 3 3 4" xfId="35024"/>
    <cellStyle name="Input [yellow] 3 11 3 3 5" xfId="46217"/>
    <cellStyle name="Input [yellow] 3 11 3 4" xfId="2128"/>
    <cellStyle name="Input [yellow] 3 11 3 4 2" xfId="13325"/>
    <cellStyle name="Input [yellow] 3 11 3 4 3" xfId="24493"/>
    <cellStyle name="Input [yellow] 3 11 3 4 4" xfId="35658"/>
    <cellStyle name="Input [yellow] 3 11 3 4 5" xfId="46851"/>
    <cellStyle name="Input [yellow] 3 11 3 5" xfId="2101"/>
    <cellStyle name="Input [yellow] 3 11 3 5 2" xfId="13298"/>
    <cellStyle name="Input [yellow] 3 11 3 5 3" xfId="24466"/>
    <cellStyle name="Input [yellow] 3 11 3 5 4" xfId="35631"/>
    <cellStyle name="Input [yellow] 3 11 3 5 5" xfId="46824"/>
    <cellStyle name="Input [yellow] 3 11 3 6" xfId="3186"/>
    <cellStyle name="Input [yellow] 3 11 3 6 2" xfId="14383"/>
    <cellStyle name="Input [yellow] 3 11 3 6 3" xfId="25551"/>
    <cellStyle name="Input [yellow] 3 11 3 6 4" xfId="36716"/>
    <cellStyle name="Input [yellow] 3 11 3 6 5" xfId="47909"/>
    <cellStyle name="Input [yellow] 3 11 3 7" xfId="3820"/>
    <cellStyle name="Input [yellow] 3 11 3 7 2" xfId="15017"/>
    <cellStyle name="Input [yellow] 3 11 3 7 3" xfId="26185"/>
    <cellStyle name="Input [yellow] 3 11 3 7 4" xfId="37350"/>
    <cellStyle name="Input [yellow] 3 11 3 7 5" xfId="48543"/>
    <cellStyle name="Input [yellow] 3 11 3 8" xfId="4453"/>
    <cellStyle name="Input [yellow] 3 11 3 8 2" xfId="15650"/>
    <cellStyle name="Input [yellow] 3 11 3 8 3" xfId="26818"/>
    <cellStyle name="Input [yellow] 3 11 3 8 4" xfId="37983"/>
    <cellStyle name="Input [yellow] 3 11 3 8 5" xfId="49176"/>
    <cellStyle name="Input [yellow] 3 11 3 9" xfId="5084"/>
    <cellStyle name="Input [yellow] 3 11 3 9 2" xfId="16281"/>
    <cellStyle name="Input [yellow] 3 11 3 9 3" xfId="27449"/>
    <cellStyle name="Input [yellow] 3 11 3 9 4" xfId="38614"/>
    <cellStyle name="Input [yellow] 3 11 3 9 5" xfId="49807"/>
    <cellStyle name="Input [yellow] 3 11 30" xfId="11283"/>
    <cellStyle name="Input [yellow] 3 11 31" xfId="22453"/>
    <cellStyle name="Input [yellow] 3 11 32" xfId="33620"/>
    <cellStyle name="Input [yellow] 3 11 33" xfId="44805"/>
    <cellStyle name="Input [yellow] 3 11 4" xfId="231"/>
    <cellStyle name="Input [yellow] 3 11 4 10" xfId="5577"/>
    <cellStyle name="Input [yellow] 3 11 4 10 2" xfId="16774"/>
    <cellStyle name="Input [yellow] 3 11 4 10 3" xfId="27942"/>
    <cellStyle name="Input [yellow] 3 11 4 10 4" xfId="39107"/>
    <cellStyle name="Input [yellow] 3 11 4 10 5" xfId="50300"/>
    <cellStyle name="Input [yellow] 3 11 4 11" xfId="5777"/>
    <cellStyle name="Input [yellow] 3 11 4 11 2" xfId="16974"/>
    <cellStyle name="Input [yellow] 3 11 4 11 3" xfId="28142"/>
    <cellStyle name="Input [yellow] 3 11 4 11 4" xfId="39307"/>
    <cellStyle name="Input [yellow] 3 11 4 11 5" xfId="50500"/>
    <cellStyle name="Input [yellow] 3 11 4 12" xfId="6800"/>
    <cellStyle name="Input [yellow] 3 11 4 12 2" xfId="17997"/>
    <cellStyle name="Input [yellow] 3 11 4 12 3" xfId="29165"/>
    <cellStyle name="Input [yellow] 3 11 4 12 4" xfId="40330"/>
    <cellStyle name="Input [yellow] 3 11 4 12 5" xfId="51523"/>
    <cellStyle name="Input [yellow] 3 11 4 13" xfId="7434"/>
    <cellStyle name="Input [yellow] 3 11 4 13 2" xfId="18631"/>
    <cellStyle name="Input [yellow] 3 11 4 13 3" xfId="29799"/>
    <cellStyle name="Input [yellow] 3 11 4 13 4" xfId="40964"/>
    <cellStyle name="Input [yellow] 3 11 4 13 5" xfId="52157"/>
    <cellStyle name="Input [yellow] 3 11 4 14" xfId="8068"/>
    <cellStyle name="Input [yellow] 3 11 4 14 2" xfId="19265"/>
    <cellStyle name="Input [yellow] 3 11 4 14 3" xfId="30433"/>
    <cellStyle name="Input [yellow] 3 11 4 14 4" xfId="41598"/>
    <cellStyle name="Input [yellow] 3 11 4 14 5" xfId="52791"/>
    <cellStyle name="Input [yellow] 3 11 4 15" xfId="8699"/>
    <cellStyle name="Input [yellow] 3 11 4 15 2" xfId="19896"/>
    <cellStyle name="Input [yellow] 3 11 4 15 3" xfId="31064"/>
    <cellStyle name="Input [yellow] 3 11 4 15 4" xfId="42229"/>
    <cellStyle name="Input [yellow] 3 11 4 15 5" xfId="53422"/>
    <cellStyle name="Input [yellow] 3 11 4 16" xfId="9087"/>
    <cellStyle name="Input [yellow] 3 11 4 16 2" xfId="20284"/>
    <cellStyle name="Input [yellow] 3 11 4 16 3" xfId="31452"/>
    <cellStyle name="Input [yellow] 3 11 4 16 4" xfId="42617"/>
    <cellStyle name="Input [yellow] 3 11 4 16 5" xfId="53810"/>
    <cellStyle name="Input [yellow] 3 11 4 17" xfId="9750"/>
    <cellStyle name="Input [yellow] 3 11 4 17 2" xfId="20947"/>
    <cellStyle name="Input [yellow] 3 11 4 17 3" xfId="32115"/>
    <cellStyle name="Input [yellow] 3 11 4 17 4" xfId="43280"/>
    <cellStyle name="Input [yellow] 3 11 4 17 5" xfId="54473"/>
    <cellStyle name="Input [yellow] 3 11 4 18" xfId="10471"/>
    <cellStyle name="Input [yellow] 3 11 4 18 2" xfId="21668"/>
    <cellStyle name="Input [yellow] 3 11 4 18 3" xfId="32836"/>
    <cellStyle name="Input [yellow] 3 11 4 18 4" xfId="44001"/>
    <cellStyle name="Input [yellow] 3 11 4 18 5" xfId="55194"/>
    <cellStyle name="Input [yellow] 3 11 4 19" xfId="10784"/>
    <cellStyle name="Input [yellow] 3 11 4 19 2" xfId="21981"/>
    <cellStyle name="Input [yellow] 3 11 4 19 3" xfId="33149"/>
    <cellStyle name="Input [yellow] 3 11 4 19 4" xfId="44314"/>
    <cellStyle name="Input [yellow] 3 11 4 19 5" xfId="55507"/>
    <cellStyle name="Input [yellow] 3 11 4 2" xfId="880"/>
    <cellStyle name="Input [yellow] 3 11 4 2 2" xfId="12077"/>
    <cellStyle name="Input [yellow] 3 11 4 2 3" xfId="23245"/>
    <cellStyle name="Input [yellow] 3 11 4 2 4" xfId="34410"/>
    <cellStyle name="Input [yellow] 3 11 4 2 5" xfId="45603"/>
    <cellStyle name="Input [yellow] 3 11 4 20" xfId="11431"/>
    <cellStyle name="Input [yellow] 3 11 4 21" xfId="22601"/>
    <cellStyle name="Input [yellow] 3 11 4 22" xfId="33768"/>
    <cellStyle name="Input [yellow] 3 11 4 23" xfId="44954"/>
    <cellStyle name="Input [yellow] 3 11 4 3" xfId="1768"/>
    <cellStyle name="Input [yellow] 3 11 4 3 2" xfId="12965"/>
    <cellStyle name="Input [yellow] 3 11 4 3 3" xfId="24133"/>
    <cellStyle name="Input [yellow] 3 11 4 3 4" xfId="35298"/>
    <cellStyle name="Input [yellow] 3 11 4 3 5" xfId="46491"/>
    <cellStyle name="Input [yellow] 3 11 4 4" xfId="2157"/>
    <cellStyle name="Input [yellow] 3 11 4 4 2" xfId="13354"/>
    <cellStyle name="Input [yellow] 3 11 4 4 3" xfId="24522"/>
    <cellStyle name="Input [yellow] 3 11 4 4 4" xfId="35687"/>
    <cellStyle name="Input [yellow] 3 11 4 4 5" xfId="46880"/>
    <cellStyle name="Input [yellow] 3 11 4 5" xfId="2414"/>
    <cellStyle name="Input [yellow] 3 11 4 5 2" xfId="13611"/>
    <cellStyle name="Input [yellow] 3 11 4 5 3" xfId="24779"/>
    <cellStyle name="Input [yellow] 3 11 4 5 4" xfId="35944"/>
    <cellStyle name="Input [yellow] 3 11 4 5 5" xfId="47137"/>
    <cellStyle name="Input [yellow] 3 11 4 6" xfId="3215"/>
    <cellStyle name="Input [yellow] 3 11 4 6 2" xfId="14412"/>
    <cellStyle name="Input [yellow] 3 11 4 6 3" xfId="25580"/>
    <cellStyle name="Input [yellow] 3 11 4 6 4" xfId="36745"/>
    <cellStyle name="Input [yellow] 3 11 4 6 5" xfId="47938"/>
    <cellStyle name="Input [yellow] 3 11 4 7" xfId="3849"/>
    <cellStyle name="Input [yellow] 3 11 4 7 2" xfId="15046"/>
    <cellStyle name="Input [yellow] 3 11 4 7 3" xfId="26214"/>
    <cellStyle name="Input [yellow] 3 11 4 7 4" xfId="37379"/>
    <cellStyle name="Input [yellow] 3 11 4 7 5" xfId="48572"/>
    <cellStyle name="Input [yellow] 3 11 4 8" xfId="4482"/>
    <cellStyle name="Input [yellow] 3 11 4 8 2" xfId="15679"/>
    <cellStyle name="Input [yellow] 3 11 4 8 3" xfId="26847"/>
    <cellStyle name="Input [yellow] 3 11 4 8 4" xfId="38012"/>
    <cellStyle name="Input [yellow] 3 11 4 8 5" xfId="49205"/>
    <cellStyle name="Input [yellow] 3 11 4 9" xfId="5113"/>
    <cellStyle name="Input [yellow] 3 11 4 9 2" xfId="16310"/>
    <cellStyle name="Input [yellow] 3 11 4 9 3" xfId="27478"/>
    <cellStyle name="Input [yellow] 3 11 4 9 4" xfId="38643"/>
    <cellStyle name="Input [yellow] 3 11 4 9 5" xfId="49836"/>
    <cellStyle name="Input [yellow] 3 11 5" xfId="328"/>
    <cellStyle name="Input [yellow] 3 11 5 10" xfId="5685"/>
    <cellStyle name="Input [yellow] 3 11 5 10 2" xfId="16882"/>
    <cellStyle name="Input [yellow] 3 11 5 10 3" xfId="28050"/>
    <cellStyle name="Input [yellow] 3 11 5 10 4" xfId="39215"/>
    <cellStyle name="Input [yellow] 3 11 5 10 5" xfId="50408"/>
    <cellStyle name="Input [yellow] 3 11 5 11" xfId="6264"/>
    <cellStyle name="Input [yellow] 3 11 5 11 2" xfId="17461"/>
    <cellStyle name="Input [yellow] 3 11 5 11 3" xfId="28629"/>
    <cellStyle name="Input [yellow] 3 11 5 11 4" xfId="39794"/>
    <cellStyle name="Input [yellow] 3 11 5 11 5" xfId="50987"/>
    <cellStyle name="Input [yellow] 3 11 5 12" xfId="6897"/>
    <cellStyle name="Input [yellow] 3 11 5 12 2" xfId="18094"/>
    <cellStyle name="Input [yellow] 3 11 5 12 3" xfId="29262"/>
    <cellStyle name="Input [yellow] 3 11 5 12 4" xfId="40427"/>
    <cellStyle name="Input [yellow] 3 11 5 12 5" xfId="51620"/>
    <cellStyle name="Input [yellow] 3 11 5 13" xfId="7531"/>
    <cellStyle name="Input [yellow] 3 11 5 13 2" xfId="18728"/>
    <cellStyle name="Input [yellow] 3 11 5 13 3" xfId="29896"/>
    <cellStyle name="Input [yellow] 3 11 5 13 4" xfId="41061"/>
    <cellStyle name="Input [yellow] 3 11 5 13 5" xfId="52254"/>
    <cellStyle name="Input [yellow] 3 11 5 14" xfId="8165"/>
    <cellStyle name="Input [yellow] 3 11 5 14 2" xfId="19362"/>
    <cellStyle name="Input [yellow] 3 11 5 14 3" xfId="30530"/>
    <cellStyle name="Input [yellow] 3 11 5 14 4" xfId="41695"/>
    <cellStyle name="Input [yellow] 3 11 5 14 5" xfId="52888"/>
    <cellStyle name="Input [yellow] 3 11 5 15" xfId="8794"/>
    <cellStyle name="Input [yellow] 3 11 5 15 2" xfId="19991"/>
    <cellStyle name="Input [yellow] 3 11 5 15 3" xfId="31159"/>
    <cellStyle name="Input [yellow] 3 11 5 15 4" xfId="42324"/>
    <cellStyle name="Input [yellow] 3 11 5 15 5" xfId="53517"/>
    <cellStyle name="Input [yellow] 3 11 5 16" xfId="9216"/>
    <cellStyle name="Input [yellow] 3 11 5 16 2" xfId="20413"/>
    <cellStyle name="Input [yellow] 3 11 5 16 3" xfId="31581"/>
    <cellStyle name="Input [yellow] 3 11 5 16 4" xfId="42746"/>
    <cellStyle name="Input [yellow] 3 11 5 16 5" xfId="53939"/>
    <cellStyle name="Input [yellow] 3 11 5 17" xfId="9843"/>
    <cellStyle name="Input [yellow] 3 11 5 17 2" xfId="21040"/>
    <cellStyle name="Input [yellow] 3 11 5 17 3" xfId="32208"/>
    <cellStyle name="Input [yellow] 3 11 5 17 4" xfId="43373"/>
    <cellStyle name="Input [yellow] 3 11 5 17 5" xfId="54566"/>
    <cellStyle name="Input [yellow] 3 11 5 18" xfId="10513"/>
    <cellStyle name="Input [yellow] 3 11 5 18 2" xfId="21710"/>
    <cellStyle name="Input [yellow] 3 11 5 18 3" xfId="32878"/>
    <cellStyle name="Input [yellow] 3 11 5 18 4" xfId="44043"/>
    <cellStyle name="Input [yellow] 3 11 5 18 5" xfId="55236"/>
    <cellStyle name="Input [yellow] 3 11 5 19" xfId="10881"/>
    <cellStyle name="Input [yellow] 3 11 5 19 2" xfId="22078"/>
    <cellStyle name="Input [yellow] 3 11 5 19 3" xfId="33246"/>
    <cellStyle name="Input [yellow] 3 11 5 19 4" xfId="44411"/>
    <cellStyle name="Input [yellow] 3 11 5 19 5" xfId="55604"/>
    <cellStyle name="Input [yellow] 3 11 5 2" xfId="977"/>
    <cellStyle name="Input [yellow] 3 11 5 2 2" xfId="12174"/>
    <cellStyle name="Input [yellow] 3 11 5 2 3" xfId="23342"/>
    <cellStyle name="Input [yellow] 3 11 5 2 4" xfId="34507"/>
    <cellStyle name="Input [yellow] 3 11 5 2 5" xfId="45700"/>
    <cellStyle name="Input [yellow] 3 11 5 20" xfId="11528"/>
    <cellStyle name="Input [yellow] 3 11 5 21" xfId="22698"/>
    <cellStyle name="Input [yellow] 3 11 5 22" xfId="33865"/>
    <cellStyle name="Input [yellow] 3 11 5 23" xfId="45051"/>
    <cellStyle name="Input [yellow] 3 11 5 3" xfId="1912"/>
    <cellStyle name="Input [yellow] 3 11 5 3 2" xfId="13109"/>
    <cellStyle name="Input [yellow] 3 11 5 3 3" xfId="24277"/>
    <cellStyle name="Input [yellow] 3 11 5 3 4" xfId="35442"/>
    <cellStyle name="Input [yellow] 3 11 5 3 5" xfId="46635"/>
    <cellStyle name="Input [yellow] 3 11 5 4" xfId="2253"/>
    <cellStyle name="Input [yellow] 3 11 5 4 2" xfId="13450"/>
    <cellStyle name="Input [yellow] 3 11 5 4 3" xfId="24618"/>
    <cellStyle name="Input [yellow] 3 11 5 4 4" xfId="35783"/>
    <cellStyle name="Input [yellow] 3 11 5 4 5" xfId="46976"/>
    <cellStyle name="Input [yellow] 3 11 5 5" xfId="2678"/>
    <cellStyle name="Input [yellow] 3 11 5 5 2" xfId="13875"/>
    <cellStyle name="Input [yellow] 3 11 5 5 3" xfId="25043"/>
    <cellStyle name="Input [yellow] 3 11 5 5 4" xfId="36208"/>
    <cellStyle name="Input [yellow] 3 11 5 5 5" xfId="47401"/>
    <cellStyle name="Input [yellow] 3 11 5 6" xfId="3312"/>
    <cellStyle name="Input [yellow] 3 11 5 6 2" xfId="14509"/>
    <cellStyle name="Input [yellow] 3 11 5 6 3" xfId="25677"/>
    <cellStyle name="Input [yellow] 3 11 5 6 4" xfId="36842"/>
    <cellStyle name="Input [yellow] 3 11 5 6 5" xfId="48035"/>
    <cellStyle name="Input [yellow] 3 11 5 7" xfId="3946"/>
    <cellStyle name="Input [yellow] 3 11 5 7 2" xfId="15143"/>
    <cellStyle name="Input [yellow] 3 11 5 7 3" xfId="26311"/>
    <cellStyle name="Input [yellow] 3 11 5 7 4" xfId="37476"/>
    <cellStyle name="Input [yellow] 3 11 5 7 5" xfId="48669"/>
    <cellStyle name="Input [yellow] 3 11 5 8" xfId="4579"/>
    <cellStyle name="Input [yellow] 3 11 5 8 2" xfId="15776"/>
    <cellStyle name="Input [yellow] 3 11 5 8 3" xfId="26944"/>
    <cellStyle name="Input [yellow] 3 11 5 8 4" xfId="38109"/>
    <cellStyle name="Input [yellow] 3 11 5 8 5" xfId="49302"/>
    <cellStyle name="Input [yellow] 3 11 5 9" xfId="5210"/>
    <cellStyle name="Input [yellow] 3 11 5 9 2" xfId="16407"/>
    <cellStyle name="Input [yellow] 3 11 5 9 3" xfId="27575"/>
    <cellStyle name="Input [yellow] 3 11 5 9 4" xfId="38740"/>
    <cellStyle name="Input [yellow] 3 11 5 9 5" xfId="49933"/>
    <cellStyle name="Input [yellow] 3 11 6" xfId="355"/>
    <cellStyle name="Input [yellow] 3 11 6 10" xfId="6155"/>
    <cellStyle name="Input [yellow] 3 11 6 10 2" xfId="17352"/>
    <cellStyle name="Input [yellow] 3 11 6 10 3" xfId="28520"/>
    <cellStyle name="Input [yellow] 3 11 6 10 4" xfId="39685"/>
    <cellStyle name="Input [yellow] 3 11 6 10 5" xfId="50878"/>
    <cellStyle name="Input [yellow] 3 11 6 11" xfId="6291"/>
    <cellStyle name="Input [yellow] 3 11 6 11 2" xfId="17488"/>
    <cellStyle name="Input [yellow] 3 11 6 11 3" xfId="28656"/>
    <cellStyle name="Input [yellow] 3 11 6 11 4" xfId="39821"/>
    <cellStyle name="Input [yellow] 3 11 6 11 5" xfId="51014"/>
    <cellStyle name="Input [yellow] 3 11 6 12" xfId="6924"/>
    <cellStyle name="Input [yellow] 3 11 6 12 2" xfId="18121"/>
    <cellStyle name="Input [yellow] 3 11 6 12 3" xfId="29289"/>
    <cellStyle name="Input [yellow] 3 11 6 12 4" xfId="40454"/>
    <cellStyle name="Input [yellow] 3 11 6 12 5" xfId="51647"/>
    <cellStyle name="Input [yellow] 3 11 6 13" xfId="7558"/>
    <cellStyle name="Input [yellow] 3 11 6 13 2" xfId="18755"/>
    <cellStyle name="Input [yellow] 3 11 6 13 3" xfId="29923"/>
    <cellStyle name="Input [yellow] 3 11 6 13 4" xfId="41088"/>
    <cellStyle name="Input [yellow] 3 11 6 13 5" xfId="52281"/>
    <cellStyle name="Input [yellow] 3 11 6 14" xfId="8192"/>
    <cellStyle name="Input [yellow] 3 11 6 14 2" xfId="19389"/>
    <cellStyle name="Input [yellow] 3 11 6 14 3" xfId="30557"/>
    <cellStyle name="Input [yellow] 3 11 6 14 4" xfId="41722"/>
    <cellStyle name="Input [yellow] 3 11 6 14 5" xfId="52915"/>
    <cellStyle name="Input [yellow] 3 11 6 15" xfId="8821"/>
    <cellStyle name="Input [yellow] 3 11 6 15 2" xfId="20018"/>
    <cellStyle name="Input [yellow] 3 11 6 15 3" xfId="31186"/>
    <cellStyle name="Input [yellow] 3 11 6 15 4" xfId="42351"/>
    <cellStyle name="Input [yellow] 3 11 6 15 5" xfId="53544"/>
    <cellStyle name="Input [yellow] 3 11 6 16" xfId="9243"/>
    <cellStyle name="Input [yellow] 3 11 6 16 2" xfId="20440"/>
    <cellStyle name="Input [yellow] 3 11 6 16 3" xfId="31608"/>
    <cellStyle name="Input [yellow] 3 11 6 16 4" xfId="42773"/>
    <cellStyle name="Input [yellow] 3 11 6 16 5" xfId="53966"/>
    <cellStyle name="Input [yellow] 3 11 6 17" xfId="9870"/>
    <cellStyle name="Input [yellow] 3 11 6 17 2" xfId="21067"/>
    <cellStyle name="Input [yellow] 3 11 6 17 3" xfId="32235"/>
    <cellStyle name="Input [yellow] 3 11 6 17 4" xfId="43400"/>
    <cellStyle name="Input [yellow] 3 11 6 17 5" xfId="54593"/>
    <cellStyle name="Input [yellow] 3 11 6 18" xfId="10345"/>
    <cellStyle name="Input [yellow] 3 11 6 18 2" xfId="21542"/>
    <cellStyle name="Input [yellow] 3 11 6 18 3" xfId="32710"/>
    <cellStyle name="Input [yellow] 3 11 6 18 4" xfId="43875"/>
    <cellStyle name="Input [yellow] 3 11 6 18 5" xfId="55068"/>
    <cellStyle name="Input [yellow] 3 11 6 19" xfId="10908"/>
    <cellStyle name="Input [yellow] 3 11 6 19 2" xfId="22105"/>
    <cellStyle name="Input [yellow] 3 11 6 19 3" xfId="33273"/>
    <cellStyle name="Input [yellow] 3 11 6 19 4" xfId="44438"/>
    <cellStyle name="Input [yellow] 3 11 6 19 5" xfId="55631"/>
    <cellStyle name="Input [yellow] 3 11 6 2" xfId="1004"/>
    <cellStyle name="Input [yellow] 3 11 6 2 2" xfId="12201"/>
    <cellStyle name="Input [yellow] 3 11 6 2 3" xfId="23369"/>
    <cellStyle name="Input [yellow] 3 11 6 2 4" xfId="34534"/>
    <cellStyle name="Input [yellow] 3 11 6 2 5" xfId="45727"/>
    <cellStyle name="Input [yellow] 3 11 6 20" xfId="11555"/>
    <cellStyle name="Input [yellow] 3 11 6 21" xfId="22725"/>
    <cellStyle name="Input [yellow] 3 11 6 22" xfId="33892"/>
    <cellStyle name="Input [yellow] 3 11 6 23" xfId="45078"/>
    <cellStyle name="Input [yellow] 3 11 6 3" xfId="1616"/>
    <cellStyle name="Input [yellow] 3 11 6 3 2" xfId="12813"/>
    <cellStyle name="Input [yellow] 3 11 6 3 3" xfId="23981"/>
    <cellStyle name="Input [yellow] 3 11 6 3 4" xfId="35146"/>
    <cellStyle name="Input [yellow] 3 11 6 3 5" xfId="46339"/>
    <cellStyle name="Input [yellow] 3 11 6 4" xfId="2280"/>
    <cellStyle name="Input [yellow] 3 11 6 4 2" xfId="13477"/>
    <cellStyle name="Input [yellow] 3 11 6 4 3" xfId="24645"/>
    <cellStyle name="Input [yellow] 3 11 6 4 4" xfId="35810"/>
    <cellStyle name="Input [yellow] 3 11 6 4 5" xfId="47003"/>
    <cellStyle name="Input [yellow] 3 11 6 5" xfId="2705"/>
    <cellStyle name="Input [yellow] 3 11 6 5 2" xfId="13902"/>
    <cellStyle name="Input [yellow] 3 11 6 5 3" xfId="25070"/>
    <cellStyle name="Input [yellow] 3 11 6 5 4" xfId="36235"/>
    <cellStyle name="Input [yellow] 3 11 6 5 5" xfId="47428"/>
    <cellStyle name="Input [yellow] 3 11 6 6" xfId="3339"/>
    <cellStyle name="Input [yellow] 3 11 6 6 2" xfId="14536"/>
    <cellStyle name="Input [yellow] 3 11 6 6 3" xfId="25704"/>
    <cellStyle name="Input [yellow] 3 11 6 6 4" xfId="36869"/>
    <cellStyle name="Input [yellow] 3 11 6 6 5" xfId="48062"/>
    <cellStyle name="Input [yellow] 3 11 6 7" xfId="3973"/>
    <cellStyle name="Input [yellow] 3 11 6 7 2" xfId="15170"/>
    <cellStyle name="Input [yellow] 3 11 6 7 3" xfId="26338"/>
    <cellStyle name="Input [yellow] 3 11 6 7 4" xfId="37503"/>
    <cellStyle name="Input [yellow] 3 11 6 7 5" xfId="48696"/>
    <cellStyle name="Input [yellow] 3 11 6 8" xfId="4606"/>
    <cellStyle name="Input [yellow] 3 11 6 8 2" xfId="15803"/>
    <cellStyle name="Input [yellow] 3 11 6 8 3" xfId="26971"/>
    <cellStyle name="Input [yellow] 3 11 6 8 4" xfId="38136"/>
    <cellStyle name="Input [yellow] 3 11 6 8 5" xfId="49329"/>
    <cellStyle name="Input [yellow] 3 11 6 9" xfId="5237"/>
    <cellStyle name="Input [yellow] 3 11 6 9 2" xfId="16434"/>
    <cellStyle name="Input [yellow] 3 11 6 9 3" xfId="27602"/>
    <cellStyle name="Input [yellow] 3 11 6 9 4" xfId="38767"/>
    <cellStyle name="Input [yellow] 3 11 6 9 5" xfId="49960"/>
    <cellStyle name="Input [yellow] 3 11 7" xfId="406"/>
    <cellStyle name="Input [yellow] 3 11 7 10" xfId="5734"/>
    <cellStyle name="Input [yellow] 3 11 7 10 2" xfId="16931"/>
    <cellStyle name="Input [yellow] 3 11 7 10 3" xfId="28099"/>
    <cellStyle name="Input [yellow] 3 11 7 10 4" xfId="39264"/>
    <cellStyle name="Input [yellow] 3 11 7 10 5" xfId="50457"/>
    <cellStyle name="Input [yellow] 3 11 7 11" xfId="6342"/>
    <cellStyle name="Input [yellow] 3 11 7 11 2" xfId="17539"/>
    <cellStyle name="Input [yellow] 3 11 7 11 3" xfId="28707"/>
    <cellStyle name="Input [yellow] 3 11 7 11 4" xfId="39872"/>
    <cellStyle name="Input [yellow] 3 11 7 11 5" xfId="51065"/>
    <cellStyle name="Input [yellow] 3 11 7 12" xfId="6975"/>
    <cellStyle name="Input [yellow] 3 11 7 12 2" xfId="18172"/>
    <cellStyle name="Input [yellow] 3 11 7 12 3" xfId="29340"/>
    <cellStyle name="Input [yellow] 3 11 7 12 4" xfId="40505"/>
    <cellStyle name="Input [yellow] 3 11 7 12 5" xfId="51698"/>
    <cellStyle name="Input [yellow] 3 11 7 13" xfId="7609"/>
    <cellStyle name="Input [yellow] 3 11 7 13 2" xfId="18806"/>
    <cellStyle name="Input [yellow] 3 11 7 13 3" xfId="29974"/>
    <cellStyle name="Input [yellow] 3 11 7 13 4" xfId="41139"/>
    <cellStyle name="Input [yellow] 3 11 7 13 5" xfId="52332"/>
    <cellStyle name="Input [yellow] 3 11 7 14" xfId="8243"/>
    <cellStyle name="Input [yellow] 3 11 7 14 2" xfId="19440"/>
    <cellStyle name="Input [yellow] 3 11 7 14 3" xfId="30608"/>
    <cellStyle name="Input [yellow] 3 11 7 14 4" xfId="41773"/>
    <cellStyle name="Input [yellow] 3 11 7 14 5" xfId="52966"/>
    <cellStyle name="Input [yellow] 3 11 7 15" xfId="8871"/>
    <cellStyle name="Input [yellow] 3 11 7 15 2" xfId="20068"/>
    <cellStyle name="Input [yellow] 3 11 7 15 3" xfId="31236"/>
    <cellStyle name="Input [yellow] 3 11 7 15 4" xfId="42401"/>
    <cellStyle name="Input [yellow] 3 11 7 15 5" xfId="53594"/>
    <cellStyle name="Input [yellow] 3 11 7 16" xfId="9294"/>
    <cellStyle name="Input [yellow] 3 11 7 16 2" xfId="20491"/>
    <cellStyle name="Input [yellow] 3 11 7 16 3" xfId="31659"/>
    <cellStyle name="Input [yellow] 3 11 7 16 4" xfId="42824"/>
    <cellStyle name="Input [yellow] 3 11 7 16 5" xfId="54017"/>
    <cellStyle name="Input [yellow] 3 11 7 17" xfId="9920"/>
    <cellStyle name="Input [yellow] 3 11 7 17 2" xfId="21117"/>
    <cellStyle name="Input [yellow] 3 11 7 17 3" xfId="32285"/>
    <cellStyle name="Input [yellow] 3 11 7 17 4" xfId="43450"/>
    <cellStyle name="Input [yellow] 3 11 7 17 5" xfId="54643"/>
    <cellStyle name="Input [yellow] 3 11 7 18" xfId="10534"/>
    <cellStyle name="Input [yellow] 3 11 7 18 2" xfId="21731"/>
    <cellStyle name="Input [yellow] 3 11 7 18 3" xfId="32899"/>
    <cellStyle name="Input [yellow] 3 11 7 18 4" xfId="44064"/>
    <cellStyle name="Input [yellow] 3 11 7 18 5" xfId="55257"/>
    <cellStyle name="Input [yellow] 3 11 7 19" xfId="10959"/>
    <cellStyle name="Input [yellow] 3 11 7 19 2" xfId="22156"/>
    <cellStyle name="Input [yellow] 3 11 7 19 3" xfId="33324"/>
    <cellStyle name="Input [yellow] 3 11 7 19 4" xfId="44489"/>
    <cellStyle name="Input [yellow] 3 11 7 19 5" xfId="55682"/>
    <cellStyle name="Input [yellow] 3 11 7 2" xfId="1055"/>
    <cellStyle name="Input [yellow] 3 11 7 2 2" xfId="12252"/>
    <cellStyle name="Input [yellow] 3 11 7 2 3" xfId="23420"/>
    <cellStyle name="Input [yellow] 3 11 7 2 4" xfId="34585"/>
    <cellStyle name="Input [yellow] 3 11 7 2 5" xfId="45778"/>
    <cellStyle name="Input [yellow] 3 11 7 20" xfId="11606"/>
    <cellStyle name="Input [yellow] 3 11 7 21" xfId="22776"/>
    <cellStyle name="Input [yellow] 3 11 7 22" xfId="33943"/>
    <cellStyle name="Input [yellow] 3 11 7 23" xfId="45129"/>
    <cellStyle name="Input [yellow] 3 11 7 3" xfId="1379"/>
    <cellStyle name="Input [yellow] 3 11 7 3 2" xfId="12576"/>
    <cellStyle name="Input [yellow] 3 11 7 3 3" xfId="23744"/>
    <cellStyle name="Input [yellow] 3 11 7 3 4" xfId="34909"/>
    <cellStyle name="Input [yellow] 3 11 7 3 5" xfId="46102"/>
    <cellStyle name="Input [yellow] 3 11 7 4" xfId="2331"/>
    <cellStyle name="Input [yellow] 3 11 7 4 2" xfId="13528"/>
    <cellStyle name="Input [yellow] 3 11 7 4 3" xfId="24696"/>
    <cellStyle name="Input [yellow] 3 11 7 4 4" xfId="35861"/>
    <cellStyle name="Input [yellow] 3 11 7 4 5" xfId="47054"/>
    <cellStyle name="Input [yellow] 3 11 7 5" xfId="2756"/>
    <cellStyle name="Input [yellow] 3 11 7 5 2" xfId="13953"/>
    <cellStyle name="Input [yellow] 3 11 7 5 3" xfId="25121"/>
    <cellStyle name="Input [yellow] 3 11 7 5 4" xfId="36286"/>
    <cellStyle name="Input [yellow] 3 11 7 5 5" xfId="47479"/>
    <cellStyle name="Input [yellow] 3 11 7 6" xfId="3390"/>
    <cellStyle name="Input [yellow] 3 11 7 6 2" xfId="14587"/>
    <cellStyle name="Input [yellow] 3 11 7 6 3" xfId="25755"/>
    <cellStyle name="Input [yellow] 3 11 7 6 4" xfId="36920"/>
    <cellStyle name="Input [yellow] 3 11 7 6 5" xfId="48113"/>
    <cellStyle name="Input [yellow] 3 11 7 7" xfId="4024"/>
    <cellStyle name="Input [yellow] 3 11 7 7 2" xfId="15221"/>
    <cellStyle name="Input [yellow] 3 11 7 7 3" xfId="26389"/>
    <cellStyle name="Input [yellow] 3 11 7 7 4" xfId="37554"/>
    <cellStyle name="Input [yellow] 3 11 7 7 5" xfId="48747"/>
    <cellStyle name="Input [yellow] 3 11 7 8" xfId="4657"/>
    <cellStyle name="Input [yellow] 3 11 7 8 2" xfId="15854"/>
    <cellStyle name="Input [yellow] 3 11 7 8 3" xfId="27022"/>
    <cellStyle name="Input [yellow] 3 11 7 8 4" xfId="38187"/>
    <cellStyle name="Input [yellow] 3 11 7 8 5" xfId="49380"/>
    <cellStyle name="Input [yellow] 3 11 7 9" xfId="5288"/>
    <cellStyle name="Input [yellow] 3 11 7 9 2" xfId="16485"/>
    <cellStyle name="Input [yellow] 3 11 7 9 3" xfId="27653"/>
    <cellStyle name="Input [yellow] 3 11 7 9 4" xfId="38818"/>
    <cellStyle name="Input [yellow] 3 11 7 9 5" xfId="50011"/>
    <cellStyle name="Input [yellow] 3 11 8" xfId="491"/>
    <cellStyle name="Input [yellow] 3 11 8 10" xfId="5713"/>
    <cellStyle name="Input [yellow] 3 11 8 10 2" xfId="16910"/>
    <cellStyle name="Input [yellow] 3 11 8 10 3" xfId="28078"/>
    <cellStyle name="Input [yellow] 3 11 8 10 4" xfId="39243"/>
    <cellStyle name="Input [yellow] 3 11 8 10 5" xfId="50436"/>
    <cellStyle name="Input [yellow] 3 11 8 11" xfId="6427"/>
    <cellStyle name="Input [yellow] 3 11 8 11 2" xfId="17624"/>
    <cellStyle name="Input [yellow] 3 11 8 11 3" xfId="28792"/>
    <cellStyle name="Input [yellow] 3 11 8 11 4" xfId="39957"/>
    <cellStyle name="Input [yellow] 3 11 8 11 5" xfId="51150"/>
    <cellStyle name="Input [yellow] 3 11 8 12" xfId="7060"/>
    <cellStyle name="Input [yellow] 3 11 8 12 2" xfId="18257"/>
    <cellStyle name="Input [yellow] 3 11 8 12 3" xfId="29425"/>
    <cellStyle name="Input [yellow] 3 11 8 12 4" xfId="40590"/>
    <cellStyle name="Input [yellow] 3 11 8 12 5" xfId="51783"/>
    <cellStyle name="Input [yellow] 3 11 8 13" xfId="7694"/>
    <cellStyle name="Input [yellow] 3 11 8 13 2" xfId="18891"/>
    <cellStyle name="Input [yellow] 3 11 8 13 3" xfId="30059"/>
    <cellStyle name="Input [yellow] 3 11 8 13 4" xfId="41224"/>
    <cellStyle name="Input [yellow] 3 11 8 13 5" xfId="52417"/>
    <cellStyle name="Input [yellow] 3 11 8 14" xfId="8328"/>
    <cellStyle name="Input [yellow] 3 11 8 14 2" xfId="19525"/>
    <cellStyle name="Input [yellow] 3 11 8 14 3" xfId="30693"/>
    <cellStyle name="Input [yellow] 3 11 8 14 4" xfId="41858"/>
    <cellStyle name="Input [yellow] 3 11 8 14 5" xfId="53051"/>
    <cellStyle name="Input [yellow] 3 11 8 15" xfId="8956"/>
    <cellStyle name="Input [yellow] 3 11 8 15 2" xfId="20153"/>
    <cellStyle name="Input [yellow] 3 11 8 15 3" xfId="31321"/>
    <cellStyle name="Input [yellow] 3 11 8 15 4" xfId="42486"/>
    <cellStyle name="Input [yellow] 3 11 8 15 5" xfId="53679"/>
    <cellStyle name="Input [yellow] 3 11 8 16" xfId="9379"/>
    <cellStyle name="Input [yellow] 3 11 8 16 2" xfId="20576"/>
    <cellStyle name="Input [yellow] 3 11 8 16 3" xfId="31744"/>
    <cellStyle name="Input [yellow] 3 11 8 16 4" xfId="42909"/>
    <cellStyle name="Input [yellow] 3 11 8 16 5" xfId="54102"/>
    <cellStyle name="Input [yellow] 3 11 8 17" xfId="10004"/>
    <cellStyle name="Input [yellow] 3 11 8 17 2" xfId="21201"/>
    <cellStyle name="Input [yellow] 3 11 8 17 3" xfId="32369"/>
    <cellStyle name="Input [yellow] 3 11 8 17 4" xfId="43534"/>
    <cellStyle name="Input [yellow] 3 11 8 17 5" xfId="54727"/>
    <cellStyle name="Input [yellow] 3 11 8 18" xfId="10413"/>
    <cellStyle name="Input [yellow] 3 11 8 18 2" xfId="21610"/>
    <cellStyle name="Input [yellow] 3 11 8 18 3" xfId="32778"/>
    <cellStyle name="Input [yellow] 3 11 8 18 4" xfId="43943"/>
    <cellStyle name="Input [yellow] 3 11 8 18 5" xfId="55136"/>
    <cellStyle name="Input [yellow] 3 11 8 19" xfId="11044"/>
    <cellStyle name="Input [yellow] 3 11 8 19 2" xfId="22241"/>
    <cellStyle name="Input [yellow] 3 11 8 19 3" xfId="33409"/>
    <cellStyle name="Input [yellow] 3 11 8 19 4" xfId="44574"/>
    <cellStyle name="Input [yellow] 3 11 8 19 5" xfId="55767"/>
    <cellStyle name="Input [yellow] 3 11 8 2" xfId="1140"/>
    <cellStyle name="Input [yellow] 3 11 8 2 2" xfId="12337"/>
    <cellStyle name="Input [yellow] 3 11 8 2 3" xfId="23505"/>
    <cellStyle name="Input [yellow] 3 11 8 2 4" xfId="34670"/>
    <cellStyle name="Input [yellow] 3 11 8 2 5" xfId="45863"/>
    <cellStyle name="Input [yellow] 3 11 8 20" xfId="11691"/>
    <cellStyle name="Input [yellow] 3 11 8 21" xfId="22861"/>
    <cellStyle name="Input [yellow] 3 11 8 22" xfId="34028"/>
    <cellStyle name="Input [yellow] 3 11 8 23" xfId="45214"/>
    <cellStyle name="Input [yellow] 3 11 8 3" xfId="1732"/>
    <cellStyle name="Input [yellow] 3 11 8 3 2" xfId="12929"/>
    <cellStyle name="Input [yellow] 3 11 8 3 3" xfId="24097"/>
    <cellStyle name="Input [yellow] 3 11 8 3 4" xfId="35262"/>
    <cellStyle name="Input [yellow] 3 11 8 3 5" xfId="46455"/>
    <cellStyle name="Input [yellow] 3 11 8 4" xfId="2416"/>
    <cellStyle name="Input [yellow] 3 11 8 4 2" xfId="13613"/>
    <cellStyle name="Input [yellow] 3 11 8 4 3" xfId="24781"/>
    <cellStyle name="Input [yellow] 3 11 8 4 4" xfId="35946"/>
    <cellStyle name="Input [yellow] 3 11 8 4 5" xfId="47139"/>
    <cellStyle name="Input [yellow] 3 11 8 5" xfId="2841"/>
    <cellStyle name="Input [yellow] 3 11 8 5 2" xfId="14038"/>
    <cellStyle name="Input [yellow] 3 11 8 5 3" xfId="25206"/>
    <cellStyle name="Input [yellow] 3 11 8 5 4" xfId="36371"/>
    <cellStyle name="Input [yellow] 3 11 8 5 5" xfId="47564"/>
    <cellStyle name="Input [yellow] 3 11 8 6" xfId="3475"/>
    <cellStyle name="Input [yellow] 3 11 8 6 2" xfId="14672"/>
    <cellStyle name="Input [yellow] 3 11 8 6 3" xfId="25840"/>
    <cellStyle name="Input [yellow] 3 11 8 6 4" xfId="37005"/>
    <cellStyle name="Input [yellow] 3 11 8 6 5" xfId="48198"/>
    <cellStyle name="Input [yellow] 3 11 8 7" xfId="4109"/>
    <cellStyle name="Input [yellow] 3 11 8 7 2" xfId="15306"/>
    <cellStyle name="Input [yellow] 3 11 8 7 3" xfId="26474"/>
    <cellStyle name="Input [yellow] 3 11 8 7 4" xfId="37639"/>
    <cellStyle name="Input [yellow] 3 11 8 7 5" xfId="48832"/>
    <cellStyle name="Input [yellow] 3 11 8 8" xfId="4742"/>
    <cellStyle name="Input [yellow] 3 11 8 8 2" xfId="15939"/>
    <cellStyle name="Input [yellow] 3 11 8 8 3" xfId="27107"/>
    <cellStyle name="Input [yellow] 3 11 8 8 4" xfId="38272"/>
    <cellStyle name="Input [yellow] 3 11 8 8 5" xfId="49465"/>
    <cellStyle name="Input [yellow] 3 11 8 9" xfId="5373"/>
    <cellStyle name="Input [yellow] 3 11 8 9 2" xfId="16570"/>
    <cellStyle name="Input [yellow] 3 11 8 9 3" xfId="27738"/>
    <cellStyle name="Input [yellow] 3 11 8 9 4" xfId="38903"/>
    <cellStyle name="Input [yellow] 3 11 8 9 5" xfId="50096"/>
    <cellStyle name="Input [yellow] 3 11 9" xfId="549"/>
    <cellStyle name="Input [yellow] 3 11 9 10" xfId="6123"/>
    <cellStyle name="Input [yellow] 3 11 9 10 2" xfId="17320"/>
    <cellStyle name="Input [yellow] 3 11 9 10 3" xfId="28488"/>
    <cellStyle name="Input [yellow] 3 11 9 10 4" xfId="39653"/>
    <cellStyle name="Input [yellow] 3 11 9 10 5" xfId="50846"/>
    <cellStyle name="Input [yellow] 3 11 9 11" xfId="6485"/>
    <cellStyle name="Input [yellow] 3 11 9 11 2" xfId="17682"/>
    <cellStyle name="Input [yellow] 3 11 9 11 3" xfId="28850"/>
    <cellStyle name="Input [yellow] 3 11 9 11 4" xfId="40015"/>
    <cellStyle name="Input [yellow] 3 11 9 11 5" xfId="51208"/>
    <cellStyle name="Input [yellow] 3 11 9 12" xfId="7118"/>
    <cellStyle name="Input [yellow] 3 11 9 12 2" xfId="18315"/>
    <cellStyle name="Input [yellow] 3 11 9 12 3" xfId="29483"/>
    <cellStyle name="Input [yellow] 3 11 9 12 4" xfId="40648"/>
    <cellStyle name="Input [yellow] 3 11 9 12 5" xfId="51841"/>
    <cellStyle name="Input [yellow] 3 11 9 13" xfId="7752"/>
    <cellStyle name="Input [yellow] 3 11 9 13 2" xfId="18949"/>
    <cellStyle name="Input [yellow] 3 11 9 13 3" xfId="30117"/>
    <cellStyle name="Input [yellow] 3 11 9 13 4" xfId="41282"/>
    <cellStyle name="Input [yellow] 3 11 9 13 5" xfId="52475"/>
    <cellStyle name="Input [yellow] 3 11 9 14" xfId="8386"/>
    <cellStyle name="Input [yellow] 3 11 9 14 2" xfId="19583"/>
    <cellStyle name="Input [yellow] 3 11 9 14 3" xfId="30751"/>
    <cellStyle name="Input [yellow] 3 11 9 14 4" xfId="41916"/>
    <cellStyle name="Input [yellow] 3 11 9 14 5" xfId="53109"/>
    <cellStyle name="Input [yellow] 3 11 9 15" xfId="9014"/>
    <cellStyle name="Input [yellow] 3 11 9 15 2" xfId="20211"/>
    <cellStyle name="Input [yellow] 3 11 9 15 3" xfId="31379"/>
    <cellStyle name="Input [yellow] 3 11 9 15 4" xfId="42544"/>
    <cellStyle name="Input [yellow] 3 11 9 15 5" xfId="53737"/>
    <cellStyle name="Input [yellow] 3 11 9 16" xfId="9437"/>
    <cellStyle name="Input [yellow] 3 11 9 16 2" xfId="20634"/>
    <cellStyle name="Input [yellow] 3 11 9 16 3" xfId="31802"/>
    <cellStyle name="Input [yellow] 3 11 9 16 4" xfId="42967"/>
    <cellStyle name="Input [yellow] 3 11 9 16 5" xfId="54160"/>
    <cellStyle name="Input [yellow] 3 11 9 17" xfId="10062"/>
    <cellStyle name="Input [yellow] 3 11 9 17 2" xfId="21259"/>
    <cellStyle name="Input [yellow] 3 11 9 17 3" xfId="32427"/>
    <cellStyle name="Input [yellow] 3 11 9 17 4" xfId="43592"/>
    <cellStyle name="Input [yellow] 3 11 9 17 5" xfId="54785"/>
    <cellStyle name="Input [yellow] 3 11 9 18" xfId="10272"/>
    <cellStyle name="Input [yellow] 3 11 9 18 2" xfId="21469"/>
    <cellStyle name="Input [yellow] 3 11 9 18 3" xfId="32637"/>
    <cellStyle name="Input [yellow] 3 11 9 18 4" xfId="43802"/>
    <cellStyle name="Input [yellow] 3 11 9 18 5" xfId="54995"/>
    <cellStyle name="Input [yellow] 3 11 9 19" xfId="11102"/>
    <cellStyle name="Input [yellow] 3 11 9 19 2" xfId="22299"/>
    <cellStyle name="Input [yellow] 3 11 9 19 3" xfId="33467"/>
    <cellStyle name="Input [yellow] 3 11 9 19 4" xfId="44632"/>
    <cellStyle name="Input [yellow] 3 11 9 19 5" xfId="55825"/>
    <cellStyle name="Input [yellow] 3 11 9 2" xfId="1198"/>
    <cellStyle name="Input [yellow] 3 11 9 2 2" xfId="12395"/>
    <cellStyle name="Input [yellow] 3 11 9 2 3" xfId="23563"/>
    <cellStyle name="Input [yellow] 3 11 9 2 4" xfId="34728"/>
    <cellStyle name="Input [yellow] 3 11 9 2 5" xfId="45921"/>
    <cellStyle name="Input [yellow] 3 11 9 20" xfId="11749"/>
    <cellStyle name="Input [yellow] 3 11 9 21" xfId="22919"/>
    <cellStyle name="Input [yellow] 3 11 9 22" xfId="34086"/>
    <cellStyle name="Input [yellow] 3 11 9 23" xfId="45272"/>
    <cellStyle name="Input [yellow] 3 11 9 3" xfId="1531"/>
    <cellStyle name="Input [yellow] 3 11 9 3 2" xfId="12728"/>
    <cellStyle name="Input [yellow] 3 11 9 3 3" xfId="23896"/>
    <cellStyle name="Input [yellow] 3 11 9 3 4" xfId="35061"/>
    <cellStyle name="Input [yellow] 3 11 9 3 5" xfId="46254"/>
    <cellStyle name="Input [yellow] 3 11 9 4" xfId="2474"/>
    <cellStyle name="Input [yellow] 3 11 9 4 2" xfId="13671"/>
    <cellStyle name="Input [yellow] 3 11 9 4 3" xfId="24839"/>
    <cellStyle name="Input [yellow] 3 11 9 4 4" xfId="36004"/>
    <cellStyle name="Input [yellow] 3 11 9 4 5" xfId="47197"/>
    <cellStyle name="Input [yellow] 3 11 9 5" xfId="2899"/>
    <cellStyle name="Input [yellow] 3 11 9 5 2" xfId="14096"/>
    <cellStyle name="Input [yellow] 3 11 9 5 3" xfId="25264"/>
    <cellStyle name="Input [yellow] 3 11 9 5 4" xfId="36429"/>
    <cellStyle name="Input [yellow] 3 11 9 5 5" xfId="47622"/>
    <cellStyle name="Input [yellow] 3 11 9 6" xfId="3533"/>
    <cellStyle name="Input [yellow] 3 11 9 6 2" xfId="14730"/>
    <cellStyle name="Input [yellow] 3 11 9 6 3" xfId="25898"/>
    <cellStyle name="Input [yellow] 3 11 9 6 4" xfId="37063"/>
    <cellStyle name="Input [yellow] 3 11 9 6 5" xfId="48256"/>
    <cellStyle name="Input [yellow] 3 11 9 7" xfId="4167"/>
    <cellStyle name="Input [yellow] 3 11 9 7 2" xfId="15364"/>
    <cellStyle name="Input [yellow] 3 11 9 7 3" xfId="26532"/>
    <cellStyle name="Input [yellow] 3 11 9 7 4" xfId="37697"/>
    <cellStyle name="Input [yellow] 3 11 9 7 5" xfId="48890"/>
    <cellStyle name="Input [yellow] 3 11 9 8" xfId="4800"/>
    <cellStyle name="Input [yellow] 3 11 9 8 2" xfId="15997"/>
    <cellStyle name="Input [yellow] 3 11 9 8 3" xfId="27165"/>
    <cellStyle name="Input [yellow] 3 11 9 8 4" xfId="38330"/>
    <cellStyle name="Input [yellow] 3 11 9 8 5" xfId="49523"/>
    <cellStyle name="Input [yellow] 3 11 9 9" xfId="5431"/>
    <cellStyle name="Input [yellow] 3 11 9 9 2" xfId="16628"/>
    <cellStyle name="Input [yellow] 3 11 9 9 3" xfId="27796"/>
    <cellStyle name="Input [yellow] 3 11 9 9 4" xfId="38961"/>
    <cellStyle name="Input [yellow] 3 11 9 9 5" xfId="50154"/>
    <cellStyle name="Input [yellow] 3 12" xfId="86"/>
    <cellStyle name="Input [yellow] 3 12 10" xfId="582"/>
    <cellStyle name="Input [yellow] 3 12 10 10" xfId="6153"/>
    <cellStyle name="Input [yellow] 3 12 10 10 2" xfId="17350"/>
    <cellStyle name="Input [yellow] 3 12 10 10 3" xfId="28518"/>
    <cellStyle name="Input [yellow] 3 12 10 10 4" xfId="39683"/>
    <cellStyle name="Input [yellow] 3 12 10 10 5" xfId="50876"/>
    <cellStyle name="Input [yellow] 3 12 10 11" xfId="6518"/>
    <cellStyle name="Input [yellow] 3 12 10 11 2" xfId="17715"/>
    <cellStyle name="Input [yellow] 3 12 10 11 3" xfId="28883"/>
    <cellStyle name="Input [yellow] 3 12 10 11 4" xfId="40048"/>
    <cellStyle name="Input [yellow] 3 12 10 11 5" xfId="51241"/>
    <cellStyle name="Input [yellow] 3 12 10 12" xfId="7151"/>
    <cellStyle name="Input [yellow] 3 12 10 12 2" xfId="18348"/>
    <cellStyle name="Input [yellow] 3 12 10 12 3" xfId="29516"/>
    <cellStyle name="Input [yellow] 3 12 10 12 4" xfId="40681"/>
    <cellStyle name="Input [yellow] 3 12 10 12 5" xfId="51874"/>
    <cellStyle name="Input [yellow] 3 12 10 13" xfId="7785"/>
    <cellStyle name="Input [yellow] 3 12 10 13 2" xfId="18982"/>
    <cellStyle name="Input [yellow] 3 12 10 13 3" xfId="30150"/>
    <cellStyle name="Input [yellow] 3 12 10 13 4" xfId="41315"/>
    <cellStyle name="Input [yellow] 3 12 10 13 5" xfId="52508"/>
    <cellStyle name="Input [yellow] 3 12 10 14" xfId="8419"/>
    <cellStyle name="Input [yellow] 3 12 10 14 2" xfId="19616"/>
    <cellStyle name="Input [yellow] 3 12 10 14 3" xfId="30784"/>
    <cellStyle name="Input [yellow] 3 12 10 14 4" xfId="41949"/>
    <cellStyle name="Input [yellow] 3 12 10 14 5" xfId="53142"/>
    <cellStyle name="Input [yellow] 3 12 10 15" xfId="9047"/>
    <cellStyle name="Input [yellow] 3 12 10 15 2" xfId="20244"/>
    <cellStyle name="Input [yellow] 3 12 10 15 3" xfId="31412"/>
    <cellStyle name="Input [yellow] 3 12 10 15 4" xfId="42577"/>
    <cellStyle name="Input [yellow] 3 12 10 15 5" xfId="53770"/>
    <cellStyle name="Input [yellow] 3 12 10 16" xfId="9470"/>
    <cellStyle name="Input [yellow] 3 12 10 16 2" xfId="20667"/>
    <cellStyle name="Input [yellow] 3 12 10 16 3" xfId="31835"/>
    <cellStyle name="Input [yellow] 3 12 10 16 4" xfId="43000"/>
    <cellStyle name="Input [yellow] 3 12 10 16 5" xfId="54193"/>
    <cellStyle name="Input [yellow] 3 12 10 17" xfId="10095"/>
    <cellStyle name="Input [yellow] 3 12 10 17 2" xfId="21292"/>
    <cellStyle name="Input [yellow] 3 12 10 17 3" xfId="32460"/>
    <cellStyle name="Input [yellow] 3 12 10 17 4" xfId="43625"/>
    <cellStyle name="Input [yellow] 3 12 10 17 5" xfId="54818"/>
    <cellStyle name="Input [yellow] 3 12 10 18" xfId="10334"/>
    <cellStyle name="Input [yellow] 3 12 10 18 2" xfId="21531"/>
    <cellStyle name="Input [yellow] 3 12 10 18 3" xfId="32699"/>
    <cellStyle name="Input [yellow] 3 12 10 18 4" xfId="43864"/>
    <cellStyle name="Input [yellow] 3 12 10 18 5" xfId="55057"/>
    <cellStyle name="Input [yellow] 3 12 10 19" xfId="11135"/>
    <cellStyle name="Input [yellow] 3 12 10 19 2" xfId="22332"/>
    <cellStyle name="Input [yellow] 3 12 10 19 3" xfId="33500"/>
    <cellStyle name="Input [yellow] 3 12 10 19 4" xfId="44665"/>
    <cellStyle name="Input [yellow] 3 12 10 19 5" xfId="55858"/>
    <cellStyle name="Input [yellow] 3 12 10 2" xfId="1231"/>
    <cellStyle name="Input [yellow] 3 12 10 2 2" xfId="12428"/>
    <cellStyle name="Input [yellow] 3 12 10 2 3" xfId="23596"/>
    <cellStyle name="Input [yellow] 3 12 10 2 4" xfId="34761"/>
    <cellStyle name="Input [yellow] 3 12 10 2 5" xfId="45954"/>
    <cellStyle name="Input [yellow] 3 12 10 20" xfId="11782"/>
    <cellStyle name="Input [yellow] 3 12 10 21" xfId="22952"/>
    <cellStyle name="Input [yellow] 3 12 10 22" xfId="34119"/>
    <cellStyle name="Input [yellow] 3 12 10 23" xfId="45305"/>
    <cellStyle name="Input [yellow] 3 12 10 3" xfId="1582"/>
    <cellStyle name="Input [yellow] 3 12 10 3 2" xfId="12779"/>
    <cellStyle name="Input [yellow] 3 12 10 3 3" xfId="23947"/>
    <cellStyle name="Input [yellow] 3 12 10 3 4" xfId="35112"/>
    <cellStyle name="Input [yellow] 3 12 10 3 5" xfId="46305"/>
    <cellStyle name="Input [yellow] 3 12 10 4" xfId="2507"/>
    <cellStyle name="Input [yellow] 3 12 10 4 2" xfId="13704"/>
    <cellStyle name="Input [yellow] 3 12 10 4 3" xfId="24872"/>
    <cellStyle name="Input [yellow] 3 12 10 4 4" xfId="36037"/>
    <cellStyle name="Input [yellow] 3 12 10 4 5" xfId="47230"/>
    <cellStyle name="Input [yellow] 3 12 10 5" xfId="2932"/>
    <cellStyle name="Input [yellow] 3 12 10 5 2" xfId="14129"/>
    <cellStyle name="Input [yellow] 3 12 10 5 3" xfId="25297"/>
    <cellStyle name="Input [yellow] 3 12 10 5 4" xfId="36462"/>
    <cellStyle name="Input [yellow] 3 12 10 5 5" xfId="47655"/>
    <cellStyle name="Input [yellow] 3 12 10 6" xfId="3566"/>
    <cellStyle name="Input [yellow] 3 12 10 6 2" xfId="14763"/>
    <cellStyle name="Input [yellow] 3 12 10 6 3" xfId="25931"/>
    <cellStyle name="Input [yellow] 3 12 10 6 4" xfId="37096"/>
    <cellStyle name="Input [yellow] 3 12 10 6 5" xfId="48289"/>
    <cellStyle name="Input [yellow] 3 12 10 7" xfId="4200"/>
    <cellStyle name="Input [yellow] 3 12 10 7 2" xfId="15397"/>
    <cellStyle name="Input [yellow] 3 12 10 7 3" xfId="26565"/>
    <cellStyle name="Input [yellow] 3 12 10 7 4" xfId="37730"/>
    <cellStyle name="Input [yellow] 3 12 10 7 5" xfId="48923"/>
    <cellStyle name="Input [yellow] 3 12 10 8" xfId="4833"/>
    <cellStyle name="Input [yellow] 3 12 10 8 2" xfId="16030"/>
    <cellStyle name="Input [yellow] 3 12 10 8 3" xfId="27198"/>
    <cellStyle name="Input [yellow] 3 12 10 8 4" xfId="38363"/>
    <cellStyle name="Input [yellow] 3 12 10 8 5" xfId="49556"/>
    <cellStyle name="Input [yellow] 3 12 10 9" xfId="5464"/>
    <cellStyle name="Input [yellow] 3 12 10 9 2" xfId="16661"/>
    <cellStyle name="Input [yellow] 3 12 10 9 3" xfId="27829"/>
    <cellStyle name="Input [yellow] 3 12 10 9 4" xfId="38994"/>
    <cellStyle name="Input [yellow] 3 12 10 9 5" xfId="50187"/>
    <cellStyle name="Input [yellow] 3 12 11" xfId="646"/>
    <cellStyle name="Input [yellow] 3 12 11 10" xfId="5836"/>
    <cellStyle name="Input [yellow] 3 12 11 10 2" xfId="17033"/>
    <cellStyle name="Input [yellow] 3 12 11 10 3" xfId="28201"/>
    <cellStyle name="Input [yellow] 3 12 11 10 4" xfId="39366"/>
    <cellStyle name="Input [yellow] 3 12 11 10 5" xfId="50559"/>
    <cellStyle name="Input [yellow] 3 12 11 11" xfId="6582"/>
    <cellStyle name="Input [yellow] 3 12 11 11 2" xfId="17779"/>
    <cellStyle name="Input [yellow] 3 12 11 11 3" xfId="28947"/>
    <cellStyle name="Input [yellow] 3 12 11 11 4" xfId="40112"/>
    <cellStyle name="Input [yellow] 3 12 11 11 5" xfId="51305"/>
    <cellStyle name="Input [yellow] 3 12 11 12" xfId="7215"/>
    <cellStyle name="Input [yellow] 3 12 11 12 2" xfId="18412"/>
    <cellStyle name="Input [yellow] 3 12 11 12 3" xfId="29580"/>
    <cellStyle name="Input [yellow] 3 12 11 12 4" xfId="40745"/>
    <cellStyle name="Input [yellow] 3 12 11 12 5" xfId="51938"/>
    <cellStyle name="Input [yellow] 3 12 11 13" xfId="7849"/>
    <cellStyle name="Input [yellow] 3 12 11 13 2" xfId="19046"/>
    <cellStyle name="Input [yellow] 3 12 11 13 3" xfId="30214"/>
    <cellStyle name="Input [yellow] 3 12 11 13 4" xfId="41379"/>
    <cellStyle name="Input [yellow] 3 12 11 13 5" xfId="52572"/>
    <cellStyle name="Input [yellow] 3 12 11 14" xfId="8483"/>
    <cellStyle name="Input [yellow] 3 12 11 14 2" xfId="19680"/>
    <cellStyle name="Input [yellow] 3 12 11 14 3" xfId="30848"/>
    <cellStyle name="Input [yellow] 3 12 11 14 4" xfId="42013"/>
    <cellStyle name="Input [yellow] 3 12 11 14 5" xfId="53206"/>
    <cellStyle name="Input [yellow] 3 12 11 15" xfId="9111"/>
    <cellStyle name="Input [yellow] 3 12 11 15 2" xfId="20308"/>
    <cellStyle name="Input [yellow] 3 12 11 15 3" xfId="31476"/>
    <cellStyle name="Input [yellow] 3 12 11 15 4" xfId="42641"/>
    <cellStyle name="Input [yellow] 3 12 11 15 5" xfId="53834"/>
    <cellStyle name="Input [yellow] 3 12 11 16" xfId="9534"/>
    <cellStyle name="Input [yellow] 3 12 11 16 2" xfId="20731"/>
    <cellStyle name="Input [yellow] 3 12 11 16 3" xfId="31899"/>
    <cellStyle name="Input [yellow] 3 12 11 16 4" xfId="43064"/>
    <cellStyle name="Input [yellow] 3 12 11 16 5" xfId="54257"/>
    <cellStyle name="Input [yellow] 3 12 11 17" xfId="10159"/>
    <cellStyle name="Input [yellow] 3 12 11 17 2" xfId="21356"/>
    <cellStyle name="Input [yellow] 3 12 11 17 3" xfId="32524"/>
    <cellStyle name="Input [yellow] 3 12 11 17 4" xfId="43689"/>
    <cellStyle name="Input [yellow] 3 12 11 17 5" xfId="54882"/>
    <cellStyle name="Input [yellow] 3 12 11 18" xfId="10422"/>
    <cellStyle name="Input [yellow] 3 12 11 18 2" xfId="21619"/>
    <cellStyle name="Input [yellow] 3 12 11 18 3" xfId="32787"/>
    <cellStyle name="Input [yellow] 3 12 11 18 4" xfId="43952"/>
    <cellStyle name="Input [yellow] 3 12 11 18 5" xfId="55145"/>
    <cellStyle name="Input [yellow] 3 12 11 19" xfId="11199"/>
    <cellStyle name="Input [yellow] 3 12 11 19 2" xfId="22396"/>
    <cellStyle name="Input [yellow] 3 12 11 19 3" xfId="33564"/>
    <cellStyle name="Input [yellow] 3 12 11 19 4" xfId="44729"/>
    <cellStyle name="Input [yellow] 3 12 11 19 5" xfId="55922"/>
    <cellStyle name="Input [yellow] 3 12 11 2" xfId="1295"/>
    <cellStyle name="Input [yellow] 3 12 11 2 2" xfId="12492"/>
    <cellStyle name="Input [yellow] 3 12 11 2 3" xfId="23660"/>
    <cellStyle name="Input [yellow] 3 12 11 2 4" xfId="34825"/>
    <cellStyle name="Input [yellow] 3 12 11 2 5" xfId="46018"/>
    <cellStyle name="Input [yellow] 3 12 11 20" xfId="11846"/>
    <cellStyle name="Input [yellow] 3 12 11 21" xfId="23016"/>
    <cellStyle name="Input [yellow] 3 12 11 22" xfId="34183"/>
    <cellStyle name="Input [yellow] 3 12 11 23" xfId="45369"/>
    <cellStyle name="Input [yellow] 3 12 11 3" xfId="1694"/>
    <cellStyle name="Input [yellow] 3 12 11 3 2" xfId="12891"/>
    <cellStyle name="Input [yellow] 3 12 11 3 3" xfId="24059"/>
    <cellStyle name="Input [yellow] 3 12 11 3 4" xfId="35224"/>
    <cellStyle name="Input [yellow] 3 12 11 3 5" xfId="46417"/>
    <cellStyle name="Input [yellow] 3 12 11 4" xfId="2571"/>
    <cellStyle name="Input [yellow] 3 12 11 4 2" xfId="13768"/>
    <cellStyle name="Input [yellow] 3 12 11 4 3" xfId="24936"/>
    <cellStyle name="Input [yellow] 3 12 11 4 4" xfId="36101"/>
    <cellStyle name="Input [yellow] 3 12 11 4 5" xfId="47294"/>
    <cellStyle name="Input [yellow] 3 12 11 5" xfId="2996"/>
    <cellStyle name="Input [yellow] 3 12 11 5 2" xfId="14193"/>
    <cellStyle name="Input [yellow] 3 12 11 5 3" xfId="25361"/>
    <cellStyle name="Input [yellow] 3 12 11 5 4" xfId="36526"/>
    <cellStyle name="Input [yellow] 3 12 11 5 5" xfId="47719"/>
    <cellStyle name="Input [yellow] 3 12 11 6" xfId="3630"/>
    <cellStyle name="Input [yellow] 3 12 11 6 2" xfId="14827"/>
    <cellStyle name="Input [yellow] 3 12 11 6 3" xfId="25995"/>
    <cellStyle name="Input [yellow] 3 12 11 6 4" xfId="37160"/>
    <cellStyle name="Input [yellow] 3 12 11 6 5" xfId="48353"/>
    <cellStyle name="Input [yellow] 3 12 11 7" xfId="4264"/>
    <cellStyle name="Input [yellow] 3 12 11 7 2" xfId="15461"/>
    <cellStyle name="Input [yellow] 3 12 11 7 3" xfId="26629"/>
    <cellStyle name="Input [yellow] 3 12 11 7 4" xfId="37794"/>
    <cellStyle name="Input [yellow] 3 12 11 7 5" xfId="48987"/>
    <cellStyle name="Input [yellow] 3 12 11 8" xfId="4897"/>
    <cellStyle name="Input [yellow] 3 12 11 8 2" xfId="16094"/>
    <cellStyle name="Input [yellow] 3 12 11 8 3" xfId="27262"/>
    <cellStyle name="Input [yellow] 3 12 11 8 4" xfId="38427"/>
    <cellStyle name="Input [yellow] 3 12 11 8 5" xfId="49620"/>
    <cellStyle name="Input [yellow] 3 12 11 9" xfId="5528"/>
    <cellStyle name="Input [yellow] 3 12 11 9 2" xfId="16725"/>
    <cellStyle name="Input [yellow] 3 12 11 9 3" xfId="27893"/>
    <cellStyle name="Input [yellow] 3 12 11 9 4" xfId="39058"/>
    <cellStyle name="Input [yellow] 3 12 11 9 5" xfId="50251"/>
    <cellStyle name="Input [yellow] 3 12 12" xfId="735"/>
    <cellStyle name="Input [yellow] 3 12 12 2" xfId="11933"/>
    <cellStyle name="Input [yellow] 3 12 12 3" xfId="23101"/>
    <cellStyle name="Input [yellow] 3 12 12 4" xfId="34266"/>
    <cellStyle name="Input [yellow] 3 12 12 5" xfId="45458"/>
    <cellStyle name="Input [yellow] 3 12 13" xfId="1353"/>
    <cellStyle name="Input [yellow] 3 12 13 2" xfId="12550"/>
    <cellStyle name="Input [yellow] 3 12 13 3" xfId="23718"/>
    <cellStyle name="Input [yellow] 3 12 13 4" xfId="34883"/>
    <cellStyle name="Input [yellow] 3 12 13 5" xfId="46076"/>
    <cellStyle name="Input [yellow] 3 12 14" xfId="2012"/>
    <cellStyle name="Input [yellow] 3 12 14 2" xfId="13209"/>
    <cellStyle name="Input [yellow] 3 12 14 3" xfId="24377"/>
    <cellStyle name="Input [yellow] 3 12 14 4" xfId="35542"/>
    <cellStyle name="Input [yellow] 3 12 14 5" xfId="46735"/>
    <cellStyle name="Input [yellow] 3 12 15" xfId="2458"/>
    <cellStyle name="Input [yellow] 3 12 15 2" xfId="13655"/>
    <cellStyle name="Input [yellow] 3 12 15 3" xfId="24823"/>
    <cellStyle name="Input [yellow] 3 12 15 4" xfId="35988"/>
    <cellStyle name="Input [yellow] 3 12 15 5" xfId="47181"/>
    <cellStyle name="Input [yellow] 3 12 16" xfId="3070"/>
    <cellStyle name="Input [yellow] 3 12 16 2" xfId="14267"/>
    <cellStyle name="Input [yellow] 3 12 16 3" xfId="25435"/>
    <cellStyle name="Input [yellow] 3 12 16 4" xfId="36600"/>
    <cellStyle name="Input [yellow] 3 12 16 5" xfId="47793"/>
    <cellStyle name="Input [yellow] 3 12 17" xfId="3704"/>
    <cellStyle name="Input [yellow] 3 12 17 2" xfId="14901"/>
    <cellStyle name="Input [yellow] 3 12 17 3" xfId="26069"/>
    <cellStyle name="Input [yellow] 3 12 17 4" xfId="37234"/>
    <cellStyle name="Input [yellow] 3 12 17 5" xfId="48427"/>
    <cellStyle name="Input [yellow] 3 12 18" xfId="4337"/>
    <cellStyle name="Input [yellow] 3 12 18 2" xfId="15534"/>
    <cellStyle name="Input [yellow] 3 12 18 3" xfId="26702"/>
    <cellStyle name="Input [yellow] 3 12 18 4" xfId="37867"/>
    <cellStyle name="Input [yellow] 3 12 18 5" xfId="49060"/>
    <cellStyle name="Input [yellow] 3 12 19" xfId="4969"/>
    <cellStyle name="Input [yellow] 3 12 19 2" xfId="16166"/>
    <cellStyle name="Input [yellow] 3 12 19 3" xfId="27334"/>
    <cellStyle name="Input [yellow] 3 12 19 4" xfId="38499"/>
    <cellStyle name="Input [yellow] 3 12 19 5" xfId="49692"/>
    <cellStyle name="Input [yellow] 3 12 2" xfId="150"/>
    <cellStyle name="Input [yellow] 3 12 2 10" xfId="5719"/>
    <cellStyle name="Input [yellow] 3 12 2 10 2" xfId="16916"/>
    <cellStyle name="Input [yellow] 3 12 2 10 3" xfId="28084"/>
    <cellStyle name="Input [yellow] 3 12 2 10 4" xfId="39249"/>
    <cellStyle name="Input [yellow] 3 12 2 10 5" xfId="50442"/>
    <cellStyle name="Input [yellow] 3 12 2 11" xfId="6039"/>
    <cellStyle name="Input [yellow] 3 12 2 11 2" xfId="17236"/>
    <cellStyle name="Input [yellow] 3 12 2 11 3" xfId="28404"/>
    <cellStyle name="Input [yellow] 3 12 2 11 4" xfId="39569"/>
    <cellStyle name="Input [yellow] 3 12 2 11 5" xfId="50762"/>
    <cellStyle name="Input [yellow] 3 12 2 12" xfId="6719"/>
    <cellStyle name="Input [yellow] 3 12 2 12 2" xfId="17916"/>
    <cellStyle name="Input [yellow] 3 12 2 12 3" xfId="29084"/>
    <cellStyle name="Input [yellow] 3 12 2 12 4" xfId="40249"/>
    <cellStyle name="Input [yellow] 3 12 2 12 5" xfId="51442"/>
    <cellStyle name="Input [yellow] 3 12 2 13" xfId="7353"/>
    <cellStyle name="Input [yellow] 3 12 2 13 2" xfId="18550"/>
    <cellStyle name="Input [yellow] 3 12 2 13 3" xfId="29718"/>
    <cellStyle name="Input [yellow] 3 12 2 13 4" xfId="40883"/>
    <cellStyle name="Input [yellow] 3 12 2 13 5" xfId="52076"/>
    <cellStyle name="Input [yellow] 3 12 2 14" xfId="7987"/>
    <cellStyle name="Input [yellow] 3 12 2 14 2" xfId="19184"/>
    <cellStyle name="Input [yellow] 3 12 2 14 3" xfId="30352"/>
    <cellStyle name="Input [yellow] 3 12 2 14 4" xfId="41517"/>
    <cellStyle name="Input [yellow] 3 12 2 14 5" xfId="52710"/>
    <cellStyle name="Input [yellow] 3 12 2 15" xfId="8618"/>
    <cellStyle name="Input [yellow] 3 12 2 15 2" xfId="19815"/>
    <cellStyle name="Input [yellow] 3 12 2 15 3" xfId="30983"/>
    <cellStyle name="Input [yellow] 3 12 2 15 4" xfId="42148"/>
    <cellStyle name="Input [yellow] 3 12 2 15 5" xfId="53341"/>
    <cellStyle name="Input [yellow] 3 12 2 16" xfId="8586"/>
    <cellStyle name="Input [yellow] 3 12 2 16 2" xfId="19783"/>
    <cellStyle name="Input [yellow] 3 12 2 16 3" xfId="30951"/>
    <cellStyle name="Input [yellow] 3 12 2 16 4" xfId="42116"/>
    <cellStyle name="Input [yellow] 3 12 2 16 5" xfId="53309"/>
    <cellStyle name="Input [yellow] 3 12 2 17" xfId="9671"/>
    <cellStyle name="Input [yellow] 3 12 2 17 2" xfId="20868"/>
    <cellStyle name="Input [yellow] 3 12 2 17 3" xfId="32036"/>
    <cellStyle name="Input [yellow] 3 12 2 17 4" xfId="43201"/>
    <cellStyle name="Input [yellow] 3 12 2 17 5" xfId="54394"/>
    <cellStyle name="Input [yellow] 3 12 2 18" xfId="10578"/>
    <cellStyle name="Input [yellow] 3 12 2 18 2" xfId="21775"/>
    <cellStyle name="Input [yellow] 3 12 2 18 3" xfId="32943"/>
    <cellStyle name="Input [yellow] 3 12 2 18 4" xfId="44108"/>
    <cellStyle name="Input [yellow] 3 12 2 18 5" xfId="55301"/>
    <cellStyle name="Input [yellow] 3 12 2 19" xfId="10703"/>
    <cellStyle name="Input [yellow] 3 12 2 19 2" xfId="21900"/>
    <cellStyle name="Input [yellow] 3 12 2 19 3" xfId="33068"/>
    <cellStyle name="Input [yellow] 3 12 2 19 4" xfId="44233"/>
    <cellStyle name="Input [yellow] 3 12 2 19 5" xfId="55426"/>
    <cellStyle name="Input [yellow] 3 12 2 2" xfId="799"/>
    <cellStyle name="Input [yellow] 3 12 2 2 2" xfId="11996"/>
    <cellStyle name="Input [yellow] 3 12 2 2 3" xfId="23164"/>
    <cellStyle name="Input [yellow] 3 12 2 2 4" xfId="34329"/>
    <cellStyle name="Input [yellow] 3 12 2 2 5" xfId="45522"/>
    <cellStyle name="Input [yellow] 3 12 2 20" xfId="11350"/>
    <cellStyle name="Input [yellow] 3 12 2 21" xfId="22520"/>
    <cellStyle name="Input [yellow] 3 12 2 22" xfId="33687"/>
    <cellStyle name="Input [yellow] 3 12 2 23" xfId="44873"/>
    <cellStyle name="Input [yellow] 3 12 2 3" xfId="1870"/>
    <cellStyle name="Input [yellow] 3 12 2 3 2" xfId="13067"/>
    <cellStyle name="Input [yellow] 3 12 2 3 3" xfId="24235"/>
    <cellStyle name="Input [yellow] 3 12 2 3 4" xfId="35400"/>
    <cellStyle name="Input [yellow] 3 12 2 3 5" xfId="46593"/>
    <cellStyle name="Input [yellow] 3 12 2 4" xfId="2076"/>
    <cellStyle name="Input [yellow] 3 12 2 4 2" xfId="13273"/>
    <cellStyle name="Input [yellow] 3 12 2 4 3" xfId="24441"/>
    <cellStyle name="Input [yellow] 3 12 2 4 4" xfId="35606"/>
    <cellStyle name="Input [yellow] 3 12 2 4 5" xfId="46799"/>
    <cellStyle name="Input [yellow] 3 12 2 5" xfId="1978"/>
    <cellStyle name="Input [yellow] 3 12 2 5 2" xfId="13175"/>
    <cellStyle name="Input [yellow] 3 12 2 5 3" xfId="24343"/>
    <cellStyle name="Input [yellow] 3 12 2 5 4" xfId="35508"/>
    <cellStyle name="Input [yellow] 3 12 2 5 5" xfId="46701"/>
    <cellStyle name="Input [yellow] 3 12 2 6" xfId="3134"/>
    <cellStyle name="Input [yellow] 3 12 2 6 2" xfId="14331"/>
    <cellStyle name="Input [yellow] 3 12 2 6 3" xfId="25499"/>
    <cellStyle name="Input [yellow] 3 12 2 6 4" xfId="36664"/>
    <cellStyle name="Input [yellow] 3 12 2 6 5" xfId="47857"/>
    <cellStyle name="Input [yellow] 3 12 2 7" xfId="3768"/>
    <cellStyle name="Input [yellow] 3 12 2 7 2" xfId="14965"/>
    <cellStyle name="Input [yellow] 3 12 2 7 3" xfId="26133"/>
    <cellStyle name="Input [yellow] 3 12 2 7 4" xfId="37298"/>
    <cellStyle name="Input [yellow] 3 12 2 7 5" xfId="48491"/>
    <cellStyle name="Input [yellow] 3 12 2 8" xfId="4401"/>
    <cellStyle name="Input [yellow] 3 12 2 8 2" xfId="15598"/>
    <cellStyle name="Input [yellow] 3 12 2 8 3" xfId="26766"/>
    <cellStyle name="Input [yellow] 3 12 2 8 4" xfId="37931"/>
    <cellStyle name="Input [yellow] 3 12 2 8 5" xfId="49124"/>
    <cellStyle name="Input [yellow] 3 12 2 9" xfId="5032"/>
    <cellStyle name="Input [yellow] 3 12 2 9 2" xfId="16229"/>
    <cellStyle name="Input [yellow] 3 12 2 9 3" xfId="27397"/>
    <cellStyle name="Input [yellow] 3 12 2 9 4" xfId="38562"/>
    <cellStyle name="Input [yellow] 3 12 2 9 5" xfId="49755"/>
    <cellStyle name="Input [yellow] 3 12 20" xfId="5806"/>
    <cellStyle name="Input [yellow] 3 12 20 2" xfId="17003"/>
    <cellStyle name="Input [yellow] 3 12 20 3" xfId="28171"/>
    <cellStyle name="Input [yellow] 3 12 20 4" xfId="39336"/>
    <cellStyle name="Input [yellow] 3 12 20 5" xfId="50529"/>
    <cellStyle name="Input [yellow] 3 12 21" xfId="5904"/>
    <cellStyle name="Input [yellow] 3 12 21 2" xfId="17101"/>
    <cellStyle name="Input [yellow] 3 12 21 3" xfId="28269"/>
    <cellStyle name="Input [yellow] 3 12 21 4" xfId="39434"/>
    <cellStyle name="Input [yellow] 3 12 21 5" xfId="50627"/>
    <cellStyle name="Input [yellow] 3 12 22" xfId="6656"/>
    <cellStyle name="Input [yellow] 3 12 22 2" xfId="17853"/>
    <cellStyle name="Input [yellow] 3 12 22 3" xfId="29021"/>
    <cellStyle name="Input [yellow] 3 12 22 4" xfId="40186"/>
    <cellStyle name="Input [yellow] 3 12 22 5" xfId="51379"/>
    <cellStyle name="Input [yellow] 3 12 23" xfId="7289"/>
    <cellStyle name="Input [yellow] 3 12 23 2" xfId="18486"/>
    <cellStyle name="Input [yellow] 3 12 23 3" xfId="29654"/>
    <cellStyle name="Input [yellow] 3 12 23 4" xfId="40819"/>
    <cellStyle name="Input [yellow] 3 12 23 5" xfId="52012"/>
    <cellStyle name="Input [yellow] 3 12 24" xfId="7923"/>
    <cellStyle name="Input [yellow] 3 12 24 2" xfId="19120"/>
    <cellStyle name="Input [yellow] 3 12 24 3" xfId="30288"/>
    <cellStyle name="Input [yellow] 3 12 24 4" xfId="41453"/>
    <cellStyle name="Input [yellow] 3 12 24 5" xfId="52646"/>
    <cellStyle name="Input [yellow] 3 12 25" xfId="8555"/>
    <cellStyle name="Input [yellow] 3 12 25 2" xfId="19752"/>
    <cellStyle name="Input [yellow] 3 12 25 3" xfId="30920"/>
    <cellStyle name="Input [yellow] 3 12 25 4" xfId="42085"/>
    <cellStyle name="Input [yellow] 3 12 25 5" xfId="53278"/>
    <cellStyle name="Input [yellow] 3 12 26" xfId="9137"/>
    <cellStyle name="Input [yellow] 3 12 26 2" xfId="20334"/>
    <cellStyle name="Input [yellow] 3 12 26 3" xfId="31502"/>
    <cellStyle name="Input [yellow] 3 12 26 4" xfId="42667"/>
    <cellStyle name="Input [yellow] 3 12 26 5" xfId="53860"/>
    <cellStyle name="Input [yellow] 3 12 27" xfId="9607"/>
    <cellStyle name="Input [yellow] 3 12 27 2" xfId="20804"/>
    <cellStyle name="Input [yellow] 3 12 27 3" xfId="31972"/>
    <cellStyle name="Input [yellow] 3 12 27 4" xfId="43137"/>
    <cellStyle name="Input [yellow] 3 12 27 5" xfId="54330"/>
    <cellStyle name="Input [yellow] 3 12 28" xfId="10352"/>
    <cellStyle name="Input [yellow] 3 12 28 2" xfId="21549"/>
    <cellStyle name="Input [yellow] 3 12 28 3" xfId="32717"/>
    <cellStyle name="Input [yellow] 3 12 28 4" xfId="43882"/>
    <cellStyle name="Input [yellow] 3 12 28 5" xfId="55075"/>
    <cellStyle name="Input [yellow] 3 12 29" xfId="10640"/>
    <cellStyle name="Input [yellow] 3 12 29 2" xfId="21837"/>
    <cellStyle name="Input [yellow] 3 12 29 3" xfId="33005"/>
    <cellStyle name="Input [yellow] 3 12 29 4" xfId="44170"/>
    <cellStyle name="Input [yellow] 3 12 29 5" xfId="55363"/>
    <cellStyle name="Input [yellow] 3 12 3" xfId="206"/>
    <cellStyle name="Input [yellow] 3 12 3 10" xfId="5801"/>
    <cellStyle name="Input [yellow] 3 12 3 10 2" xfId="16998"/>
    <cellStyle name="Input [yellow] 3 12 3 10 3" xfId="28166"/>
    <cellStyle name="Input [yellow] 3 12 3 10 4" xfId="39331"/>
    <cellStyle name="Input [yellow] 3 12 3 10 5" xfId="50524"/>
    <cellStyle name="Input [yellow] 3 12 3 11" xfId="5601"/>
    <cellStyle name="Input [yellow] 3 12 3 11 2" xfId="16798"/>
    <cellStyle name="Input [yellow] 3 12 3 11 3" xfId="27966"/>
    <cellStyle name="Input [yellow] 3 12 3 11 4" xfId="39131"/>
    <cellStyle name="Input [yellow] 3 12 3 11 5" xfId="50324"/>
    <cellStyle name="Input [yellow] 3 12 3 12" xfId="6775"/>
    <cellStyle name="Input [yellow] 3 12 3 12 2" xfId="17972"/>
    <cellStyle name="Input [yellow] 3 12 3 12 3" xfId="29140"/>
    <cellStyle name="Input [yellow] 3 12 3 12 4" xfId="40305"/>
    <cellStyle name="Input [yellow] 3 12 3 12 5" xfId="51498"/>
    <cellStyle name="Input [yellow] 3 12 3 13" xfId="7409"/>
    <cellStyle name="Input [yellow] 3 12 3 13 2" xfId="18606"/>
    <cellStyle name="Input [yellow] 3 12 3 13 3" xfId="29774"/>
    <cellStyle name="Input [yellow] 3 12 3 13 4" xfId="40939"/>
    <cellStyle name="Input [yellow] 3 12 3 13 5" xfId="52132"/>
    <cellStyle name="Input [yellow] 3 12 3 14" xfId="8043"/>
    <cellStyle name="Input [yellow] 3 12 3 14 2" xfId="19240"/>
    <cellStyle name="Input [yellow] 3 12 3 14 3" xfId="30408"/>
    <cellStyle name="Input [yellow] 3 12 3 14 4" xfId="41573"/>
    <cellStyle name="Input [yellow] 3 12 3 14 5" xfId="52766"/>
    <cellStyle name="Input [yellow] 3 12 3 15" xfId="8674"/>
    <cellStyle name="Input [yellow] 3 12 3 15 2" xfId="19871"/>
    <cellStyle name="Input [yellow] 3 12 3 15 3" xfId="31039"/>
    <cellStyle name="Input [yellow] 3 12 3 15 4" xfId="42204"/>
    <cellStyle name="Input [yellow] 3 12 3 15 5" xfId="53397"/>
    <cellStyle name="Input [yellow] 3 12 3 16" xfId="8680"/>
    <cellStyle name="Input [yellow] 3 12 3 16 2" xfId="19877"/>
    <cellStyle name="Input [yellow] 3 12 3 16 3" xfId="31045"/>
    <cellStyle name="Input [yellow] 3 12 3 16 4" xfId="42210"/>
    <cellStyle name="Input [yellow] 3 12 3 16 5" xfId="53403"/>
    <cellStyle name="Input [yellow] 3 12 3 17" xfId="9725"/>
    <cellStyle name="Input [yellow] 3 12 3 17 2" xfId="20922"/>
    <cellStyle name="Input [yellow] 3 12 3 17 3" xfId="32090"/>
    <cellStyle name="Input [yellow] 3 12 3 17 4" xfId="43255"/>
    <cellStyle name="Input [yellow] 3 12 3 17 5" xfId="54448"/>
    <cellStyle name="Input [yellow] 3 12 3 18" xfId="10511"/>
    <cellStyle name="Input [yellow] 3 12 3 18 2" xfId="21708"/>
    <cellStyle name="Input [yellow] 3 12 3 18 3" xfId="32876"/>
    <cellStyle name="Input [yellow] 3 12 3 18 4" xfId="44041"/>
    <cellStyle name="Input [yellow] 3 12 3 18 5" xfId="55234"/>
    <cellStyle name="Input [yellow] 3 12 3 19" xfId="10759"/>
    <cellStyle name="Input [yellow] 3 12 3 19 2" xfId="21956"/>
    <cellStyle name="Input [yellow] 3 12 3 19 3" xfId="33124"/>
    <cellStyle name="Input [yellow] 3 12 3 19 4" xfId="44289"/>
    <cellStyle name="Input [yellow] 3 12 3 19 5" xfId="55482"/>
    <cellStyle name="Input [yellow] 3 12 3 2" xfId="855"/>
    <cellStyle name="Input [yellow] 3 12 3 2 2" xfId="12052"/>
    <cellStyle name="Input [yellow] 3 12 3 2 3" xfId="23220"/>
    <cellStyle name="Input [yellow] 3 12 3 2 4" xfId="34385"/>
    <cellStyle name="Input [yellow] 3 12 3 2 5" xfId="45578"/>
    <cellStyle name="Input [yellow] 3 12 3 20" xfId="11406"/>
    <cellStyle name="Input [yellow] 3 12 3 21" xfId="22576"/>
    <cellStyle name="Input [yellow] 3 12 3 22" xfId="33743"/>
    <cellStyle name="Input [yellow] 3 12 3 23" xfId="44929"/>
    <cellStyle name="Input [yellow] 3 12 3 3" xfId="1377"/>
    <cellStyle name="Input [yellow] 3 12 3 3 2" xfId="12574"/>
    <cellStyle name="Input [yellow] 3 12 3 3 3" xfId="23742"/>
    <cellStyle name="Input [yellow] 3 12 3 3 4" xfId="34907"/>
    <cellStyle name="Input [yellow] 3 12 3 3 5" xfId="46100"/>
    <cellStyle name="Input [yellow] 3 12 3 4" xfId="2132"/>
    <cellStyle name="Input [yellow] 3 12 3 4 2" xfId="13329"/>
    <cellStyle name="Input [yellow] 3 12 3 4 3" xfId="24497"/>
    <cellStyle name="Input [yellow] 3 12 3 4 4" xfId="35662"/>
    <cellStyle name="Input [yellow] 3 12 3 4 5" xfId="46855"/>
    <cellStyle name="Input [yellow] 3 12 3 5" xfId="2545"/>
    <cellStyle name="Input [yellow] 3 12 3 5 2" xfId="13742"/>
    <cellStyle name="Input [yellow] 3 12 3 5 3" xfId="24910"/>
    <cellStyle name="Input [yellow] 3 12 3 5 4" xfId="36075"/>
    <cellStyle name="Input [yellow] 3 12 3 5 5" xfId="47268"/>
    <cellStyle name="Input [yellow] 3 12 3 6" xfId="3190"/>
    <cellStyle name="Input [yellow] 3 12 3 6 2" xfId="14387"/>
    <cellStyle name="Input [yellow] 3 12 3 6 3" xfId="25555"/>
    <cellStyle name="Input [yellow] 3 12 3 6 4" xfId="36720"/>
    <cellStyle name="Input [yellow] 3 12 3 6 5" xfId="47913"/>
    <cellStyle name="Input [yellow] 3 12 3 7" xfId="3824"/>
    <cellStyle name="Input [yellow] 3 12 3 7 2" xfId="15021"/>
    <cellStyle name="Input [yellow] 3 12 3 7 3" xfId="26189"/>
    <cellStyle name="Input [yellow] 3 12 3 7 4" xfId="37354"/>
    <cellStyle name="Input [yellow] 3 12 3 7 5" xfId="48547"/>
    <cellStyle name="Input [yellow] 3 12 3 8" xfId="4457"/>
    <cellStyle name="Input [yellow] 3 12 3 8 2" xfId="15654"/>
    <cellStyle name="Input [yellow] 3 12 3 8 3" xfId="26822"/>
    <cellStyle name="Input [yellow] 3 12 3 8 4" xfId="37987"/>
    <cellStyle name="Input [yellow] 3 12 3 8 5" xfId="49180"/>
    <cellStyle name="Input [yellow] 3 12 3 9" xfId="5088"/>
    <cellStyle name="Input [yellow] 3 12 3 9 2" xfId="16285"/>
    <cellStyle name="Input [yellow] 3 12 3 9 3" xfId="27453"/>
    <cellStyle name="Input [yellow] 3 12 3 9 4" xfId="38618"/>
    <cellStyle name="Input [yellow] 3 12 3 9 5" xfId="49811"/>
    <cellStyle name="Input [yellow] 3 12 30" xfId="11287"/>
    <cellStyle name="Input [yellow] 3 12 31" xfId="22457"/>
    <cellStyle name="Input [yellow] 3 12 32" xfId="33624"/>
    <cellStyle name="Input [yellow] 3 12 33" xfId="44809"/>
    <cellStyle name="Input [yellow] 3 12 4" xfId="279"/>
    <cellStyle name="Input [yellow] 3 12 4 10" xfId="5900"/>
    <cellStyle name="Input [yellow] 3 12 4 10 2" xfId="17097"/>
    <cellStyle name="Input [yellow] 3 12 4 10 3" xfId="28265"/>
    <cellStyle name="Input [yellow] 3 12 4 10 4" xfId="39430"/>
    <cellStyle name="Input [yellow] 3 12 4 10 5" xfId="50623"/>
    <cellStyle name="Input [yellow] 3 12 4 11" xfId="6215"/>
    <cellStyle name="Input [yellow] 3 12 4 11 2" xfId="17412"/>
    <cellStyle name="Input [yellow] 3 12 4 11 3" xfId="28580"/>
    <cellStyle name="Input [yellow] 3 12 4 11 4" xfId="39745"/>
    <cellStyle name="Input [yellow] 3 12 4 11 5" xfId="50938"/>
    <cellStyle name="Input [yellow] 3 12 4 12" xfId="6848"/>
    <cellStyle name="Input [yellow] 3 12 4 12 2" xfId="18045"/>
    <cellStyle name="Input [yellow] 3 12 4 12 3" xfId="29213"/>
    <cellStyle name="Input [yellow] 3 12 4 12 4" xfId="40378"/>
    <cellStyle name="Input [yellow] 3 12 4 12 5" xfId="51571"/>
    <cellStyle name="Input [yellow] 3 12 4 13" xfId="7482"/>
    <cellStyle name="Input [yellow] 3 12 4 13 2" xfId="18679"/>
    <cellStyle name="Input [yellow] 3 12 4 13 3" xfId="29847"/>
    <cellStyle name="Input [yellow] 3 12 4 13 4" xfId="41012"/>
    <cellStyle name="Input [yellow] 3 12 4 13 5" xfId="52205"/>
    <cellStyle name="Input [yellow] 3 12 4 14" xfId="8116"/>
    <cellStyle name="Input [yellow] 3 12 4 14 2" xfId="19313"/>
    <cellStyle name="Input [yellow] 3 12 4 14 3" xfId="30481"/>
    <cellStyle name="Input [yellow] 3 12 4 14 4" xfId="41646"/>
    <cellStyle name="Input [yellow] 3 12 4 14 5" xfId="52839"/>
    <cellStyle name="Input [yellow] 3 12 4 15" xfId="8745"/>
    <cellStyle name="Input [yellow] 3 12 4 15 2" xfId="19942"/>
    <cellStyle name="Input [yellow] 3 12 4 15 3" xfId="31110"/>
    <cellStyle name="Input [yellow] 3 12 4 15 4" xfId="42275"/>
    <cellStyle name="Input [yellow] 3 12 4 15 5" xfId="53468"/>
    <cellStyle name="Input [yellow] 3 12 4 16" xfId="9167"/>
    <cellStyle name="Input [yellow] 3 12 4 16 2" xfId="20364"/>
    <cellStyle name="Input [yellow] 3 12 4 16 3" xfId="31532"/>
    <cellStyle name="Input [yellow] 3 12 4 16 4" xfId="42697"/>
    <cellStyle name="Input [yellow] 3 12 4 16 5" xfId="53890"/>
    <cellStyle name="Input [yellow] 3 12 4 17" xfId="9794"/>
    <cellStyle name="Input [yellow] 3 12 4 17 2" xfId="20991"/>
    <cellStyle name="Input [yellow] 3 12 4 17 3" xfId="32159"/>
    <cellStyle name="Input [yellow] 3 12 4 17 4" xfId="43324"/>
    <cellStyle name="Input [yellow] 3 12 4 17 5" xfId="54517"/>
    <cellStyle name="Input [yellow] 3 12 4 18" xfId="10247"/>
    <cellStyle name="Input [yellow] 3 12 4 18 2" xfId="21444"/>
    <cellStyle name="Input [yellow] 3 12 4 18 3" xfId="32612"/>
    <cellStyle name="Input [yellow] 3 12 4 18 4" xfId="43777"/>
    <cellStyle name="Input [yellow] 3 12 4 18 5" xfId="54970"/>
    <cellStyle name="Input [yellow] 3 12 4 19" xfId="10832"/>
    <cellStyle name="Input [yellow] 3 12 4 19 2" xfId="22029"/>
    <cellStyle name="Input [yellow] 3 12 4 19 3" xfId="33197"/>
    <cellStyle name="Input [yellow] 3 12 4 19 4" xfId="44362"/>
    <cellStyle name="Input [yellow] 3 12 4 19 5" xfId="55555"/>
    <cellStyle name="Input [yellow] 3 12 4 2" xfId="928"/>
    <cellStyle name="Input [yellow] 3 12 4 2 2" xfId="12125"/>
    <cellStyle name="Input [yellow] 3 12 4 2 3" xfId="23293"/>
    <cellStyle name="Input [yellow] 3 12 4 2 4" xfId="34458"/>
    <cellStyle name="Input [yellow] 3 12 4 2 5" xfId="45651"/>
    <cellStyle name="Input [yellow] 3 12 4 20" xfId="11479"/>
    <cellStyle name="Input [yellow] 3 12 4 21" xfId="22649"/>
    <cellStyle name="Input [yellow] 3 12 4 22" xfId="33816"/>
    <cellStyle name="Input [yellow] 3 12 4 23" xfId="45002"/>
    <cellStyle name="Input [yellow] 3 12 4 3" xfId="1562"/>
    <cellStyle name="Input [yellow] 3 12 4 3 2" xfId="12759"/>
    <cellStyle name="Input [yellow] 3 12 4 3 3" xfId="23927"/>
    <cellStyle name="Input [yellow] 3 12 4 3 4" xfId="35092"/>
    <cellStyle name="Input [yellow] 3 12 4 3 5" xfId="46285"/>
    <cellStyle name="Input [yellow] 3 12 4 4" xfId="2204"/>
    <cellStyle name="Input [yellow] 3 12 4 4 2" xfId="13401"/>
    <cellStyle name="Input [yellow] 3 12 4 4 3" xfId="24569"/>
    <cellStyle name="Input [yellow] 3 12 4 4 4" xfId="35734"/>
    <cellStyle name="Input [yellow] 3 12 4 4 5" xfId="46927"/>
    <cellStyle name="Input [yellow] 3 12 4 5" xfId="2629"/>
    <cellStyle name="Input [yellow] 3 12 4 5 2" xfId="13826"/>
    <cellStyle name="Input [yellow] 3 12 4 5 3" xfId="24994"/>
    <cellStyle name="Input [yellow] 3 12 4 5 4" xfId="36159"/>
    <cellStyle name="Input [yellow] 3 12 4 5 5" xfId="47352"/>
    <cellStyle name="Input [yellow] 3 12 4 6" xfId="3263"/>
    <cellStyle name="Input [yellow] 3 12 4 6 2" xfId="14460"/>
    <cellStyle name="Input [yellow] 3 12 4 6 3" xfId="25628"/>
    <cellStyle name="Input [yellow] 3 12 4 6 4" xfId="36793"/>
    <cellStyle name="Input [yellow] 3 12 4 6 5" xfId="47986"/>
    <cellStyle name="Input [yellow] 3 12 4 7" xfId="3897"/>
    <cellStyle name="Input [yellow] 3 12 4 7 2" xfId="15094"/>
    <cellStyle name="Input [yellow] 3 12 4 7 3" xfId="26262"/>
    <cellStyle name="Input [yellow] 3 12 4 7 4" xfId="37427"/>
    <cellStyle name="Input [yellow] 3 12 4 7 5" xfId="48620"/>
    <cellStyle name="Input [yellow] 3 12 4 8" xfId="4530"/>
    <cellStyle name="Input [yellow] 3 12 4 8 2" xfId="15727"/>
    <cellStyle name="Input [yellow] 3 12 4 8 3" xfId="26895"/>
    <cellStyle name="Input [yellow] 3 12 4 8 4" xfId="38060"/>
    <cellStyle name="Input [yellow] 3 12 4 8 5" xfId="49253"/>
    <cellStyle name="Input [yellow] 3 12 4 9" xfId="5161"/>
    <cellStyle name="Input [yellow] 3 12 4 9 2" xfId="16358"/>
    <cellStyle name="Input [yellow] 3 12 4 9 3" xfId="27526"/>
    <cellStyle name="Input [yellow] 3 12 4 9 4" xfId="38691"/>
    <cellStyle name="Input [yellow] 3 12 4 9 5" xfId="49884"/>
    <cellStyle name="Input [yellow] 3 12 5" xfId="315"/>
    <cellStyle name="Input [yellow] 3 12 5 10" xfId="6076"/>
    <cellStyle name="Input [yellow] 3 12 5 10 2" xfId="17273"/>
    <cellStyle name="Input [yellow] 3 12 5 10 3" xfId="28441"/>
    <cellStyle name="Input [yellow] 3 12 5 10 4" xfId="39606"/>
    <cellStyle name="Input [yellow] 3 12 5 10 5" xfId="50799"/>
    <cellStyle name="Input [yellow] 3 12 5 11" xfId="6251"/>
    <cellStyle name="Input [yellow] 3 12 5 11 2" xfId="17448"/>
    <cellStyle name="Input [yellow] 3 12 5 11 3" xfId="28616"/>
    <cellStyle name="Input [yellow] 3 12 5 11 4" xfId="39781"/>
    <cellStyle name="Input [yellow] 3 12 5 11 5" xfId="50974"/>
    <cellStyle name="Input [yellow] 3 12 5 12" xfId="6884"/>
    <cellStyle name="Input [yellow] 3 12 5 12 2" xfId="18081"/>
    <cellStyle name="Input [yellow] 3 12 5 12 3" xfId="29249"/>
    <cellStyle name="Input [yellow] 3 12 5 12 4" xfId="40414"/>
    <cellStyle name="Input [yellow] 3 12 5 12 5" xfId="51607"/>
    <cellStyle name="Input [yellow] 3 12 5 13" xfId="7518"/>
    <cellStyle name="Input [yellow] 3 12 5 13 2" xfId="18715"/>
    <cellStyle name="Input [yellow] 3 12 5 13 3" xfId="29883"/>
    <cellStyle name="Input [yellow] 3 12 5 13 4" xfId="41048"/>
    <cellStyle name="Input [yellow] 3 12 5 13 5" xfId="52241"/>
    <cellStyle name="Input [yellow] 3 12 5 14" xfId="8152"/>
    <cellStyle name="Input [yellow] 3 12 5 14 2" xfId="19349"/>
    <cellStyle name="Input [yellow] 3 12 5 14 3" xfId="30517"/>
    <cellStyle name="Input [yellow] 3 12 5 14 4" xfId="41682"/>
    <cellStyle name="Input [yellow] 3 12 5 14 5" xfId="52875"/>
    <cellStyle name="Input [yellow] 3 12 5 15" xfId="8781"/>
    <cellStyle name="Input [yellow] 3 12 5 15 2" xfId="19978"/>
    <cellStyle name="Input [yellow] 3 12 5 15 3" xfId="31146"/>
    <cellStyle name="Input [yellow] 3 12 5 15 4" xfId="42311"/>
    <cellStyle name="Input [yellow] 3 12 5 15 5" xfId="53504"/>
    <cellStyle name="Input [yellow] 3 12 5 16" xfId="9203"/>
    <cellStyle name="Input [yellow] 3 12 5 16 2" xfId="20400"/>
    <cellStyle name="Input [yellow] 3 12 5 16 3" xfId="31568"/>
    <cellStyle name="Input [yellow] 3 12 5 16 4" xfId="42733"/>
    <cellStyle name="Input [yellow] 3 12 5 16 5" xfId="53926"/>
    <cellStyle name="Input [yellow] 3 12 5 17" xfId="9830"/>
    <cellStyle name="Input [yellow] 3 12 5 17 2" xfId="21027"/>
    <cellStyle name="Input [yellow] 3 12 5 17 3" xfId="32195"/>
    <cellStyle name="Input [yellow] 3 12 5 17 4" xfId="43360"/>
    <cellStyle name="Input [yellow] 3 12 5 17 5" xfId="54553"/>
    <cellStyle name="Input [yellow] 3 12 5 18" xfId="10315"/>
    <cellStyle name="Input [yellow] 3 12 5 18 2" xfId="21512"/>
    <cellStyle name="Input [yellow] 3 12 5 18 3" xfId="32680"/>
    <cellStyle name="Input [yellow] 3 12 5 18 4" xfId="43845"/>
    <cellStyle name="Input [yellow] 3 12 5 18 5" xfId="55038"/>
    <cellStyle name="Input [yellow] 3 12 5 19" xfId="10868"/>
    <cellStyle name="Input [yellow] 3 12 5 19 2" xfId="22065"/>
    <cellStyle name="Input [yellow] 3 12 5 19 3" xfId="33233"/>
    <cellStyle name="Input [yellow] 3 12 5 19 4" xfId="44398"/>
    <cellStyle name="Input [yellow] 3 12 5 19 5" xfId="55591"/>
    <cellStyle name="Input [yellow] 3 12 5 2" xfId="964"/>
    <cellStyle name="Input [yellow] 3 12 5 2 2" xfId="12161"/>
    <cellStyle name="Input [yellow] 3 12 5 2 3" xfId="23329"/>
    <cellStyle name="Input [yellow] 3 12 5 2 4" xfId="34494"/>
    <cellStyle name="Input [yellow] 3 12 5 2 5" xfId="45687"/>
    <cellStyle name="Input [yellow] 3 12 5 20" xfId="11515"/>
    <cellStyle name="Input [yellow] 3 12 5 21" xfId="22685"/>
    <cellStyle name="Input [yellow] 3 12 5 22" xfId="33852"/>
    <cellStyle name="Input [yellow] 3 12 5 23" xfId="45038"/>
    <cellStyle name="Input [yellow] 3 12 5 3" xfId="1573"/>
    <cellStyle name="Input [yellow] 3 12 5 3 2" xfId="12770"/>
    <cellStyle name="Input [yellow] 3 12 5 3 3" xfId="23938"/>
    <cellStyle name="Input [yellow] 3 12 5 3 4" xfId="35103"/>
    <cellStyle name="Input [yellow] 3 12 5 3 5" xfId="46296"/>
    <cellStyle name="Input [yellow] 3 12 5 4" xfId="2240"/>
    <cellStyle name="Input [yellow] 3 12 5 4 2" xfId="13437"/>
    <cellStyle name="Input [yellow] 3 12 5 4 3" xfId="24605"/>
    <cellStyle name="Input [yellow] 3 12 5 4 4" xfId="35770"/>
    <cellStyle name="Input [yellow] 3 12 5 4 5" xfId="46963"/>
    <cellStyle name="Input [yellow] 3 12 5 5" xfId="2665"/>
    <cellStyle name="Input [yellow] 3 12 5 5 2" xfId="13862"/>
    <cellStyle name="Input [yellow] 3 12 5 5 3" xfId="25030"/>
    <cellStyle name="Input [yellow] 3 12 5 5 4" xfId="36195"/>
    <cellStyle name="Input [yellow] 3 12 5 5 5" xfId="47388"/>
    <cellStyle name="Input [yellow] 3 12 5 6" xfId="3299"/>
    <cellStyle name="Input [yellow] 3 12 5 6 2" xfId="14496"/>
    <cellStyle name="Input [yellow] 3 12 5 6 3" xfId="25664"/>
    <cellStyle name="Input [yellow] 3 12 5 6 4" xfId="36829"/>
    <cellStyle name="Input [yellow] 3 12 5 6 5" xfId="48022"/>
    <cellStyle name="Input [yellow] 3 12 5 7" xfId="3933"/>
    <cellStyle name="Input [yellow] 3 12 5 7 2" xfId="15130"/>
    <cellStyle name="Input [yellow] 3 12 5 7 3" xfId="26298"/>
    <cellStyle name="Input [yellow] 3 12 5 7 4" xfId="37463"/>
    <cellStyle name="Input [yellow] 3 12 5 7 5" xfId="48656"/>
    <cellStyle name="Input [yellow] 3 12 5 8" xfId="4566"/>
    <cellStyle name="Input [yellow] 3 12 5 8 2" xfId="15763"/>
    <cellStyle name="Input [yellow] 3 12 5 8 3" xfId="26931"/>
    <cellStyle name="Input [yellow] 3 12 5 8 4" xfId="38096"/>
    <cellStyle name="Input [yellow] 3 12 5 8 5" xfId="49289"/>
    <cellStyle name="Input [yellow] 3 12 5 9" xfId="5197"/>
    <cellStyle name="Input [yellow] 3 12 5 9 2" xfId="16394"/>
    <cellStyle name="Input [yellow] 3 12 5 9 3" xfId="27562"/>
    <cellStyle name="Input [yellow] 3 12 5 9 4" xfId="38727"/>
    <cellStyle name="Input [yellow] 3 12 5 9 5" xfId="49920"/>
    <cellStyle name="Input [yellow] 3 12 6" xfId="391"/>
    <cellStyle name="Input [yellow] 3 12 6 10" xfId="5874"/>
    <cellStyle name="Input [yellow] 3 12 6 10 2" xfId="17071"/>
    <cellStyle name="Input [yellow] 3 12 6 10 3" xfId="28239"/>
    <cellStyle name="Input [yellow] 3 12 6 10 4" xfId="39404"/>
    <cellStyle name="Input [yellow] 3 12 6 10 5" xfId="50597"/>
    <cellStyle name="Input [yellow] 3 12 6 11" xfId="6327"/>
    <cellStyle name="Input [yellow] 3 12 6 11 2" xfId="17524"/>
    <cellStyle name="Input [yellow] 3 12 6 11 3" xfId="28692"/>
    <cellStyle name="Input [yellow] 3 12 6 11 4" xfId="39857"/>
    <cellStyle name="Input [yellow] 3 12 6 11 5" xfId="51050"/>
    <cellStyle name="Input [yellow] 3 12 6 12" xfId="6960"/>
    <cellStyle name="Input [yellow] 3 12 6 12 2" xfId="18157"/>
    <cellStyle name="Input [yellow] 3 12 6 12 3" xfId="29325"/>
    <cellStyle name="Input [yellow] 3 12 6 12 4" xfId="40490"/>
    <cellStyle name="Input [yellow] 3 12 6 12 5" xfId="51683"/>
    <cellStyle name="Input [yellow] 3 12 6 13" xfId="7594"/>
    <cellStyle name="Input [yellow] 3 12 6 13 2" xfId="18791"/>
    <cellStyle name="Input [yellow] 3 12 6 13 3" xfId="29959"/>
    <cellStyle name="Input [yellow] 3 12 6 13 4" xfId="41124"/>
    <cellStyle name="Input [yellow] 3 12 6 13 5" xfId="52317"/>
    <cellStyle name="Input [yellow] 3 12 6 14" xfId="8228"/>
    <cellStyle name="Input [yellow] 3 12 6 14 2" xfId="19425"/>
    <cellStyle name="Input [yellow] 3 12 6 14 3" xfId="30593"/>
    <cellStyle name="Input [yellow] 3 12 6 14 4" xfId="41758"/>
    <cellStyle name="Input [yellow] 3 12 6 14 5" xfId="52951"/>
    <cellStyle name="Input [yellow] 3 12 6 15" xfId="8856"/>
    <cellStyle name="Input [yellow] 3 12 6 15 2" xfId="20053"/>
    <cellStyle name="Input [yellow] 3 12 6 15 3" xfId="31221"/>
    <cellStyle name="Input [yellow] 3 12 6 15 4" xfId="42386"/>
    <cellStyle name="Input [yellow] 3 12 6 15 5" xfId="53579"/>
    <cellStyle name="Input [yellow] 3 12 6 16" xfId="9279"/>
    <cellStyle name="Input [yellow] 3 12 6 16 2" xfId="20476"/>
    <cellStyle name="Input [yellow] 3 12 6 16 3" xfId="31644"/>
    <cellStyle name="Input [yellow] 3 12 6 16 4" xfId="42809"/>
    <cellStyle name="Input [yellow] 3 12 6 16 5" xfId="54002"/>
    <cellStyle name="Input [yellow] 3 12 6 17" xfId="9905"/>
    <cellStyle name="Input [yellow] 3 12 6 17 2" xfId="21102"/>
    <cellStyle name="Input [yellow] 3 12 6 17 3" xfId="32270"/>
    <cellStyle name="Input [yellow] 3 12 6 17 4" xfId="43435"/>
    <cellStyle name="Input [yellow] 3 12 6 17 5" xfId="54628"/>
    <cellStyle name="Input [yellow] 3 12 6 18" xfId="9948"/>
    <cellStyle name="Input [yellow] 3 12 6 18 2" xfId="21145"/>
    <cellStyle name="Input [yellow] 3 12 6 18 3" xfId="32313"/>
    <cellStyle name="Input [yellow] 3 12 6 18 4" xfId="43478"/>
    <cellStyle name="Input [yellow] 3 12 6 18 5" xfId="54671"/>
    <cellStyle name="Input [yellow] 3 12 6 19" xfId="10944"/>
    <cellStyle name="Input [yellow] 3 12 6 19 2" xfId="22141"/>
    <cellStyle name="Input [yellow] 3 12 6 19 3" xfId="33309"/>
    <cellStyle name="Input [yellow] 3 12 6 19 4" xfId="44474"/>
    <cellStyle name="Input [yellow] 3 12 6 19 5" xfId="55667"/>
    <cellStyle name="Input [yellow] 3 12 6 2" xfId="1040"/>
    <cellStyle name="Input [yellow] 3 12 6 2 2" xfId="12237"/>
    <cellStyle name="Input [yellow] 3 12 6 2 3" xfId="23405"/>
    <cellStyle name="Input [yellow] 3 12 6 2 4" xfId="34570"/>
    <cellStyle name="Input [yellow] 3 12 6 2 5" xfId="45763"/>
    <cellStyle name="Input [yellow] 3 12 6 20" xfId="11591"/>
    <cellStyle name="Input [yellow] 3 12 6 21" xfId="22761"/>
    <cellStyle name="Input [yellow] 3 12 6 22" xfId="33928"/>
    <cellStyle name="Input [yellow] 3 12 6 23" xfId="45114"/>
    <cellStyle name="Input [yellow] 3 12 6 3" xfId="1501"/>
    <cellStyle name="Input [yellow] 3 12 6 3 2" xfId="12698"/>
    <cellStyle name="Input [yellow] 3 12 6 3 3" xfId="23866"/>
    <cellStyle name="Input [yellow] 3 12 6 3 4" xfId="35031"/>
    <cellStyle name="Input [yellow] 3 12 6 3 5" xfId="46224"/>
    <cellStyle name="Input [yellow] 3 12 6 4" xfId="2316"/>
    <cellStyle name="Input [yellow] 3 12 6 4 2" xfId="13513"/>
    <cellStyle name="Input [yellow] 3 12 6 4 3" xfId="24681"/>
    <cellStyle name="Input [yellow] 3 12 6 4 4" xfId="35846"/>
    <cellStyle name="Input [yellow] 3 12 6 4 5" xfId="47039"/>
    <cellStyle name="Input [yellow] 3 12 6 5" xfId="2741"/>
    <cellStyle name="Input [yellow] 3 12 6 5 2" xfId="13938"/>
    <cellStyle name="Input [yellow] 3 12 6 5 3" xfId="25106"/>
    <cellStyle name="Input [yellow] 3 12 6 5 4" xfId="36271"/>
    <cellStyle name="Input [yellow] 3 12 6 5 5" xfId="47464"/>
    <cellStyle name="Input [yellow] 3 12 6 6" xfId="3375"/>
    <cellStyle name="Input [yellow] 3 12 6 6 2" xfId="14572"/>
    <cellStyle name="Input [yellow] 3 12 6 6 3" xfId="25740"/>
    <cellStyle name="Input [yellow] 3 12 6 6 4" xfId="36905"/>
    <cellStyle name="Input [yellow] 3 12 6 6 5" xfId="48098"/>
    <cellStyle name="Input [yellow] 3 12 6 7" xfId="4009"/>
    <cellStyle name="Input [yellow] 3 12 6 7 2" xfId="15206"/>
    <cellStyle name="Input [yellow] 3 12 6 7 3" xfId="26374"/>
    <cellStyle name="Input [yellow] 3 12 6 7 4" xfId="37539"/>
    <cellStyle name="Input [yellow] 3 12 6 7 5" xfId="48732"/>
    <cellStyle name="Input [yellow] 3 12 6 8" xfId="4642"/>
    <cellStyle name="Input [yellow] 3 12 6 8 2" xfId="15839"/>
    <cellStyle name="Input [yellow] 3 12 6 8 3" xfId="27007"/>
    <cellStyle name="Input [yellow] 3 12 6 8 4" xfId="38172"/>
    <cellStyle name="Input [yellow] 3 12 6 8 5" xfId="49365"/>
    <cellStyle name="Input [yellow] 3 12 6 9" xfId="5273"/>
    <cellStyle name="Input [yellow] 3 12 6 9 2" xfId="16470"/>
    <cellStyle name="Input [yellow] 3 12 6 9 3" xfId="27638"/>
    <cellStyle name="Input [yellow] 3 12 6 9 4" xfId="38803"/>
    <cellStyle name="Input [yellow] 3 12 6 9 5" xfId="49996"/>
    <cellStyle name="Input [yellow] 3 12 7" xfId="438"/>
    <cellStyle name="Input [yellow] 3 12 7 10" xfId="5956"/>
    <cellStyle name="Input [yellow] 3 12 7 10 2" xfId="17153"/>
    <cellStyle name="Input [yellow] 3 12 7 10 3" xfId="28321"/>
    <cellStyle name="Input [yellow] 3 12 7 10 4" xfId="39486"/>
    <cellStyle name="Input [yellow] 3 12 7 10 5" xfId="50679"/>
    <cellStyle name="Input [yellow] 3 12 7 11" xfId="6374"/>
    <cellStyle name="Input [yellow] 3 12 7 11 2" xfId="17571"/>
    <cellStyle name="Input [yellow] 3 12 7 11 3" xfId="28739"/>
    <cellStyle name="Input [yellow] 3 12 7 11 4" xfId="39904"/>
    <cellStyle name="Input [yellow] 3 12 7 11 5" xfId="51097"/>
    <cellStyle name="Input [yellow] 3 12 7 12" xfId="7007"/>
    <cellStyle name="Input [yellow] 3 12 7 12 2" xfId="18204"/>
    <cellStyle name="Input [yellow] 3 12 7 12 3" xfId="29372"/>
    <cellStyle name="Input [yellow] 3 12 7 12 4" xfId="40537"/>
    <cellStyle name="Input [yellow] 3 12 7 12 5" xfId="51730"/>
    <cellStyle name="Input [yellow] 3 12 7 13" xfId="7641"/>
    <cellStyle name="Input [yellow] 3 12 7 13 2" xfId="18838"/>
    <cellStyle name="Input [yellow] 3 12 7 13 3" xfId="30006"/>
    <cellStyle name="Input [yellow] 3 12 7 13 4" xfId="41171"/>
    <cellStyle name="Input [yellow] 3 12 7 13 5" xfId="52364"/>
    <cellStyle name="Input [yellow] 3 12 7 14" xfId="8275"/>
    <cellStyle name="Input [yellow] 3 12 7 14 2" xfId="19472"/>
    <cellStyle name="Input [yellow] 3 12 7 14 3" xfId="30640"/>
    <cellStyle name="Input [yellow] 3 12 7 14 4" xfId="41805"/>
    <cellStyle name="Input [yellow] 3 12 7 14 5" xfId="52998"/>
    <cellStyle name="Input [yellow] 3 12 7 15" xfId="8903"/>
    <cellStyle name="Input [yellow] 3 12 7 15 2" xfId="20100"/>
    <cellStyle name="Input [yellow] 3 12 7 15 3" xfId="31268"/>
    <cellStyle name="Input [yellow] 3 12 7 15 4" xfId="42433"/>
    <cellStyle name="Input [yellow] 3 12 7 15 5" xfId="53626"/>
    <cellStyle name="Input [yellow] 3 12 7 16" xfId="9326"/>
    <cellStyle name="Input [yellow] 3 12 7 16 2" xfId="20523"/>
    <cellStyle name="Input [yellow] 3 12 7 16 3" xfId="31691"/>
    <cellStyle name="Input [yellow] 3 12 7 16 4" xfId="42856"/>
    <cellStyle name="Input [yellow] 3 12 7 16 5" xfId="54049"/>
    <cellStyle name="Input [yellow] 3 12 7 17" xfId="9952"/>
    <cellStyle name="Input [yellow] 3 12 7 17 2" xfId="21149"/>
    <cellStyle name="Input [yellow] 3 12 7 17 3" xfId="32317"/>
    <cellStyle name="Input [yellow] 3 12 7 17 4" xfId="43482"/>
    <cellStyle name="Input [yellow] 3 12 7 17 5" xfId="54675"/>
    <cellStyle name="Input [yellow] 3 12 7 18" xfId="10541"/>
    <cellStyle name="Input [yellow] 3 12 7 18 2" xfId="21738"/>
    <cellStyle name="Input [yellow] 3 12 7 18 3" xfId="32906"/>
    <cellStyle name="Input [yellow] 3 12 7 18 4" xfId="44071"/>
    <cellStyle name="Input [yellow] 3 12 7 18 5" xfId="55264"/>
    <cellStyle name="Input [yellow] 3 12 7 19" xfId="10991"/>
    <cellStyle name="Input [yellow] 3 12 7 19 2" xfId="22188"/>
    <cellStyle name="Input [yellow] 3 12 7 19 3" xfId="33356"/>
    <cellStyle name="Input [yellow] 3 12 7 19 4" xfId="44521"/>
    <cellStyle name="Input [yellow] 3 12 7 19 5" xfId="55714"/>
    <cellStyle name="Input [yellow] 3 12 7 2" xfId="1087"/>
    <cellStyle name="Input [yellow] 3 12 7 2 2" xfId="12284"/>
    <cellStyle name="Input [yellow] 3 12 7 2 3" xfId="23452"/>
    <cellStyle name="Input [yellow] 3 12 7 2 4" xfId="34617"/>
    <cellStyle name="Input [yellow] 3 12 7 2 5" xfId="45810"/>
    <cellStyle name="Input [yellow] 3 12 7 20" xfId="11638"/>
    <cellStyle name="Input [yellow] 3 12 7 21" xfId="22808"/>
    <cellStyle name="Input [yellow] 3 12 7 22" xfId="33975"/>
    <cellStyle name="Input [yellow] 3 12 7 23" xfId="45161"/>
    <cellStyle name="Input [yellow] 3 12 7 3" xfId="1729"/>
    <cellStyle name="Input [yellow] 3 12 7 3 2" xfId="12926"/>
    <cellStyle name="Input [yellow] 3 12 7 3 3" xfId="24094"/>
    <cellStyle name="Input [yellow] 3 12 7 3 4" xfId="35259"/>
    <cellStyle name="Input [yellow] 3 12 7 3 5" xfId="46452"/>
    <cellStyle name="Input [yellow] 3 12 7 4" xfId="2363"/>
    <cellStyle name="Input [yellow] 3 12 7 4 2" xfId="13560"/>
    <cellStyle name="Input [yellow] 3 12 7 4 3" xfId="24728"/>
    <cellStyle name="Input [yellow] 3 12 7 4 4" xfId="35893"/>
    <cellStyle name="Input [yellow] 3 12 7 4 5" xfId="47086"/>
    <cellStyle name="Input [yellow] 3 12 7 5" xfId="2788"/>
    <cellStyle name="Input [yellow] 3 12 7 5 2" xfId="13985"/>
    <cellStyle name="Input [yellow] 3 12 7 5 3" xfId="25153"/>
    <cellStyle name="Input [yellow] 3 12 7 5 4" xfId="36318"/>
    <cellStyle name="Input [yellow] 3 12 7 5 5" xfId="47511"/>
    <cellStyle name="Input [yellow] 3 12 7 6" xfId="3422"/>
    <cellStyle name="Input [yellow] 3 12 7 6 2" xfId="14619"/>
    <cellStyle name="Input [yellow] 3 12 7 6 3" xfId="25787"/>
    <cellStyle name="Input [yellow] 3 12 7 6 4" xfId="36952"/>
    <cellStyle name="Input [yellow] 3 12 7 6 5" xfId="48145"/>
    <cellStyle name="Input [yellow] 3 12 7 7" xfId="4056"/>
    <cellStyle name="Input [yellow] 3 12 7 7 2" xfId="15253"/>
    <cellStyle name="Input [yellow] 3 12 7 7 3" xfId="26421"/>
    <cellStyle name="Input [yellow] 3 12 7 7 4" xfId="37586"/>
    <cellStyle name="Input [yellow] 3 12 7 7 5" xfId="48779"/>
    <cellStyle name="Input [yellow] 3 12 7 8" xfId="4689"/>
    <cellStyle name="Input [yellow] 3 12 7 8 2" xfId="15886"/>
    <cellStyle name="Input [yellow] 3 12 7 8 3" xfId="27054"/>
    <cellStyle name="Input [yellow] 3 12 7 8 4" xfId="38219"/>
    <cellStyle name="Input [yellow] 3 12 7 8 5" xfId="49412"/>
    <cellStyle name="Input [yellow] 3 12 7 9" xfId="5320"/>
    <cellStyle name="Input [yellow] 3 12 7 9 2" xfId="16517"/>
    <cellStyle name="Input [yellow] 3 12 7 9 3" xfId="27685"/>
    <cellStyle name="Input [yellow] 3 12 7 9 4" xfId="38850"/>
    <cellStyle name="Input [yellow] 3 12 7 9 5" xfId="50043"/>
    <cellStyle name="Input [yellow] 3 12 8" xfId="495"/>
    <cellStyle name="Input [yellow] 3 12 8 10" xfId="5591"/>
    <cellStyle name="Input [yellow] 3 12 8 10 2" xfId="16788"/>
    <cellStyle name="Input [yellow] 3 12 8 10 3" xfId="27956"/>
    <cellStyle name="Input [yellow] 3 12 8 10 4" xfId="39121"/>
    <cellStyle name="Input [yellow] 3 12 8 10 5" xfId="50314"/>
    <cellStyle name="Input [yellow] 3 12 8 11" xfId="6431"/>
    <cellStyle name="Input [yellow] 3 12 8 11 2" xfId="17628"/>
    <cellStyle name="Input [yellow] 3 12 8 11 3" xfId="28796"/>
    <cellStyle name="Input [yellow] 3 12 8 11 4" xfId="39961"/>
    <cellStyle name="Input [yellow] 3 12 8 11 5" xfId="51154"/>
    <cellStyle name="Input [yellow] 3 12 8 12" xfId="7064"/>
    <cellStyle name="Input [yellow] 3 12 8 12 2" xfId="18261"/>
    <cellStyle name="Input [yellow] 3 12 8 12 3" xfId="29429"/>
    <cellStyle name="Input [yellow] 3 12 8 12 4" xfId="40594"/>
    <cellStyle name="Input [yellow] 3 12 8 12 5" xfId="51787"/>
    <cellStyle name="Input [yellow] 3 12 8 13" xfId="7698"/>
    <cellStyle name="Input [yellow] 3 12 8 13 2" xfId="18895"/>
    <cellStyle name="Input [yellow] 3 12 8 13 3" xfId="30063"/>
    <cellStyle name="Input [yellow] 3 12 8 13 4" xfId="41228"/>
    <cellStyle name="Input [yellow] 3 12 8 13 5" xfId="52421"/>
    <cellStyle name="Input [yellow] 3 12 8 14" xfId="8332"/>
    <cellStyle name="Input [yellow] 3 12 8 14 2" xfId="19529"/>
    <cellStyle name="Input [yellow] 3 12 8 14 3" xfId="30697"/>
    <cellStyle name="Input [yellow] 3 12 8 14 4" xfId="41862"/>
    <cellStyle name="Input [yellow] 3 12 8 14 5" xfId="53055"/>
    <cellStyle name="Input [yellow] 3 12 8 15" xfId="8960"/>
    <cellStyle name="Input [yellow] 3 12 8 15 2" xfId="20157"/>
    <cellStyle name="Input [yellow] 3 12 8 15 3" xfId="31325"/>
    <cellStyle name="Input [yellow] 3 12 8 15 4" xfId="42490"/>
    <cellStyle name="Input [yellow] 3 12 8 15 5" xfId="53683"/>
    <cellStyle name="Input [yellow] 3 12 8 16" xfId="9383"/>
    <cellStyle name="Input [yellow] 3 12 8 16 2" xfId="20580"/>
    <cellStyle name="Input [yellow] 3 12 8 16 3" xfId="31748"/>
    <cellStyle name="Input [yellow] 3 12 8 16 4" xfId="42913"/>
    <cellStyle name="Input [yellow] 3 12 8 16 5" xfId="54106"/>
    <cellStyle name="Input [yellow] 3 12 8 17" xfId="10008"/>
    <cellStyle name="Input [yellow] 3 12 8 17 2" xfId="21205"/>
    <cellStyle name="Input [yellow] 3 12 8 17 3" xfId="32373"/>
    <cellStyle name="Input [yellow] 3 12 8 17 4" xfId="43538"/>
    <cellStyle name="Input [yellow] 3 12 8 17 5" xfId="54731"/>
    <cellStyle name="Input [yellow] 3 12 8 18" xfId="9719"/>
    <cellStyle name="Input [yellow] 3 12 8 18 2" xfId="20916"/>
    <cellStyle name="Input [yellow] 3 12 8 18 3" xfId="32084"/>
    <cellStyle name="Input [yellow] 3 12 8 18 4" xfId="43249"/>
    <cellStyle name="Input [yellow] 3 12 8 18 5" xfId="54442"/>
    <cellStyle name="Input [yellow] 3 12 8 19" xfId="11048"/>
    <cellStyle name="Input [yellow] 3 12 8 19 2" xfId="22245"/>
    <cellStyle name="Input [yellow] 3 12 8 19 3" xfId="33413"/>
    <cellStyle name="Input [yellow] 3 12 8 19 4" xfId="44578"/>
    <cellStyle name="Input [yellow] 3 12 8 19 5" xfId="55771"/>
    <cellStyle name="Input [yellow] 3 12 8 2" xfId="1144"/>
    <cellStyle name="Input [yellow] 3 12 8 2 2" xfId="12341"/>
    <cellStyle name="Input [yellow] 3 12 8 2 3" xfId="23509"/>
    <cellStyle name="Input [yellow] 3 12 8 2 4" xfId="34674"/>
    <cellStyle name="Input [yellow] 3 12 8 2 5" xfId="45867"/>
    <cellStyle name="Input [yellow] 3 12 8 20" xfId="11695"/>
    <cellStyle name="Input [yellow] 3 12 8 21" xfId="22865"/>
    <cellStyle name="Input [yellow] 3 12 8 22" xfId="34032"/>
    <cellStyle name="Input [yellow] 3 12 8 23" xfId="45218"/>
    <cellStyle name="Input [yellow] 3 12 8 3" xfId="1482"/>
    <cellStyle name="Input [yellow] 3 12 8 3 2" xfId="12679"/>
    <cellStyle name="Input [yellow] 3 12 8 3 3" xfId="23847"/>
    <cellStyle name="Input [yellow] 3 12 8 3 4" xfId="35012"/>
    <cellStyle name="Input [yellow] 3 12 8 3 5" xfId="46205"/>
    <cellStyle name="Input [yellow] 3 12 8 4" xfId="2420"/>
    <cellStyle name="Input [yellow] 3 12 8 4 2" xfId="13617"/>
    <cellStyle name="Input [yellow] 3 12 8 4 3" xfId="24785"/>
    <cellStyle name="Input [yellow] 3 12 8 4 4" xfId="35950"/>
    <cellStyle name="Input [yellow] 3 12 8 4 5" xfId="47143"/>
    <cellStyle name="Input [yellow] 3 12 8 5" xfId="2845"/>
    <cellStyle name="Input [yellow] 3 12 8 5 2" xfId="14042"/>
    <cellStyle name="Input [yellow] 3 12 8 5 3" xfId="25210"/>
    <cellStyle name="Input [yellow] 3 12 8 5 4" xfId="36375"/>
    <cellStyle name="Input [yellow] 3 12 8 5 5" xfId="47568"/>
    <cellStyle name="Input [yellow] 3 12 8 6" xfId="3479"/>
    <cellStyle name="Input [yellow] 3 12 8 6 2" xfId="14676"/>
    <cellStyle name="Input [yellow] 3 12 8 6 3" xfId="25844"/>
    <cellStyle name="Input [yellow] 3 12 8 6 4" xfId="37009"/>
    <cellStyle name="Input [yellow] 3 12 8 6 5" xfId="48202"/>
    <cellStyle name="Input [yellow] 3 12 8 7" xfId="4113"/>
    <cellStyle name="Input [yellow] 3 12 8 7 2" xfId="15310"/>
    <cellStyle name="Input [yellow] 3 12 8 7 3" xfId="26478"/>
    <cellStyle name="Input [yellow] 3 12 8 7 4" xfId="37643"/>
    <cellStyle name="Input [yellow] 3 12 8 7 5" xfId="48836"/>
    <cellStyle name="Input [yellow] 3 12 8 8" xfId="4746"/>
    <cellStyle name="Input [yellow] 3 12 8 8 2" xfId="15943"/>
    <cellStyle name="Input [yellow] 3 12 8 8 3" xfId="27111"/>
    <cellStyle name="Input [yellow] 3 12 8 8 4" xfId="38276"/>
    <cellStyle name="Input [yellow] 3 12 8 8 5" xfId="49469"/>
    <cellStyle name="Input [yellow] 3 12 8 9" xfId="5377"/>
    <cellStyle name="Input [yellow] 3 12 8 9 2" xfId="16574"/>
    <cellStyle name="Input [yellow] 3 12 8 9 3" xfId="27742"/>
    <cellStyle name="Input [yellow] 3 12 8 9 4" xfId="38907"/>
    <cellStyle name="Input [yellow] 3 12 8 9 5" xfId="50100"/>
    <cellStyle name="Input [yellow] 3 12 9" xfId="553"/>
    <cellStyle name="Input [yellow] 3 12 9 10" xfId="5785"/>
    <cellStyle name="Input [yellow] 3 12 9 10 2" xfId="16982"/>
    <cellStyle name="Input [yellow] 3 12 9 10 3" xfId="28150"/>
    <cellStyle name="Input [yellow] 3 12 9 10 4" xfId="39315"/>
    <cellStyle name="Input [yellow] 3 12 9 10 5" xfId="50508"/>
    <cellStyle name="Input [yellow] 3 12 9 11" xfId="6489"/>
    <cellStyle name="Input [yellow] 3 12 9 11 2" xfId="17686"/>
    <cellStyle name="Input [yellow] 3 12 9 11 3" xfId="28854"/>
    <cellStyle name="Input [yellow] 3 12 9 11 4" xfId="40019"/>
    <cellStyle name="Input [yellow] 3 12 9 11 5" xfId="51212"/>
    <cellStyle name="Input [yellow] 3 12 9 12" xfId="7122"/>
    <cellStyle name="Input [yellow] 3 12 9 12 2" xfId="18319"/>
    <cellStyle name="Input [yellow] 3 12 9 12 3" xfId="29487"/>
    <cellStyle name="Input [yellow] 3 12 9 12 4" xfId="40652"/>
    <cellStyle name="Input [yellow] 3 12 9 12 5" xfId="51845"/>
    <cellStyle name="Input [yellow] 3 12 9 13" xfId="7756"/>
    <cellStyle name="Input [yellow] 3 12 9 13 2" xfId="18953"/>
    <cellStyle name="Input [yellow] 3 12 9 13 3" xfId="30121"/>
    <cellStyle name="Input [yellow] 3 12 9 13 4" xfId="41286"/>
    <cellStyle name="Input [yellow] 3 12 9 13 5" xfId="52479"/>
    <cellStyle name="Input [yellow] 3 12 9 14" xfId="8390"/>
    <cellStyle name="Input [yellow] 3 12 9 14 2" xfId="19587"/>
    <cellStyle name="Input [yellow] 3 12 9 14 3" xfId="30755"/>
    <cellStyle name="Input [yellow] 3 12 9 14 4" xfId="41920"/>
    <cellStyle name="Input [yellow] 3 12 9 14 5" xfId="53113"/>
    <cellStyle name="Input [yellow] 3 12 9 15" xfId="9018"/>
    <cellStyle name="Input [yellow] 3 12 9 15 2" xfId="20215"/>
    <cellStyle name="Input [yellow] 3 12 9 15 3" xfId="31383"/>
    <cellStyle name="Input [yellow] 3 12 9 15 4" xfId="42548"/>
    <cellStyle name="Input [yellow] 3 12 9 15 5" xfId="53741"/>
    <cellStyle name="Input [yellow] 3 12 9 16" xfId="9441"/>
    <cellStyle name="Input [yellow] 3 12 9 16 2" xfId="20638"/>
    <cellStyle name="Input [yellow] 3 12 9 16 3" xfId="31806"/>
    <cellStyle name="Input [yellow] 3 12 9 16 4" xfId="42971"/>
    <cellStyle name="Input [yellow] 3 12 9 16 5" xfId="54164"/>
    <cellStyle name="Input [yellow] 3 12 9 17" xfId="10066"/>
    <cellStyle name="Input [yellow] 3 12 9 17 2" xfId="21263"/>
    <cellStyle name="Input [yellow] 3 12 9 17 3" xfId="32431"/>
    <cellStyle name="Input [yellow] 3 12 9 17 4" xfId="43596"/>
    <cellStyle name="Input [yellow] 3 12 9 17 5" xfId="54789"/>
    <cellStyle name="Input [yellow] 3 12 9 18" xfId="10588"/>
    <cellStyle name="Input [yellow] 3 12 9 18 2" xfId="21785"/>
    <cellStyle name="Input [yellow] 3 12 9 18 3" xfId="32953"/>
    <cellStyle name="Input [yellow] 3 12 9 18 4" xfId="44118"/>
    <cellStyle name="Input [yellow] 3 12 9 18 5" xfId="55311"/>
    <cellStyle name="Input [yellow] 3 12 9 19" xfId="11106"/>
    <cellStyle name="Input [yellow] 3 12 9 19 2" xfId="22303"/>
    <cellStyle name="Input [yellow] 3 12 9 19 3" xfId="33471"/>
    <cellStyle name="Input [yellow] 3 12 9 19 4" xfId="44636"/>
    <cellStyle name="Input [yellow] 3 12 9 19 5" xfId="55829"/>
    <cellStyle name="Input [yellow] 3 12 9 2" xfId="1202"/>
    <cellStyle name="Input [yellow] 3 12 9 2 2" xfId="12399"/>
    <cellStyle name="Input [yellow] 3 12 9 2 3" xfId="23567"/>
    <cellStyle name="Input [yellow] 3 12 9 2 4" xfId="34732"/>
    <cellStyle name="Input [yellow] 3 12 9 2 5" xfId="45925"/>
    <cellStyle name="Input [yellow] 3 12 9 20" xfId="11753"/>
    <cellStyle name="Input [yellow] 3 12 9 21" xfId="22923"/>
    <cellStyle name="Input [yellow] 3 12 9 22" xfId="34090"/>
    <cellStyle name="Input [yellow] 3 12 9 23" xfId="45276"/>
    <cellStyle name="Input [yellow] 3 12 9 3" xfId="1875"/>
    <cellStyle name="Input [yellow] 3 12 9 3 2" xfId="13072"/>
    <cellStyle name="Input [yellow] 3 12 9 3 3" xfId="24240"/>
    <cellStyle name="Input [yellow] 3 12 9 3 4" xfId="35405"/>
    <cellStyle name="Input [yellow] 3 12 9 3 5" xfId="46598"/>
    <cellStyle name="Input [yellow] 3 12 9 4" xfId="2478"/>
    <cellStyle name="Input [yellow] 3 12 9 4 2" xfId="13675"/>
    <cellStyle name="Input [yellow] 3 12 9 4 3" xfId="24843"/>
    <cellStyle name="Input [yellow] 3 12 9 4 4" xfId="36008"/>
    <cellStyle name="Input [yellow] 3 12 9 4 5" xfId="47201"/>
    <cellStyle name="Input [yellow] 3 12 9 5" xfId="2903"/>
    <cellStyle name="Input [yellow] 3 12 9 5 2" xfId="14100"/>
    <cellStyle name="Input [yellow] 3 12 9 5 3" xfId="25268"/>
    <cellStyle name="Input [yellow] 3 12 9 5 4" xfId="36433"/>
    <cellStyle name="Input [yellow] 3 12 9 5 5" xfId="47626"/>
    <cellStyle name="Input [yellow] 3 12 9 6" xfId="3537"/>
    <cellStyle name="Input [yellow] 3 12 9 6 2" xfId="14734"/>
    <cellStyle name="Input [yellow] 3 12 9 6 3" xfId="25902"/>
    <cellStyle name="Input [yellow] 3 12 9 6 4" xfId="37067"/>
    <cellStyle name="Input [yellow] 3 12 9 6 5" xfId="48260"/>
    <cellStyle name="Input [yellow] 3 12 9 7" xfId="4171"/>
    <cellStyle name="Input [yellow] 3 12 9 7 2" xfId="15368"/>
    <cellStyle name="Input [yellow] 3 12 9 7 3" xfId="26536"/>
    <cellStyle name="Input [yellow] 3 12 9 7 4" xfId="37701"/>
    <cellStyle name="Input [yellow] 3 12 9 7 5" xfId="48894"/>
    <cellStyle name="Input [yellow] 3 12 9 8" xfId="4804"/>
    <cellStyle name="Input [yellow] 3 12 9 8 2" xfId="16001"/>
    <cellStyle name="Input [yellow] 3 12 9 8 3" xfId="27169"/>
    <cellStyle name="Input [yellow] 3 12 9 8 4" xfId="38334"/>
    <cellStyle name="Input [yellow] 3 12 9 8 5" xfId="49527"/>
    <cellStyle name="Input [yellow] 3 12 9 9" xfId="5435"/>
    <cellStyle name="Input [yellow] 3 12 9 9 2" xfId="16632"/>
    <cellStyle name="Input [yellow] 3 12 9 9 3" xfId="27800"/>
    <cellStyle name="Input [yellow] 3 12 9 9 4" xfId="38965"/>
    <cellStyle name="Input [yellow] 3 12 9 9 5" xfId="50158"/>
    <cellStyle name="Input [yellow] 3 13" xfId="89"/>
    <cellStyle name="Input [yellow] 3 13 10" xfId="577"/>
    <cellStyle name="Input [yellow] 3 13 10 10" xfId="6058"/>
    <cellStyle name="Input [yellow] 3 13 10 10 2" xfId="17255"/>
    <cellStyle name="Input [yellow] 3 13 10 10 3" xfId="28423"/>
    <cellStyle name="Input [yellow] 3 13 10 10 4" xfId="39588"/>
    <cellStyle name="Input [yellow] 3 13 10 10 5" xfId="50781"/>
    <cellStyle name="Input [yellow] 3 13 10 11" xfId="6513"/>
    <cellStyle name="Input [yellow] 3 13 10 11 2" xfId="17710"/>
    <cellStyle name="Input [yellow] 3 13 10 11 3" xfId="28878"/>
    <cellStyle name="Input [yellow] 3 13 10 11 4" xfId="40043"/>
    <cellStyle name="Input [yellow] 3 13 10 11 5" xfId="51236"/>
    <cellStyle name="Input [yellow] 3 13 10 12" xfId="7146"/>
    <cellStyle name="Input [yellow] 3 13 10 12 2" xfId="18343"/>
    <cellStyle name="Input [yellow] 3 13 10 12 3" xfId="29511"/>
    <cellStyle name="Input [yellow] 3 13 10 12 4" xfId="40676"/>
    <cellStyle name="Input [yellow] 3 13 10 12 5" xfId="51869"/>
    <cellStyle name="Input [yellow] 3 13 10 13" xfId="7780"/>
    <cellStyle name="Input [yellow] 3 13 10 13 2" xfId="18977"/>
    <cellStyle name="Input [yellow] 3 13 10 13 3" xfId="30145"/>
    <cellStyle name="Input [yellow] 3 13 10 13 4" xfId="41310"/>
    <cellStyle name="Input [yellow] 3 13 10 13 5" xfId="52503"/>
    <cellStyle name="Input [yellow] 3 13 10 14" xfId="8414"/>
    <cellStyle name="Input [yellow] 3 13 10 14 2" xfId="19611"/>
    <cellStyle name="Input [yellow] 3 13 10 14 3" xfId="30779"/>
    <cellStyle name="Input [yellow] 3 13 10 14 4" xfId="41944"/>
    <cellStyle name="Input [yellow] 3 13 10 14 5" xfId="53137"/>
    <cellStyle name="Input [yellow] 3 13 10 15" xfId="9042"/>
    <cellStyle name="Input [yellow] 3 13 10 15 2" xfId="20239"/>
    <cellStyle name="Input [yellow] 3 13 10 15 3" xfId="31407"/>
    <cellStyle name="Input [yellow] 3 13 10 15 4" xfId="42572"/>
    <cellStyle name="Input [yellow] 3 13 10 15 5" xfId="53765"/>
    <cellStyle name="Input [yellow] 3 13 10 16" xfId="9465"/>
    <cellStyle name="Input [yellow] 3 13 10 16 2" xfId="20662"/>
    <cellStyle name="Input [yellow] 3 13 10 16 3" xfId="31830"/>
    <cellStyle name="Input [yellow] 3 13 10 16 4" xfId="42995"/>
    <cellStyle name="Input [yellow] 3 13 10 16 5" xfId="54188"/>
    <cellStyle name="Input [yellow] 3 13 10 17" xfId="10090"/>
    <cellStyle name="Input [yellow] 3 13 10 17 2" xfId="21287"/>
    <cellStyle name="Input [yellow] 3 13 10 17 3" xfId="32455"/>
    <cellStyle name="Input [yellow] 3 13 10 17 4" xfId="43620"/>
    <cellStyle name="Input [yellow] 3 13 10 17 5" xfId="54813"/>
    <cellStyle name="Input [yellow] 3 13 10 18" xfId="7909"/>
    <cellStyle name="Input [yellow] 3 13 10 18 2" xfId="19106"/>
    <cellStyle name="Input [yellow] 3 13 10 18 3" xfId="30274"/>
    <cellStyle name="Input [yellow] 3 13 10 18 4" xfId="41439"/>
    <cellStyle name="Input [yellow] 3 13 10 18 5" xfId="52632"/>
    <cellStyle name="Input [yellow] 3 13 10 19" xfId="11130"/>
    <cellStyle name="Input [yellow] 3 13 10 19 2" xfId="22327"/>
    <cellStyle name="Input [yellow] 3 13 10 19 3" xfId="33495"/>
    <cellStyle name="Input [yellow] 3 13 10 19 4" xfId="44660"/>
    <cellStyle name="Input [yellow] 3 13 10 19 5" xfId="55853"/>
    <cellStyle name="Input [yellow] 3 13 10 2" xfId="1226"/>
    <cellStyle name="Input [yellow] 3 13 10 2 2" xfId="12423"/>
    <cellStyle name="Input [yellow] 3 13 10 2 3" xfId="23591"/>
    <cellStyle name="Input [yellow] 3 13 10 2 4" xfId="34756"/>
    <cellStyle name="Input [yellow] 3 13 10 2 5" xfId="45949"/>
    <cellStyle name="Input [yellow] 3 13 10 20" xfId="11777"/>
    <cellStyle name="Input [yellow] 3 13 10 21" xfId="22947"/>
    <cellStyle name="Input [yellow] 3 13 10 22" xfId="34114"/>
    <cellStyle name="Input [yellow] 3 13 10 23" xfId="45300"/>
    <cellStyle name="Input [yellow] 3 13 10 3" xfId="1400"/>
    <cellStyle name="Input [yellow] 3 13 10 3 2" xfId="12597"/>
    <cellStyle name="Input [yellow] 3 13 10 3 3" xfId="23765"/>
    <cellStyle name="Input [yellow] 3 13 10 3 4" xfId="34930"/>
    <cellStyle name="Input [yellow] 3 13 10 3 5" xfId="46123"/>
    <cellStyle name="Input [yellow] 3 13 10 4" xfId="2502"/>
    <cellStyle name="Input [yellow] 3 13 10 4 2" xfId="13699"/>
    <cellStyle name="Input [yellow] 3 13 10 4 3" xfId="24867"/>
    <cellStyle name="Input [yellow] 3 13 10 4 4" xfId="36032"/>
    <cellStyle name="Input [yellow] 3 13 10 4 5" xfId="47225"/>
    <cellStyle name="Input [yellow] 3 13 10 5" xfId="2927"/>
    <cellStyle name="Input [yellow] 3 13 10 5 2" xfId="14124"/>
    <cellStyle name="Input [yellow] 3 13 10 5 3" xfId="25292"/>
    <cellStyle name="Input [yellow] 3 13 10 5 4" xfId="36457"/>
    <cellStyle name="Input [yellow] 3 13 10 5 5" xfId="47650"/>
    <cellStyle name="Input [yellow] 3 13 10 6" xfId="3561"/>
    <cellStyle name="Input [yellow] 3 13 10 6 2" xfId="14758"/>
    <cellStyle name="Input [yellow] 3 13 10 6 3" xfId="25926"/>
    <cellStyle name="Input [yellow] 3 13 10 6 4" xfId="37091"/>
    <cellStyle name="Input [yellow] 3 13 10 6 5" xfId="48284"/>
    <cellStyle name="Input [yellow] 3 13 10 7" xfId="4195"/>
    <cellStyle name="Input [yellow] 3 13 10 7 2" xfId="15392"/>
    <cellStyle name="Input [yellow] 3 13 10 7 3" xfId="26560"/>
    <cellStyle name="Input [yellow] 3 13 10 7 4" xfId="37725"/>
    <cellStyle name="Input [yellow] 3 13 10 7 5" xfId="48918"/>
    <cellStyle name="Input [yellow] 3 13 10 8" xfId="4828"/>
    <cellStyle name="Input [yellow] 3 13 10 8 2" xfId="16025"/>
    <cellStyle name="Input [yellow] 3 13 10 8 3" xfId="27193"/>
    <cellStyle name="Input [yellow] 3 13 10 8 4" xfId="38358"/>
    <cellStyle name="Input [yellow] 3 13 10 8 5" xfId="49551"/>
    <cellStyle name="Input [yellow] 3 13 10 9" xfId="5459"/>
    <cellStyle name="Input [yellow] 3 13 10 9 2" xfId="16656"/>
    <cellStyle name="Input [yellow] 3 13 10 9 3" xfId="27824"/>
    <cellStyle name="Input [yellow] 3 13 10 9 4" xfId="38989"/>
    <cellStyle name="Input [yellow] 3 13 10 9 5" xfId="50182"/>
    <cellStyle name="Input [yellow] 3 13 11" xfId="638"/>
    <cellStyle name="Input [yellow] 3 13 11 10" xfId="5746"/>
    <cellStyle name="Input [yellow] 3 13 11 10 2" xfId="16943"/>
    <cellStyle name="Input [yellow] 3 13 11 10 3" xfId="28111"/>
    <cellStyle name="Input [yellow] 3 13 11 10 4" xfId="39276"/>
    <cellStyle name="Input [yellow] 3 13 11 10 5" xfId="50469"/>
    <cellStyle name="Input [yellow] 3 13 11 11" xfId="6574"/>
    <cellStyle name="Input [yellow] 3 13 11 11 2" xfId="17771"/>
    <cellStyle name="Input [yellow] 3 13 11 11 3" xfId="28939"/>
    <cellStyle name="Input [yellow] 3 13 11 11 4" xfId="40104"/>
    <cellStyle name="Input [yellow] 3 13 11 11 5" xfId="51297"/>
    <cellStyle name="Input [yellow] 3 13 11 12" xfId="7207"/>
    <cellStyle name="Input [yellow] 3 13 11 12 2" xfId="18404"/>
    <cellStyle name="Input [yellow] 3 13 11 12 3" xfId="29572"/>
    <cellStyle name="Input [yellow] 3 13 11 12 4" xfId="40737"/>
    <cellStyle name="Input [yellow] 3 13 11 12 5" xfId="51930"/>
    <cellStyle name="Input [yellow] 3 13 11 13" xfId="7841"/>
    <cellStyle name="Input [yellow] 3 13 11 13 2" xfId="19038"/>
    <cellStyle name="Input [yellow] 3 13 11 13 3" xfId="30206"/>
    <cellStyle name="Input [yellow] 3 13 11 13 4" xfId="41371"/>
    <cellStyle name="Input [yellow] 3 13 11 13 5" xfId="52564"/>
    <cellStyle name="Input [yellow] 3 13 11 14" xfId="8475"/>
    <cellStyle name="Input [yellow] 3 13 11 14 2" xfId="19672"/>
    <cellStyle name="Input [yellow] 3 13 11 14 3" xfId="30840"/>
    <cellStyle name="Input [yellow] 3 13 11 14 4" xfId="42005"/>
    <cellStyle name="Input [yellow] 3 13 11 14 5" xfId="53198"/>
    <cellStyle name="Input [yellow] 3 13 11 15" xfId="9103"/>
    <cellStyle name="Input [yellow] 3 13 11 15 2" xfId="20300"/>
    <cellStyle name="Input [yellow] 3 13 11 15 3" xfId="31468"/>
    <cellStyle name="Input [yellow] 3 13 11 15 4" xfId="42633"/>
    <cellStyle name="Input [yellow] 3 13 11 15 5" xfId="53826"/>
    <cellStyle name="Input [yellow] 3 13 11 16" xfId="9526"/>
    <cellStyle name="Input [yellow] 3 13 11 16 2" xfId="20723"/>
    <cellStyle name="Input [yellow] 3 13 11 16 3" xfId="31891"/>
    <cellStyle name="Input [yellow] 3 13 11 16 4" xfId="43056"/>
    <cellStyle name="Input [yellow] 3 13 11 16 5" xfId="54249"/>
    <cellStyle name="Input [yellow] 3 13 11 17" xfId="10151"/>
    <cellStyle name="Input [yellow] 3 13 11 17 2" xfId="21348"/>
    <cellStyle name="Input [yellow] 3 13 11 17 3" xfId="32516"/>
    <cellStyle name="Input [yellow] 3 13 11 17 4" xfId="43681"/>
    <cellStyle name="Input [yellow] 3 13 11 17 5" xfId="54874"/>
    <cellStyle name="Input [yellow] 3 13 11 18" xfId="10256"/>
    <cellStyle name="Input [yellow] 3 13 11 18 2" xfId="21453"/>
    <cellStyle name="Input [yellow] 3 13 11 18 3" xfId="32621"/>
    <cellStyle name="Input [yellow] 3 13 11 18 4" xfId="43786"/>
    <cellStyle name="Input [yellow] 3 13 11 18 5" xfId="54979"/>
    <cellStyle name="Input [yellow] 3 13 11 19" xfId="11191"/>
    <cellStyle name="Input [yellow] 3 13 11 19 2" xfId="22388"/>
    <cellStyle name="Input [yellow] 3 13 11 19 3" xfId="33556"/>
    <cellStyle name="Input [yellow] 3 13 11 19 4" xfId="44721"/>
    <cellStyle name="Input [yellow] 3 13 11 19 5" xfId="55914"/>
    <cellStyle name="Input [yellow] 3 13 11 2" xfId="1287"/>
    <cellStyle name="Input [yellow] 3 13 11 2 2" xfId="12484"/>
    <cellStyle name="Input [yellow] 3 13 11 2 3" xfId="23652"/>
    <cellStyle name="Input [yellow] 3 13 11 2 4" xfId="34817"/>
    <cellStyle name="Input [yellow] 3 13 11 2 5" xfId="46010"/>
    <cellStyle name="Input [yellow] 3 13 11 20" xfId="11838"/>
    <cellStyle name="Input [yellow] 3 13 11 21" xfId="23008"/>
    <cellStyle name="Input [yellow] 3 13 11 22" xfId="34175"/>
    <cellStyle name="Input [yellow] 3 13 11 23" xfId="45361"/>
    <cellStyle name="Input [yellow] 3 13 11 3" xfId="1567"/>
    <cellStyle name="Input [yellow] 3 13 11 3 2" xfId="12764"/>
    <cellStyle name="Input [yellow] 3 13 11 3 3" xfId="23932"/>
    <cellStyle name="Input [yellow] 3 13 11 3 4" xfId="35097"/>
    <cellStyle name="Input [yellow] 3 13 11 3 5" xfId="46290"/>
    <cellStyle name="Input [yellow] 3 13 11 4" xfId="2563"/>
    <cellStyle name="Input [yellow] 3 13 11 4 2" xfId="13760"/>
    <cellStyle name="Input [yellow] 3 13 11 4 3" xfId="24928"/>
    <cellStyle name="Input [yellow] 3 13 11 4 4" xfId="36093"/>
    <cellStyle name="Input [yellow] 3 13 11 4 5" xfId="47286"/>
    <cellStyle name="Input [yellow] 3 13 11 5" xfId="2988"/>
    <cellStyle name="Input [yellow] 3 13 11 5 2" xfId="14185"/>
    <cellStyle name="Input [yellow] 3 13 11 5 3" xfId="25353"/>
    <cellStyle name="Input [yellow] 3 13 11 5 4" xfId="36518"/>
    <cellStyle name="Input [yellow] 3 13 11 5 5" xfId="47711"/>
    <cellStyle name="Input [yellow] 3 13 11 6" xfId="3622"/>
    <cellStyle name="Input [yellow] 3 13 11 6 2" xfId="14819"/>
    <cellStyle name="Input [yellow] 3 13 11 6 3" xfId="25987"/>
    <cellStyle name="Input [yellow] 3 13 11 6 4" xfId="37152"/>
    <cellStyle name="Input [yellow] 3 13 11 6 5" xfId="48345"/>
    <cellStyle name="Input [yellow] 3 13 11 7" xfId="4256"/>
    <cellStyle name="Input [yellow] 3 13 11 7 2" xfId="15453"/>
    <cellStyle name="Input [yellow] 3 13 11 7 3" xfId="26621"/>
    <cellStyle name="Input [yellow] 3 13 11 7 4" xfId="37786"/>
    <cellStyle name="Input [yellow] 3 13 11 7 5" xfId="48979"/>
    <cellStyle name="Input [yellow] 3 13 11 8" xfId="4889"/>
    <cellStyle name="Input [yellow] 3 13 11 8 2" xfId="16086"/>
    <cellStyle name="Input [yellow] 3 13 11 8 3" xfId="27254"/>
    <cellStyle name="Input [yellow] 3 13 11 8 4" xfId="38419"/>
    <cellStyle name="Input [yellow] 3 13 11 8 5" xfId="49612"/>
    <cellStyle name="Input [yellow] 3 13 11 9" xfId="5520"/>
    <cellStyle name="Input [yellow] 3 13 11 9 2" xfId="16717"/>
    <cellStyle name="Input [yellow] 3 13 11 9 3" xfId="27885"/>
    <cellStyle name="Input [yellow] 3 13 11 9 4" xfId="39050"/>
    <cellStyle name="Input [yellow] 3 13 11 9 5" xfId="50243"/>
    <cellStyle name="Input [yellow] 3 13 12" xfId="738"/>
    <cellStyle name="Input [yellow] 3 13 12 2" xfId="11936"/>
    <cellStyle name="Input [yellow] 3 13 12 3" xfId="23104"/>
    <cellStyle name="Input [yellow] 3 13 12 4" xfId="34269"/>
    <cellStyle name="Input [yellow] 3 13 12 5" xfId="45461"/>
    <cellStyle name="Input [yellow] 3 13 13" xfId="1662"/>
    <cellStyle name="Input [yellow] 3 13 13 2" xfId="12859"/>
    <cellStyle name="Input [yellow] 3 13 13 3" xfId="24027"/>
    <cellStyle name="Input [yellow] 3 13 13 4" xfId="35192"/>
    <cellStyle name="Input [yellow] 3 13 13 5" xfId="46385"/>
    <cellStyle name="Input [yellow] 3 13 14" xfId="2015"/>
    <cellStyle name="Input [yellow] 3 13 14 2" xfId="13212"/>
    <cellStyle name="Input [yellow] 3 13 14 3" xfId="24380"/>
    <cellStyle name="Input [yellow] 3 13 14 4" xfId="35545"/>
    <cellStyle name="Input [yellow] 3 13 14 5" xfId="46738"/>
    <cellStyle name="Input [yellow] 3 13 15" xfId="2326"/>
    <cellStyle name="Input [yellow] 3 13 15 2" xfId="13523"/>
    <cellStyle name="Input [yellow] 3 13 15 3" xfId="24691"/>
    <cellStyle name="Input [yellow] 3 13 15 4" xfId="35856"/>
    <cellStyle name="Input [yellow] 3 13 15 5" xfId="47049"/>
    <cellStyle name="Input [yellow] 3 13 16" xfId="3073"/>
    <cellStyle name="Input [yellow] 3 13 16 2" xfId="14270"/>
    <cellStyle name="Input [yellow] 3 13 16 3" xfId="25438"/>
    <cellStyle name="Input [yellow] 3 13 16 4" xfId="36603"/>
    <cellStyle name="Input [yellow] 3 13 16 5" xfId="47796"/>
    <cellStyle name="Input [yellow] 3 13 17" xfId="3707"/>
    <cellStyle name="Input [yellow] 3 13 17 2" xfId="14904"/>
    <cellStyle name="Input [yellow] 3 13 17 3" xfId="26072"/>
    <cellStyle name="Input [yellow] 3 13 17 4" xfId="37237"/>
    <cellStyle name="Input [yellow] 3 13 17 5" xfId="48430"/>
    <cellStyle name="Input [yellow] 3 13 18" xfId="4340"/>
    <cellStyle name="Input [yellow] 3 13 18 2" xfId="15537"/>
    <cellStyle name="Input [yellow] 3 13 18 3" xfId="26705"/>
    <cellStyle name="Input [yellow] 3 13 18 4" xfId="37870"/>
    <cellStyle name="Input [yellow] 3 13 18 5" xfId="49063"/>
    <cellStyle name="Input [yellow] 3 13 19" xfId="4972"/>
    <cellStyle name="Input [yellow] 3 13 19 2" xfId="16169"/>
    <cellStyle name="Input [yellow] 3 13 19 3" xfId="27337"/>
    <cellStyle name="Input [yellow] 3 13 19 4" xfId="38502"/>
    <cellStyle name="Input [yellow] 3 13 19 5" xfId="49695"/>
    <cellStyle name="Input [yellow] 3 13 2" xfId="153"/>
    <cellStyle name="Input [yellow] 3 13 2 10" xfId="5977"/>
    <cellStyle name="Input [yellow] 3 13 2 10 2" xfId="17174"/>
    <cellStyle name="Input [yellow] 3 13 2 10 3" xfId="28342"/>
    <cellStyle name="Input [yellow] 3 13 2 10 4" xfId="39507"/>
    <cellStyle name="Input [yellow] 3 13 2 10 5" xfId="50700"/>
    <cellStyle name="Input [yellow] 3 13 2 11" xfId="5575"/>
    <cellStyle name="Input [yellow] 3 13 2 11 2" xfId="16772"/>
    <cellStyle name="Input [yellow] 3 13 2 11 3" xfId="27940"/>
    <cellStyle name="Input [yellow] 3 13 2 11 4" xfId="39105"/>
    <cellStyle name="Input [yellow] 3 13 2 11 5" xfId="50298"/>
    <cellStyle name="Input [yellow] 3 13 2 12" xfId="6722"/>
    <cellStyle name="Input [yellow] 3 13 2 12 2" xfId="17919"/>
    <cellStyle name="Input [yellow] 3 13 2 12 3" xfId="29087"/>
    <cellStyle name="Input [yellow] 3 13 2 12 4" xfId="40252"/>
    <cellStyle name="Input [yellow] 3 13 2 12 5" xfId="51445"/>
    <cellStyle name="Input [yellow] 3 13 2 13" xfId="7356"/>
    <cellStyle name="Input [yellow] 3 13 2 13 2" xfId="18553"/>
    <cellStyle name="Input [yellow] 3 13 2 13 3" xfId="29721"/>
    <cellStyle name="Input [yellow] 3 13 2 13 4" xfId="40886"/>
    <cellStyle name="Input [yellow] 3 13 2 13 5" xfId="52079"/>
    <cellStyle name="Input [yellow] 3 13 2 14" xfId="7990"/>
    <cellStyle name="Input [yellow] 3 13 2 14 2" xfId="19187"/>
    <cellStyle name="Input [yellow] 3 13 2 14 3" xfId="30355"/>
    <cellStyle name="Input [yellow] 3 13 2 14 4" xfId="41520"/>
    <cellStyle name="Input [yellow] 3 13 2 14 5" xfId="52713"/>
    <cellStyle name="Input [yellow] 3 13 2 15" xfId="8621"/>
    <cellStyle name="Input [yellow] 3 13 2 15 2" xfId="19818"/>
    <cellStyle name="Input [yellow] 3 13 2 15 3" xfId="30986"/>
    <cellStyle name="Input [yellow] 3 13 2 15 4" xfId="42151"/>
    <cellStyle name="Input [yellow] 3 13 2 15 5" xfId="53344"/>
    <cellStyle name="Input [yellow] 3 13 2 16" xfId="8522"/>
    <cellStyle name="Input [yellow] 3 13 2 16 2" xfId="19719"/>
    <cellStyle name="Input [yellow] 3 13 2 16 3" xfId="30887"/>
    <cellStyle name="Input [yellow] 3 13 2 16 4" xfId="42052"/>
    <cellStyle name="Input [yellow] 3 13 2 16 5" xfId="53245"/>
    <cellStyle name="Input [yellow] 3 13 2 17" xfId="9674"/>
    <cellStyle name="Input [yellow] 3 13 2 17 2" xfId="20871"/>
    <cellStyle name="Input [yellow] 3 13 2 17 3" xfId="32039"/>
    <cellStyle name="Input [yellow] 3 13 2 17 4" xfId="43204"/>
    <cellStyle name="Input [yellow] 3 13 2 17 5" xfId="54397"/>
    <cellStyle name="Input [yellow] 3 13 2 18" xfId="10494"/>
    <cellStyle name="Input [yellow] 3 13 2 18 2" xfId="21691"/>
    <cellStyle name="Input [yellow] 3 13 2 18 3" xfId="32859"/>
    <cellStyle name="Input [yellow] 3 13 2 18 4" xfId="44024"/>
    <cellStyle name="Input [yellow] 3 13 2 18 5" xfId="55217"/>
    <cellStyle name="Input [yellow] 3 13 2 19" xfId="10706"/>
    <cellStyle name="Input [yellow] 3 13 2 19 2" xfId="21903"/>
    <cellStyle name="Input [yellow] 3 13 2 19 3" xfId="33071"/>
    <cellStyle name="Input [yellow] 3 13 2 19 4" xfId="44236"/>
    <cellStyle name="Input [yellow] 3 13 2 19 5" xfId="55429"/>
    <cellStyle name="Input [yellow] 3 13 2 2" xfId="802"/>
    <cellStyle name="Input [yellow] 3 13 2 2 2" xfId="11999"/>
    <cellStyle name="Input [yellow] 3 13 2 2 3" xfId="23167"/>
    <cellStyle name="Input [yellow] 3 13 2 2 4" xfId="34332"/>
    <cellStyle name="Input [yellow] 3 13 2 2 5" xfId="45525"/>
    <cellStyle name="Input [yellow] 3 13 2 20" xfId="11353"/>
    <cellStyle name="Input [yellow] 3 13 2 21" xfId="22523"/>
    <cellStyle name="Input [yellow] 3 13 2 22" xfId="33690"/>
    <cellStyle name="Input [yellow] 3 13 2 23" xfId="44876"/>
    <cellStyle name="Input [yellow] 3 13 2 3" xfId="1791"/>
    <cellStyle name="Input [yellow] 3 13 2 3 2" xfId="12988"/>
    <cellStyle name="Input [yellow] 3 13 2 3 3" xfId="24156"/>
    <cellStyle name="Input [yellow] 3 13 2 3 4" xfId="35321"/>
    <cellStyle name="Input [yellow] 3 13 2 3 5" xfId="46514"/>
    <cellStyle name="Input [yellow] 3 13 2 4" xfId="2079"/>
    <cellStyle name="Input [yellow] 3 13 2 4 2" xfId="13276"/>
    <cellStyle name="Input [yellow] 3 13 2 4 3" xfId="24444"/>
    <cellStyle name="Input [yellow] 3 13 2 4 4" xfId="35609"/>
    <cellStyle name="Input [yellow] 3 13 2 4 5" xfId="46802"/>
    <cellStyle name="Input [yellow] 3 13 2 5" xfId="2498"/>
    <cellStyle name="Input [yellow] 3 13 2 5 2" xfId="13695"/>
    <cellStyle name="Input [yellow] 3 13 2 5 3" xfId="24863"/>
    <cellStyle name="Input [yellow] 3 13 2 5 4" xfId="36028"/>
    <cellStyle name="Input [yellow] 3 13 2 5 5" xfId="47221"/>
    <cellStyle name="Input [yellow] 3 13 2 6" xfId="3137"/>
    <cellStyle name="Input [yellow] 3 13 2 6 2" xfId="14334"/>
    <cellStyle name="Input [yellow] 3 13 2 6 3" xfId="25502"/>
    <cellStyle name="Input [yellow] 3 13 2 6 4" xfId="36667"/>
    <cellStyle name="Input [yellow] 3 13 2 6 5" xfId="47860"/>
    <cellStyle name="Input [yellow] 3 13 2 7" xfId="3771"/>
    <cellStyle name="Input [yellow] 3 13 2 7 2" xfId="14968"/>
    <cellStyle name="Input [yellow] 3 13 2 7 3" xfId="26136"/>
    <cellStyle name="Input [yellow] 3 13 2 7 4" xfId="37301"/>
    <cellStyle name="Input [yellow] 3 13 2 7 5" xfId="48494"/>
    <cellStyle name="Input [yellow] 3 13 2 8" xfId="4404"/>
    <cellStyle name="Input [yellow] 3 13 2 8 2" xfId="15601"/>
    <cellStyle name="Input [yellow] 3 13 2 8 3" xfId="26769"/>
    <cellStyle name="Input [yellow] 3 13 2 8 4" xfId="37934"/>
    <cellStyle name="Input [yellow] 3 13 2 8 5" xfId="49127"/>
    <cellStyle name="Input [yellow] 3 13 2 9" xfId="5035"/>
    <cellStyle name="Input [yellow] 3 13 2 9 2" xfId="16232"/>
    <cellStyle name="Input [yellow] 3 13 2 9 3" xfId="27400"/>
    <cellStyle name="Input [yellow] 3 13 2 9 4" xfId="38565"/>
    <cellStyle name="Input [yellow] 3 13 2 9 5" xfId="49758"/>
    <cellStyle name="Input [yellow] 3 13 20" xfId="5911"/>
    <cellStyle name="Input [yellow] 3 13 20 2" xfId="17108"/>
    <cellStyle name="Input [yellow] 3 13 20 3" xfId="28276"/>
    <cellStyle name="Input [yellow] 3 13 20 4" xfId="39441"/>
    <cellStyle name="Input [yellow] 3 13 20 5" xfId="50634"/>
    <cellStyle name="Input [yellow] 3 13 21" xfId="6163"/>
    <cellStyle name="Input [yellow] 3 13 21 2" xfId="17360"/>
    <cellStyle name="Input [yellow] 3 13 21 3" xfId="28528"/>
    <cellStyle name="Input [yellow] 3 13 21 4" xfId="39693"/>
    <cellStyle name="Input [yellow] 3 13 21 5" xfId="50886"/>
    <cellStyle name="Input [yellow] 3 13 22" xfId="6659"/>
    <cellStyle name="Input [yellow] 3 13 22 2" xfId="17856"/>
    <cellStyle name="Input [yellow] 3 13 22 3" xfId="29024"/>
    <cellStyle name="Input [yellow] 3 13 22 4" xfId="40189"/>
    <cellStyle name="Input [yellow] 3 13 22 5" xfId="51382"/>
    <cellStyle name="Input [yellow] 3 13 23" xfId="7292"/>
    <cellStyle name="Input [yellow] 3 13 23 2" xfId="18489"/>
    <cellStyle name="Input [yellow] 3 13 23 3" xfId="29657"/>
    <cellStyle name="Input [yellow] 3 13 23 4" xfId="40822"/>
    <cellStyle name="Input [yellow] 3 13 23 5" xfId="52015"/>
    <cellStyle name="Input [yellow] 3 13 24" xfId="7926"/>
    <cellStyle name="Input [yellow] 3 13 24 2" xfId="19123"/>
    <cellStyle name="Input [yellow] 3 13 24 3" xfId="30291"/>
    <cellStyle name="Input [yellow] 3 13 24 4" xfId="41456"/>
    <cellStyle name="Input [yellow] 3 13 24 5" xfId="52649"/>
    <cellStyle name="Input [yellow] 3 13 25" xfId="8558"/>
    <cellStyle name="Input [yellow] 3 13 25 2" xfId="19755"/>
    <cellStyle name="Input [yellow] 3 13 25 3" xfId="30923"/>
    <cellStyle name="Input [yellow] 3 13 25 4" xfId="42088"/>
    <cellStyle name="Input [yellow] 3 13 25 5" xfId="53281"/>
    <cellStyle name="Input [yellow] 3 13 26" xfId="8998"/>
    <cellStyle name="Input [yellow] 3 13 26 2" xfId="20195"/>
    <cellStyle name="Input [yellow] 3 13 26 3" xfId="31363"/>
    <cellStyle name="Input [yellow] 3 13 26 4" xfId="42528"/>
    <cellStyle name="Input [yellow] 3 13 26 5" xfId="53721"/>
    <cellStyle name="Input [yellow] 3 13 27" xfId="9610"/>
    <cellStyle name="Input [yellow] 3 13 27 2" xfId="20807"/>
    <cellStyle name="Input [yellow] 3 13 27 3" xfId="31975"/>
    <cellStyle name="Input [yellow] 3 13 27 4" xfId="43140"/>
    <cellStyle name="Input [yellow] 3 13 27 5" xfId="54333"/>
    <cellStyle name="Input [yellow] 3 13 28" xfId="10398"/>
    <cellStyle name="Input [yellow] 3 13 28 2" xfId="21595"/>
    <cellStyle name="Input [yellow] 3 13 28 3" xfId="32763"/>
    <cellStyle name="Input [yellow] 3 13 28 4" xfId="43928"/>
    <cellStyle name="Input [yellow] 3 13 28 5" xfId="55121"/>
    <cellStyle name="Input [yellow] 3 13 29" xfId="10643"/>
    <cellStyle name="Input [yellow] 3 13 29 2" xfId="21840"/>
    <cellStyle name="Input [yellow] 3 13 29 3" xfId="33008"/>
    <cellStyle name="Input [yellow] 3 13 29 4" xfId="44173"/>
    <cellStyle name="Input [yellow] 3 13 29 5" xfId="55366"/>
    <cellStyle name="Input [yellow] 3 13 3" xfId="209"/>
    <cellStyle name="Input [yellow] 3 13 3 10" xfId="5888"/>
    <cellStyle name="Input [yellow] 3 13 3 10 2" xfId="17085"/>
    <cellStyle name="Input [yellow] 3 13 3 10 3" xfId="28253"/>
    <cellStyle name="Input [yellow] 3 13 3 10 4" xfId="39418"/>
    <cellStyle name="Input [yellow] 3 13 3 10 5" xfId="50611"/>
    <cellStyle name="Input [yellow] 3 13 3 11" xfId="5735"/>
    <cellStyle name="Input [yellow] 3 13 3 11 2" xfId="16932"/>
    <cellStyle name="Input [yellow] 3 13 3 11 3" xfId="28100"/>
    <cellStyle name="Input [yellow] 3 13 3 11 4" xfId="39265"/>
    <cellStyle name="Input [yellow] 3 13 3 11 5" xfId="50458"/>
    <cellStyle name="Input [yellow] 3 13 3 12" xfId="6778"/>
    <cellStyle name="Input [yellow] 3 13 3 12 2" xfId="17975"/>
    <cellStyle name="Input [yellow] 3 13 3 12 3" xfId="29143"/>
    <cellStyle name="Input [yellow] 3 13 3 12 4" xfId="40308"/>
    <cellStyle name="Input [yellow] 3 13 3 12 5" xfId="51501"/>
    <cellStyle name="Input [yellow] 3 13 3 13" xfId="7412"/>
    <cellStyle name="Input [yellow] 3 13 3 13 2" xfId="18609"/>
    <cellStyle name="Input [yellow] 3 13 3 13 3" xfId="29777"/>
    <cellStyle name="Input [yellow] 3 13 3 13 4" xfId="40942"/>
    <cellStyle name="Input [yellow] 3 13 3 13 5" xfId="52135"/>
    <cellStyle name="Input [yellow] 3 13 3 14" xfId="8046"/>
    <cellStyle name="Input [yellow] 3 13 3 14 2" xfId="19243"/>
    <cellStyle name="Input [yellow] 3 13 3 14 3" xfId="30411"/>
    <cellStyle name="Input [yellow] 3 13 3 14 4" xfId="41576"/>
    <cellStyle name="Input [yellow] 3 13 3 14 5" xfId="52769"/>
    <cellStyle name="Input [yellow] 3 13 3 15" xfId="8677"/>
    <cellStyle name="Input [yellow] 3 13 3 15 2" xfId="19874"/>
    <cellStyle name="Input [yellow] 3 13 3 15 3" xfId="31042"/>
    <cellStyle name="Input [yellow] 3 13 3 15 4" xfId="42207"/>
    <cellStyle name="Input [yellow] 3 13 3 15 5" xfId="53400"/>
    <cellStyle name="Input [yellow] 3 13 3 16" xfId="9085"/>
    <cellStyle name="Input [yellow] 3 13 3 16 2" xfId="20282"/>
    <cellStyle name="Input [yellow] 3 13 3 16 3" xfId="31450"/>
    <cellStyle name="Input [yellow] 3 13 3 16 4" xfId="42615"/>
    <cellStyle name="Input [yellow] 3 13 3 16 5" xfId="53808"/>
    <cellStyle name="Input [yellow] 3 13 3 17" xfId="9728"/>
    <cellStyle name="Input [yellow] 3 13 3 17 2" xfId="20925"/>
    <cellStyle name="Input [yellow] 3 13 3 17 3" xfId="32093"/>
    <cellStyle name="Input [yellow] 3 13 3 17 4" xfId="43258"/>
    <cellStyle name="Input [yellow] 3 13 3 17 5" xfId="54451"/>
    <cellStyle name="Input [yellow] 3 13 3 18" xfId="10421"/>
    <cellStyle name="Input [yellow] 3 13 3 18 2" xfId="21618"/>
    <cellStyle name="Input [yellow] 3 13 3 18 3" xfId="32786"/>
    <cellStyle name="Input [yellow] 3 13 3 18 4" xfId="43951"/>
    <cellStyle name="Input [yellow] 3 13 3 18 5" xfId="55144"/>
    <cellStyle name="Input [yellow] 3 13 3 19" xfId="10762"/>
    <cellStyle name="Input [yellow] 3 13 3 19 2" xfId="21959"/>
    <cellStyle name="Input [yellow] 3 13 3 19 3" xfId="33127"/>
    <cellStyle name="Input [yellow] 3 13 3 19 4" xfId="44292"/>
    <cellStyle name="Input [yellow] 3 13 3 19 5" xfId="55485"/>
    <cellStyle name="Input [yellow] 3 13 3 2" xfId="858"/>
    <cellStyle name="Input [yellow] 3 13 3 2 2" xfId="12055"/>
    <cellStyle name="Input [yellow] 3 13 3 2 3" xfId="23223"/>
    <cellStyle name="Input [yellow] 3 13 3 2 4" xfId="34388"/>
    <cellStyle name="Input [yellow] 3 13 3 2 5" xfId="45581"/>
    <cellStyle name="Input [yellow] 3 13 3 20" xfId="11409"/>
    <cellStyle name="Input [yellow] 3 13 3 21" xfId="22579"/>
    <cellStyle name="Input [yellow] 3 13 3 22" xfId="33746"/>
    <cellStyle name="Input [yellow] 3 13 3 23" xfId="44932"/>
    <cellStyle name="Input [yellow] 3 13 3 3" xfId="1690"/>
    <cellStyle name="Input [yellow] 3 13 3 3 2" xfId="12887"/>
    <cellStyle name="Input [yellow] 3 13 3 3 3" xfId="24055"/>
    <cellStyle name="Input [yellow] 3 13 3 3 4" xfId="35220"/>
    <cellStyle name="Input [yellow] 3 13 3 3 5" xfId="46413"/>
    <cellStyle name="Input [yellow] 3 13 3 4" xfId="2135"/>
    <cellStyle name="Input [yellow] 3 13 3 4 2" xfId="13332"/>
    <cellStyle name="Input [yellow] 3 13 3 4 3" xfId="24500"/>
    <cellStyle name="Input [yellow] 3 13 3 4 4" xfId="35665"/>
    <cellStyle name="Input [yellow] 3 13 3 4 5" xfId="46858"/>
    <cellStyle name="Input [yellow] 3 13 3 5" xfId="2421"/>
    <cellStyle name="Input [yellow] 3 13 3 5 2" xfId="13618"/>
    <cellStyle name="Input [yellow] 3 13 3 5 3" xfId="24786"/>
    <cellStyle name="Input [yellow] 3 13 3 5 4" xfId="35951"/>
    <cellStyle name="Input [yellow] 3 13 3 5 5" xfId="47144"/>
    <cellStyle name="Input [yellow] 3 13 3 6" xfId="3193"/>
    <cellStyle name="Input [yellow] 3 13 3 6 2" xfId="14390"/>
    <cellStyle name="Input [yellow] 3 13 3 6 3" xfId="25558"/>
    <cellStyle name="Input [yellow] 3 13 3 6 4" xfId="36723"/>
    <cellStyle name="Input [yellow] 3 13 3 6 5" xfId="47916"/>
    <cellStyle name="Input [yellow] 3 13 3 7" xfId="3827"/>
    <cellStyle name="Input [yellow] 3 13 3 7 2" xfId="15024"/>
    <cellStyle name="Input [yellow] 3 13 3 7 3" xfId="26192"/>
    <cellStyle name="Input [yellow] 3 13 3 7 4" xfId="37357"/>
    <cellStyle name="Input [yellow] 3 13 3 7 5" xfId="48550"/>
    <cellStyle name="Input [yellow] 3 13 3 8" xfId="4460"/>
    <cellStyle name="Input [yellow] 3 13 3 8 2" xfId="15657"/>
    <cellStyle name="Input [yellow] 3 13 3 8 3" xfId="26825"/>
    <cellStyle name="Input [yellow] 3 13 3 8 4" xfId="37990"/>
    <cellStyle name="Input [yellow] 3 13 3 8 5" xfId="49183"/>
    <cellStyle name="Input [yellow] 3 13 3 9" xfId="5091"/>
    <cellStyle name="Input [yellow] 3 13 3 9 2" xfId="16288"/>
    <cellStyle name="Input [yellow] 3 13 3 9 3" xfId="27456"/>
    <cellStyle name="Input [yellow] 3 13 3 9 4" xfId="38621"/>
    <cellStyle name="Input [yellow] 3 13 3 9 5" xfId="49814"/>
    <cellStyle name="Input [yellow] 3 13 30" xfId="11290"/>
    <cellStyle name="Input [yellow] 3 13 31" xfId="22460"/>
    <cellStyle name="Input [yellow] 3 13 32" xfId="33627"/>
    <cellStyle name="Input [yellow] 3 13 33" xfId="44812"/>
    <cellStyle name="Input [yellow] 3 13 4" xfId="248"/>
    <cellStyle name="Input [yellow] 3 13 4 10" xfId="5669"/>
    <cellStyle name="Input [yellow] 3 13 4 10 2" xfId="16866"/>
    <cellStyle name="Input [yellow] 3 13 4 10 3" xfId="28034"/>
    <cellStyle name="Input [yellow] 3 13 4 10 4" xfId="39199"/>
    <cellStyle name="Input [yellow] 3 13 4 10 5" xfId="50392"/>
    <cellStyle name="Input [yellow] 3 13 4 11" xfId="5789"/>
    <cellStyle name="Input [yellow] 3 13 4 11 2" xfId="16986"/>
    <cellStyle name="Input [yellow] 3 13 4 11 3" xfId="28154"/>
    <cellStyle name="Input [yellow] 3 13 4 11 4" xfId="39319"/>
    <cellStyle name="Input [yellow] 3 13 4 11 5" xfId="50512"/>
    <cellStyle name="Input [yellow] 3 13 4 12" xfId="6817"/>
    <cellStyle name="Input [yellow] 3 13 4 12 2" xfId="18014"/>
    <cellStyle name="Input [yellow] 3 13 4 12 3" xfId="29182"/>
    <cellStyle name="Input [yellow] 3 13 4 12 4" xfId="40347"/>
    <cellStyle name="Input [yellow] 3 13 4 12 5" xfId="51540"/>
    <cellStyle name="Input [yellow] 3 13 4 13" xfId="7451"/>
    <cellStyle name="Input [yellow] 3 13 4 13 2" xfId="18648"/>
    <cellStyle name="Input [yellow] 3 13 4 13 3" xfId="29816"/>
    <cellStyle name="Input [yellow] 3 13 4 13 4" xfId="40981"/>
    <cellStyle name="Input [yellow] 3 13 4 13 5" xfId="52174"/>
    <cellStyle name="Input [yellow] 3 13 4 14" xfId="8085"/>
    <cellStyle name="Input [yellow] 3 13 4 14 2" xfId="19282"/>
    <cellStyle name="Input [yellow] 3 13 4 14 3" xfId="30450"/>
    <cellStyle name="Input [yellow] 3 13 4 14 4" xfId="41615"/>
    <cellStyle name="Input [yellow] 3 13 4 14 5" xfId="52808"/>
    <cellStyle name="Input [yellow] 3 13 4 15" xfId="8715"/>
    <cellStyle name="Input [yellow] 3 13 4 15 2" xfId="19912"/>
    <cellStyle name="Input [yellow] 3 13 4 15 3" xfId="31080"/>
    <cellStyle name="Input [yellow] 3 13 4 15 4" xfId="42245"/>
    <cellStyle name="Input [yellow] 3 13 4 15 5" xfId="53438"/>
    <cellStyle name="Input [yellow] 3 13 4 16" xfId="7243"/>
    <cellStyle name="Input [yellow] 3 13 4 16 2" xfId="18440"/>
    <cellStyle name="Input [yellow] 3 13 4 16 3" xfId="29608"/>
    <cellStyle name="Input [yellow] 3 13 4 16 4" xfId="40773"/>
    <cellStyle name="Input [yellow] 3 13 4 16 5" xfId="51966"/>
    <cellStyle name="Input [yellow] 3 13 4 17" xfId="9765"/>
    <cellStyle name="Input [yellow] 3 13 4 17 2" xfId="20962"/>
    <cellStyle name="Input [yellow] 3 13 4 17 3" xfId="32130"/>
    <cellStyle name="Input [yellow] 3 13 4 17 4" xfId="43295"/>
    <cellStyle name="Input [yellow] 3 13 4 17 5" xfId="54488"/>
    <cellStyle name="Input [yellow] 3 13 4 18" xfId="9954"/>
    <cellStyle name="Input [yellow] 3 13 4 18 2" xfId="21151"/>
    <cellStyle name="Input [yellow] 3 13 4 18 3" xfId="32319"/>
    <cellStyle name="Input [yellow] 3 13 4 18 4" xfId="43484"/>
    <cellStyle name="Input [yellow] 3 13 4 18 5" xfId="54677"/>
    <cellStyle name="Input [yellow] 3 13 4 19" xfId="10801"/>
    <cellStyle name="Input [yellow] 3 13 4 19 2" xfId="21998"/>
    <cellStyle name="Input [yellow] 3 13 4 19 3" xfId="33166"/>
    <cellStyle name="Input [yellow] 3 13 4 19 4" xfId="44331"/>
    <cellStyle name="Input [yellow] 3 13 4 19 5" xfId="55524"/>
    <cellStyle name="Input [yellow] 3 13 4 2" xfId="897"/>
    <cellStyle name="Input [yellow] 3 13 4 2 2" xfId="12094"/>
    <cellStyle name="Input [yellow] 3 13 4 2 3" xfId="23262"/>
    <cellStyle name="Input [yellow] 3 13 4 2 4" xfId="34427"/>
    <cellStyle name="Input [yellow] 3 13 4 2 5" xfId="45620"/>
    <cellStyle name="Input [yellow] 3 13 4 20" xfId="11448"/>
    <cellStyle name="Input [yellow] 3 13 4 21" xfId="22618"/>
    <cellStyle name="Input [yellow] 3 13 4 22" xfId="33785"/>
    <cellStyle name="Input [yellow] 3 13 4 23" xfId="44971"/>
    <cellStyle name="Input [yellow] 3 13 4 3" xfId="1425"/>
    <cellStyle name="Input [yellow] 3 13 4 3 2" xfId="12622"/>
    <cellStyle name="Input [yellow] 3 13 4 3 3" xfId="23790"/>
    <cellStyle name="Input [yellow] 3 13 4 3 4" xfId="34955"/>
    <cellStyle name="Input [yellow] 3 13 4 3 5" xfId="46148"/>
    <cellStyle name="Input [yellow] 3 13 4 4" xfId="2174"/>
    <cellStyle name="Input [yellow] 3 13 4 4 2" xfId="13371"/>
    <cellStyle name="Input [yellow] 3 13 4 4 3" xfId="24539"/>
    <cellStyle name="Input [yellow] 3 13 4 4 4" xfId="35704"/>
    <cellStyle name="Input [yellow] 3 13 4 4 5" xfId="46897"/>
    <cellStyle name="Input [yellow] 3 13 4 5" xfId="2598"/>
    <cellStyle name="Input [yellow] 3 13 4 5 2" xfId="13795"/>
    <cellStyle name="Input [yellow] 3 13 4 5 3" xfId="24963"/>
    <cellStyle name="Input [yellow] 3 13 4 5 4" xfId="36128"/>
    <cellStyle name="Input [yellow] 3 13 4 5 5" xfId="47321"/>
    <cellStyle name="Input [yellow] 3 13 4 6" xfId="3232"/>
    <cellStyle name="Input [yellow] 3 13 4 6 2" xfId="14429"/>
    <cellStyle name="Input [yellow] 3 13 4 6 3" xfId="25597"/>
    <cellStyle name="Input [yellow] 3 13 4 6 4" xfId="36762"/>
    <cellStyle name="Input [yellow] 3 13 4 6 5" xfId="47955"/>
    <cellStyle name="Input [yellow] 3 13 4 7" xfId="3866"/>
    <cellStyle name="Input [yellow] 3 13 4 7 2" xfId="15063"/>
    <cellStyle name="Input [yellow] 3 13 4 7 3" xfId="26231"/>
    <cellStyle name="Input [yellow] 3 13 4 7 4" xfId="37396"/>
    <cellStyle name="Input [yellow] 3 13 4 7 5" xfId="48589"/>
    <cellStyle name="Input [yellow] 3 13 4 8" xfId="4499"/>
    <cellStyle name="Input [yellow] 3 13 4 8 2" xfId="15696"/>
    <cellStyle name="Input [yellow] 3 13 4 8 3" xfId="26864"/>
    <cellStyle name="Input [yellow] 3 13 4 8 4" xfId="38029"/>
    <cellStyle name="Input [yellow] 3 13 4 8 5" xfId="49222"/>
    <cellStyle name="Input [yellow] 3 13 4 9" xfId="5130"/>
    <cellStyle name="Input [yellow] 3 13 4 9 2" xfId="16327"/>
    <cellStyle name="Input [yellow] 3 13 4 9 3" xfId="27495"/>
    <cellStyle name="Input [yellow] 3 13 4 9 4" xfId="38660"/>
    <cellStyle name="Input [yellow] 3 13 4 9 5" xfId="49853"/>
    <cellStyle name="Input [yellow] 3 13 5" xfId="343"/>
    <cellStyle name="Input [yellow] 3 13 5 10" xfId="5917"/>
    <cellStyle name="Input [yellow] 3 13 5 10 2" xfId="17114"/>
    <cellStyle name="Input [yellow] 3 13 5 10 3" xfId="28282"/>
    <cellStyle name="Input [yellow] 3 13 5 10 4" xfId="39447"/>
    <cellStyle name="Input [yellow] 3 13 5 10 5" xfId="50640"/>
    <cellStyle name="Input [yellow] 3 13 5 11" xfId="6279"/>
    <cellStyle name="Input [yellow] 3 13 5 11 2" xfId="17476"/>
    <cellStyle name="Input [yellow] 3 13 5 11 3" xfId="28644"/>
    <cellStyle name="Input [yellow] 3 13 5 11 4" xfId="39809"/>
    <cellStyle name="Input [yellow] 3 13 5 11 5" xfId="51002"/>
    <cellStyle name="Input [yellow] 3 13 5 12" xfId="6912"/>
    <cellStyle name="Input [yellow] 3 13 5 12 2" xfId="18109"/>
    <cellStyle name="Input [yellow] 3 13 5 12 3" xfId="29277"/>
    <cellStyle name="Input [yellow] 3 13 5 12 4" xfId="40442"/>
    <cellStyle name="Input [yellow] 3 13 5 12 5" xfId="51635"/>
    <cellStyle name="Input [yellow] 3 13 5 13" xfId="7546"/>
    <cellStyle name="Input [yellow] 3 13 5 13 2" xfId="18743"/>
    <cellStyle name="Input [yellow] 3 13 5 13 3" xfId="29911"/>
    <cellStyle name="Input [yellow] 3 13 5 13 4" xfId="41076"/>
    <cellStyle name="Input [yellow] 3 13 5 13 5" xfId="52269"/>
    <cellStyle name="Input [yellow] 3 13 5 14" xfId="8180"/>
    <cellStyle name="Input [yellow] 3 13 5 14 2" xfId="19377"/>
    <cellStyle name="Input [yellow] 3 13 5 14 3" xfId="30545"/>
    <cellStyle name="Input [yellow] 3 13 5 14 4" xfId="41710"/>
    <cellStyle name="Input [yellow] 3 13 5 14 5" xfId="52903"/>
    <cellStyle name="Input [yellow] 3 13 5 15" xfId="8809"/>
    <cellStyle name="Input [yellow] 3 13 5 15 2" xfId="20006"/>
    <cellStyle name="Input [yellow] 3 13 5 15 3" xfId="31174"/>
    <cellStyle name="Input [yellow] 3 13 5 15 4" xfId="42339"/>
    <cellStyle name="Input [yellow] 3 13 5 15 5" xfId="53532"/>
    <cellStyle name="Input [yellow] 3 13 5 16" xfId="9231"/>
    <cellStyle name="Input [yellow] 3 13 5 16 2" xfId="20428"/>
    <cellStyle name="Input [yellow] 3 13 5 16 3" xfId="31596"/>
    <cellStyle name="Input [yellow] 3 13 5 16 4" xfId="42761"/>
    <cellStyle name="Input [yellow] 3 13 5 16 5" xfId="53954"/>
    <cellStyle name="Input [yellow] 3 13 5 17" xfId="9858"/>
    <cellStyle name="Input [yellow] 3 13 5 17 2" xfId="21055"/>
    <cellStyle name="Input [yellow] 3 13 5 17 3" xfId="32223"/>
    <cellStyle name="Input [yellow] 3 13 5 17 4" xfId="43388"/>
    <cellStyle name="Input [yellow] 3 13 5 17 5" xfId="54581"/>
    <cellStyle name="Input [yellow] 3 13 5 18" xfId="10443"/>
    <cellStyle name="Input [yellow] 3 13 5 18 2" xfId="21640"/>
    <cellStyle name="Input [yellow] 3 13 5 18 3" xfId="32808"/>
    <cellStyle name="Input [yellow] 3 13 5 18 4" xfId="43973"/>
    <cellStyle name="Input [yellow] 3 13 5 18 5" xfId="55166"/>
    <cellStyle name="Input [yellow] 3 13 5 19" xfId="10896"/>
    <cellStyle name="Input [yellow] 3 13 5 19 2" xfId="22093"/>
    <cellStyle name="Input [yellow] 3 13 5 19 3" xfId="33261"/>
    <cellStyle name="Input [yellow] 3 13 5 19 4" xfId="44426"/>
    <cellStyle name="Input [yellow] 3 13 5 19 5" xfId="55619"/>
    <cellStyle name="Input [yellow] 3 13 5 2" xfId="992"/>
    <cellStyle name="Input [yellow] 3 13 5 2 2" xfId="12189"/>
    <cellStyle name="Input [yellow] 3 13 5 2 3" xfId="23357"/>
    <cellStyle name="Input [yellow] 3 13 5 2 4" xfId="34522"/>
    <cellStyle name="Input [yellow] 3 13 5 2 5" xfId="45715"/>
    <cellStyle name="Input [yellow] 3 13 5 20" xfId="11543"/>
    <cellStyle name="Input [yellow] 3 13 5 21" xfId="22713"/>
    <cellStyle name="Input [yellow] 3 13 5 22" xfId="33880"/>
    <cellStyle name="Input [yellow] 3 13 5 23" xfId="45066"/>
    <cellStyle name="Input [yellow] 3 13 5 3" xfId="1661"/>
    <cellStyle name="Input [yellow] 3 13 5 3 2" xfId="12858"/>
    <cellStyle name="Input [yellow] 3 13 5 3 3" xfId="24026"/>
    <cellStyle name="Input [yellow] 3 13 5 3 4" xfId="35191"/>
    <cellStyle name="Input [yellow] 3 13 5 3 5" xfId="46384"/>
    <cellStyle name="Input [yellow] 3 13 5 4" xfId="2268"/>
    <cellStyle name="Input [yellow] 3 13 5 4 2" xfId="13465"/>
    <cellStyle name="Input [yellow] 3 13 5 4 3" xfId="24633"/>
    <cellStyle name="Input [yellow] 3 13 5 4 4" xfId="35798"/>
    <cellStyle name="Input [yellow] 3 13 5 4 5" xfId="46991"/>
    <cellStyle name="Input [yellow] 3 13 5 5" xfId="2693"/>
    <cellStyle name="Input [yellow] 3 13 5 5 2" xfId="13890"/>
    <cellStyle name="Input [yellow] 3 13 5 5 3" xfId="25058"/>
    <cellStyle name="Input [yellow] 3 13 5 5 4" xfId="36223"/>
    <cellStyle name="Input [yellow] 3 13 5 5 5" xfId="47416"/>
    <cellStyle name="Input [yellow] 3 13 5 6" xfId="3327"/>
    <cellStyle name="Input [yellow] 3 13 5 6 2" xfId="14524"/>
    <cellStyle name="Input [yellow] 3 13 5 6 3" xfId="25692"/>
    <cellStyle name="Input [yellow] 3 13 5 6 4" xfId="36857"/>
    <cellStyle name="Input [yellow] 3 13 5 6 5" xfId="48050"/>
    <cellStyle name="Input [yellow] 3 13 5 7" xfId="3961"/>
    <cellStyle name="Input [yellow] 3 13 5 7 2" xfId="15158"/>
    <cellStyle name="Input [yellow] 3 13 5 7 3" xfId="26326"/>
    <cellStyle name="Input [yellow] 3 13 5 7 4" xfId="37491"/>
    <cellStyle name="Input [yellow] 3 13 5 7 5" xfId="48684"/>
    <cellStyle name="Input [yellow] 3 13 5 8" xfId="4594"/>
    <cellStyle name="Input [yellow] 3 13 5 8 2" xfId="15791"/>
    <cellStyle name="Input [yellow] 3 13 5 8 3" xfId="26959"/>
    <cellStyle name="Input [yellow] 3 13 5 8 4" xfId="38124"/>
    <cellStyle name="Input [yellow] 3 13 5 8 5" xfId="49317"/>
    <cellStyle name="Input [yellow] 3 13 5 9" xfId="5225"/>
    <cellStyle name="Input [yellow] 3 13 5 9 2" xfId="16422"/>
    <cellStyle name="Input [yellow] 3 13 5 9 3" xfId="27590"/>
    <cellStyle name="Input [yellow] 3 13 5 9 4" xfId="38755"/>
    <cellStyle name="Input [yellow] 3 13 5 9 5" xfId="49948"/>
    <cellStyle name="Input [yellow] 3 13 6" xfId="375"/>
    <cellStyle name="Input [yellow] 3 13 6 10" xfId="6034"/>
    <cellStyle name="Input [yellow] 3 13 6 10 2" xfId="17231"/>
    <cellStyle name="Input [yellow] 3 13 6 10 3" xfId="28399"/>
    <cellStyle name="Input [yellow] 3 13 6 10 4" xfId="39564"/>
    <cellStyle name="Input [yellow] 3 13 6 10 5" xfId="50757"/>
    <cellStyle name="Input [yellow] 3 13 6 11" xfId="6311"/>
    <cellStyle name="Input [yellow] 3 13 6 11 2" xfId="17508"/>
    <cellStyle name="Input [yellow] 3 13 6 11 3" xfId="28676"/>
    <cellStyle name="Input [yellow] 3 13 6 11 4" xfId="39841"/>
    <cellStyle name="Input [yellow] 3 13 6 11 5" xfId="51034"/>
    <cellStyle name="Input [yellow] 3 13 6 12" xfId="6944"/>
    <cellStyle name="Input [yellow] 3 13 6 12 2" xfId="18141"/>
    <cellStyle name="Input [yellow] 3 13 6 12 3" xfId="29309"/>
    <cellStyle name="Input [yellow] 3 13 6 12 4" xfId="40474"/>
    <cellStyle name="Input [yellow] 3 13 6 12 5" xfId="51667"/>
    <cellStyle name="Input [yellow] 3 13 6 13" xfId="7578"/>
    <cellStyle name="Input [yellow] 3 13 6 13 2" xfId="18775"/>
    <cellStyle name="Input [yellow] 3 13 6 13 3" xfId="29943"/>
    <cellStyle name="Input [yellow] 3 13 6 13 4" xfId="41108"/>
    <cellStyle name="Input [yellow] 3 13 6 13 5" xfId="52301"/>
    <cellStyle name="Input [yellow] 3 13 6 14" xfId="8212"/>
    <cellStyle name="Input [yellow] 3 13 6 14 2" xfId="19409"/>
    <cellStyle name="Input [yellow] 3 13 6 14 3" xfId="30577"/>
    <cellStyle name="Input [yellow] 3 13 6 14 4" xfId="41742"/>
    <cellStyle name="Input [yellow] 3 13 6 14 5" xfId="52935"/>
    <cellStyle name="Input [yellow] 3 13 6 15" xfId="8840"/>
    <cellStyle name="Input [yellow] 3 13 6 15 2" xfId="20037"/>
    <cellStyle name="Input [yellow] 3 13 6 15 3" xfId="31205"/>
    <cellStyle name="Input [yellow] 3 13 6 15 4" xfId="42370"/>
    <cellStyle name="Input [yellow] 3 13 6 15 5" xfId="53563"/>
    <cellStyle name="Input [yellow] 3 13 6 16" xfId="9263"/>
    <cellStyle name="Input [yellow] 3 13 6 16 2" xfId="20460"/>
    <cellStyle name="Input [yellow] 3 13 6 16 3" xfId="31628"/>
    <cellStyle name="Input [yellow] 3 13 6 16 4" xfId="42793"/>
    <cellStyle name="Input [yellow] 3 13 6 16 5" xfId="53986"/>
    <cellStyle name="Input [yellow] 3 13 6 17" xfId="9889"/>
    <cellStyle name="Input [yellow] 3 13 6 17 2" xfId="21086"/>
    <cellStyle name="Input [yellow] 3 13 6 17 3" xfId="32254"/>
    <cellStyle name="Input [yellow] 3 13 6 17 4" xfId="43419"/>
    <cellStyle name="Input [yellow] 3 13 6 17 5" xfId="54612"/>
    <cellStyle name="Input [yellow] 3 13 6 18" xfId="10493"/>
    <cellStyle name="Input [yellow] 3 13 6 18 2" xfId="21690"/>
    <cellStyle name="Input [yellow] 3 13 6 18 3" xfId="32858"/>
    <cellStyle name="Input [yellow] 3 13 6 18 4" xfId="44023"/>
    <cellStyle name="Input [yellow] 3 13 6 18 5" xfId="55216"/>
    <cellStyle name="Input [yellow] 3 13 6 19" xfId="10928"/>
    <cellStyle name="Input [yellow] 3 13 6 19 2" xfId="22125"/>
    <cellStyle name="Input [yellow] 3 13 6 19 3" xfId="33293"/>
    <cellStyle name="Input [yellow] 3 13 6 19 4" xfId="44458"/>
    <cellStyle name="Input [yellow] 3 13 6 19 5" xfId="55651"/>
    <cellStyle name="Input [yellow] 3 13 6 2" xfId="1024"/>
    <cellStyle name="Input [yellow] 3 13 6 2 2" xfId="12221"/>
    <cellStyle name="Input [yellow] 3 13 6 2 3" xfId="23389"/>
    <cellStyle name="Input [yellow] 3 13 6 2 4" xfId="34554"/>
    <cellStyle name="Input [yellow] 3 13 6 2 5" xfId="45747"/>
    <cellStyle name="Input [yellow] 3 13 6 20" xfId="11575"/>
    <cellStyle name="Input [yellow] 3 13 6 21" xfId="22745"/>
    <cellStyle name="Input [yellow] 3 13 6 22" xfId="33912"/>
    <cellStyle name="Input [yellow] 3 13 6 23" xfId="45098"/>
    <cellStyle name="Input [yellow] 3 13 6 3" xfId="1790"/>
    <cellStyle name="Input [yellow] 3 13 6 3 2" xfId="12987"/>
    <cellStyle name="Input [yellow] 3 13 6 3 3" xfId="24155"/>
    <cellStyle name="Input [yellow] 3 13 6 3 4" xfId="35320"/>
    <cellStyle name="Input [yellow] 3 13 6 3 5" xfId="46513"/>
    <cellStyle name="Input [yellow] 3 13 6 4" xfId="2300"/>
    <cellStyle name="Input [yellow] 3 13 6 4 2" xfId="13497"/>
    <cellStyle name="Input [yellow] 3 13 6 4 3" xfId="24665"/>
    <cellStyle name="Input [yellow] 3 13 6 4 4" xfId="35830"/>
    <cellStyle name="Input [yellow] 3 13 6 4 5" xfId="47023"/>
    <cellStyle name="Input [yellow] 3 13 6 5" xfId="2725"/>
    <cellStyle name="Input [yellow] 3 13 6 5 2" xfId="13922"/>
    <cellStyle name="Input [yellow] 3 13 6 5 3" xfId="25090"/>
    <cellStyle name="Input [yellow] 3 13 6 5 4" xfId="36255"/>
    <cellStyle name="Input [yellow] 3 13 6 5 5" xfId="47448"/>
    <cellStyle name="Input [yellow] 3 13 6 6" xfId="3359"/>
    <cellStyle name="Input [yellow] 3 13 6 6 2" xfId="14556"/>
    <cellStyle name="Input [yellow] 3 13 6 6 3" xfId="25724"/>
    <cellStyle name="Input [yellow] 3 13 6 6 4" xfId="36889"/>
    <cellStyle name="Input [yellow] 3 13 6 6 5" xfId="48082"/>
    <cellStyle name="Input [yellow] 3 13 6 7" xfId="3993"/>
    <cellStyle name="Input [yellow] 3 13 6 7 2" xfId="15190"/>
    <cellStyle name="Input [yellow] 3 13 6 7 3" xfId="26358"/>
    <cellStyle name="Input [yellow] 3 13 6 7 4" xfId="37523"/>
    <cellStyle name="Input [yellow] 3 13 6 7 5" xfId="48716"/>
    <cellStyle name="Input [yellow] 3 13 6 8" xfId="4626"/>
    <cellStyle name="Input [yellow] 3 13 6 8 2" xfId="15823"/>
    <cellStyle name="Input [yellow] 3 13 6 8 3" xfId="26991"/>
    <cellStyle name="Input [yellow] 3 13 6 8 4" xfId="38156"/>
    <cellStyle name="Input [yellow] 3 13 6 8 5" xfId="49349"/>
    <cellStyle name="Input [yellow] 3 13 6 9" xfId="5257"/>
    <cellStyle name="Input [yellow] 3 13 6 9 2" xfId="16454"/>
    <cellStyle name="Input [yellow] 3 13 6 9 3" xfId="27622"/>
    <cellStyle name="Input [yellow] 3 13 6 9 4" xfId="38787"/>
    <cellStyle name="Input [yellow] 3 13 6 9 5" xfId="49980"/>
    <cellStyle name="Input [yellow] 3 13 7" xfId="415"/>
    <cellStyle name="Input [yellow] 3 13 7 10" xfId="6102"/>
    <cellStyle name="Input [yellow] 3 13 7 10 2" xfId="17299"/>
    <cellStyle name="Input [yellow] 3 13 7 10 3" xfId="28467"/>
    <cellStyle name="Input [yellow] 3 13 7 10 4" xfId="39632"/>
    <cellStyle name="Input [yellow] 3 13 7 10 5" xfId="50825"/>
    <cellStyle name="Input [yellow] 3 13 7 11" xfId="6351"/>
    <cellStyle name="Input [yellow] 3 13 7 11 2" xfId="17548"/>
    <cellStyle name="Input [yellow] 3 13 7 11 3" xfId="28716"/>
    <cellStyle name="Input [yellow] 3 13 7 11 4" xfId="39881"/>
    <cellStyle name="Input [yellow] 3 13 7 11 5" xfId="51074"/>
    <cellStyle name="Input [yellow] 3 13 7 12" xfId="6984"/>
    <cellStyle name="Input [yellow] 3 13 7 12 2" xfId="18181"/>
    <cellStyle name="Input [yellow] 3 13 7 12 3" xfId="29349"/>
    <cellStyle name="Input [yellow] 3 13 7 12 4" xfId="40514"/>
    <cellStyle name="Input [yellow] 3 13 7 12 5" xfId="51707"/>
    <cellStyle name="Input [yellow] 3 13 7 13" xfId="7618"/>
    <cellStyle name="Input [yellow] 3 13 7 13 2" xfId="18815"/>
    <cellStyle name="Input [yellow] 3 13 7 13 3" xfId="29983"/>
    <cellStyle name="Input [yellow] 3 13 7 13 4" xfId="41148"/>
    <cellStyle name="Input [yellow] 3 13 7 13 5" xfId="52341"/>
    <cellStyle name="Input [yellow] 3 13 7 14" xfId="8252"/>
    <cellStyle name="Input [yellow] 3 13 7 14 2" xfId="19449"/>
    <cellStyle name="Input [yellow] 3 13 7 14 3" xfId="30617"/>
    <cellStyle name="Input [yellow] 3 13 7 14 4" xfId="41782"/>
    <cellStyle name="Input [yellow] 3 13 7 14 5" xfId="52975"/>
    <cellStyle name="Input [yellow] 3 13 7 15" xfId="8880"/>
    <cellStyle name="Input [yellow] 3 13 7 15 2" xfId="20077"/>
    <cellStyle name="Input [yellow] 3 13 7 15 3" xfId="31245"/>
    <cellStyle name="Input [yellow] 3 13 7 15 4" xfId="42410"/>
    <cellStyle name="Input [yellow] 3 13 7 15 5" xfId="53603"/>
    <cellStyle name="Input [yellow] 3 13 7 16" xfId="9303"/>
    <cellStyle name="Input [yellow] 3 13 7 16 2" xfId="20500"/>
    <cellStyle name="Input [yellow] 3 13 7 16 3" xfId="31668"/>
    <cellStyle name="Input [yellow] 3 13 7 16 4" xfId="42833"/>
    <cellStyle name="Input [yellow] 3 13 7 16 5" xfId="54026"/>
    <cellStyle name="Input [yellow] 3 13 7 17" xfId="9929"/>
    <cellStyle name="Input [yellow] 3 13 7 17 2" xfId="21126"/>
    <cellStyle name="Input [yellow] 3 13 7 17 3" xfId="32294"/>
    <cellStyle name="Input [yellow] 3 13 7 17 4" xfId="43459"/>
    <cellStyle name="Input [yellow] 3 13 7 17 5" xfId="54652"/>
    <cellStyle name="Input [yellow] 3 13 7 18" xfId="9693"/>
    <cellStyle name="Input [yellow] 3 13 7 18 2" xfId="20890"/>
    <cellStyle name="Input [yellow] 3 13 7 18 3" xfId="32058"/>
    <cellStyle name="Input [yellow] 3 13 7 18 4" xfId="43223"/>
    <cellStyle name="Input [yellow] 3 13 7 18 5" xfId="54416"/>
    <cellStyle name="Input [yellow] 3 13 7 19" xfId="10968"/>
    <cellStyle name="Input [yellow] 3 13 7 19 2" xfId="22165"/>
    <cellStyle name="Input [yellow] 3 13 7 19 3" xfId="33333"/>
    <cellStyle name="Input [yellow] 3 13 7 19 4" xfId="44498"/>
    <cellStyle name="Input [yellow] 3 13 7 19 5" xfId="55691"/>
    <cellStyle name="Input [yellow] 3 13 7 2" xfId="1064"/>
    <cellStyle name="Input [yellow] 3 13 7 2 2" xfId="12261"/>
    <cellStyle name="Input [yellow] 3 13 7 2 3" xfId="23429"/>
    <cellStyle name="Input [yellow] 3 13 7 2 4" xfId="34594"/>
    <cellStyle name="Input [yellow] 3 13 7 2 5" xfId="45787"/>
    <cellStyle name="Input [yellow] 3 13 7 20" xfId="11615"/>
    <cellStyle name="Input [yellow] 3 13 7 21" xfId="22785"/>
    <cellStyle name="Input [yellow] 3 13 7 22" xfId="33952"/>
    <cellStyle name="Input [yellow] 3 13 7 23" xfId="45138"/>
    <cellStyle name="Input [yellow] 3 13 7 3" xfId="1925"/>
    <cellStyle name="Input [yellow] 3 13 7 3 2" xfId="13122"/>
    <cellStyle name="Input [yellow] 3 13 7 3 3" xfId="24290"/>
    <cellStyle name="Input [yellow] 3 13 7 3 4" xfId="35455"/>
    <cellStyle name="Input [yellow] 3 13 7 3 5" xfId="46648"/>
    <cellStyle name="Input [yellow] 3 13 7 4" xfId="2340"/>
    <cellStyle name="Input [yellow] 3 13 7 4 2" xfId="13537"/>
    <cellStyle name="Input [yellow] 3 13 7 4 3" xfId="24705"/>
    <cellStyle name="Input [yellow] 3 13 7 4 4" xfId="35870"/>
    <cellStyle name="Input [yellow] 3 13 7 4 5" xfId="47063"/>
    <cellStyle name="Input [yellow] 3 13 7 5" xfId="2765"/>
    <cellStyle name="Input [yellow] 3 13 7 5 2" xfId="13962"/>
    <cellStyle name="Input [yellow] 3 13 7 5 3" xfId="25130"/>
    <cellStyle name="Input [yellow] 3 13 7 5 4" xfId="36295"/>
    <cellStyle name="Input [yellow] 3 13 7 5 5" xfId="47488"/>
    <cellStyle name="Input [yellow] 3 13 7 6" xfId="3399"/>
    <cellStyle name="Input [yellow] 3 13 7 6 2" xfId="14596"/>
    <cellStyle name="Input [yellow] 3 13 7 6 3" xfId="25764"/>
    <cellStyle name="Input [yellow] 3 13 7 6 4" xfId="36929"/>
    <cellStyle name="Input [yellow] 3 13 7 6 5" xfId="48122"/>
    <cellStyle name="Input [yellow] 3 13 7 7" xfId="4033"/>
    <cellStyle name="Input [yellow] 3 13 7 7 2" xfId="15230"/>
    <cellStyle name="Input [yellow] 3 13 7 7 3" xfId="26398"/>
    <cellStyle name="Input [yellow] 3 13 7 7 4" xfId="37563"/>
    <cellStyle name="Input [yellow] 3 13 7 7 5" xfId="48756"/>
    <cellStyle name="Input [yellow] 3 13 7 8" xfId="4666"/>
    <cellStyle name="Input [yellow] 3 13 7 8 2" xfId="15863"/>
    <cellStyle name="Input [yellow] 3 13 7 8 3" xfId="27031"/>
    <cellStyle name="Input [yellow] 3 13 7 8 4" xfId="38196"/>
    <cellStyle name="Input [yellow] 3 13 7 8 5" xfId="49389"/>
    <cellStyle name="Input [yellow] 3 13 7 9" xfId="5297"/>
    <cellStyle name="Input [yellow] 3 13 7 9 2" xfId="16494"/>
    <cellStyle name="Input [yellow] 3 13 7 9 3" xfId="27662"/>
    <cellStyle name="Input [yellow] 3 13 7 9 4" xfId="38827"/>
    <cellStyle name="Input [yellow] 3 13 7 9 5" xfId="50020"/>
    <cellStyle name="Input [yellow] 3 13 8" xfId="498"/>
    <cellStyle name="Input [yellow] 3 13 8 10" xfId="5596"/>
    <cellStyle name="Input [yellow] 3 13 8 10 2" xfId="16793"/>
    <cellStyle name="Input [yellow] 3 13 8 10 3" xfId="27961"/>
    <cellStyle name="Input [yellow] 3 13 8 10 4" xfId="39126"/>
    <cellStyle name="Input [yellow] 3 13 8 10 5" xfId="50319"/>
    <cellStyle name="Input [yellow] 3 13 8 11" xfId="6434"/>
    <cellStyle name="Input [yellow] 3 13 8 11 2" xfId="17631"/>
    <cellStyle name="Input [yellow] 3 13 8 11 3" xfId="28799"/>
    <cellStyle name="Input [yellow] 3 13 8 11 4" xfId="39964"/>
    <cellStyle name="Input [yellow] 3 13 8 11 5" xfId="51157"/>
    <cellStyle name="Input [yellow] 3 13 8 12" xfId="7067"/>
    <cellStyle name="Input [yellow] 3 13 8 12 2" xfId="18264"/>
    <cellStyle name="Input [yellow] 3 13 8 12 3" xfId="29432"/>
    <cellStyle name="Input [yellow] 3 13 8 12 4" xfId="40597"/>
    <cellStyle name="Input [yellow] 3 13 8 12 5" xfId="51790"/>
    <cellStyle name="Input [yellow] 3 13 8 13" xfId="7701"/>
    <cellStyle name="Input [yellow] 3 13 8 13 2" xfId="18898"/>
    <cellStyle name="Input [yellow] 3 13 8 13 3" xfId="30066"/>
    <cellStyle name="Input [yellow] 3 13 8 13 4" xfId="41231"/>
    <cellStyle name="Input [yellow] 3 13 8 13 5" xfId="52424"/>
    <cellStyle name="Input [yellow] 3 13 8 14" xfId="8335"/>
    <cellStyle name="Input [yellow] 3 13 8 14 2" xfId="19532"/>
    <cellStyle name="Input [yellow] 3 13 8 14 3" xfId="30700"/>
    <cellStyle name="Input [yellow] 3 13 8 14 4" xfId="41865"/>
    <cellStyle name="Input [yellow] 3 13 8 14 5" xfId="53058"/>
    <cellStyle name="Input [yellow] 3 13 8 15" xfId="8963"/>
    <cellStyle name="Input [yellow] 3 13 8 15 2" xfId="20160"/>
    <cellStyle name="Input [yellow] 3 13 8 15 3" xfId="31328"/>
    <cellStyle name="Input [yellow] 3 13 8 15 4" xfId="42493"/>
    <cellStyle name="Input [yellow] 3 13 8 15 5" xfId="53686"/>
    <cellStyle name="Input [yellow] 3 13 8 16" xfId="9386"/>
    <cellStyle name="Input [yellow] 3 13 8 16 2" xfId="20583"/>
    <cellStyle name="Input [yellow] 3 13 8 16 3" xfId="31751"/>
    <cellStyle name="Input [yellow] 3 13 8 16 4" xfId="42916"/>
    <cellStyle name="Input [yellow] 3 13 8 16 5" xfId="54109"/>
    <cellStyle name="Input [yellow] 3 13 8 17" xfId="10011"/>
    <cellStyle name="Input [yellow] 3 13 8 17 2" xfId="21208"/>
    <cellStyle name="Input [yellow] 3 13 8 17 3" xfId="32376"/>
    <cellStyle name="Input [yellow] 3 13 8 17 4" xfId="43541"/>
    <cellStyle name="Input [yellow] 3 13 8 17 5" xfId="54734"/>
    <cellStyle name="Input [yellow] 3 13 8 18" xfId="10593"/>
    <cellStyle name="Input [yellow] 3 13 8 18 2" xfId="21790"/>
    <cellStyle name="Input [yellow] 3 13 8 18 3" xfId="32958"/>
    <cellStyle name="Input [yellow] 3 13 8 18 4" xfId="44123"/>
    <cellStyle name="Input [yellow] 3 13 8 18 5" xfId="55316"/>
    <cellStyle name="Input [yellow] 3 13 8 19" xfId="11051"/>
    <cellStyle name="Input [yellow] 3 13 8 19 2" xfId="22248"/>
    <cellStyle name="Input [yellow] 3 13 8 19 3" xfId="33416"/>
    <cellStyle name="Input [yellow] 3 13 8 19 4" xfId="44581"/>
    <cellStyle name="Input [yellow] 3 13 8 19 5" xfId="55774"/>
    <cellStyle name="Input [yellow] 3 13 8 2" xfId="1147"/>
    <cellStyle name="Input [yellow] 3 13 8 2 2" xfId="12344"/>
    <cellStyle name="Input [yellow] 3 13 8 2 3" xfId="23512"/>
    <cellStyle name="Input [yellow] 3 13 8 2 4" xfId="34677"/>
    <cellStyle name="Input [yellow] 3 13 8 2 5" xfId="45870"/>
    <cellStyle name="Input [yellow] 3 13 8 20" xfId="11698"/>
    <cellStyle name="Input [yellow] 3 13 8 21" xfId="22868"/>
    <cellStyle name="Input [yellow] 3 13 8 22" xfId="34035"/>
    <cellStyle name="Input [yellow] 3 13 8 23" xfId="45221"/>
    <cellStyle name="Input [yellow] 3 13 8 3" xfId="1897"/>
    <cellStyle name="Input [yellow] 3 13 8 3 2" xfId="13094"/>
    <cellStyle name="Input [yellow] 3 13 8 3 3" xfId="24262"/>
    <cellStyle name="Input [yellow] 3 13 8 3 4" xfId="35427"/>
    <cellStyle name="Input [yellow] 3 13 8 3 5" xfId="46620"/>
    <cellStyle name="Input [yellow] 3 13 8 4" xfId="2423"/>
    <cellStyle name="Input [yellow] 3 13 8 4 2" xfId="13620"/>
    <cellStyle name="Input [yellow] 3 13 8 4 3" xfId="24788"/>
    <cellStyle name="Input [yellow] 3 13 8 4 4" xfId="35953"/>
    <cellStyle name="Input [yellow] 3 13 8 4 5" xfId="47146"/>
    <cellStyle name="Input [yellow] 3 13 8 5" xfId="2848"/>
    <cellStyle name="Input [yellow] 3 13 8 5 2" xfId="14045"/>
    <cellStyle name="Input [yellow] 3 13 8 5 3" xfId="25213"/>
    <cellStyle name="Input [yellow] 3 13 8 5 4" xfId="36378"/>
    <cellStyle name="Input [yellow] 3 13 8 5 5" xfId="47571"/>
    <cellStyle name="Input [yellow] 3 13 8 6" xfId="3482"/>
    <cellStyle name="Input [yellow] 3 13 8 6 2" xfId="14679"/>
    <cellStyle name="Input [yellow] 3 13 8 6 3" xfId="25847"/>
    <cellStyle name="Input [yellow] 3 13 8 6 4" xfId="37012"/>
    <cellStyle name="Input [yellow] 3 13 8 6 5" xfId="48205"/>
    <cellStyle name="Input [yellow] 3 13 8 7" xfId="4116"/>
    <cellStyle name="Input [yellow] 3 13 8 7 2" xfId="15313"/>
    <cellStyle name="Input [yellow] 3 13 8 7 3" xfId="26481"/>
    <cellStyle name="Input [yellow] 3 13 8 7 4" xfId="37646"/>
    <cellStyle name="Input [yellow] 3 13 8 7 5" xfId="48839"/>
    <cellStyle name="Input [yellow] 3 13 8 8" xfId="4749"/>
    <cellStyle name="Input [yellow] 3 13 8 8 2" xfId="15946"/>
    <cellStyle name="Input [yellow] 3 13 8 8 3" xfId="27114"/>
    <cellStyle name="Input [yellow] 3 13 8 8 4" xfId="38279"/>
    <cellStyle name="Input [yellow] 3 13 8 8 5" xfId="49472"/>
    <cellStyle name="Input [yellow] 3 13 8 9" xfId="5380"/>
    <cellStyle name="Input [yellow] 3 13 8 9 2" xfId="16577"/>
    <cellStyle name="Input [yellow] 3 13 8 9 3" xfId="27745"/>
    <cellStyle name="Input [yellow] 3 13 8 9 4" xfId="38910"/>
    <cellStyle name="Input [yellow] 3 13 8 9 5" xfId="50103"/>
    <cellStyle name="Input [yellow] 3 13 9" xfId="556"/>
    <cellStyle name="Input [yellow] 3 13 9 10" xfId="6105"/>
    <cellStyle name="Input [yellow] 3 13 9 10 2" xfId="17302"/>
    <cellStyle name="Input [yellow] 3 13 9 10 3" xfId="28470"/>
    <cellStyle name="Input [yellow] 3 13 9 10 4" xfId="39635"/>
    <cellStyle name="Input [yellow] 3 13 9 10 5" xfId="50828"/>
    <cellStyle name="Input [yellow] 3 13 9 11" xfId="6492"/>
    <cellStyle name="Input [yellow] 3 13 9 11 2" xfId="17689"/>
    <cellStyle name="Input [yellow] 3 13 9 11 3" xfId="28857"/>
    <cellStyle name="Input [yellow] 3 13 9 11 4" xfId="40022"/>
    <cellStyle name="Input [yellow] 3 13 9 11 5" xfId="51215"/>
    <cellStyle name="Input [yellow] 3 13 9 12" xfId="7125"/>
    <cellStyle name="Input [yellow] 3 13 9 12 2" xfId="18322"/>
    <cellStyle name="Input [yellow] 3 13 9 12 3" xfId="29490"/>
    <cellStyle name="Input [yellow] 3 13 9 12 4" xfId="40655"/>
    <cellStyle name="Input [yellow] 3 13 9 12 5" xfId="51848"/>
    <cellStyle name="Input [yellow] 3 13 9 13" xfId="7759"/>
    <cellStyle name="Input [yellow] 3 13 9 13 2" xfId="18956"/>
    <cellStyle name="Input [yellow] 3 13 9 13 3" xfId="30124"/>
    <cellStyle name="Input [yellow] 3 13 9 13 4" xfId="41289"/>
    <cellStyle name="Input [yellow] 3 13 9 13 5" xfId="52482"/>
    <cellStyle name="Input [yellow] 3 13 9 14" xfId="8393"/>
    <cellStyle name="Input [yellow] 3 13 9 14 2" xfId="19590"/>
    <cellStyle name="Input [yellow] 3 13 9 14 3" xfId="30758"/>
    <cellStyle name="Input [yellow] 3 13 9 14 4" xfId="41923"/>
    <cellStyle name="Input [yellow] 3 13 9 14 5" xfId="53116"/>
    <cellStyle name="Input [yellow] 3 13 9 15" xfId="9021"/>
    <cellStyle name="Input [yellow] 3 13 9 15 2" xfId="20218"/>
    <cellStyle name="Input [yellow] 3 13 9 15 3" xfId="31386"/>
    <cellStyle name="Input [yellow] 3 13 9 15 4" xfId="42551"/>
    <cellStyle name="Input [yellow] 3 13 9 15 5" xfId="53744"/>
    <cellStyle name="Input [yellow] 3 13 9 16" xfId="9444"/>
    <cellStyle name="Input [yellow] 3 13 9 16 2" xfId="20641"/>
    <cellStyle name="Input [yellow] 3 13 9 16 3" xfId="31809"/>
    <cellStyle name="Input [yellow] 3 13 9 16 4" xfId="42974"/>
    <cellStyle name="Input [yellow] 3 13 9 16 5" xfId="54167"/>
    <cellStyle name="Input [yellow] 3 13 9 17" xfId="10069"/>
    <cellStyle name="Input [yellow] 3 13 9 17 2" xfId="21266"/>
    <cellStyle name="Input [yellow] 3 13 9 17 3" xfId="32434"/>
    <cellStyle name="Input [yellow] 3 13 9 17 4" xfId="43599"/>
    <cellStyle name="Input [yellow] 3 13 9 17 5" xfId="54792"/>
    <cellStyle name="Input [yellow] 3 13 9 18" xfId="10525"/>
    <cellStyle name="Input [yellow] 3 13 9 18 2" xfId="21722"/>
    <cellStyle name="Input [yellow] 3 13 9 18 3" xfId="32890"/>
    <cellStyle name="Input [yellow] 3 13 9 18 4" xfId="44055"/>
    <cellStyle name="Input [yellow] 3 13 9 18 5" xfId="55248"/>
    <cellStyle name="Input [yellow] 3 13 9 19" xfId="11109"/>
    <cellStyle name="Input [yellow] 3 13 9 19 2" xfId="22306"/>
    <cellStyle name="Input [yellow] 3 13 9 19 3" xfId="33474"/>
    <cellStyle name="Input [yellow] 3 13 9 19 4" xfId="44639"/>
    <cellStyle name="Input [yellow] 3 13 9 19 5" xfId="55832"/>
    <cellStyle name="Input [yellow] 3 13 9 2" xfId="1205"/>
    <cellStyle name="Input [yellow] 3 13 9 2 2" xfId="12402"/>
    <cellStyle name="Input [yellow] 3 13 9 2 3" xfId="23570"/>
    <cellStyle name="Input [yellow] 3 13 9 2 4" xfId="34735"/>
    <cellStyle name="Input [yellow] 3 13 9 2 5" xfId="45928"/>
    <cellStyle name="Input [yellow] 3 13 9 20" xfId="11756"/>
    <cellStyle name="Input [yellow] 3 13 9 21" xfId="22926"/>
    <cellStyle name="Input [yellow] 3 13 9 22" xfId="34093"/>
    <cellStyle name="Input [yellow] 3 13 9 23" xfId="45279"/>
    <cellStyle name="Input [yellow] 3 13 9 3" xfId="1714"/>
    <cellStyle name="Input [yellow] 3 13 9 3 2" xfId="12911"/>
    <cellStyle name="Input [yellow] 3 13 9 3 3" xfId="24079"/>
    <cellStyle name="Input [yellow] 3 13 9 3 4" xfId="35244"/>
    <cellStyle name="Input [yellow] 3 13 9 3 5" xfId="46437"/>
    <cellStyle name="Input [yellow] 3 13 9 4" xfId="2481"/>
    <cellStyle name="Input [yellow] 3 13 9 4 2" xfId="13678"/>
    <cellStyle name="Input [yellow] 3 13 9 4 3" xfId="24846"/>
    <cellStyle name="Input [yellow] 3 13 9 4 4" xfId="36011"/>
    <cellStyle name="Input [yellow] 3 13 9 4 5" xfId="47204"/>
    <cellStyle name="Input [yellow] 3 13 9 5" xfId="2906"/>
    <cellStyle name="Input [yellow] 3 13 9 5 2" xfId="14103"/>
    <cellStyle name="Input [yellow] 3 13 9 5 3" xfId="25271"/>
    <cellStyle name="Input [yellow] 3 13 9 5 4" xfId="36436"/>
    <cellStyle name="Input [yellow] 3 13 9 5 5" xfId="47629"/>
    <cellStyle name="Input [yellow] 3 13 9 6" xfId="3540"/>
    <cellStyle name="Input [yellow] 3 13 9 6 2" xfId="14737"/>
    <cellStyle name="Input [yellow] 3 13 9 6 3" xfId="25905"/>
    <cellStyle name="Input [yellow] 3 13 9 6 4" xfId="37070"/>
    <cellStyle name="Input [yellow] 3 13 9 6 5" xfId="48263"/>
    <cellStyle name="Input [yellow] 3 13 9 7" xfId="4174"/>
    <cellStyle name="Input [yellow] 3 13 9 7 2" xfId="15371"/>
    <cellStyle name="Input [yellow] 3 13 9 7 3" xfId="26539"/>
    <cellStyle name="Input [yellow] 3 13 9 7 4" xfId="37704"/>
    <cellStyle name="Input [yellow] 3 13 9 7 5" xfId="48897"/>
    <cellStyle name="Input [yellow] 3 13 9 8" xfId="4807"/>
    <cellStyle name="Input [yellow] 3 13 9 8 2" xfId="16004"/>
    <cellStyle name="Input [yellow] 3 13 9 8 3" xfId="27172"/>
    <cellStyle name="Input [yellow] 3 13 9 8 4" xfId="38337"/>
    <cellStyle name="Input [yellow] 3 13 9 8 5" xfId="49530"/>
    <cellStyle name="Input [yellow] 3 13 9 9" xfId="5438"/>
    <cellStyle name="Input [yellow] 3 13 9 9 2" xfId="16635"/>
    <cellStyle name="Input [yellow] 3 13 9 9 3" xfId="27803"/>
    <cellStyle name="Input [yellow] 3 13 9 9 4" xfId="38968"/>
    <cellStyle name="Input [yellow] 3 13 9 9 5" xfId="50161"/>
    <cellStyle name="Input [yellow] 3 14" xfId="92"/>
    <cellStyle name="Input [yellow] 3 14 10" xfId="604"/>
    <cellStyle name="Input [yellow] 3 14 10 10" xfId="5683"/>
    <cellStyle name="Input [yellow] 3 14 10 10 2" xfId="16880"/>
    <cellStyle name="Input [yellow] 3 14 10 10 3" xfId="28048"/>
    <cellStyle name="Input [yellow] 3 14 10 10 4" xfId="39213"/>
    <cellStyle name="Input [yellow] 3 14 10 10 5" xfId="50406"/>
    <cellStyle name="Input [yellow] 3 14 10 11" xfId="6540"/>
    <cellStyle name="Input [yellow] 3 14 10 11 2" xfId="17737"/>
    <cellStyle name="Input [yellow] 3 14 10 11 3" xfId="28905"/>
    <cellStyle name="Input [yellow] 3 14 10 11 4" xfId="40070"/>
    <cellStyle name="Input [yellow] 3 14 10 11 5" xfId="51263"/>
    <cellStyle name="Input [yellow] 3 14 10 12" xfId="7173"/>
    <cellStyle name="Input [yellow] 3 14 10 12 2" xfId="18370"/>
    <cellStyle name="Input [yellow] 3 14 10 12 3" xfId="29538"/>
    <cellStyle name="Input [yellow] 3 14 10 12 4" xfId="40703"/>
    <cellStyle name="Input [yellow] 3 14 10 12 5" xfId="51896"/>
    <cellStyle name="Input [yellow] 3 14 10 13" xfId="7807"/>
    <cellStyle name="Input [yellow] 3 14 10 13 2" xfId="19004"/>
    <cellStyle name="Input [yellow] 3 14 10 13 3" xfId="30172"/>
    <cellStyle name="Input [yellow] 3 14 10 13 4" xfId="41337"/>
    <cellStyle name="Input [yellow] 3 14 10 13 5" xfId="52530"/>
    <cellStyle name="Input [yellow] 3 14 10 14" xfId="8441"/>
    <cellStyle name="Input [yellow] 3 14 10 14 2" xfId="19638"/>
    <cellStyle name="Input [yellow] 3 14 10 14 3" xfId="30806"/>
    <cellStyle name="Input [yellow] 3 14 10 14 4" xfId="41971"/>
    <cellStyle name="Input [yellow] 3 14 10 14 5" xfId="53164"/>
    <cellStyle name="Input [yellow] 3 14 10 15" xfId="9069"/>
    <cellStyle name="Input [yellow] 3 14 10 15 2" xfId="20266"/>
    <cellStyle name="Input [yellow] 3 14 10 15 3" xfId="31434"/>
    <cellStyle name="Input [yellow] 3 14 10 15 4" xfId="42599"/>
    <cellStyle name="Input [yellow] 3 14 10 15 5" xfId="53792"/>
    <cellStyle name="Input [yellow] 3 14 10 16" xfId="9492"/>
    <cellStyle name="Input [yellow] 3 14 10 16 2" xfId="20689"/>
    <cellStyle name="Input [yellow] 3 14 10 16 3" xfId="31857"/>
    <cellStyle name="Input [yellow] 3 14 10 16 4" xfId="43022"/>
    <cellStyle name="Input [yellow] 3 14 10 16 5" xfId="54215"/>
    <cellStyle name="Input [yellow] 3 14 10 17" xfId="10117"/>
    <cellStyle name="Input [yellow] 3 14 10 17 2" xfId="21314"/>
    <cellStyle name="Input [yellow] 3 14 10 17 3" xfId="32482"/>
    <cellStyle name="Input [yellow] 3 14 10 17 4" xfId="43647"/>
    <cellStyle name="Input [yellow] 3 14 10 17 5" xfId="54840"/>
    <cellStyle name="Input [yellow] 3 14 10 18" xfId="10280"/>
    <cellStyle name="Input [yellow] 3 14 10 18 2" xfId="21477"/>
    <cellStyle name="Input [yellow] 3 14 10 18 3" xfId="32645"/>
    <cellStyle name="Input [yellow] 3 14 10 18 4" xfId="43810"/>
    <cellStyle name="Input [yellow] 3 14 10 18 5" xfId="55003"/>
    <cellStyle name="Input [yellow] 3 14 10 19" xfId="11157"/>
    <cellStyle name="Input [yellow] 3 14 10 19 2" xfId="22354"/>
    <cellStyle name="Input [yellow] 3 14 10 19 3" xfId="33522"/>
    <cellStyle name="Input [yellow] 3 14 10 19 4" xfId="44687"/>
    <cellStyle name="Input [yellow] 3 14 10 19 5" xfId="55880"/>
    <cellStyle name="Input [yellow] 3 14 10 2" xfId="1253"/>
    <cellStyle name="Input [yellow] 3 14 10 2 2" xfId="12450"/>
    <cellStyle name="Input [yellow] 3 14 10 2 3" xfId="23618"/>
    <cellStyle name="Input [yellow] 3 14 10 2 4" xfId="34783"/>
    <cellStyle name="Input [yellow] 3 14 10 2 5" xfId="45976"/>
    <cellStyle name="Input [yellow] 3 14 10 20" xfId="11804"/>
    <cellStyle name="Input [yellow] 3 14 10 21" xfId="22974"/>
    <cellStyle name="Input [yellow] 3 14 10 22" xfId="34141"/>
    <cellStyle name="Input [yellow] 3 14 10 23" xfId="45327"/>
    <cellStyle name="Input [yellow] 3 14 10 3" xfId="1587"/>
    <cellStyle name="Input [yellow] 3 14 10 3 2" xfId="12784"/>
    <cellStyle name="Input [yellow] 3 14 10 3 3" xfId="23952"/>
    <cellStyle name="Input [yellow] 3 14 10 3 4" xfId="35117"/>
    <cellStyle name="Input [yellow] 3 14 10 3 5" xfId="46310"/>
    <cellStyle name="Input [yellow] 3 14 10 4" xfId="2529"/>
    <cellStyle name="Input [yellow] 3 14 10 4 2" xfId="13726"/>
    <cellStyle name="Input [yellow] 3 14 10 4 3" xfId="24894"/>
    <cellStyle name="Input [yellow] 3 14 10 4 4" xfId="36059"/>
    <cellStyle name="Input [yellow] 3 14 10 4 5" xfId="47252"/>
    <cellStyle name="Input [yellow] 3 14 10 5" xfId="2954"/>
    <cellStyle name="Input [yellow] 3 14 10 5 2" xfId="14151"/>
    <cellStyle name="Input [yellow] 3 14 10 5 3" xfId="25319"/>
    <cellStyle name="Input [yellow] 3 14 10 5 4" xfId="36484"/>
    <cellStyle name="Input [yellow] 3 14 10 5 5" xfId="47677"/>
    <cellStyle name="Input [yellow] 3 14 10 6" xfId="3588"/>
    <cellStyle name="Input [yellow] 3 14 10 6 2" xfId="14785"/>
    <cellStyle name="Input [yellow] 3 14 10 6 3" xfId="25953"/>
    <cellStyle name="Input [yellow] 3 14 10 6 4" xfId="37118"/>
    <cellStyle name="Input [yellow] 3 14 10 6 5" xfId="48311"/>
    <cellStyle name="Input [yellow] 3 14 10 7" xfId="4222"/>
    <cellStyle name="Input [yellow] 3 14 10 7 2" xfId="15419"/>
    <cellStyle name="Input [yellow] 3 14 10 7 3" xfId="26587"/>
    <cellStyle name="Input [yellow] 3 14 10 7 4" xfId="37752"/>
    <cellStyle name="Input [yellow] 3 14 10 7 5" xfId="48945"/>
    <cellStyle name="Input [yellow] 3 14 10 8" xfId="4855"/>
    <cellStyle name="Input [yellow] 3 14 10 8 2" xfId="16052"/>
    <cellStyle name="Input [yellow] 3 14 10 8 3" xfId="27220"/>
    <cellStyle name="Input [yellow] 3 14 10 8 4" xfId="38385"/>
    <cellStyle name="Input [yellow] 3 14 10 8 5" xfId="49578"/>
    <cellStyle name="Input [yellow] 3 14 10 9" xfId="5486"/>
    <cellStyle name="Input [yellow] 3 14 10 9 2" xfId="16683"/>
    <cellStyle name="Input [yellow] 3 14 10 9 3" xfId="27851"/>
    <cellStyle name="Input [yellow] 3 14 10 9 4" xfId="39016"/>
    <cellStyle name="Input [yellow] 3 14 10 9 5" xfId="50209"/>
    <cellStyle name="Input [yellow] 3 14 11" xfId="633"/>
    <cellStyle name="Input [yellow] 3 14 11 10" xfId="5640"/>
    <cellStyle name="Input [yellow] 3 14 11 10 2" xfId="16837"/>
    <cellStyle name="Input [yellow] 3 14 11 10 3" xfId="28005"/>
    <cellStyle name="Input [yellow] 3 14 11 10 4" xfId="39170"/>
    <cellStyle name="Input [yellow] 3 14 11 10 5" xfId="50363"/>
    <cellStyle name="Input [yellow] 3 14 11 11" xfId="6569"/>
    <cellStyle name="Input [yellow] 3 14 11 11 2" xfId="17766"/>
    <cellStyle name="Input [yellow] 3 14 11 11 3" xfId="28934"/>
    <cellStyle name="Input [yellow] 3 14 11 11 4" xfId="40099"/>
    <cellStyle name="Input [yellow] 3 14 11 11 5" xfId="51292"/>
    <cellStyle name="Input [yellow] 3 14 11 12" xfId="7202"/>
    <cellStyle name="Input [yellow] 3 14 11 12 2" xfId="18399"/>
    <cellStyle name="Input [yellow] 3 14 11 12 3" xfId="29567"/>
    <cellStyle name="Input [yellow] 3 14 11 12 4" xfId="40732"/>
    <cellStyle name="Input [yellow] 3 14 11 12 5" xfId="51925"/>
    <cellStyle name="Input [yellow] 3 14 11 13" xfId="7836"/>
    <cellStyle name="Input [yellow] 3 14 11 13 2" xfId="19033"/>
    <cellStyle name="Input [yellow] 3 14 11 13 3" xfId="30201"/>
    <cellStyle name="Input [yellow] 3 14 11 13 4" xfId="41366"/>
    <cellStyle name="Input [yellow] 3 14 11 13 5" xfId="52559"/>
    <cellStyle name="Input [yellow] 3 14 11 14" xfId="8470"/>
    <cellStyle name="Input [yellow] 3 14 11 14 2" xfId="19667"/>
    <cellStyle name="Input [yellow] 3 14 11 14 3" xfId="30835"/>
    <cellStyle name="Input [yellow] 3 14 11 14 4" xfId="42000"/>
    <cellStyle name="Input [yellow] 3 14 11 14 5" xfId="53193"/>
    <cellStyle name="Input [yellow] 3 14 11 15" xfId="9098"/>
    <cellStyle name="Input [yellow] 3 14 11 15 2" xfId="20295"/>
    <cellStyle name="Input [yellow] 3 14 11 15 3" xfId="31463"/>
    <cellStyle name="Input [yellow] 3 14 11 15 4" xfId="42628"/>
    <cellStyle name="Input [yellow] 3 14 11 15 5" xfId="53821"/>
    <cellStyle name="Input [yellow] 3 14 11 16" xfId="9521"/>
    <cellStyle name="Input [yellow] 3 14 11 16 2" xfId="20718"/>
    <cellStyle name="Input [yellow] 3 14 11 16 3" xfId="31886"/>
    <cellStyle name="Input [yellow] 3 14 11 16 4" xfId="43051"/>
    <cellStyle name="Input [yellow] 3 14 11 16 5" xfId="54244"/>
    <cellStyle name="Input [yellow] 3 14 11 17" xfId="10146"/>
    <cellStyle name="Input [yellow] 3 14 11 17 2" xfId="21343"/>
    <cellStyle name="Input [yellow] 3 14 11 17 3" xfId="32511"/>
    <cellStyle name="Input [yellow] 3 14 11 17 4" xfId="43676"/>
    <cellStyle name="Input [yellow] 3 14 11 17 5" xfId="54869"/>
    <cellStyle name="Input [yellow] 3 14 11 18" xfId="9820"/>
    <cellStyle name="Input [yellow] 3 14 11 18 2" xfId="21017"/>
    <cellStyle name="Input [yellow] 3 14 11 18 3" xfId="32185"/>
    <cellStyle name="Input [yellow] 3 14 11 18 4" xfId="43350"/>
    <cellStyle name="Input [yellow] 3 14 11 18 5" xfId="54543"/>
    <cellStyle name="Input [yellow] 3 14 11 19" xfId="11186"/>
    <cellStyle name="Input [yellow] 3 14 11 19 2" xfId="22383"/>
    <cellStyle name="Input [yellow] 3 14 11 19 3" xfId="33551"/>
    <cellStyle name="Input [yellow] 3 14 11 19 4" xfId="44716"/>
    <cellStyle name="Input [yellow] 3 14 11 19 5" xfId="55909"/>
    <cellStyle name="Input [yellow] 3 14 11 2" xfId="1282"/>
    <cellStyle name="Input [yellow] 3 14 11 2 2" xfId="12479"/>
    <cellStyle name="Input [yellow] 3 14 11 2 3" xfId="23647"/>
    <cellStyle name="Input [yellow] 3 14 11 2 4" xfId="34812"/>
    <cellStyle name="Input [yellow] 3 14 11 2 5" xfId="46005"/>
    <cellStyle name="Input [yellow] 3 14 11 20" xfId="11833"/>
    <cellStyle name="Input [yellow] 3 14 11 21" xfId="23003"/>
    <cellStyle name="Input [yellow] 3 14 11 22" xfId="34170"/>
    <cellStyle name="Input [yellow] 3 14 11 23" xfId="45356"/>
    <cellStyle name="Input [yellow] 3 14 11 3" xfId="1837"/>
    <cellStyle name="Input [yellow] 3 14 11 3 2" xfId="13034"/>
    <cellStyle name="Input [yellow] 3 14 11 3 3" xfId="24202"/>
    <cellStyle name="Input [yellow] 3 14 11 3 4" xfId="35367"/>
    <cellStyle name="Input [yellow] 3 14 11 3 5" xfId="46560"/>
    <cellStyle name="Input [yellow] 3 14 11 4" xfId="2558"/>
    <cellStyle name="Input [yellow] 3 14 11 4 2" xfId="13755"/>
    <cellStyle name="Input [yellow] 3 14 11 4 3" xfId="24923"/>
    <cellStyle name="Input [yellow] 3 14 11 4 4" xfId="36088"/>
    <cellStyle name="Input [yellow] 3 14 11 4 5" xfId="47281"/>
    <cellStyle name="Input [yellow] 3 14 11 5" xfId="2983"/>
    <cellStyle name="Input [yellow] 3 14 11 5 2" xfId="14180"/>
    <cellStyle name="Input [yellow] 3 14 11 5 3" xfId="25348"/>
    <cellStyle name="Input [yellow] 3 14 11 5 4" xfId="36513"/>
    <cellStyle name="Input [yellow] 3 14 11 5 5" xfId="47706"/>
    <cellStyle name="Input [yellow] 3 14 11 6" xfId="3617"/>
    <cellStyle name="Input [yellow] 3 14 11 6 2" xfId="14814"/>
    <cellStyle name="Input [yellow] 3 14 11 6 3" xfId="25982"/>
    <cellStyle name="Input [yellow] 3 14 11 6 4" xfId="37147"/>
    <cellStyle name="Input [yellow] 3 14 11 6 5" xfId="48340"/>
    <cellStyle name="Input [yellow] 3 14 11 7" xfId="4251"/>
    <cellStyle name="Input [yellow] 3 14 11 7 2" xfId="15448"/>
    <cellStyle name="Input [yellow] 3 14 11 7 3" xfId="26616"/>
    <cellStyle name="Input [yellow] 3 14 11 7 4" xfId="37781"/>
    <cellStyle name="Input [yellow] 3 14 11 7 5" xfId="48974"/>
    <cellStyle name="Input [yellow] 3 14 11 8" xfId="4884"/>
    <cellStyle name="Input [yellow] 3 14 11 8 2" xfId="16081"/>
    <cellStyle name="Input [yellow] 3 14 11 8 3" xfId="27249"/>
    <cellStyle name="Input [yellow] 3 14 11 8 4" xfId="38414"/>
    <cellStyle name="Input [yellow] 3 14 11 8 5" xfId="49607"/>
    <cellStyle name="Input [yellow] 3 14 11 9" xfId="5515"/>
    <cellStyle name="Input [yellow] 3 14 11 9 2" xfId="16712"/>
    <cellStyle name="Input [yellow] 3 14 11 9 3" xfId="27880"/>
    <cellStyle name="Input [yellow] 3 14 11 9 4" xfId="39045"/>
    <cellStyle name="Input [yellow] 3 14 11 9 5" xfId="50238"/>
    <cellStyle name="Input [yellow] 3 14 12" xfId="741"/>
    <cellStyle name="Input [yellow] 3 14 12 2" xfId="11938"/>
    <cellStyle name="Input [yellow] 3 14 12 3" xfId="23106"/>
    <cellStyle name="Input [yellow] 3 14 12 4" xfId="34271"/>
    <cellStyle name="Input [yellow] 3 14 12 5" xfId="45464"/>
    <cellStyle name="Input [yellow] 3 14 13" xfId="1541"/>
    <cellStyle name="Input [yellow] 3 14 13 2" xfId="12738"/>
    <cellStyle name="Input [yellow] 3 14 13 3" xfId="23906"/>
    <cellStyle name="Input [yellow] 3 14 13 4" xfId="35071"/>
    <cellStyle name="Input [yellow] 3 14 13 5" xfId="46264"/>
    <cellStyle name="Input [yellow] 3 14 14" xfId="2018"/>
    <cellStyle name="Input [yellow] 3 14 14 2" xfId="13215"/>
    <cellStyle name="Input [yellow] 3 14 14 3" xfId="24383"/>
    <cellStyle name="Input [yellow] 3 14 14 4" xfId="35548"/>
    <cellStyle name="Input [yellow] 3 14 14 5" xfId="46741"/>
    <cellStyle name="Input [yellow] 3 14 15" xfId="2113"/>
    <cellStyle name="Input [yellow] 3 14 15 2" xfId="13310"/>
    <cellStyle name="Input [yellow] 3 14 15 3" xfId="24478"/>
    <cellStyle name="Input [yellow] 3 14 15 4" xfId="35643"/>
    <cellStyle name="Input [yellow] 3 14 15 5" xfId="46836"/>
    <cellStyle name="Input [yellow] 3 14 16" xfId="3076"/>
    <cellStyle name="Input [yellow] 3 14 16 2" xfId="14273"/>
    <cellStyle name="Input [yellow] 3 14 16 3" xfId="25441"/>
    <cellStyle name="Input [yellow] 3 14 16 4" xfId="36606"/>
    <cellStyle name="Input [yellow] 3 14 16 5" xfId="47799"/>
    <cellStyle name="Input [yellow] 3 14 17" xfId="3710"/>
    <cellStyle name="Input [yellow] 3 14 17 2" xfId="14907"/>
    <cellStyle name="Input [yellow] 3 14 17 3" xfId="26075"/>
    <cellStyle name="Input [yellow] 3 14 17 4" xfId="37240"/>
    <cellStyle name="Input [yellow] 3 14 17 5" xfId="48433"/>
    <cellStyle name="Input [yellow] 3 14 18" xfId="4343"/>
    <cellStyle name="Input [yellow] 3 14 18 2" xfId="15540"/>
    <cellStyle name="Input [yellow] 3 14 18 3" xfId="26708"/>
    <cellStyle name="Input [yellow] 3 14 18 4" xfId="37873"/>
    <cellStyle name="Input [yellow] 3 14 18 5" xfId="49066"/>
    <cellStyle name="Input [yellow] 3 14 19" xfId="4974"/>
    <cellStyle name="Input [yellow] 3 14 19 2" xfId="16171"/>
    <cellStyle name="Input [yellow] 3 14 19 3" xfId="27339"/>
    <cellStyle name="Input [yellow] 3 14 19 4" xfId="38504"/>
    <cellStyle name="Input [yellow] 3 14 19 5" xfId="49697"/>
    <cellStyle name="Input [yellow] 3 14 2" xfId="155"/>
    <cellStyle name="Input [yellow] 3 14 2 10" xfId="5971"/>
    <cellStyle name="Input [yellow] 3 14 2 10 2" xfId="17168"/>
    <cellStyle name="Input [yellow] 3 14 2 10 3" xfId="28336"/>
    <cellStyle name="Input [yellow] 3 14 2 10 4" xfId="39501"/>
    <cellStyle name="Input [yellow] 3 14 2 10 5" xfId="50694"/>
    <cellStyle name="Input [yellow] 3 14 2 11" xfId="4934"/>
    <cellStyle name="Input [yellow] 3 14 2 11 2" xfId="16131"/>
    <cellStyle name="Input [yellow] 3 14 2 11 3" xfId="27299"/>
    <cellStyle name="Input [yellow] 3 14 2 11 4" xfId="38464"/>
    <cellStyle name="Input [yellow] 3 14 2 11 5" xfId="49657"/>
    <cellStyle name="Input [yellow] 3 14 2 12" xfId="6724"/>
    <cellStyle name="Input [yellow] 3 14 2 12 2" xfId="17921"/>
    <cellStyle name="Input [yellow] 3 14 2 12 3" xfId="29089"/>
    <cellStyle name="Input [yellow] 3 14 2 12 4" xfId="40254"/>
    <cellStyle name="Input [yellow] 3 14 2 12 5" xfId="51447"/>
    <cellStyle name="Input [yellow] 3 14 2 13" xfId="7358"/>
    <cellStyle name="Input [yellow] 3 14 2 13 2" xfId="18555"/>
    <cellStyle name="Input [yellow] 3 14 2 13 3" xfId="29723"/>
    <cellStyle name="Input [yellow] 3 14 2 13 4" xfId="40888"/>
    <cellStyle name="Input [yellow] 3 14 2 13 5" xfId="52081"/>
    <cellStyle name="Input [yellow] 3 14 2 14" xfId="7992"/>
    <cellStyle name="Input [yellow] 3 14 2 14 2" xfId="19189"/>
    <cellStyle name="Input [yellow] 3 14 2 14 3" xfId="30357"/>
    <cellStyle name="Input [yellow] 3 14 2 14 4" xfId="41522"/>
    <cellStyle name="Input [yellow] 3 14 2 14 5" xfId="52715"/>
    <cellStyle name="Input [yellow] 3 14 2 15" xfId="8623"/>
    <cellStyle name="Input [yellow] 3 14 2 15 2" xfId="19820"/>
    <cellStyle name="Input [yellow] 3 14 2 15 3" xfId="30988"/>
    <cellStyle name="Input [yellow] 3 14 2 15 4" xfId="42153"/>
    <cellStyle name="Input [yellow] 3 14 2 15 5" xfId="53346"/>
    <cellStyle name="Input [yellow] 3 14 2 16" xfId="8578"/>
    <cellStyle name="Input [yellow] 3 14 2 16 2" xfId="19775"/>
    <cellStyle name="Input [yellow] 3 14 2 16 3" xfId="30943"/>
    <cellStyle name="Input [yellow] 3 14 2 16 4" xfId="42108"/>
    <cellStyle name="Input [yellow] 3 14 2 16 5" xfId="53301"/>
    <cellStyle name="Input [yellow] 3 14 2 17" xfId="9676"/>
    <cellStyle name="Input [yellow] 3 14 2 17 2" xfId="20873"/>
    <cellStyle name="Input [yellow] 3 14 2 17 3" xfId="32041"/>
    <cellStyle name="Input [yellow] 3 14 2 17 4" xfId="43206"/>
    <cellStyle name="Input [yellow] 3 14 2 17 5" xfId="54399"/>
    <cellStyle name="Input [yellow] 3 14 2 18" xfId="10339"/>
    <cellStyle name="Input [yellow] 3 14 2 18 2" xfId="21536"/>
    <cellStyle name="Input [yellow] 3 14 2 18 3" xfId="32704"/>
    <cellStyle name="Input [yellow] 3 14 2 18 4" xfId="43869"/>
    <cellStyle name="Input [yellow] 3 14 2 18 5" xfId="55062"/>
    <cellStyle name="Input [yellow] 3 14 2 19" xfId="10708"/>
    <cellStyle name="Input [yellow] 3 14 2 19 2" xfId="21905"/>
    <cellStyle name="Input [yellow] 3 14 2 19 3" xfId="33073"/>
    <cellStyle name="Input [yellow] 3 14 2 19 4" xfId="44238"/>
    <cellStyle name="Input [yellow] 3 14 2 19 5" xfId="55431"/>
    <cellStyle name="Input [yellow] 3 14 2 2" xfId="804"/>
    <cellStyle name="Input [yellow] 3 14 2 2 2" xfId="12001"/>
    <cellStyle name="Input [yellow] 3 14 2 2 3" xfId="23169"/>
    <cellStyle name="Input [yellow] 3 14 2 2 4" xfId="34334"/>
    <cellStyle name="Input [yellow] 3 14 2 2 5" xfId="45527"/>
    <cellStyle name="Input [yellow] 3 14 2 20" xfId="11355"/>
    <cellStyle name="Input [yellow] 3 14 2 21" xfId="22525"/>
    <cellStyle name="Input [yellow] 3 14 2 22" xfId="33692"/>
    <cellStyle name="Input [yellow] 3 14 2 23" xfId="44878"/>
    <cellStyle name="Input [yellow] 3 14 2 3" xfId="1653"/>
    <cellStyle name="Input [yellow] 3 14 2 3 2" xfId="12850"/>
    <cellStyle name="Input [yellow] 3 14 2 3 3" xfId="24018"/>
    <cellStyle name="Input [yellow] 3 14 2 3 4" xfId="35183"/>
    <cellStyle name="Input [yellow] 3 14 2 3 5" xfId="46376"/>
    <cellStyle name="Input [yellow] 3 14 2 4" xfId="2081"/>
    <cellStyle name="Input [yellow] 3 14 2 4 2" xfId="13278"/>
    <cellStyle name="Input [yellow] 3 14 2 4 3" xfId="24446"/>
    <cellStyle name="Input [yellow] 3 14 2 4 4" xfId="35611"/>
    <cellStyle name="Input [yellow] 3 14 2 4 5" xfId="46804"/>
    <cellStyle name="Input [yellow] 3 14 2 5" xfId="2295"/>
    <cellStyle name="Input [yellow] 3 14 2 5 2" xfId="13492"/>
    <cellStyle name="Input [yellow] 3 14 2 5 3" xfId="24660"/>
    <cellStyle name="Input [yellow] 3 14 2 5 4" xfId="35825"/>
    <cellStyle name="Input [yellow] 3 14 2 5 5" xfId="47018"/>
    <cellStyle name="Input [yellow] 3 14 2 6" xfId="3139"/>
    <cellStyle name="Input [yellow] 3 14 2 6 2" xfId="14336"/>
    <cellStyle name="Input [yellow] 3 14 2 6 3" xfId="25504"/>
    <cellStyle name="Input [yellow] 3 14 2 6 4" xfId="36669"/>
    <cellStyle name="Input [yellow] 3 14 2 6 5" xfId="47862"/>
    <cellStyle name="Input [yellow] 3 14 2 7" xfId="3773"/>
    <cellStyle name="Input [yellow] 3 14 2 7 2" xfId="14970"/>
    <cellStyle name="Input [yellow] 3 14 2 7 3" xfId="26138"/>
    <cellStyle name="Input [yellow] 3 14 2 7 4" xfId="37303"/>
    <cellStyle name="Input [yellow] 3 14 2 7 5" xfId="48496"/>
    <cellStyle name="Input [yellow] 3 14 2 8" xfId="4406"/>
    <cellStyle name="Input [yellow] 3 14 2 8 2" xfId="15603"/>
    <cellStyle name="Input [yellow] 3 14 2 8 3" xfId="26771"/>
    <cellStyle name="Input [yellow] 3 14 2 8 4" xfId="37936"/>
    <cellStyle name="Input [yellow] 3 14 2 8 5" xfId="49129"/>
    <cellStyle name="Input [yellow] 3 14 2 9" xfId="5037"/>
    <cellStyle name="Input [yellow] 3 14 2 9 2" xfId="16234"/>
    <cellStyle name="Input [yellow] 3 14 2 9 3" xfId="27402"/>
    <cellStyle name="Input [yellow] 3 14 2 9 4" xfId="38567"/>
    <cellStyle name="Input [yellow] 3 14 2 9 5" xfId="49760"/>
    <cellStyle name="Input [yellow] 3 14 20" xfId="5570"/>
    <cellStyle name="Input [yellow] 3 14 20 2" xfId="16767"/>
    <cellStyle name="Input [yellow] 3 14 20 3" xfId="27935"/>
    <cellStyle name="Input [yellow] 3 14 20 4" xfId="39100"/>
    <cellStyle name="Input [yellow] 3 14 20 5" xfId="50293"/>
    <cellStyle name="Input [yellow] 3 14 21" xfId="5684"/>
    <cellStyle name="Input [yellow] 3 14 21 2" xfId="16881"/>
    <cellStyle name="Input [yellow] 3 14 21 3" xfId="28049"/>
    <cellStyle name="Input [yellow] 3 14 21 4" xfId="39214"/>
    <cellStyle name="Input [yellow] 3 14 21 5" xfId="50407"/>
    <cellStyle name="Input [yellow] 3 14 22" xfId="6661"/>
    <cellStyle name="Input [yellow] 3 14 22 2" xfId="17858"/>
    <cellStyle name="Input [yellow] 3 14 22 3" xfId="29026"/>
    <cellStyle name="Input [yellow] 3 14 22 4" xfId="40191"/>
    <cellStyle name="Input [yellow] 3 14 22 5" xfId="51384"/>
    <cellStyle name="Input [yellow] 3 14 23" xfId="7295"/>
    <cellStyle name="Input [yellow] 3 14 23 2" xfId="18492"/>
    <cellStyle name="Input [yellow] 3 14 23 3" xfId="29660"/>
    <cellStyle name="Input [yellow] 3 14 23 4" xfId="40825"/>
    <cellStyle name="Input [yellow] 3 14 23 5" xfId="52018"/>
    <cellStyle name="Input [yellow] 3 14 24" xfId="7929"/>
    <cellStyle name="Input [yellow] 3 14 24 2" xfId="19126"/>
    <cellStyle name="Input [yellow] 3 14 24 3" xfId="30294"/>
    <cellStyle name="Input [yellow] 3 14 24 4" xfId="41459"/>
    <cellStyle name="Input [yellow] 3 14 24 5" xfId="52652"/>
    <cellStyle name="Input [yellow] 3 14 25" xfId="8560"/>
    <cellStyle name="Input [yellow] 3 14 25 2" xfId="19757"/>
    <cellStyle name="Input [yellow] 3 14 25 3" xfId="30925"/>
    <cellStyle name="Input [yellow] 3 14 25 4" xfId="42090"/>
    <cellStyle name="Input [yellow] 3 14 25 5" xfId="53283"/>
    <cellStyle name="Input [yellow] 3 14 26" xfId="8866"/>
    <cellStyle name="Input [yellow] 3 14 26 2" xfId="20063"/>
    <cellStyle name="Input [yellow] 3 14 26 3" xfId="31231"/>
    <cellStyle name="Input [yellow] 3 14 26 4" xfId="42396"/>
    <cellStyle name="Input [yellow] 3 14 26 5" xfId="53589"/>
    <cellStyle name="Input [yellow] 3 14 27" xfId="9613"/>
    <cellStyle name="Input [yellow] 3 14 27 2" xfId="20810"/>
    <cellStyle name="Input [yellow] 3 14 27 3" xfId="31978"/>
    <cellStyle name="Input [yellow] 3 14 27 4" xfId="43143"/>
    <cellStyle name="Input [yellow] 3 14 27 5" xfId="54336"/>
    <cellStyle name="Input [yellow] 3 14 28" xfId="10242"/>
    <cellStyle name="Input [yellow] 3 14 28 2" xfId="21439"/>
    <cellStyle name="Input [yellow] 3 14 28 3" xfId="32607"/>
    <cellStyle name="Input [yellow] 3 14 28 4" xfId="43772"/>
    <cellStyle name="Input [yellow] 3 14 28 5" xfId="54965"/>
    <cellStyle name="Input [yellow] 3 14 29" xfId="10645"/>
    <cellStyle name="Input [yellow] 3 14 29 2" xfId="21842"/>
    <cellStyle name="Input [yellow] 3 14 29 3" xfId="33010"/>
    <cellStyle name="Input [yellow] 3 14 29 4" xfId="44175"/>
    <cellStyle name="Input [yellow] 3 14 29 5" xfId="55368"/>
    <cellStyle name="Input [yellow] 3 14 3" xfId="211"/>
    <cellStyle name="Input [yellow] 3 14 3 10" xfId="5750"/>
    <cellStyle name="Input [yellow] 3 14 3 10 2" xfId="16947"/>
    <cellStyle name="Input [yellow] 3 14 3 10 3" xfId="28115"/>
    <cellStyle name="Input [yellow] 3 14 3 10 4" xfId="39280"/>
    <cellStyle name="Input [yellow] 3 14 3 10 5" xfId="50473"/>
    <cellStyle name="Input [yellow] 3 14 3 11" xfId="5559"/>
    <cellStyle name="Input [yellow] 3 14 3 11 2" xfId="16756"/>
    <cellStyle name="Input [yellow] 3 14 3 11 3" xfId="27924"/>
    <cellStyle name="Input [yellow] 3 14 3 11 4" xfId="39089"/>
    <cellStyle name="Input [yellow] 3 14 3 11 5" xfId="50282"/>
    <cellStyle name="Input [yellow] 3 14 3 12" xfId="6780"/>
    <cellStyle name="Input [yellow] 3 14 3 12 2" xfId="17977"/>
    <cellStyle name="Input [yellow] 3 14 3 12 3" xfId="29145"/>
    <cellStyle name="Input [yellow] 3 14 3 12 4" xfId="40310"/>
    <cellStyle name="Input [yellow] 3 14 3 12 5" xfId="51503"/>
    <cellStyle name="Input [yellow] 3 14 3 13" xfId="7414"/>
    <cellStyle name="Input [yellow] 3 14 3 13 2" xfId="18611"/>
    <cellStyle name="Input [yellow] 3 14 3 13 3" xfId="29779"/>
    <cellStyle name="Input [yellow] 3 14 3 13 4" xfId="40944"/>
    <cellStyle name="Input [yellow] 3 14 3 13 5" xfId="52137"/>
    <cellStyle name="Input [yellow] 3 14 3 14" xfId="8048"/>
    <cellStyle name="Input [yellow] 3 14 3 14 2" xfId="19245"/>
    <cellStyle name="Input [yellow] 3 14 3 14 3" xfId="30413"/>
    <cellStyle name="Input [yellow] 3 14 3 14 4" xfId="41578"/>
    <cellStyle name="Input [yellow] 3 14 3 14 5" xfId="52771"/>
    <cellStyle name="Input [yellow] 3 14 3 15" xfId="8679"/>
    <cellStyle name="Input [yellow] 3 14 3 15 2" xfId="19876"/>
    <cellStyle name="Input [yellow] 3 14 3 15 3" xfId="31044"/>
    <cellStyle name="Input [yellow] 3 14 3 15 4" xfId="42209"/>
    <cellStyle name="Input [yellow] 3 14 3 15 5" xfId="53402"/>
    <cellStyle name="Input [yellow] 3 14 3 16" xfId="9019"/>
    <cellStyle name="Input [yellow] 3 14 3 16 2" xfId="20216"/>
    <cellStyle name="Input [yellow] 3 14 3 16 3" xfId="31384"/>
    <cellStyle name="Input [yellow] 3 14 3 16 4" xfId="42549"/>
    <cellStyle name="Input [yellow] 3 14 3 16 5" xfId="53742"/>
    <cellStyle name="Input [yellow] 3 14 3 17" xfId="9730"/>
    <cellStyle name="Input [yellow] 3 14 3 17 2" xfId="20927"/>
    <cellStyle name="Input [yellow] 3 14 3 17 3" xfId="32095"/>
    <cellStyle name="Input [yellow] 3 14 3 17 4" xfId="43260"/>
    <cellStyle name="Input [yellow] 3 14 3 17 5" xfId="54453"/>
    <cellStyle name="Input [yellow] 3 14 3 18" xfId="10288"/>
    <cellStyle name="Input [yellow] 3 14 3 18 2" xfId="21485"/>
    <cellStyle name="Input [yellow] 3 14 3 18 3" xfId="32653"/>
    <cellStyle name="Input [yellow] 3 14 3 18 4" xfId="43818"/>
    <cellStyle name="Input [yellow] 3 14 3 18 5" xfId="55011"/>
    <cellStyle name="Input [yellow] 3 14 3 19" xfId="10764"/>
    <cellStyle name="Input [yellow] 3 14 3 19 2" xfId="21961"/>
    <cellStyle name="Input [yellow] 3 14 3 19 3" xfId="33129"/>
    <cellStyle name="Input [yellow] 3 14 3 19 4" xfId="44294"/>
    <cellStyle name="Input [yellow] 3 14 3 19 5" xfId="55487"/>
    <cellStyle name="Input [yellow] 3 14 3 2" xfId="860"/>
    <cellStyle name="Input [yellow] 3 14 3 2 2" xfId="12057"/>
    <cellStyle name="Input [yellow] 3 14 3 2 3" xfId="23225"/>
    <cellStyle name="Input [yellow] 3 14 3 2 4" xfId="34390"/>
    <cellStyle name="Input [yellow] 3 14 3 2 5" xfId="45583"/>
    <cellStyle name="Input [yellow] 3 14 3 20" xfId="11411"/>
    <cellStyle name="Input [yellow] 3 14 3 21" xfId="22581"/>
    <cellStyle name="Input [yellow] 3 14 3 22" xfId="33748"/>
    <cellStyle name="Input [yellow] 3 14 3 23" xfId="44934"/>
    <cellStyle name="Input [yellow] 3 14 3 3" xfId="1614"/>
    <cellStyle name="Input [yellow] 3 14 3 3 2" xfId="12811"/>
    <cellStyle name="Input [yellow] 3 14 3 3 3" xfId="23979"/>
    <cellStyle name="Input [yellow] 3 14 3 3 4" xfId="35144"/>
    <cellStyle name="Input [yellow] 3 14 3 3 5" xfId="46337"/>
    <cellStyle name="Input [yellow] 3 14 3 4" xfId="2137"/>
    <cellStyle name="Input [yellow] 3 14 3 4 2" xfId="13334"/>
    <cellStyle name="Input [yellow] 3 14 3 4 3" xfId="24502"/>
    <cellStyle name="Input [yellow] 3 14 3 4 4" xfId="35667"/>
    <cellStyle name="Input [yellow] 3 14 3 4 5" xfId="46860"/>
    <cellStyle name="Input [yellow] 3 14 3 5" xfId="2311"/>
    <cellStyle name="Input [yellow] 3 14 3 5 2" xfId="13508"/>
    <cellStyle name="Input [yellow] 3 14 3 5 3" xfId="24676"/>
    <cellStyle name="Input [yellow] 3 14 3 5 4" xfId="35841"/>
    <cellStyle name="Input [yellow] 3 14 3 5 5" xfId="47034"/>
    <cellStyle name="Input [yellow] 3 14 3 6" xfId="3195"/>
    <cellStyle name="Input [yellow] 3 14 3 6 2" xfId="14392"/>
    <cellStyle name="Input [yellow] 3 14 3 6 3" xfId="25560"/>
    <cellStyle name="Input [yellow] 3 14 3 6 4" xfId="36725"/>
    <cellStyle name="Input [yellow] 3 14 3 6 5" xfId="47918"/>
    <cellStyle name="Input [yellow] 3 14 3 7" xfId="3829"/>
    <cellStyle name="Input [yellow] 3 14 3 7 2" xfId="15026"/>
    <cellStyle name="Input [yellow] 3 14 3 7 3" xfId="26194"/>
    <cellStyle name="Input [yellow] 3 14 3 7 4" xfId="37359"/>
    <cellStyle name="Input [yellow] 3 14 3 7 5" xfId="48552"/>
    <cellStyle name="Input [yellow] 3 14 3 8" xfId="4462"/>
    <cellStyle name="Input [yellow] 3 14 3 8 2" xfId="15659"/>
    <cellStyle name="Input [yellow] 3 14 3 8 3" xfId="26827"/>
    <cellStyle name="Input [yellow] 3 14 3 8 4" xfId="37992"/>
    <cellStyle name="Input [yellow] 3 14 3 8 5" xfId="49185"/>
    <cellStyle name="Input [yellow] 3 14 3 9" xfId="5093"/>
    <cellStyle name="Input [yellow] 3 14 3 9 2" xfId="16290"/>
    <cellStyle name="Input [yellow] 3 14 3 9 3" xfId="27458"/>
    <cellStyle name="Input [yellow] 3 14 3 9 4" xfId="38623"/>
    <cellStyle name="Input [yellow] 3 14 3 9 5" xfId="49816"/>
    <cellStyle name="Input [yellow] 3 14 30" xfId="11292"/>
    <cellStyle name="Input [yellow] 3 14 31" xfId="22462"/>
    <cellStyle name="Input [yellow] 3 14 32" xfId="33629"/>
    <cellStyle name="Input [yellow] 3 14 33" xfId="44815"/>
    <cellStyle name="Input [yellow] 3 14 4" xfId="283"/>
    <cellStyle name="Input [yellow] 3 14 4 10" xfId="5853"/>
    <cellStyle name="Input [yellow] 3 14 4 10 2" xfId="17050"/>
    <cellStyle name="Input [yellow] 3 14 4 10 3" xfId="28218"/>
    <cellStyle name="Input [yellow] 3 14 4 10 4" xfId="39383"/>
    <cellStyle name="Input [yellow] 3 14 4 10 5" xfId="50576"/>
    <cellStyle name="Input [yellow] 3 14 4 11" xfId="6219"/>
    <cellStyle name="Input [yellow] 3 14 4 11 2" xfId="17416"/>
    <cellStyle name="Input [yellow] 3 14 4 11 3" xfId="28584"/>
    <cellStyle name="Input [yellow] 3 14 4 11 4" xfId="39749"/>
    <cellStyle name="Input [yellow] 3 14 4 11 5" xfId="50942"/>
    <cellStyle name="Input [yellow] 3 14 4 12" xfId="6852"/>
    <cellStyle name="Input [yellow] 3 14 4 12 2" xfId="18049"/>
    <cellStyle name="Input [yellow] 3 14 4 12 3" xfId="29217"/>
    <cellStyle name="Input [yellow] 3 14 4 12 4" xfId="40382"/>
    <cellStyle name="Input [yellow] 3 14 4 12 5" xfId="51575"/>
    <cellStyle name="Input [yellow] 3 14 4 13" xfId="7486"/>
    <cellStyle name="Input [yellow] 3 14 4 13 2" xfId="18683"/>
    <cellStyle name="Input [yellow] 3 14 4 13 3" xfId="29851"/>
    <cellStyle name="Input [yellow] 3 14 4 13 4" xfId="41016"/>
    <cellStyle name="Input [yellow] 3 14 4 13 5" xfId="52209"/>
    <cellStyle name="Input [yellow] 3 14 4 14" xfId="8120"/>
    <cellStyle name="Input [yellow] 3 14 4 14 2" xfId="19317"/>
    <cellStyle name="Input [yellow] 3 14 4 14 3" xfId="30485"/>
    <cellStyle name="Input [yellow] 3 14 4 14 4" xfId="41650"/>
    <cellStyle name="Input [yellow] 3 14 4 14 5" xfId="52843"/>
    <cellStyle name="Input [yellow] 3 14 4 15" xfId="8749"/>
    <cellStyle name="Input [yellow] 3 14 4 15 2" xfId="19946"/>
    <cellStyle name="Input [yellow] 3 14 4 15 3" xfId="31114"/>
    <cellStyle name="Input [yellow] 3 14 4 15 4" xfId="42279"/>
    <cellStyle name="Input [yellow] 3 14 4 15 5" xfId="53472"/>
    <cellStyle name="Input [yellow] 3 14 4 16" xfId="9171"/>
    <cellStyle name="Input [yellow] 3 14 4 16 2" xfId="20368"/>
    <cellStyle name="Input [yellow] 3 14 4 16 3" xfId="31536"/>
    <cellStyle name="Input [yellow] 3 14 4 16 4" xfId="42701"/>
    <cellStyle name="Input [yellow] 3 14 4 16 5" xfId="53894"/>
    <cellStyle name="Input [yellow] 3 14 4 17" xfId="9798"/>
    <cellStyle name="Input [yellow] 3 14 4 17 2" xfId="20995"/>
    <cellStyle name="Input [yellow] 3 14 4 17 3" xfId="32163"/>
    <cellStyle name="Input [yellow] 3 14 4 17 4" xfId="43328"/>
    <cellStyle name="Input [yellow] 3 14 4 17 5" xfId="54521"/>
    <cellStyle name="Input [yellow] 3 14 4 18" xfId="10455"/>
    <cellStyle name="Input [yellow] 3 14 4 18 2" xfId="21652"/>
    <cellStyle name="Input [yellow] 3 14 4 18 3" xfId="32820"/>
    <cellStyle name="Input [yellow] 3 14 4 18 4" xfId="43985"/>
    <cellStyle name="Input [yellow] 3 14 4 18 5" xfId="55178"/>
    <cellStyle name="Input [yellow] 3 14 4 19" xfId="10836"/>
    <cellStyle name="Input [yellow] 3 14 4 19 2" xfId="22033"/>
    <cellStyle name="Input [yellow] 3 14 4 19 3" xfId="33201"/>
    <cellStyle name="Input [yellow] 3 14 4 19 4" xfId="44366"/>
    <cellStyle name="Input [yellow] 3 14 4 19 5" xfId="55559"/>
    <cellStyle name="Input [yellow] 3 14 4 2" xfId="932"/>
    <cellStyle name="Input [yellow] 3 14 4 2 2" xfId="12129"/>
    <cellStyle name="Input [yellow] 3 14 4 2 3" xfId="23297"/>
    <cellStyle name="Input [yellow] 3 14 4 2 4" xfId="34462"/>
    <cellStyle name="Input [yellow] 3 14 4 2 5" xfId="45655"/>
    <cellStyle name="Input [yellow] 3 14 4 20" xfId="11483"/>
    <cellStyle name="Input [yellow] 3 14 4 21" xfId="22653"/>
    <cellStyle name="Input [yellow] 3 14 4 22" xfId="33820"/>
    <cellStyle name="Input [yellow] 3 14 4 23" xfId="45006"/>
    <cellStyle name="Input [yellow] 3 14 4 3" xfId="1801"/>
    <cellStyle name="Input [yellow] 3 14 4 3 2" xfId="12998"/>
    <cellStyle name="Input [yellow] 3 14 4 3 3" xfId="24166"/>
    <cellStyle name="Input [yellow] 3 14 4 3 4" xfId="35331"/>
    <cellStyle name="Input [yellow] 3 14 4 3 5" xfId="46524"/>
    <cellStyle name="Input [yellow] 3 14 4 4" xfId="2208"/>
    <cellStyle name="Input [yellow] 3 14 4 4 2" xfId="13405"/>
    <cellStyle name="Input [yellow] 3 14 4 4 3" xfId="24573"/>
    <cellStyle name="Input [yellow] 3 14 4 4 4" xfId="35738"/>
    <cellStyle name="Input [yellow] 3 14 4 4 5" xfId="46931"/>
    <cellStyle name="Input [yellow] 3 14 4 5" xfId="2633"/>
    <cellStyle name="Input [yellow] 3 14 4 5 2" xfId="13830"/>
    <cellStyle name="Input [yellow] 3 14 4 5 3" xfId="24998"/>
    <cellStyle name="Input [yellow] 3 14 4 5 4" xfId="36163"/>
    <cellStyle name="Input [yellow] 3 14 4 5 5" xfId="47356"/>
    <cellStyle name="Input [yellow] 3 14 4 6" xfId="3267"/>
    <cellStyle name="Input [yellow] 3 14 4 6 2" xfId="14464"/>
    <cellStyle name="Input [yellow] 3 14 4 6 3" xfId="25632"/>
    <cellStyle name="Input [yellow] 3 14 4 6 4" xfId="36797"/>
    <cellStyle name="Input [yellow] 3 14 4 6 5" xfId="47990"/>
    <cellStyle name="Input [yellow] 3 14 4 7" xfId="3901"/>
    <cellStyle name="Input [yellow] 3 14 4 7 2" xfId="15098"/>
    <cellStyle name="Input [yellow] 3 14 4 7 3" xfId="26266"/>
    <cellStyle name="Input [yellow] 3 14 4 7 4" xfId="37431"/>
    <cellStyle name="Input [yellow] 3 14 4 7 5" xfId="48624"/>
    <cellStyle name="Input [yellow] 3 14 4 8" xfId="4534"/>
    <cellStyle name="Input [yellow] 3 14 4 8 2" xfId="15731"/>
    <cellStyle name="Input [yellow] 3 14 4 8 3" xfId="26899"/>
    <cellStyle name="Input [yellow] 3 14 4 8 4" xfId="38064"/>
    <cellStyle name="Input [yellow] 3 14 4 8 5" xfId="49257"/>
    <cellStyle name="Input [yellow] 3 14 4 9" xfId="5165"/>
    <cellStyle name="Input [yellow] 3 14 4 9 2" xfId="16362"/>
    <cellStyle name="Input [yellow] 3 14 4 9 3" xfId="27530"/>
    <cellStyle name="Input [yellow] 3 14 4 9 4" xfId="38695"/>
    <cellStyle name="Input [yellow] 3 14 4 9 5" xfId="49888"/>
    <cellStyle name="Input [yellow] 3 14 5" xfId="319"/>
    <cellStyle name="Input [yellow] 3 14 5 10" xfId="5927"/>
    <cellStyle name="Input [yellow] 3 14 5 10 2" xfId="17124"/>
    <cellStyle name="Input [yellow] 3 14 5 10 3" xfId="28292"/>
    <cellStyle name="Input [yellow] 3 14 5 10 4" xfId="39457"/>
    <cellStyle name="Input [yellow] 3 14 5 10 5" xfId="50650"/>
    <cellStyle name="Input [yellow] 3 14 5 11" xfId="6255"/>
    <cellStyle name="Input [yellow] 3 14 5 11 2" xfId="17452"/>
    <cellStyle name="Input [yellow] 3 14 5 11 3" xfId="28620"/>
    <cellStyle name="Input [yellow] 3 14 5 11 4" xfId="39785"/>
    <cellStyle name="Input [yellow] 3 14 5 11 5" xfId="50978"/>
    <cellStyle name="Input [yellow] 3 14 5 12" xfId="6888"/>
    <cellStyle name="Input [yellow] 3 14 5 12 2" xfId="18085"/>
    <cellStyle name="Input [yellow] 3 14 5 12 3" xfId="29253"/>
    <cellStyle name="Input [yellow] 3 14 5 12 4" xfId="40418"/>
    <cellStyle name="Input [yellow] 3 14 5 12 5" xfId="51611"/>
    <cellStyle name="Input [yellow] 3 14 5 13" xfId="7522"/>
    <cellStyle name="Input [yellow] 3 14 5 13 2" xfId="18719"/>
    <cellStyle name="Input [yellow] 3 14 5 13 3" xfId="29887"/>
    <cellStyle name="Input [yellow] 3 14 5 13 4" xfId="41052"/>
    <cellStyle name="Input [yellow] 3 14 5 13 5" xfId="52245"/>
    <cellStyle name="Input [yellow] 3 14 5 14" xfId="8156"/>
    <cellStyle name="Input [yellow] 3 14 5 14 2" xfId="19353"/>
    <cellStyle name="Input [yellow] 3 14 5 14 3" xfId="30521"/>
    <cellStyle name="Input [yellow] 3 14 5 14 4" xfId="41686"/>
    <cellStyle name="Input [yellow] 3 14 5 14 5" xfId="52879"/>
    <cellStyle name="Input [yellow] 3 14 5 15" xfId="8785"/>
    <cellStyle name="Input [yellow] 3 14 5 15 2" xfId="19982"/>
    <cellStyle name="Input [yellow] 3 14 5 15 3" xfId="31150"/>
    <cellStyle name="Input [yellow] 3 14 5 15 4" xfId="42315"/>
    <cellStyle name="Input [yellow] 3 14 5 15 5" xfId="53508"/>
    <cellStyle name="Input [yellow] 3 14 5 16" xfId="9207"/>
    <cellStyle name="Input [yellow] 3 14 5 16 2" xfId="20404"/>
    <cellStyle name="Input [yellow] 3 14 5 16 3" xfId="31572"/>
    <cellStyle name="Input [yellow] 3 14 5 16 4" xfId="42737"/>
    <cellStyle name="Input [yellow] 3 14 5 16 5" xfId="53930"/>
    <cellStyle name="Input [yellow] 3 14 5 17" xfId="9834"/>
    <cellStyle name="Input [yellow] 3 14 5 17 2" xfId="21031"/>
    <cellStyle name="Input [yellow] 3 14 5 17 3" xfId="32199"/>
    <cellStyle name="Input [yellow] 3 14 5 17 4" xfId="43364"/>
    <cellStyle name="Input [yellow] 3 14 5 17 5" xfId="54557"/>
    <cellStyle name="Input [yellow] 3 14 5 18" xfId="10040"/>
    <cellStyle name="Input [yellow] 3 14 5 18 2" xfId="21237"/>
    <cellStyle name="Input [yellow] 3 14 5 18 3" xfId="32405"/>
    <cellStyle name="Input [yellow] 3 14 5 18 4" xfId="43570"/>
    <cellStyle name="Input [yellow] 3 14 5 18 5" xfId="54763"/>
    <cellStyle name="Input [yellow] 3 14 5 19" xfId="10872"/>
    <cellStyle name="Input [yellow] 3 14 5 19 2" xfId="22069"/>
    <cellStyle name="Input [yellow] 3 14 5 19 3" xfId="33237"/>
    <cellStyle name="Input [yellow] 3 14 5 19 4" xfId="44402"/>
    <cellStyle name="Input [yellow] 3 14 5 19 5" xfId="55595"/>
    <cellStyle name="Input [yellow] 3 14 5 2" xfId="968"/>
    <cellStyle name="Input [yellow] 3 14 5 2 2" xfId="12165"/>
    <cellStyle name="Input [yellow] 3 14 5 2 3" xfId="23333"/>
    <cellStyle name="Input [yellow] 3 14 5 2 4" xfId="34498"/>
    <cellStyle name="Input [yellow] 3 14 5 2 5" xfId="45691"/>
    <cellStyle name="Input [yellow] 3 14 5 20" xfId="11519"/>
    <cellStyle name="Input [yellow] 3 14 5 21" xfId="22689"/>
    <cellStyle name="Input [yellow] 3 14 5 22" xfId="33856"/>
    <cellStyle name="Input [yellow] 3 14 5 23" xfId="45042"/>
    <cellStyle name="Input [yellow] 3 14 5 3" xfId="1857"/>
    <cellStyle name="Input [yellow] 3 14 5 3 2" xfId="13054"/>
    <cellStyle name="Input [yellow] 3 14 5 3 3" xfId="24222"/>
    <cellStyle name="Input [yellow] 3 14 5 3 4" xfId="35387"/>
    <cellStyle name="Input [yellow] 3 14 5 3 5" xfId="46580"/>
    <cellStyle name="Input [yellow] 3 14 5 4" xfId="2244"/>
    <cellStyle name="Input [yellow] 3 14 5 4 2" xfId="13441"/>
    <cellStyle name="Input [yellow] 3 14 5 4 3" xfId="24609"/>
    <cellStyle name="Input [yellow] 3 14 5 4 4" xfId="35774"/>
    <cellStyle name="Input [yellow] 3 14 5 4 5" xfId="46967"/>
    <cellStyle name="Input [yellow] 3 14 5 5" xfId="2669"/>
    <cellStyle name="Input [yellow] 3 14 5 5 2" xfId="13866"/>
    <cellStyle name="Input [yellow] 3 14 5 5 3" xfId="25034"/>
    <cellStyle name="Input [yellow] 3 14 5 5 4" xfId="36199"/>
    <cellStyle name="Input [yellow] 3 14 5 5 5" xfId="47392"/>
    <cellStyle name="Input [yellow] 3 14 5 6" xfId="3303"/>
    <cellStyle name="Input [yellow] 3 14 5 6 2" xfId="14500"/>
    <cellStyle name="Input [yellow] 3 14 5 6 3" xfId="25668"/>
    <cellStyle name="Input [yellow] 3 14 5 6 4" xfId="36833"/>
    <cellStyle name="Input [yellow] 3 14 5 6 5" xfId="48026"/>
    <cellStyle name="Input [yellow] 3 14 5 7" xfId="3937"/>
    <cellStyle name="Input [yellow] 3 14 5 7 2" xfId="15134"/>
    <cellStyle name="Input [yellow] 3 14 5 7 3" xfId="26302"/>
    <cellStyle name="Input [yellow] 3 14 5 7 4" xfId="37467"/>
    <cellStyle name="Input [yellow] 3 14 5 7 5" xfId="48660"/>
    <cellStyle name="Input [yellow] 3 14 5 8" xfId="4570"/>
    <cellStyle name="Input [yellow] 3 14 5 8 2" xfId="15767"/>
    <cellStyle name="Input [yellow] 3 14 5 8 3" xfId="26935"/>
    <cellStyle name="Input [yellow] 3 14 5 8 4" xfId="38100"/>
    <cellStyle name="Input [yellow] 3 14 5 8 5" xfId="49293"/>
    <cellStyle name="Input [yellow] 3 14 5 9" xfId="5201"/>
    <cellStyle name="Input [yellow] 3 14 5 9 2" xfId="16398"/>
    <cellStyle name="Input [yellow] 3 14 5 9 3" xfId="27566"/>
    <cellStyle name="Input [yellow] 3 14 5 9 4" xfId="38731"/>
    <cellStyle name="Input [yellow] 3 14 5 9 5" xfId="49924"/>
    <cellStyle name="Input [yellow] 3 14 6" xfId="392"/>
    <cellStyle name="Input [yellow] 3 14 6 10" xfId="5662"/>
    <cellStyle name="Input [yellow] 3 14 6 10 2" xfId="16859"/>
    <cellStyle name="Input [yellow] 3 14 6 10 3" xfId="28027"/>
    <cellStyle name="Input [yellow] 3 14 6 10 4" xfId="39192"/>
    <cellStyle name="Input [yellow] 3 14 6 10 5" xfId="50385"/>
    <cellStyle name="Input [yellow] 3 14 6 11" xfId="6328"/>
    <cellStyle name="Input [yellow] 3 14 6 11 2" xfId="17525"/>
    <cellStyle name="Input [yellow] 3 14 6 11 3" xfId="28693"/>
    <cellStyle name="Input [yellow] 3 14 6 11 4" xfId="39858"/>
    <cellStyle name="Input [yellow] 3 14 6 11 5" xfId="51051"/>
    <cellStyle name="Input [yellow] 3 14 6 12" xfId="6961"/>
    <cellStyle name="Input [yellow] 3 14 6 12 2" xfId="18158"/>
    <cellStyle name="Input [yellow] 3 14 6 12 3" xfId="29326"/>
    <cellStyle name="Input [yellow] 3 14 6 12 4" xfId="40491"/>
    <cellStyle name="Input [yellow] 3 14 6 12 5" xfId="51684"/>
    <cellStyle name="Input [yellow] 3 14 6 13" xfId="7595"/>
    <cellStyle name="Input [yellow] 3 14 6 13 2" xfId="18792"/>
    <cellStyle name="Input [yellow] 3 14 6 13 3" xfId="29960"/>
    <cellStyle name="Input [yellow] 3 14 6 13 4" xfId="41125"/>
    <cellStyle name="Input [yellow] 3 14 6 13 5" xfId="52318"/>
    <cellStyle name="Input [yellow] 3 14 6 14" xfId="8229"/>
    <cellStyle name="Input [yellow] 3 14 6 14 2" xfId="19426"/>
    <cellStyle name="Input [yellow] 3 14 6 14 3" xfId="30594"/>
    <cellStyle name="Input [yellow] 3 14 6 14 4" xfId="41759"/>
    <cellStyle name="Input [yellow] 3 14 6 14 5" xfId="52952"/>
    <cellStyle name="Input [yellow] 3 14 6 15" xfId="8857"/>
    <cellStyle name="Input [yellow] 3 14 6 15 2" xfId="20054"/>
    <cellStyle name="Input [yellow] 3 14 6 15 3" xfId="31222"/>
    <cellStyle name="Input [yellow] 3 14 6 15 4" xfId="42387"/>
    <cellStyle name="Input [yellow] 3 14 6 15 5" xfId="53580"/>
    <cellStyle name="Input [yellow] 3 14 6 16" xfId="9280"/>
    <cellStyle name="Input [yellow] 3 14 6 16 2" xfId="20477"/>
    <cellStyle name="Input [yellow] 3 14 6 16 3" xfId="31645"/>
    <cellStyle name="Input [yellow] 3 14 6 16 4" xfId="42810"/>
    <cellStyle name="Input [yellow] 3 14 6 16 5" xfId="54003"/>
    <cellStyle name="Input [yellow] 3 14 6 17" xfId="9906"/>
    <cellStyle name="Input [yellow] 3 14 6 17 2" xfId="21103"/>
    <cellStyle name="Input [yellow] 3 14 6 17 3" xfId="32271"/>
    <cellStyle name="Input [yellow] 3 14 6 17 4" xfId="43436"/>
    <cellStyle name="Input [yellow] 3 14 6 17 5" xfId="54629"/>
    <cellStyle name="Input [yellow] 3 14 6 18" xfId="9963"/>
    <cellStyle name="Input [yellow] 3 14 6 18 2" xfId="21160"/>
    <cellStyle name="Input [yellow] 3 14 6 18 3" xfId="32328"/>
    <cellStyle name="Input [yellow] 3 14 6 18 4" xfId="43493"/>
    <cellStyle name="Input [yellow] 3 14 6 18 5" xfId="54686"/>
    <cellStyle name="Input [yellow] 3 14 6 19" xfId="10945"/>
    <cellStyle name="Input [yellow] 3 14 6 19 2" xfId="22142"/>
    <cellStyle name="Input [yellow] 3 14 6 19 3" xfId="33310"/>
    <cellStyle name="Input [yellow] 3 14 6 19 4" xfId="44475"/>
    <cellStyle name="Input [yellow] 3 14 6 19 5" xfId="55668"/>
    <cellStyle name="Input [yellow] 3 14 6 2" xfId="1041"/>
    <cellStyle name="Input [yellow] 3 14 6 2 2" xfId="12238"/>
    <cellStyle name="Input [yellow] 3 14 6 2 3" xfId="23406"/>
    <cellStyle name="Input [yellow] 3 14 6 2 4" xfId="34571"/>
    <cellStyle name="Input [yellow] 3 14 6 2 5" xfId="45764"/>
    <cellStyle name="Input [yellow] 3 14 6 20" xfId="11592"/>
    <cellStyle name="Input [yellow] 3 14 6 21" xfId="22762"/>
    <cellStyle name="Input [yellow] 3 14 6 22" xfId="33929"/>
    <cellStyle name="Input [yellow] 3 14 6 23" xfId="45115"/>
    <cellStyle name="Input [yellow] 3 14 6 3" xfId="1445"/>
    <cellStyle name="Input [yellow] 3 14 6 3 2" xfId="12642"/>
    <cellStyle name="Input [yellow] 3 14 6 3 3" xfId="23810"/>
    <cellStyle name="Input [yellow] 3 14 6 3 4" xfId="34975"/>
    <cellStyle name="Input [yellow] 3 14 6 3 5" xfId="46168"/>
    <cellStyle name="Input [yellow] 3 14 6 4" xfId="2317"/>
    <cellStyle name="Input [yellow] 3 14 6 4 2" xfId="13514"/>
    <cellStyle name="Input [yellow] 3 14 6 4 3" xfId="24682"/>
    <cellStyle name="Input [yellow] 3 14 6 4 4" xfId="35847"/>
    <cellStyle name="Input [yellow] 3 14 6 4 5" xfId="47040"/>
    <cellStyle name="Input [yellow] 3 14 6 5" xfId="2742"/>
    <cellStyle name="Input [yellow] 3 14 6 5 2" xfId="13939"/>
    <cellStyle name="Input [yellow] 3 14 6 5 3" xfId="25107"/>
    <cellStyle name="Input [yellow] 3 14 6 5 4" xfId="36272"/>
    <cellStyle name="Input [yellow] 3 14 6 5 5" xfId="47465"/>
    <cellStyle name="Input [yellow] 3 14 6 6" xfId="3376"/>
    <cellStyle name="Input [yellow] 3 14 6 6 2" xfId="14573"/>
    <cellStyle name="Input [yellow] 3 14 6 6 3" xfId="25741"/>
    <cellStyle name="Input [yellow] 3 14 6 6 4" xfId="36906"/>
    <cellStyle name="Input [yellow] 3 14 6 6 5" xfId="48099"/>
    <cellStyle name="Input [yellow] 3 14 6 7" xfId="4010"/>
    <cellStyle name="Input [yellow] 3 14 6 7 2" xfId="15207"/>
    <cellStyle name="Input [yellow] 3 14 6 7 3" xfId="26375"/>
    <cellStyle name="Input [yellow] 3 14 6 7 4" xfId="37540"/>
    <cellStyle name="Input [yellow] 3 14 6 7 5" xfId="48733"/>
    <cellStyle name="Input [yellow] 3 14 6 8" xfId="4643"/>
    <cellStyle name="Input [yellow] 3 14 6 8 2" xfId="15840"/>
    <cellStyle name="Input [yellow] 3 14 6 8 3" xfId="27008"/>
    <cellStyle name="Input [yellow] 3 14 6 8 4" xfId="38173"/>
    <cellStyle name="Input [yellow] 3 14 6 8 5" xfId="49366"/>
    <cellStyle name="Input [yellow] 3 14 6 9" xfId="5274"/>
    <cellStyle name="Input [yellow] 3 14 6 9 2" xfId="16471"/>
    <cellStyle name="Input [yellow] 3 14 6 9 3" xfId="27639"/>
    <cellStyle name="Input [yellow] 3 14 6 9 4" xfId="38804"/>
    <cellStyle name="Input [yellow] 3 14 6 9 5" xfId="49997"/>
    <cellStyle name="Input [yellow] 3 14 7" xfId="444"/>
    <cellStyle name="Input [yellow] 3 14 7 10" xfId="5758"/>
    <cellStyle name="Input [yellow] 3 14 7 10 2" xfId="16955"/>
    <cellStyle name="Input [yellow] 3 14 7 10 3" xfId="28123"/>
    <cellStyle name="Input [yellow] 3 14 7 10 4" xfId="39288"/>
    <cellStyle name="Input [yellow] 3 14 7 10 5" xfId="50481"/>
    <cellStyle name="Input [yellow] 3 14 7 11" xfId="6380"/>
    <cellStyle name="Input [yellow] 3 14 7 11 2" xfId="17577"/>
    <cellStyle name="Input [yellow] 3 14 7 11 3" xfId="28745"/>
    <cellStyle name="Input [yellow] 3 14 7 11 4" xfId="39910"/>
    <cellStyle name="Input [yellow] 3 14 7 11 5" xfId="51103"/>
    <cellStyle name="Input [yellow] 3 14 7 12" xfId="7013"/>
    <cellStyle name="Input [yellow] 3 14 7 12 2" xfId="18210"/>
    <cellStyle name="Input [yellow] 3 14 7 12 3" xfId="29378"/>
    <cellStyle name="Input [yellow] 3 14 7 12 4" xfId="40543"/>
    <cellStyle name="Input [yellow] 3 14 7 12 5" xfId="51736"/>
    <cellStyle name="Input [yellow] 3 14 7 13" xfId="7647"/>
    <cellStyle name="Input [yellow] 3 14 7 13 2" xfId="18844"/>
    <cellStyle name="Input [yellow] 3 14 7 13 3" xfId="30012"/>
    <cellStyle name="Input [yellow] 3 14 7 13 4" xfId="41177"/>
    <cellStyle name="Input [yellow] 3 14 7 13 5" xfId="52370"/>
    <cellStyle name="Input [yellow] 3 14 7 14" xfId="8281"/>
    <cellStyle name="Input [yellow] 3 14 7 14 2" xfId="19478"/>
    <cellStyle name="Input [yellow] 3 14 7 14 3" xfId="30646"/>
    <cellStyle name="Input [yellow] 3 14 7 14 4" xfId="41811"/>
    <cellStyle name="Input [yellow] 3 14 7 14 5" xfId="53004"/>
    <cellStyle name="Input [yellow] 3 14 7 15" xfId="8909"/>
    <cellStyle name="Input [yellow] 3 14 7 15 2" xfId="20106"/>
    <cellStyle name="Input [yellow] 3 14 7 15 3" xfId="31274"/>
    <cellStyle name="Input [yellow] 3 14 7 15 4" xfId="42439"/>
    <cellStyle name="Input [yellow] 3 14 7 15 5" xfId="53632"/>
    <cellStyle name="Input [yellow] 3 14 7 16" xfId="9332"/>
    <cellStyle name="Input [yellow] 3 14 7 16 2" xfId="20529"/>
    <cellStyle name="Input [yellow] 3 14 7 16 3" xfId="31697"/>
    <cellStyle name="Input [yellow] 3 14 7 16 4" xfId="42862"/>
    <cellStyle name="Input [yellow] 3 14 7 16 5" xfId="54055"/>
    <cellStyle name="Input [yellow] 3 14 7 17" xfId="9958"/>
    <cellStyle name="Input [yellow] 3 14 7 17 2" xfId="21155"/>
    <cellStyle name="Input [yellow] 3 14 7 17 3" xfId="32323"/>
    <cellStyle name="Input [yellow] 3 14 7 17 4" xfId="43488"/>
    <cellStyle name="Input [yellow] 3 14 7 17 5" xfId="54681"/>
    <cellStyle name="Input [yellow] 3 14 7 18" xfId="10310"/>
    <cellStyle name="Input [yellow] 3 14 7 18 2" xfId="21507"/>
    <cellStyle name="Input [yellow] 3 14 7 18 3" xfId="32675"/>
    <cellStyle name="Input [yellow] 3 14 7 18 4" xfId="43840"/>
    <cellStyle name="Input [yellow] 3 14 7 18 5" xfId="55033"/>
    <cellStyle name="Input [yellow] 3 14 7 19" xfId="10997"/>
    <cellStyle name="Input [yellow] 3 14 7 19 2" xfId="22194"/>
    <cellStyle name="Input [yellow] 3 14 7 19 3" xfId="33362"/>
    <cellStyle name="Input [yellow] 3 14 7 19 4" xfId="44527"/>
    <cellStyle name="Input [yellow] 3 14 7 19 5" xfId="55720"/>
    <cellStyle name="Input [yellow] 3 14 7 2" xfId="1093"/>
    <cellStyle name="Input [yellow] 3 14 7 2 2" xfId="12290"/>
    <cellStyle name="Input [yellow] 3 14 7 2 3" xfId="23458"/>
    <cellStyle name="Input [yellow] 3 14 7 2 4" xfId="34623"/>
    <cellStyle name="Input [yellow] 3 14 7 2 5" xfId="45816"/>
    <cellStyle name="Input [yellow] 3 14 7 20" xfId="11644"/>
    <cellStyle name="Input [yellow] 3 14 7 21" xfId="22814"/>
    <cellStyle name="Input [yellow] 3 14 7 22" xfId="33981"/>
    <cellStyle name="Input [yellow] 3 14 7 23" xfId="45167"/>
    <cellStyle name="Input [yellow] 3 14 7 3" xfId="1597"/>
    <cellStyle name="Input [yellow] 3 14 7 3 2" xfId="12794"/>
    <cellStyle name="Input [yellow] 3 14 7 3 3" xfId="23962"/>
    <cellStyle name="Input [yellow] 3 14 7 3 4" xfId="35127"/>
    <cellStyle name="Input [yellow] 3 14 7 3 5" xfId="46320"/>
    <cellStyle name="Input [yellow] 3 14 7 4" xfId="2369"/>
    <cellStyle name="Input [yellow] 3 14 7 4 2" xfId="13566"/>
    <cellStyle name="Input [yellow] 3 14 7 4 3" xfId="24734"/>
    <cellStyle name="Input [yellow] 3 14 7 4 4" xfId="35899"/>
    <cellStyle name="Input [yellow] 3 14 7 4 5" xfId="47092"/>
    <cellStyle name="Input [yellow] 3 14 7 5" xfId="2794"/>
    <cellStyle name="Input [yellow] 3 14 7 5 2" xfId="13991"/>
    <cellStyle name="Input [yellow] 3 14 7 5 3" xfId="25159"/>
    <cellStyle name="Input [yellow] 3 14 7 5 4" xfId="36324"/>
    <cellStyle name="Input [yellow] 3 14 7 5 5" xfId="47517"/>
    <cellStyle name="Input [yellow] 3 14 7 6" xfId="3428"/>
    <cellStyle name="Input [yellow] 3 14 7 6 2" xfId="14625"/>
    <cellStyle name="Input [yellow] 3 14 7 6 3" xfId="25793"/>
    <cellStyle name="Input [yellow] 3 14 7 6 4" xfId="36958"/>
    <cellStyle name="Input [yellow] 3 14 7 6 5" xfId="48151"/>
    <cellStyle name="Input [yellow] 3 14 7 7" xfId="4062"/>
    <cellStyle name="Input [yellow] 3 14 7 7 2" xfId="15259"/>
    <cellStyle name="Input [yellow] 3 14 7 7 3" xfId="26427"/>
    <cellStyle name="Input [yellow] 3 14 7 7 4" xfId="37592"/>
    <cellStyle name="Input [yellow] 3 14 7 7 5" xfId="48785"/>
    <cellStyle name="Input [yellow] 3 14 7 8" xfId="4695"/>
    <cellStyle name="Input [yellow] 3 14 7 8 2" xfId="15892"/>
    <cellStyle name="Input [yellow] 3 14 7 8 3" xfId="27060"/>
    <cellStyle name="Input [yellow] 3 14 7 8 4" xfId="38225"/>
    <cellStyle name="Input [yellow] 3 14 7 8 5" xfId="49418"/>
    <cellStyle name="Input [yellow] 3 14 7 9" xfId="5326"/>
    <cellStyle name="Input [yellow] 3 14 7 9 2" xfId="16523"/>
    <cellStyle name="Input [yellow] 3 14 7 9 3" xfId="27691"/>
    <cellStyle name="Input [yellow] 3 14 7 9 4" xfId="38856"/>
    <cellStyle name="Input [yellow] 3 14 7 9 5" xfId="50049"/>
    <cellStyle name="Input [yellow] 3 14 8" xfId="501"/>
    <cellStyle name="Input [yellow] 3 14 8 10" xfId="5788"/>
    <cellStyle name="Input [yellow] 3 14 8 10 2" xfId="16985"/>
    <cellStyle name="Input [yellow] 3 14 8 10 3" xfId="28153"/>
    <cellStyle name="Input [yellow] 3 14 8 10 4" xfId="39318"/>
    <cellStyle name="Input [yellow] 3 14 8 10 5" xfId="50511"/>
    <cellStyle name="Input [yellow] 3 14 8 11" xfId="6437"/>
    <cellStyle name="Input [yellow] 3 14 8 11 2" xfId="17634"/>
    <cellStyle name="Input [yellow] 3 14 8 11 3" xfId="28802"/>
    <cellStyle name="Input [yellow] 3 14 8 11 4" xfId="39967"/>
    <cellStyle name="Input [yellow] 3 14 8 11 5" xfId="51160"/>
    <cellStyle name="Input [yellow] 3 14 8 12" xfId="7070"/>
    <cellStyle name="Input [yellow] 3 14 8 12 2" xfId="18267"/>
    <cellStyle name="Input [yellow] 3 14 8 12 3" xfId="29435"/>
    <cellStyle name="Input [yellow] 3 14 8 12 4" xfId="40600"/>
    <cellStyle name="Input [yellow] 3 14 8 12 5" xfId="51793"/>
    <cellStyle name="Input [yellow] 3 14 8 13" xfId="7704"/>
    <cellStyle name="Input [yellow] 3 14 8 13 2" xfId="18901"/>
    <cellStyle name="Input [yellow] 3 14 8 13 3" xfId="30069"/>
    <cellStyle name="Input [yellow] 3 14 8 13 4" xfId="41234"/>
    <cellStyle name="Input [yellow] 3 14 8 13 5" xfId="52427"/>
    <cellStyle name="Input [yellow] 3 14 8 14" xfId="8338"/>
    <cellStyle name="Input [yellow] 3 14 8 14 2" xfId="19535"/>
    <cellStyle name="Input [yellow] 3 14 8 14 3" xfId="30703"/>
    <cellStyle name="Input [yellow] 3 14 8 14 4" xfId="41868"/>
    <cellStyle name="Input [yellow] 3 14 8 14 5" xfId="53061"/>
    <cellStyle name="Input [yellow] 3 14 8 15" xfId="8966"/>
    <cellStyle name="Input [yellow] 3 14 8 15 2" xfId="20163"/>
    <cellStyle name="Input [yellow] 3 14 8 15 3" xfId="31331"/>
    <cellStyle name="Input [yellow] 3 14 8 15 4" xfId="42496"/>
    <cellStyle name="Input [yellow] 3 14 8 15 5" xfId="53689"/>
    <cellStyle name="Input [yellow] 3 14 8 16" xfId="9389"/>
    <cellStyle name="Input [yellow] 3 14 8 16 2" xfId="20586"/>
    <cellStyle name="Input [yellow] 3 14 8 16 3" xfId="31754"/>
    <cellStyle name="Input [yellow] 3 14 8 16 4" xfId="42919"/>
    <cellStyle name="Input [yellow] 3 14 8 16 5" xfId="54112"/>
    <cellStyle name="Input [yellow] 3 14 8 17" xfId="10014"/>
    <cellStyle name="Input [yellow] 3 14 8 17 2" xfId="21211"/>
    <cellStyle name="Input [yellow] 3 14 8 17 3" xfId="32379"/>
    <cellStyle name="Input [yellow] 3 14 8 17 4" xfId="43544"/>
    <cellStyle name="Input [yellow] 3 14 8 17 5" xfId="54737"/>
    <cellStyle name="Input [yellow] 3 14 8 18" xfId="10466"/>
    <cellStyle name="Input [yellow] 3 14 8 18 2" xfId="21663"/>
    <cellStyle name="Input [yellow] 3 14 8 18 3" xfId="32831"/>
    <cellStyle name="Input [yellow] 3 14 8 18 4" xfId="43996"/>
    <cellStyle name="Input [yellow] 3 14 8 18 5" xfId="55189"/>
    <cellStyle name="Input [yellow] 3 14 8 19" xfId="11054"/>
    <cellStyle name="Input [yellow] 3 14 8 19 2" xfId="22251"/>
    <cellStyle name="Input [yellow] 3 14 8 19 3" xfId="33419"/>
    <cellStyle name="Input [yellow] 3 14 8 19 4" xfId="44584"/>
    <cellStyle name="Input [yellow] 3 14 8 19 5" xfId="55777"/>
    <cellStyle name="Input [yellow] 3 14 8 2" xfId="1150"/>
    <cellStyle name="Input [yellow] 3 14 8 2 2" xfId="12347"/>
    <cellStyle name="Input [yellow] 3 14 8 2 3" xfId="23515"/>
    <cellStyle name="Input [yellow] 3 14 8 2 4" xfId="34680"/>
    <cellStyle name="Input [yellow] 3 14 8 2 5" xfId="45873"/>
    <cellStyle name="Input [yellow] 3 14 8 20" xfId="11701"/>
    <cellStyle name="Input [yellow] 3 14 8 21" xfId="22871"/>
    <cellStyle name="Input [yellow] 3 14 8 22" xfId="34038"/>
    <cellStyle name="Input [yellow] 3 14 8 23" xfId="45224"/>
    <cellStyle name="Input [yellow] 3 14 8 3" xfId="1762"/>
    <cellStyle name="Input [yellow] 3 14 8 3 2" xfId="12959"/>
    <cellStyle name="Input [yellow] 3 14 8 3 3" xfId="24127"/>
    <cellStyle name="Input [yellow] 3 14 8 3 4" xfId="35292"/>
    <cellStyle name="Input [yellow] 3 14 8 3 5" xfId="46485"/>
    <cellStyle name="Input [yellow] 3 14 8 4" xfId="2426"/>
    <cellStyle name="Input [yellow] 3 14 8 4 2" xfId="13623"/>
    <cellStyle name="Input [yellow] 3 14 8 4 3" xfId="24791"/>
    <cellStyle name="Input [yellow] 3 14 8 4 4" xfId="35956"/>
    <cellStyle name="Input [yellow] 3 14 8 4 5" xfId="47149"/>
    <cellStyle name="Input [yellow] 3 14 8 5" xfId="2851"/>
    <cellStyle name="Input [yellow] 3 14 8 5 2" xfId="14048"/>
    <cellStyle name="Input [yellow] 3 14 8 5 3" xfId="25216"/>
    <cellStyle name="Input [yellow] 3 14 8 5 4" xfId="36381"/>
    <cellStyle name="Input [yellow] 3 14 8 5 5" xfId="47574"/>
    <cellStyle name="Input [yellow] 3 14 8 6" xfId="3485"/>
    <cellStyle name="Input [yellow] 3 14 8 6 2" xfId="14682"/>
    <cellStyle name="Input [yellow] 3 14 8 6 3" xfId="25850"/>
    <cellStyle name="Input [yellow] 3 14 8 6 4" xfId="37015"/>
    <cellStyle name="Input [yellow] 3 14 8 6 5" xfId="48208"/>
    <cellStyle name="Input [yellow] 3 14 8 7" xfId="4119"/>
    <cellStyle name="Input [yellow] 3 14 8 7 2" xfId="15316"/>
    <cellStyle name="Input [yellow] 3 14 8 7 3" xfId="26484"/>
    <cellStyle name="Input [yellow] 3 14 8 7 4" xfId="37649"/>
    <cellStyle name="Input [yellow] 3 14 8 7 5" xfId="48842"/>
    <cellStyle name="Input [yellow] 3 14 8 8" xfId="4752"/>
    <cellStyle name="Input [yellow] 3 14 8 8 2" xfId="15949"/>
    <cellStyle name="Input [yellow] 3 14 8 8 3" xfId="27117"/>
    <cellStyle name="Input [yellow] 3 14 8 8 4" xfId="38282"/>
    <cellStyle name="Input [yellow] 3 14 8 8 5" xfId="49475"/>
    <cellStyle name="Input [yellow] 3 14 8 9" xfId="5383"/>
    <cellStyle name="Input [yellow] 3 14 8 9 2" xfId="16580"/>
    <cellStyle name="Input [yellow] 3 14 8 9 3" xfId="27748"/>
    <cellStyle name="Input [yellow] 3 14 8 9 4" xfId="38913"/>
    <cellStyle name="Input [yellow] 3 14 8 9 5" xfId="50106"/>
    <cellStyle name="Input [yellow] 3 14 9" xfId="559"/>
    <cellStyle name="Input [yellow] 3 14 9 10" xfId="5822"/>
    <cellStyle name="Input [yellow] 3 14 9 10 2" xfId="17019"/>
    <cellStyle name="Input [yellow] 3 14 9 10 3" xfId="28187"/>
    <cellStyle name="Input [yellow] 3 14 9 10 4" xfId="39352"/>
    <cellStyle name="Input [yellow] 3 14 9 10 5" xfId="50545"/>
    <cellStyle name="Input [yellow] 3 14 9 11" xfId="6495"/>
    <cellStyle name="Input [yellow] 3 14 9 11 2" xfId="17692"/>
    <cellStyle name="Input [yellow] 3 14 9 11 3" xfId="28860"/>
    <cellStyle name="Input [yellow] 3 14 9 11 4" xfId="40025"/>
    <cellStyle name="Input [yellow] 3 14 9 11 5" xfId="51218"/>
    <cellStyle name="Input [yellow] 3 14 9 12" xfId="7128"/>
    <cellStyle name="Input [yellow] 3 14 9 12 2" xfId="18325"/>
    <cellStyle name="Input [yellow] 3 14 9 12 3" xfId="29493"/>
    <cellStyle name="Input [yellow] 3 14 9 12 4" xfId="40658"/>
    <cellStyle name="Input [yellow] 3 14 9 12 5" xfId="51851"/>
    <cellStyle name="Input [yellow] 3 14 9 13" xfId="7762"/>
    <cellStyle name="Input [yellow] 3 14 9 13 2" xfId="18959"/>
    <cellStyle name="Input [yellow] 3 14 9 13 3" xfId="30127"/>
    <cellStyle name="Input [yellow] 3 14 9 13 4" xfId="41292"/>
    <cellStyle name="Input [yellow] 3 14 9 13 5" xfId="52485"/>
    <cellStyle name="Input [yellow] 3 14 9 14" xfId="8396"/>
    <cellStyle name="Input [yellow] 3 14 9 14 2" xfId="19593"/>
    <cellStyle name="Input [yellow] 3 14 9 14 3" xfId="30761"/>
    <cellStyle name="Input [yellow] 3 14 9 14 4" xfId="41926"/>
    <cellStyle name="Input [yellow] 3 14 9 14 5" xfId="53119"/>
    <cellStyle name="Input [yellow] 3 14 9 15" xfId="9024"/>
    <cellStyle name="Input [yellow] 3 14 9 15 2" xfId="20221"/>
    <cellStyle name="Input [yellow] 3 14 9 15 3" xfId="31389"/>
    <cellStyle name="Input [yellow] 3 14 9 15 4" xfId="42554"/>
    <cellStyle name="Input [yellow] 3 14 9 15 5" xfId="53747"/>
    <cellStyle name="Input [yellow] 3 14 9 16" xfId="9447"/>
    <cellStyle name="Input [yellow] 3 14 9 16 2" xfId="20644"/>
    <cellStyle name="Input [yellow] 3 14 9 16 3" xfId="31812"/>
    <cellStyle name="Input [yellow] 3 14 9 16 4" xfId="42977"/>
    <cellStyle name="Input [yellow] 3 14 9 16 5" xfId="54170"/>
    <cellStyle name="Input [yellow] 3 14 9 17" xfId="10072"/>
    <cellStyle name="Input [yellow] 3 14 9 17 2" xfId="21269"/>
    <cellStyle name="Input [yellow] 3 14 9 17 3" xfId="32437"/>
    <cellStyle name="Input [yellow] 3 14 9 17 4" xfId="43602"/>
    <cellStyle name="Input [yellow] 3 14 9 17 5" xfId="54795"/>
    <cellStyle name="Input [yellow] 3 14 9 18" xfId="10363"/>
    <cellStyle name="Input [yellow] 3 14 9 18 2" xfId="21560"/>
    <cellStyle name="Input [yellow] 3 14 9 18 3" xfId="32728"/>
    <cellStyle name="Input [yellow] 3 14 9 18 4" xfId="43893"/>
    <cellStyle name="Input [yellow] 3 14 9 18 5" xfId="55086"/>
    <cellStyle name="Input [yellow] 3 14 9 19" xfId="11112"/>
    <cellStyle name="Input [yellow] 3 14 9 19 2" xfId="22309"/>
    <cellStyle name="Input [yellow] 3 14 9 19 3" xfId="33477"/>
    <cellStyle name="Input [yellow] 3 14 9 19 4" xfId="44642"/>
    <cellStyle name="Input [yellow] 3 14 9 19 5" xfId="55835"/>
    <cellStyle name="Input [yellow] 3 14 9 2" xfId="1208"/>
    <cellStyle name="Input [yellow] 3 14 9 2 2" xfId="12405"/>
    <cellStyle name="Input [yellow] 3 14 9 2 3" xfId="23573"/>
    <cellStyle name="Input [yellow] 3 14 9 2 4" xfId="34738"/>
    <cellStyle name="Input [yellow] 3 14 9 2 5" xfId="45931"/>
    <cellStyle name="Input [yellow] 3 14 9 20" xfId="11759"/>
    <cellStyle name="Input [yellow] 3 14 9 21" xfId="22929"/>
    <cellStyle name="Input [yellow] 3 14 9 22" xfId="34096"/>
    <cellStyle name="Input [yellow] 3 14 9 23" xfId="45282"/>
    <cellStyle name="Input [yellow] 3 14 9 3" xfId="1734"/>
    <cellStyle name="Input [yellow] 3 14 9 3 2" xfId="12931"/>
    <cellStyle name="Input [yellow] 3 14 9 3 3" xfId="24099"/>
    <cellStyle name="Input [yellow] 3 14 9 3 4" xfId="35264"/>
    <cellStyle name="Input [yellow] 3 14 9 3 5" xfId="46457"/>
    <cellStyle name="Input [yellow] 3 14 9 4" xfId="2484"/>
    <cellStyle name="Input [yellow] 3 14 9 4 2" xfId="13681"/>
    <cellStyle name="Input [yellow] 3 14 9 4 3" xfId="24849"/>
    <cellStyle name="Input [yellow] 3 14 9 4 4" xfId="36014"/>
    <cellStyle name="Input [yellow] 3 14 9 4 5" xfId="47207"/>
    <cellStyle name="Input [yellow] 3 14 9 5" xfId="2909"/>
    <cellStyle name="Input [yellow] 3 14 9 5 2" xfId="14106"/>
    <cellStyle name="Input [yellow] 3 14 9 5 3" xfId="25274"/>
    <cellStyle name="Input [yellow] 3 14 9 5 4" xfId="36439"/>
    <cellStyle name="Input [yellow] 3 14 9 5 5" xfId="47632"/>
    <cellStyle name="Input [yellow] 3 14 9 6" xfId="3543"/>
    <cellStyle name="Input [yellow] 3 14 9 6 2" xfId="14740"/>
    <cellStyle name="Input [yellow] 3 14 9 6 3" xfId="25908"/>
    <cellStyle name="Input [yellow] 3 14 9 6 4" xfId="37073"/>
    <cellStyle name="Input [yellow] 3 14 9 6 5" xfId="48266"/>
    <cellStyle name="Input [yellow] 3 14 9 7" xfId="4177"/>
    <cellStyle name="Input [yellow] 3 14 9 7 2" xfId="15374"/>
    <cellStyle name="Input [yellow] 3 14 9 7 3" xfId="26542"/>
    <cellStyle name="Input [yellow] 3 14 9 7 4" xfId="37707"/>
    <cellStyle name="Input [yellow] 3 14 9 7 5" xfId="48900"/>
    <cellStyle name="Input [yellow] 3 14 9 8" xfId="4810"/>
    <cellStyle name="Input [yellow] 3 14 9 8 2" xfId="16007"/>
    <cellStyle name="Input [yellow] 3 14 9 8 3" xfId="27175"/>
    <cellStyle name="Input [yellow] 3 14 9 8 4" xfId="38340"/>
    <cellStyle name="Input [yellow] 3 14 9 8 5" xfId="49533"/>
    <cellStyle name="Input [yellow] 3 14 9 9" xfId="5441"/>
    <cellStyle name="Input [yellow] 3 14 9 9 2" xfId="16638"/>
    <cellStyle name="Input [yellow] 3 14 9 9 3" xfId="27806"/>
    <cellStyle name="Input [yellow] 3 14 9 9 4" xfId="38971"/>
    <cellStyle name="Input [yellow] 3 14 9 9 5" xfId="50164"/>
    <cellStyle name="Input [yellow] 3 15" xfId="95"/>
    <cellStyle name="Input [yellow] 3 15 10" xfId="435"/>
    <cellStyle name="Input [yellow] 3 15 10 10" xfId="3668"/>
    <cellStyle name="Input [yellow] 3 15 10 10 2" xfId="14865"/>
    <cellStyle name="Input [yellow] 3 15 10 10 3" xfId="26033"/>
    <cellStyle name="Input [yellow] 3 15 10 10 4" xfId="37198"/>
    <cellStyle name="Input [yellow] 3 15 10 10 5" xfId="48391"/>
    <cellStyle name="Input [yellow] 3 15 10 11" xfId="6371"/>
    <cellStyle name="Input [yellow] 3 15 10 11 2" xfId="17568"/>
    <cellStyle name="Input [yellow] 3 15 10 11 3" xfId="28736"/>
    <cellStyle name="Input [yellow] 3 15 10 11 4" xfId="39901"/>
    <cellStyle name="Input [yellow] 3 15 10 11 5" xfId="51094"/>
    <cellStyle name="Input [yellow] 3 15 10 12" xfId="7004"/>
    <cellStyle name="Input [yellow] 3 15 10 12 2" xfId="18201"/>
    <cellStyle name="Input [yellow] 3 15 10 12 3" xfId="29369"/>
    <cellStyle name="Input [yellow] 3 15 10 12 4" xfId="40534"/>
    <cellStyle name="Input [yellow] 3 15 10 12 5" xfId="51727"/>
    <cellStyle name="Input [yellow] 3 15 10 13" xfId="7638"/>
    <cellStyle name="Input [yellow] 3 15 10 13 2" xfId="18835"/>
    <cellStyle name="Input [yellow] 3 15 10 13 3" xfId="30003"/>
    <cellStyle name="Input [yellow] 3 15 10 13 4" xfId="41168"/>
    <cellStyle name="Input [yellow] 3 15 10 13 5" xfId="52361"/>
    <cellStyle name="Input [yellow] 3 15 10 14" xfId="8272"/>
    <cellStyle name="Input [yellow] 3 15 10 14 2" xfId="19469"/>
    <cellStyle name="Input [yellow] 3 15 10 14 3" xfId="30637"/>
    <cellStyle name="Input [yellow] 3 15 10 14 4" xfId="41802"/>
    <cellStyle name="Input [yellow] 3 15 10 14 5" xfId="52995"/>
    <cellStyle name="Input [yellow] 3 15 10 15" xfId="8900"/>
    <cellStyle name="Input [yellow] 3 15 10 15 2" xfId="20097"/>
    <cellStyle name="Input [yellow] 3 15 10 15 3" xfId="31265"/>
    <cellStyle name="Input [yellow] 3 15 10 15 4" xfId="42430"/>
    <cellStyle name="Input [yellow] 3 15 10 15 5" xfId="53623"/>
    <cellStyle name="Input [yellow] 3 15 10 16" xfId="9323"/>
    <cellStyle name="Input [yellow] 3 15 10 16 2" xfId="20520"/>
    <cellStyle name="Input [yellow] 3 15 10 16 3" xfId="31688"/>
    <cellStyle name="Input [yellow] 3 15 10 16 4" xfId="42853"/>
    <cellStyle name="Input [yellow] 3 15 10 16 5" xfId="54046"/>
    <cellStyle name="Input [yellow] 3 15 10 17" xfId="9949"/>
    <cellStyle name="Input [yellow] 3 15 10 17 2" xfId="21146"/>
    <cellStyle name="Input [yellow] 3 15 10 17 3" xfId="32314"/>
    <cellStyle name="Input [yellow] 3 15 10 17 4" xfId="43479"/>
    <cellStyle name="Input [yellow] 3 15 10 17 5" xfId="54672"/>
    <cellStyle name="Input [yellow] 3 15 10 18" xfId="7251"/>
    <cellStyle name="Input [yellow] 3 15 10 18 2" xfId="18448"/>
    <cellStyle name="Input [yellow] 3 15 10 18 3" xfId="29616"/>
    <cellStyle name="Input [yellow] 3 15 10 18 4" xfId="40781"/>
    <cellStyle name="Input [yellow] 3 15 10 18 5" xfId="51974"/>
    <cellStyle name="Input [yellow] 3 15 10 19" xfId="10988"/>
    <cellStyle name="Input [yellow] 3 15 10 19 2" xfId="22185"/>
    <cellStyle name="Input [yellow] 3 15 10 19 3" xfId="33353"/>
    <cellStyle name="Input [yellow] 3 15 10 19 4" xfId="44518"/>
    <cellStyle name="Input [yellow] 3 15 10 19 5" xfId="55711"/>
    <cellStyle name="Input [yellow] 3 15 10 2" xfId="1084"/>
    <cellStyle name="Input [yellow] 3 15 10 2 2" xfId="12281"/>
    <cellStyle name="Input [yellow] 3 15 10 2 3" xfId="23449"/>
    <cellStyle name="Input [yellow] 3 15 10 2 4" xfId="34614"/>
    <cellStyle name="Input [yellow] 3 15 10 2 5" xfId="45807"/>
    <cellStyle name="Input [yellow] 3 15 10 20" xfId="11635"/>
    <cellStyle name="Input [yellow] 3 15 10 21" xfId="22805"/>
    <cellStyle name="Input [yellow] 3 15 10 22" xfId="33972"/>
    <cellStyle name="Input [yellow] 3 15 10 23" xfId="45158"/>
    <cellStyle name="Input [yellow] 3 15 10 3" xfId="1489"/>
    <cellStyle name="Input [yellow] 3 15 10 3 2" xfId="12686"/>
    <cellStyle name="Input [yellow] 3 15 10 3 3" xfId="23854"/>
    <cellStyle name="Input [yellow] 3 15 10 3 4" xfId="35019"/>
    <cellStyle name="Input [yellow] 3 15 10 3 5" xfId="46212"/>
    <cellStyle name="Input [yellow] 3 15 10 4" xfId="2360"/>
    <cellStyle name="Input [yellow] 3 15 10 4 2" xfId="13557"/>
    <cellStyle name="Input [yellow] 3 15 10 4 3" xfId="24725"/>
    <cellStyle name="Input [yellow] 3 15 10 4 4" xfId="35890"/>
    <cellStyle name="Input [yellow] 3 15 10 4 5" xfId="47083"/>
    <cellStyle name="Input [yellow] 3 15 10 5" xfId="2785"/>
    <cellStyle name="Input [yellow] 3 15 10 5 2" xfId="13982"/>
    <cellStyle name="Input [yellow] 3 15 10 5 3" xfId="25150"/>
    <cellStyle name="Input [yellow] 3 15 10 5 4" xfId="36315"/>
    <cellStyle name="Input [yellow] 3 15 10 5 5" xfId="47508"/>
    <cellStyle name="Input [yellow] 3 15 10 6" xfId="3419"/>
    <cellStyle name="Input [yellow] 3 15 10 6 2" xfId="14616"/>
    <cellStyle name="Input [yellow] 3 15 10 6 3" xfId="25784"/>
    <cellStyle name="Input [yellow] 3 15 10 6 4" xfId="36949"/>
    <cellStyle name="Input [yellow] 3 15 10 6 5" xfId="48142"/>
    <cellStyle name="Input [yellow] 3 15 10 7" xfId="4053"/>
    <cellStyle name="Input [yellow] 3 15 10 7 2" xfId="15250"/>
    <cellStyle name="Input [yellow] 3 15 10 7 3" xfId="26418"/>
    <cellStyle name="Input [yellow] 3 15 10 7 4" xfId="37583"/>
    <cellStyle name="Input [yellow] 3 15 10 7 5" xfId="48776"/>
    <cellStyle name="Input [yellow] 3 15 10 8" xfId="4686"/>
    <cellStyle name="Input [yellow] 3 15 10 8 2" xfId="15883"/>
    <cellStyle name="Input [yellow] 3 15 10 8 3" xfId="27051"/>
    <cellStyle name="Input [yellow] 3 15 10 8 4" xfId="38216"/>
    <cellStyle name="Input [yellow] 3 15 10 8 5" xfId="49409"/>
    <cellStyle name="Input [yellow] 3 15 10 9" xfId="5317"/>
    <cellStyle name="Input [yellow] 3 15 10 9 2" xfId="16514"/>
    <cellStyle name="Input [yellow] 3 15 10 9 3" xfId="27682"/>
    <cellStyle name="Input [yellow] 3 15 10 9 4" xfId="38847"/>
    <cellStyle name="Input [yellow] 3 15 10 9 5" xfId="50040"/>
    <cellStyle name="Input [yellow] 3 15 11" xfId="668"/>
    <cellStyle name="Input [yellow] 3 15 11 10" xfId="5567"/>
    <cellStyle name="Input [yellow] 3 15 11 10 2" xfId="16764"/>
    <cellStyle name="Input [yellow] 3 15 11 10 3" xfId="27932"/>
    <cellStyle name="Input [yellow] 3 15 11 10 4" xfId="39097"/>
    <cellStyle name="Input [yellow] 3 15 11 10 5" xfId="50290"/>
    <cellStyle name="Input [yellow] 3 15 11 11" xfId="6604"/>
    <cellStyle name="Input [yellow] 3 15 11 11 2" xfId="17801"/>
    <cellStyle name="Input [yellow] 3 15 11 11 3" xfId="28969"/>
    <cellStyle name="Input [yellow] 3 15 11 11 4" xfId="40134"/>
    <cellStyle name="Input [yellow] 3 15 11 11 5" xfId="51327"/>
    <cellStyle name="Input [yellow] 3 15 11 12" xfId="7237"/>
    <cellStyle name="Input [yellow] 3 15 11 12 2" xfId="18434"/>
    <cellStyle name="Input [yellow] 3 15 11 12 3" xfId="29602"/>
    <cellStyle name="Input [yellow] 3 15 11 12 4" xfId="40767"/>
    <cellStyle name="Input [yellow] 3 15 11 12 5" xfId="51960"/>
    <cellStyle name="Input [yellow] 3 15 11 13" xfId="7871"/>
    <cellStyle name="Input [yellow] 3 15 11 13 2" xfId="19068"/>
    <cellStyle name="Input [yellow] 3 15 11 13 3" xfId="30236"/>
    <cellStyle name="Input [yellow] 3 15 11 13 4" xfId="41401"/>
    <cellStyle name="Input [yellow] 3 15 11 13 5" xfId="52594"/>
    <cellStyle name="Input [yellow] 3 15 11 14" xfId="8505"/>
    <cellStyle name="Input [yellow] 3 15 11 14 2" xfId="19702"/>
    <cellStyle name="Input [yellow] 3 15 11 14 3" xfId="30870"/>
    <cellStyle name="Input [yellow] 3 15 11 14 4" xfId="42035"/>
    <cellStyle name="Input [yellow] 3 15 11 14 5" xfId="53228"/>
    <cellStyle name="Input [yellow] 3 15 11 15" xfId="9133"/>
    <cellStyle name="Input [yellow] 3 15 11 15 2" xfId="20330"/>
    <cellStyle name="Input [yellow] 3 15 11 15 3" xfId="31498"/>
    <cellStyle name="Input [yellow] 3 15 11 15 4" xfId="42663"/>
    <cellStyle name="Input [yellow] 3 15 11 15 5" xfId="53856"/>
    <cellStyle name="Input [yellow] 3 15 11 16" xfId="9556"/>
    <cellStyle name="Input [yellow] 3 15 11 16 2" xfId="20753"/>
    <cellStyle name="Input [yellow] 3 15 11 16 3" xfId="31921"/>
    <cellStyle name="Input [yellow] 3 15 11 16 4" xfId="43086"/>
    <cellStyle name="Input [yellow] 3 15 11 16 5" xfId="54279"/>
    <cellStyle name="Input [yellow] 3 15 11 17" xfId="10180"/>
    <cellStyle name="Input [yellow] 3 15 11 17 2" xfId="21377"/>
    <cellStyle name="Input [yellow] 3 15 11 17 3" xfId="32545"/>
    <cellStyle name="Input [yellow] 3 15 11 17 4" xfId="43710"/>
    <cellStyle name="Input [yellow] 3 15 11 17 5" xfId="54903"/>
    <cellStyle name="Input [yellow] 3 15 11 18" xfId="9572"/>
    <cellStyle name="Input [yellow] 3 15 11 18 2" xfId="20769"/>
    <cellStyle name="Input [yellow] 3 15 11 18 3" xfId="31937"/>
    <cellStyle name="Input [yellow] 3 15 11 18 4" xfId="43102"/>
    <cellStyle name="Input [yellow] 3 15 11 18 5" xfId="54295"/>
    <cellStyle name="Input [yellow] 3 15 11 19" xfId="11221"/>
    <cellStyle name="Input [yellow] 3 15 11 19 2" xfId="22418"/>
    <cellStyle name="Input [yellow] 3 15 11 19 3" xfId="33586"/>
    <cellStyle name="Input [yellow] 3 15 11 19 4" xfId="44751"/>
    <cellStyle name="Input [yellow] 3 15 11 19 5" xfId="55944"/>
    <cellStyle name="Input [yellow] 3 15 11 2" xfId="1317"/>
    <cellStyle name="Input [yellow] 3 15 11 2 2" xfId="12514"/>
    <cellStyle name="Input [yellow] 3 15 11 2 3" xfId="23682"/>
    <cellStyle name="Input [yellow] 3 15 11 2 4" xfId="34847"/>
    <cellStyle name="Input [yellow] 3 15 11 2 5" xfId="46040"/>
    <cellStyle name="Input [yellow] 3 15 11 20" xfId="11868"/>
    <cellStyle name="Input [yellow] 3 15 11 21" xfId="23038"/>
    <cellStyle name="Input [yellow] 3 15 11 22" xfId="34205"/>
    <cellStyle name="Input [yellow] 3 15 11 23" xfId="45391"/>
    <cellStyle name="Input [yellow] 3 15 11 3" xfId="678"/>
    <cellStyle name="Input [yellow] 3 15 11 3 2" xfId="11878"/>
    <cellStyle name="Input [yellow] 3 15 11 3 3" xfId="23048"/>
    <cellStyle name="Input [yellow] 3 15 11 3 4" xfId="34215"/>
    <cellStyle name="Input [yellow] 3 15 11 3 5" xfId="45401"/>
    <cellStyle name="Input [yellow] 3 15 11 4" xfId="2592"/>
    <cellStyle name="Input [yellow] 3 15 11 4 2" xfId="13789"/>
    <cellStyle name="Input [yellow] 3 15 11 4 3" xfId="24957"/>
    <cellStyle name="Input [yellow] 3 15 11 4 4" xfId="36122"/>
    <cellStyle name="Input [yellow] 3 15 11 4 5" xfId="47315"/>
    <cellStyle name="Input [yellow] 3 15 11 5" xfId="3018"/>
    <cellStyle name="Input [yellow] 3 15 11 5 2" xfId="14215"/>
    <cellStyle name="Input [yellow] 3 15 11 5 3" xfId="25383"/>
    <cellStyle name="Input [yellow] 3 15 11 5 4" xfId="36548"/>
    <cellStyle name="Input [yellow] 3 15 11 5 5" xfId="47741"/>
    <cellStyle name="Input [yellow] 3 15 11 6" xfId="3652"/>
    <cellStyle name="Input [yellow] 3 15 11 6 2" xfId="14849"/>
    <cellStyle name="Input [yellow] 3 15 11 6 3" xfId="26017"/>
    <cellStyle name="Input [yellow] 3 15 11 6 4" xfId="37182"/>
    <cellStyle name="Input [yellow] 3 15 11 6 5" xfId="48375"/>
    <cellStyle name="Input [yellow] 3 15 11 7" xfId="4286"/>
    <cellStyle name="Input [yellow] 3 15 11 7 2" xfId="15483"/>
    <cellStyle name="Input [yellow] 3 15 11 7 3" xfId="26651"/>
    <cellStyle name="Input [yellow] 3 15 11 7 4" xfId="37816"/>
    <cellStyle name="Input [yellow] 3 15 11 7 5" xfId="49009"/>
    <cellStyle name="Input [yellow] 3 15 11 8" xfId="4919"/>
    <cellStyle name="Input [yellow] 3 15 11 8 2" xfId="16116"/>
    <cellStyle name="Input [yellow] 3 15 11 8 3" xfId="27284"/>
    <cellStyle name="Input [yellow] 3 15 11 8 4" xfId="38449"/>
    <cellStyle name="Input [yellow] 3 15 11 8 5" xfId="49642"/>
    <cellStyle name="Input [yellow] 3 15 11 9" xfId="5550"/>
    <cellStyle name="Input [yellow] 3 15 11 9 2" xfId="16747"/>
    <cellStyle name="Input [yellow] 3 15 11 9 3" xfId="27915"/>
    <cellStyle name="Input [yellow] 3 15 11 9 4" xfId="39080"/>
    <cellStyle name="Input [yellow] 3 15 11 9 5" xfId="50273"/>
    <cellStyle name="Input [yellow] 3 15 12" xfId="744"/>
    <cellStyle name="Input [yellow] 3 15 12 2" xfId="11941"/>
    <cellStyle name="Input [yellow] 3 15 12 3" xfId="23109"/>
    <cellStyle name="Input [yellow] 3 15 12 4" xfId="34274"/>
    <cellStyle name="Input [yellow] 3 15 12 5" xfId="45467"/>
    <cellStyle name="Input [yellow] 3 15 13" xfId="1934"/>
    <cellStyle name="Input [yellow] 3 15 13 2" xfId="13131"/>
    <cellStyle name="Input [yellow] 3 15 13 3" xfId="24299"/>
    <cellStyle name="Input [yellow] 3 15 13 4" xfId="35464"/>
    <cellStyle name="Input [yellow] 3 15 13 5" xfId="46657"/>
    <cellStyle name="Input [yellow] 3 15 14" xfId="2021"/>
    <cellStyle name="Input [yellow] 3 15 14 2" xfId="13218"/>
    <cellStyle name="Input [yellow] 3 15 14 3" xfId="24386"/>
    <cellStyle name="Input [yellow] 3 15 14 4" xfId="35551"/>
    <cellStyle name="Input [yellow] 3 15 14 5" xfId="46744"/>
    <cellStyle name="Input [yellow] 3 15 15" xfId="2549"/>
    <cellStyle name="Input [yellow] 3 15 15 2" xfId="13746"/>
    <cellStyle name="Input [yellow] 3 15 15 3" xfId="24914"/>
    <cellStyle name="Input [yellow] 3 15 15 4" xfId="36079"/>
    <cellStyle name="Input [yellow] 3 15 15 5" xfId="47272"/>
    <cellStyle name="Input [yellow] 3 15 16" xfId="3079"/>
    <cellStyle name="Input [yellow] 3 15 16 2" xfId="14276"/>
    <cellStyle name="Input [yellow] 3 15 16 3" xfId="25444"/>
    <cellStyle name="Input [yellow] 3 15 16 4" xfId="36609"/>
    <cellStyle name="Input [yellow] 3 15 16 5" xfId="47802"/>
    <cellStyle name="Input [yellow] 3 15 17" xfId="3713"/>
    <cellStyle name="Input [yellow] 3 15 17 2" xfId="14910"/>
    <cellStyle name="Input [yellow] 3 15 17 3" xfId="26078"/>
    <cellStyle name="Input [yellow] 3 15 17 4" xfId="37243"/>
    <cellStyle name="Input [yellow] 3 15 17 5" xfId="48436"/>
    <cellStyle name="Input [yellow] 3 15 18" xfId="4346"/>
    <cellStyle name="Input [yellow] 3 15 18 2" xfId="15543"/>
    <cellStyle name="Input [yellow] 3 15 18 3" xfId="26711"/>
    <cellStyle name="Input [yellow] 3 15 18 4" xfId="37876"/>
    <cellStyle name="Input [yellow] 3 15 18 5" xfId="49069"/>
    <cellStyle name="Input [yellow] 3 15 19" xfId="4977"/>
    <cellStyle name="Input [yellow] 3 15 19 2" xfId="16174"/>
    <cellStyle name="Input [yellow] 3 15 19 3" xfId="27342"/>
    <cellStyle name="Input [yellow] 3 15 19 4" xfId="38507"/>
    <cellStyle name="Input [yellow] 3 15 19 5" xfId="49700"/>
    <cellStyle name="Input [yellow] 3 15 2" xfId="158"/>
    <cellStyle name="Input [yellow] 3 15 2 10" xfId="5832"/>
    <cellStyle name="Input [yellow] 3 15 2 10 2" xfId="17029"/>
    <cellStyle name="Input [yellow] 3 15 2 10 3" xfId="28197"/>
    <cellStyle name="Input [yellow] 3 15 2 10 4" xfId="39362"/>
    <cellStyle name="Input [yellow] 3 15 2 10 5" xfId="50555"/>
    <cellStyle name="Input [yellow] 3 15 2 11" xfId="5976"/>
    <cellStyle name="Input [yellow] 3 15 2 11 2" xfId="17173"/>
    <cellStyle name="Input [yellow] 3 15 2 11 3" xfId="28341"/>
    <cellStyle name="Input [yellow] 3 15 2 11 4" xfId="39506"/>
    <cellStyle name="Input [yellow] 3 15 2 11 5" xfId="50699"/>
    <cellStyle name="Input [yellow] 3 15 2 12" xfId="6727"/>
    <cellStyle name="Input [yellow] 3 15 2 12 2" xfId="17924"/>
    <cellStyle name="Input [yellow] 3 15 2 12 3" xfId="29092"/>
    <cellStyle name="Input [yellow] 3 15 2 12 4" xfId="40257"/>
    <cellStyle name="Input [yellow] 3 15 2 12 5" xfId="51450"/>
    <cellStyle name="Input [yellow] 3 15 2 13" xfId="7361"/>
    <cellStyle name="Input [yellow] 3 15 2 13 2" xfId="18558"/>
    <cellStyle name="Input [yellow] 3 15 2 13 3" xfId="29726"/>
    <cellStyle name="Input [yellow] 3 15 2 13 4" xfId="40891"/>
    <cellStyle name="Input [yellow] 3 15 2 13 5" xfId="52084"/>
    <cellStyle name="Input [yellow] 3 15 2 14" xfId="7995"/>
    <cellStyle name="Input [yellow] 3 15 2 14 2" xfId="19192"/>
    <cellStyle name="Input [yellow] 3 15 2 14 3" xfId="30360"/>
    <cellStyle name="Input [yellow] 3 15 2 14 4" xfId="41525"/>
    <cellStyle name="Input [yellow] 3 15 2 14 5" xfId="52718"/>
    <cellStyle name="Input [yellow] 3 15 2 15" xfId="8626"/>
    <cellStyle name="Input [yellow] 3 15 2 15 2" xfId="19823"/>
    <cellStyle name="Input [yellow] 3 15 2 15 3" xfId="30991"/>
    <cellStyle name="Input [yellow] 3 15 2 15 4" xfId="42156"/>
    <cellStyle name="Input [yellow] 3 15 2 15 5" xfId="53349"/>
    <cellStyle name="Input [yellow] 3 15 2 16" xfId="8835"/>
    <cellStyle name="Input [yellow] 3 15 2 16 2" xfId="20032"/>
    <cellStyle name="Input [yellow] 3 15 2 16 3" xfId="31200"/>
    <cellStyle name="Input [yellow] 3 15 2 16 4" xfId="42365"/>
    <cellStyle name="Input [yellow] 3 15 2 16 5" xfId="53558"/>
    <cellStyle name="Input [yellow] 3 15 2 17" xfId="9679"/>
    <cellStyle name="Input [yellow] 3 15 2 17 2" xfId="20876"/>
    <cellStyle name="Input [yellow] 3 15 2 17 3" xfId="32044"/>
    <cellStyle name="Input [yellow] 3 15 2 17 4" xfId="43209"/>
    <cellStyle name="Input [yellow] 3 15 2 17 5" xfId="54402"/>
    <cellStyle name="Input [yellow] 3 15 2 18" xfId="10190"/>
    <cellStyle name="Input [yellow] 3 15 2 18 2" xfId="21387"/>
    <cellStyle name="Input [yellow] 3 15 2 18 3" xfId="32555"/>
    <cellStyle name="Input [yellow] 3 15 2 18 4" xfId="43720"/>
    <cellStyle name="Input [yellow] 3 15 2 18 5" xfId="54913"/>
    <cellStyle name="Input [yellow] 3 15 2 19" xfId="10711"/>
    <cellStyle name="Input [yellow] 3 15 2 19 2" xfId="21908"/>
    <cellStyle name="Input [yellow] 3 15 2 19 3" xfId="33076"/>
    <cellStyle name="Input [yellow] 3 15 2 19 4" xfId="44241"/>
    <cellStyle name="Input [yellow] 3 15 2 19 5" xfId="55434"/>
    <cellStyle name="Input [yellow] 3 15 2 2" xfId="807"/>
    <cellStyle name="Input [yellow] 3 15 2 2 2" xfId="12004"/>
    <cellStyle name="Input [yellow] 3 15 2 2 3" xfId="23172"/>
    <cellStyle name="Input [yellow] 3 15 2 2 4" xfId="34337"/>
    <cellStyle name="Input [yellow] 3 15 2 2 5" xfId="45530"/>
    <cellStyle name="Input [yellow] 3 15 2 20" xfId="11358"/>
    <cellStyle name="Input [yellow] 3 15 2 21" xfId="22528"/>
    <cellStyle name="Input [yellow] 3 15 2 22" xfId="33695"/>
    <cellStyle name="Input [yellow] 3 15 2 23" xfId="44881"/>
    <cellStyle name="Input [yellow] 3 15 2 3" xfId="1505"/>
    <cellStyle name="Input [yellow] 3 15 2 3 2" xfId="12702"/>
    <cellStyle name="Input [yellow] 3 15 2 3 3" xfId="23870"/>
    <cellStyle name="Input [yellow] 3 15 2 3 4" xfId="35035"/>
    <cellStyle name="Input [yellow] 3 15 2 3 5" xfId="46228"/>
    <cellStyle name="Input [yellow] 3 15 2 4" xfId="2084"/>
    <cellStyle name="Input [yellow] 3 15 2 4 2" xfId="13281"/>
    <cellStyle name="Input [yellow] 3 15 2 4 3" xfId="24449"/>
    <cellStyle name="Input [yellow] 3 15 2 4 4" xfId="35614"/>
    <cellStyle name="Input [yellow] 3 15 2 4 5" xfId="46807"/>
    <cellStyle name="Input [yellow] 3 15 2 5" xfId="2210"/>
    <cellStyle name="Input [yellow] 3 15 2 5 2" xfId="13407"/>
    <cellStyle name="Input [yellow] 3 15 2 5 3" xfId="24575"/>
    <cellStyle name="Input [yellow] 3 15 2 5 4" xfId="35740"/>
    <cellStyle name="Input [yellow] 3 15 2 5 5" xfId="46933"/>
    <cellStyle name="Input [yellow] 3 15 2 6" xfId="3142"/>
    <cellStyle name="Input [yellow] 3 15 2 6 2" xfId="14339"/>
    <cellStyle name="Input [yellow] 3 15 2 6 3" xfId="25507"/>
    <cellStyle name="Input [yellow] 3 15 2 6 4" xfId="36672"/>
    <cellStyle name="Input [yellow] 3 15 2 6 5" xfId="47865"/>
    <cellStyle name="Input [yellow] 3 15 2 7" xfId="3776"/>
    <cellStyle name="Input [yellow] 3 15 2 7 2" xfId="14973"/>
    <cellStyle name="Input [yellow] 3 15 2 7 3" xfId="26141"/>
    <cellStyle name="Input [yellow] 3 15 2 7 4" xfId="37306"/>
    <cellStyle name="Input [yellow] 3 15 2 7 5" xfId="48499"/>
    <cellStyle name="Input [yellow] 3 15 2 8" xfId="4409"/>
    <cellStyle name="Input [yellow] 3 15 2 8 2" xfId="15606"/>
    <cellStyle name="Input [yellow] 3 15 2 8 3" xfId="26774"/>
    <cellStyle name="Input [yellow] 3 15 2 8 4" xfId="37939"/>
    <cellStyle name="Input [yellow] 3 15 2 8 5" xfId="49132"/>
    <cellStyle name="Input [yellow] 3 15 2 9" xfId="5040"/>
    <cellStyle name="Input [yellow] 3 15 2 9 2" xfId="16237"/>
    <cellStyle name="Input [yellow] 3 15 2 9 3" xfId="27405"/>
    <cellStyle name="Input [yellow] 3 15 2 9 4" xfId="38570"/>
    <cellStyle name="Input [yellow] 3 15 2 9 5" xfId="49763"/>
    <cellStyle name="Input [yellow] 3 15 20" xfId="5633"/>
    <cellStyle name="Input [yellow] 3 15 20 2" xfId="16830"/>
    <cellStyle name="Input [yellow] 3 15 20 3" xfId="27998"/>
    <cellStyle name="Input [yellow] 3 15 20 4" xfId="39163"/>
    <cellStyle name="Input [yellow] 3 15 20 5" xfId="50356"/>
    <cellStyle name="Input [yellow] 3 15 21" xfId="6091"/>
    <cellStyle name="Input [yellow] 3 15 21 2" xfId="17288"/>
    <cellStyle name="Input [yellow] 3 15 21 3" xfId="28456"/>
    <cellStyle name="Input [yellow] 3 15 21 4" xfId="39621"/>
    <cellStyle name="Input [yellow] 3 15 21 5" xfId="50814"/>
    <cellStyle name="Input [yellow] 3 15 22" xfId="6664"/>
    <cellStyle name="Input [yellow] 3 15 22 2" xfId="17861"/>
    <cellStyle name="Input [yellow] 3 15 22 3" xfId="29029"/>
    <cellStyle name="Input [yellow] 3 15 22 4" xfId="40194"/>
    <cellStyle name="Input [yellow] 3 15 22 5" xfId="51387"/>
    <cellStyle name="Input [yellow] 3 15 23" xfId="7298"/>
    <cellStyle name="Input [yellow] 3 15 23 2" xfId="18495"/>
    <cellStyle name="Input [yellow] 3 15 23 3" xfId="29663"/>
    <cellStyle name="Input [yellow] 3 15 23 4" xfId="40828"/>
    <cellStyle name="Input [yellow] 3 15 23 5" xfId="52021"/>
    <cellStyle name="Input [yellow] 3 15 24" xfId="7932"/>
    <cellStyle name="Input [yellow] 3 15 24 2" xfId="19129"/>
    <cellStyle name="Input [yellow] 3 15 24 3" xfId="30297"/>
    <cellStyle name="Input [yellow] 3 15 24 4" xfId="41462"/>
    <cellStyle name="Input [yellow] 3 15 24 5" xfId="52655"/>
    <cellStyle name="Input [yellow] 3 15 25" xfId="8563"/>
    <cellStyle name="Input [yellow] 3 15 25 2" xfId="19760"/>
    <cellStyle name="Input [yellow] 3 15 25 3" xfId="30928"/>
    <cellStyle name="Input [yellow] 3 15 25 4" xfId="42093"/>
    <cellStyle name="Input [yellow] 3 15 25 5" xfId="53286"/>
    <cellStyle name="Input [yellow] 3 15 26" xfId="8655"/>
    <cellStyle name="Input [yellow] 3 15 26 2" xfId="19852"/>
    <cellStyle name="Input [yellow] 3 15 26 3" xfId="31020"/>
    <cellStyle name="Input [yellow] 3 15 26 4" xfId="42185"/>
    <cellStyle name="Input [yellow] 3 15 26 5" xfId="53378"/>
    <cellStyle name="Input [yellow] 3 15 27" xfId="9616"/>
    <cellStyle name="Input [yellow] 3 15 27 2" xfId="20813"/>
    <cellStyle name="Input [yellow] 3 15 27 3" xfId="31981"/>
    <cellStyle name="Input [yellow] 3 15 27 4" xfId="43146"/>
    <cellStyle name="Input [yellow] 3 15 27 5" xfId="54339"/>
    <cellStyle name="Input [yellow] 3 15 28" xfId="9926"/>
    <cellStyle name="Input [yellow] 3 15 28 2" xfId="21123"/>
    <cellStyle name="Input [yellow] 3 15 28 3" xfId="32291"/>
    <cellStyle name="Input [yellow] 3 15 28 4" xfId="43456"/>
    <cellStyle name="Input [yellow] 3 15 28 5" xfId="54649"/>
    <cellStyle name="Input [yellow] 3 15 29" xfId="10648"/>
    <cellStyle name="Input [yellow] 3 15 29 2" xfId="21845"/>
    <cellStyle name="Input [yellow] 3 15 29 3" xfId="33013"/>
    <cellStyle name="Input [yellow] 3 15 29 4" xfId="44178"/>
    <cellStyle name="Input [yellow] 3 15 29 5" xfId="55371"/>
    <cellStyle name="Input [yellow] 3 15 3" xfId="214"/>
    <cellStyle name="Input [yellow] 3 15 3 10" xfId="5666"/>
    <cellStyle name="Input [yellow] 3 15 3 10 2" xfId="16863"/>
    <cellStyle name="Input [yellow] 3 15 3 10 3" xfId="28031"/>
    <cellStyle name="Input [yellow] 3 15 3 10 4" xfId="39196"/>
    <cellStyle name="Input [yellow] 3 15 3 10 5" xfId="50389"/>
    <cellStyle name="Input [yellow] 3 15 3 11" xfId="5605"/>
    <cellStyle name="Input [yellow] 3 15 3 11 2" xfId="16802"/>
    <cellStyle name="Input [yellow] 3 15 3 11 3" xfId="27970"/>
    <cellStyle name="Input [yellow] 3 15 3 11 4" xfId="39135"/>
    <cellStyle name="Input [yellow] 3 15 3 11 5" xfId="50328"/>
    <cellStyle name="Input [yellow] 3 15 3 12" xfId="6783"/>
    <cellStyle name="Input [yellow] 3 15 3 12 2" xfId="17980"/>
    <cellStyle name="Input [yellow] 3 15 3 12 3" xfId="29148"/>
    <cellStyle name="Input [yellow] 3 15 3 12 4" xfId="40313"/>
    <cellStyle name="Input [yellow] 3 15 3 12 5" xfId="51506"/>
    <cellStyle name="Input [yellow] 3 15 3 13" xfId="7417"/>
    <cellStyle name="Input [yellow] 3 15 3 13 2" xfId="18614"/>
    <cellStyle name="Input [yellow] 3 15 3 13 3" xfId="29782"/>
    <cellStyle name="Input [yellow] 3 15 3 13 4" xfId="40947"/>
    <cellStyle name="Input [yellow] 3 15 3 13 5" xfId="52140"/>
    <cellStyle name="Input [yellow] 3 15 3 14" xfId="8051"/>
    <cellStyle name="Input [yellow] 3 15 3 14 2" xfId="19248"/>
    <cellStyle name="Input [yellow] 3 15 3 14 3" xfId="30416"/>
    <cellStyle name="Input [yellow] 3 15 3 14 4" xfId="41581"/>
    <cellStyle name="Input [yellow] 3 15 3 14 5" xfId="52774"/>
    <cellStyle name="Input [yellow] 3 15 3 15" xfId="8682"/>
    <cellStyle name="Input [yellow] 3 15 3 15 2" xfId="19879"/>
    <cellStyle name="Input [yellow] 3 15 3 15 3" xfId="31047"/>
    <cellStyle name="Input [yellow] 3 15 3 15 4" xfId="42212"/>
    <cellStyle name="Input [yellow] 3 15 3 15 5" xfId="53405"/>
    <cellStyle name="Input [yellow] 3 15 3 16" xfId="8851"/>
    <cellStyle name="Input [yellow] 3 15 3 16 2" xfId="20048"/>
    <cellStyle name="Input [yellow] 3 15 3 16 3" xfId="31216"/>
    <cellStyle name="Input [yellow] 3 15 3 16 4" xfId="42381"/>
    <cellStyle name="Input [yellow] 3 15 3 16 5" xfId="53574"/>
    <cellStyle name="Input [yellow] 3 15 3 17" xfId="9733"/>
    <cellStyle name="Input [yellow] 3 15 3 17 2" xfId="20930"/>
    <cellStyle name="Input [yellow] 3 15 3 17 3" xfId="32098"/>
    <cellStyle name="Input [yellow] 3 15 3 17 4" xfId="43263"/>
    <cellStyle name="Input [yellow] 3 15 3 17 5" xfId="54456"/>
    <cellStyle name="Input [yellow] 3 15 3 18" xfId="9970"/>
    <cellStyle name="Input [yellow] 3 15 3 18 2" xfId="21167"/>
    <cellStyle name="Input [yellow] 3 15 3 18 3" xfId="32335"/>
    <cellStyle name="Input [yellow] 3 15 3 18 4" xfId="43500"/>
    <cellStyle name="Input [yellow] 3 15 3 18 5" xfId="54693"/>
    <cellStyle name="Input [yellow] 3 15 3 19" xfId="10767"/>
    <cellStyle name="Input [yellow] 3 15 3 19 2" xfId="21964"/>
    <cellStyle name="Input [yellow] 3 15 3 19 3" xfId="33132"/>
    <cellStyle name="Input [yellow] 3 15 3 19 4" xfId="44297"/>
    <cellStyle name="Input [yellow] 3 15 3 19 5" xfId="55490"/>
    <cellStyle name="Input [yellow] 3 15 3 2" xfId="863"/>
    <cellStyle name="Input [yellow] 3 15 3 2 2" xfId="12060"/>
    <cellStyle name="Input [yellow] 3 15 3 2 3" xfId="23228"/>
    <cellStyle name="Input [yellow] 3 15 3 2 4" xfId="34393"/>
    <cellStyle name="Input [yellow] 3 15 3 2 5" xfId="45586"/>
    <cellStyle name="Input [yellow] 3 15 3 20" xfId="11414"/>
    <cellStyle name="Input [yellow] 3 15 3 21" xfId="22584"/>
    <cellStyle name="Input [yellow] 3 15 3 22" xfId="33751"/>
    <cellStyle name="Input [yellow] 3 15 3 23" xfId="44937"/>
    <cellStyle name="Input [yellow] 3 15 3 3" xfId="1434"/>
    <cellStyle name="Input [yellow] 3 15 3 3 2" xfId="12631"/>
    <cellStyle name="Input [yellow] 3 15 3 3 3" xfId="23799"/>
    <cellStyle name="Input [yellow] 3 15 3 3 4" xfId="34964"/>
    <cellStyle name="Input [yellow] 3 15 3 3 5" xfId="46157"/>
    <cellStyle name="Input [yellow] 3 15 3 4" xfId="2140"/>
    <cellStyle name="Input [yellow] 3 15 3 4 2" xfId="13337"/>
    <cellStyle name="Input [yellow] 3 15 3 4 3" xfId="24505"/>
    <cellStyle name="Input [yellow] 3 15 3 4 4" xfId="35670"/>
    <cellStyle name="Input [yellow] 3 15 3 4 5" xfId="46863"/>
    <cellStyle name="Input [yellow] 3 15 3 5" xfId="2133"/>
    <cellStyle name="Input [yellow] 3 15 3 5 2" xfId="13330"/>
    <cellStyle name="Input [yellow] 3 15 3 5 3" xfId="24498"/>
    <cellStyle name="Input [yellow] 3 15 3 5 4" xfId="35663"/>
    <cellStyle name="Input [yellow] 3 15 3 5 5" xfId="46856"/>
    <cellStyle name="Input [yellow] 3 15 3 6" xfId="3198"/>
    <cellStyle name="Input [yellow] 3 15 3 6 2" xfId="14395"/>
    <cellStyle name="Input [yellow] 3 15 3 6 3" xfId="25563"/>
    <cellStyle name="Input [yellow] 3 15 3 6 4" xfId="36728"/>
    <cellStyle name="Input [yellow] 3 15 3 6 5" xfId="47921"/>
    <cellStyle name="Input [yellow] 3 15 3 7" xfId="3832"/>
    <cellStyle name="Input [yellow] 3 15 3 7 2" xfId="15029"/>
    <cellStyle name="Input [yellow] 3 15 3 7 3" xfId="26197"/>
    <cellStyle name="Input [yellow] 3 15 3 7 4" xfId="37362"/>
    <cellStyle name="Input [yellow] 3 15 3 7 5" xfId="48555"/>
    <cellStyle name="Input [yellow] 3 15 3 8" xfId="4465"/>
    <cellStyle name="Input [yellow] 3 15 3 8 2" xfId="15662"/>
    <cellStyle name="Input [yellow] 3 15 3 8 3" xfId="26830"/>
    <cellStyle name="Input [yellow] 3 15 3 8 4" xfId="37995"/>
    <cellStyle name="Input [yellow] 3 15 3 8 5" xfId="49188"/>
    <cellStyle name="Input [yellow] 3 15 3 9" xfId="5096"/>
    <cellStyle name="Input [yellow] 3 15 3 9 2" xfId="16293"/>
    <cellStyle name="Input [yellow] 3 15 3 9 3" xfId="27461"/>
    <cellStyle name="Input [yellow] 3 15 3 9 4" xfId="38626"/>
    <cellStyle name="Input [yellow] 3 15 3 9 5" xfId="49819"/>
    <cellStyle name="Input [yellow] 3 15 30" xfId="11295"/>
    <cellStyle name="Input [yellow] 3 15 31" xfId="22465"/>
    <cellStyle name="Input [yellow] 3 15 32" xfId="33632"/>
    <cellStyle name="Input [yellow] 3 15 33" xfId="44818"/>
    <cellStyle name="Input [yellow] 3 15 4" xfId="265"/>
    <cellStyle name="Input [yellow] 3 15 4 10" xfId="5652"/>
    <cellStyle name="Input [yellow] 3 15 4 10 2" xfId="16849"/>
    <cellStyle name="Input [yellow] 3 15 4 10 3" xfId="28017"/>
    <cellStyle name="Input [yellow] 3 15 4 10 4" xfId="39182"/>
    <cellStyle name="Input [yellow] 3 15 4 10 5" xfId="50375"/>
    <cellStyle name="Input [yellow] 3 15 4 11" xfId="6201"/>
    <cellStyle name="Input [yellow] 3 15 4 11 2" xfId="17398"/>
    <cellStyle name="Input [yellow] 3 15 4 11 3" xfId="28566"/>
    <cellStyle name="Input [yellow] 3 15 4 11 4" xfId="39731"/>
    <cellStyle name="Input [yellow] 3 15 4 11 5" xfId="50924"/>
    <cellStyle name="Input [yellow] 3 15 4 12" xfId="6834"/>
    <cellStyle name="Input [yellow] 3 15 4 12 2" xfId="18031"/>
    <cellStyle name="Input [yellow] 3 15 4 12 3" xfId="29199"/>
    <cellStyle name="Input [yellow] 3 15 4 12 4" xfId="40364"/>
    <cellStyle name="Input [yellow] 3 15 4 12 5" xfId="51557"/>
    <cellStyle name="Input [yellow] 3 15 4 13" xfId="7468"/>
    <cellStyle name="Input [yellow] 3 15 4 13 2" xfId="18665"/>
    <cellStyle name="Input [yellow] 3 15 4 13 3" xfId="29833"/>
    <cellStyle name="Input [yellow] 3 15 4 13 4" xfId="40998"/>
    <cellStyle name="Input [yellow] 3 15 4 13 5" xfId="52191"/>
    <cellStyle name="Input [yellow] 3 15 4 14" xfId="8102"/>
    <cellStyle name="Input [yellow] 3 15 4 14 2" xfId="19299"/>
    <cellStyle name="Input [yellow] 3 15 4 14 3" xfId="30467"/>
    <cellStyle name="Input [yellow] 3 15 4 14 4" xfId="41632"/>
    <cellStyle name="Input [yellow] 3 15 4 14 5" xfId="52825"/>
    <cellStyle name="Input [yellow] 3 15 4 15" xfId="8731"/>
    <cellStyle name="Input [yellow] 3 15 4 15 2" xfId="19928"/>
    <cellStyle name="Input [yellow] 3 15 4 15 3" xfId="31096"/>
    <cellStyle name="Input [yellow] 3 15 4 15 4" xfId="42261"/>
    <cellStyle name="Input [yellow] 3 15 4 15 5" xfId="53454"/>
    <cellStyle name="Input [yellow] 3 15 4 16" xfId="9153"/>
    <cellStyle name="Input [yellow] 3 15 4 16 2" xfId="20350"/>
    <cellStyle name="Input [yellow] 3 15 4 16 3" xfId="31518"/>
    <cellStyle name="Input [yellow] 3 15 4 16 4" xfId="42683"/>
    <cellStyle name="Input [yellow] 3 15 4 16 5" xfId="53876"/>
    <cellStyle name="Input [yellow] 3 15 4 17" xfId="9780"/>
    <cellStyle name="Input [yellow] 3 15 4 17 2" xfId="20977"/>
    <cellStyle name="Input [yellow] 3 15 4 17 3" xfId="32145"/>
    <cellStyle name="Input [yellow] 3 15 4 17 4" xfId="43310"/>
    <cellStyle name="Input [yellow] 3 15 4 17 5" xfId="54503"/>
    <cellStyle name="Input [yellow] 3 15 4 18" xfId="10403"/>
    <cellStyle name="Input [yellow] 3 15 4 18 2" xfId="21600"/>
    <cellStyle name="Input [yellow] 3 15 4 18 3" xfId="32768"/>
    <cellStyle name="Input [yellow] 3 15 4 18 4" xfId="43933"/>
    <cellStyle name="Input [yellow] 3 15 4 18 5" xfId="55126"/>
    <cellStyle name="Input [yellow] 3 15 4 19" xfId="10818"/>
    <cellStyle name="Input [yellow] 3 15 4 19 2" xfId="22015"/>
    <cellStyle name="Input [yellow] 3 15 4 19 3" xfId="33183"/>
    <cellStyle name="Input [yellow] 3 15 4 19 4" xfId="44348"/>
    <cellStyle name="Input [yellow] 3 15 4 19 5" xfId="55541"/>
    <cellStyle name="Input [yellow] 3 15 4 2" xfId="914"/>
    <cellStyle name="Input [yellow] 3 15 4 2 2" xfId="12111"/>
    <cellStyle name="Input [yellow] 3 15 4 2 3" xfId="23279"/>
    <cellStyle name="Input [yellow] 3 15 4 2 4" xfId="34444"/>
    <cellStyle name="Input [yellow] 3 15 4 2 5" xfId="45637"/>
    <cellStyle name="Input [yellow] 3 15 4 20" xfId="11465"/>
    <cellStyle name="Input [yellow] 3 15 4 21" xfId="22635"/>
    <cellStyle name="Input [yellow] 3 15 4 22" xfId="33802"/>
    <cellStyle name="Input [yellow] 3 15 4 23" xfId="44988"/>
    <cellStyle name="Input [yellow] 3 15 4 3" xfId="1697"/>
    <cellStyle name="Input [yellow] 3 15 4 3 2" xfId="12894"/>
    <cellStyle name="Input [yellow] 3 15 4 3 3" xfId="24062"/>
    <cellStyle name="Input [yellow] 3 15 4 3 4" xfId="35227"/>
    <cellStyle name="Input [yellow] 3 15 4 3 5" xfId="46420"/>
    <cellStyle name="Input [yellow] 3 15 4 4" xfId="2191"/>
    <cellStyle name="Input [yellow] 3 15 4 4 2" xfId="13388"/>
    <cellStyle name="Input [yellow] 3 15 4 4 3" xfId="24556"/>
    <cellStyle name="Input [yellow] 3 15 4 4 4" xfId="35721"/>
    <cellStyle name="Input [yellow] 3 15 4 4 5" xfId="46914"/>
    <cellStyle name="Input [yellow] 3 15 4 5" xfId="2615"/>
    <cellStyle name="Input [yellow] 3 15 4 5 2" xfId="13812"/>
    <cellStyle name="Input [yellow] 3 15 4 5 3" xfId="24980"/>
    <cellStyle name="Input [yellow] 3 15 4 5 4" xfId="36145"/>
    <cellStyle name="Input [yellow] 3 15 4 5 5" xfId="47338"/>
    <cellStyle name="Input [yellow] 3 15 4 6" xfId="3249"/>
    <cellStyle name="Input [yellow] 3 15 4 6 2" xfId="14446"/>
    <cellStyle name="Input [yellow] 3 15 4 6 3" xfId="25614"/>
    <cellStyle name="Input [yellow] 3 15 4 6 4" xfId="36779"/>
    <cellStyle name="Input [yellow] 3 15 4 6 5" xfId="47972"/>
    <cellStyle name="Input [yellow] 3 15 4 7" xfId="3883"/>
    <cellStyle name="Input [yellow] 3 15 4 7 2" xfId="15080"/>
    <cellStyle name="Input [yellow] 3 15 4 7 3" xfId="26248"/>
    <cellStyle name="Input [yellow] 3 15 4 7 4" xfId="37413"/>
    <cellStyle name="Input [yellow] 3 15 4 7 5" xfId="48606"/>
    <cellStyle name="Input [yellow] 3 15 4 8" xfId="4516"/>
    <cellStyle name="Input [yellow] 3 15 4 8 2" xfId="15713"/>
    <cellStyle name="Input [yellow] 3 15 4 8 3" xfId="26881"/>
    <cellStyle name="Input [yellow] 3 15 4 8 4" xfId="38046"/>
    <cellStyle name="Input [yellow] 3 15 4 8 5" xfId="49239"/>
    <cellStyle name="Input [yellow] 3 15 4 9" xfId="5147"/>
    <cellStyle name="Input [yellow] 3 15 4 9 2" xfId="16344"/>
    <cellStyle name="Input [yellow] 3 15 4 9 3" xfId="27512"/>
    <cellStyle name="Input [yellow] 3 15 4 9 4" xfId="38677"/>
    <cellStyle name="Input [yellow] 3 15 4 9 5" xfId="49870"/>
    <cellStyle name="Input [yellow] 3 15 5" xfId="278"/>
    <cellStyle name="Input [yellow] 3 15 5 10" xfId="5885"/>
    <cellStyle name="Input [yellow] 3 15 5 10 2" xfId="17082"/>
    <cellStyle name="Input [yellow] 3 15 5 10 3" xfId="28250"/>
    <cellStyle name="Input [yellow] 3 15 5 10 4" xfId="39415"/>
    <cellStyle name="Input [yellow] 3 15 5 10 5" xfId="50608"/>
    <cellStyle name="Input [yellow] 3 15 5 11" xfId="6214"/>
    <cellStyle name="Input [yellow] 3 15 5 11 2" xfId="17411"/>
    <cellStyle name="Input [yellow] 3 15 5 11 3" xfId="28579"/>
    <cellStyle name="Input [yellow] 3 15 5 11 4" xfId="39744"/>
    <cellStyle name="Input [yellow] 3 15 5 11 5" xfId="50937"/>
    <cellStyle name="Input [yellow] 3 15 5 12" xfId="6847"/>
    <cellStyle name="Input [yellow] 3 15 5 12 2" xfId="18044"/>
    <cellStyle name="Input [yellow] 3 15 5 12 3" xfId="29212"/>
    <cellStyle name="Input [yellow] 3 15 5 12 4" xfId="40377"/>
    <cellStyle name="Input [yellow] 3 15 5 12 5" xfId="51570"/>
    <cellStyle name="Input [yellow] 3 15 5 13" xfId="7481"/>
    <cellStyle name="Input [yellow] 3 15 5 13 2" xfId="18678"/>
    <cellStyle name="Input [yellow] 3 15 5 13 3" xfId="29846"/>
    <cellStyle name="Input [yellow] 3 15 5 13 4" xfId="41011"/>
    <cellStyle name="Input [yellow] 3 15 5 13 5" xfId="52204"/>
    <cellStyle name="Input [yellow] 3 15 5 14" xfId="8115"/>
    <cellStyle name="Input [yellow] 3 15 5 14 2" xfId="19312"/>
    <cellStyle name="Input [yellow] 3 15 5 14 3" xfId="30480"/>
    <cellStyle name="Input [yellow] 3 15 5 14 4" xfId="41645"/>
    <cellStyle name="Input [yellow] 3 15 5 14 5" xfId="52838"/>
    <cellStyle name="Input [yellow] 3 15 5 15" xfId="8744"/>
    <cellStyle name="Input [yellow] 3 15 5 15 2" xfId="19941"/>
    <cellStyle name="Input [yellow] 3 15 5 15 3" xfId="31109"/>
    <cellStyle name="Input [yellow] 3 15 5 15 4" xfId="42274"/>
    <cellStyle name="Input [yellow] 3 15 5 15 5" xfId="53467"/>
    <cellStyle name="Input [yellow] 3 15 5 16" xfId="9166"/>
    <cellStyle name="Input [yellow] 3 15 5 16 2" xfId="20363"/>
    <cellStyle name="Input [yellow] 3 15 5 16 3" xfId="31531"/>
    <cellStyle name="Input [yellow] 3 15 5 16 4" xfId="42696"/>
    <cellStyle name="Input [yellow] 3 15 5 16 5" xfId="53889"/>
    <cellStyle name="Input [yellow] 3 15 5 17" xfId="9793"/>
    <cellStyle name="Input [yellow] 3 15 5 17 2" xfId="20990"/>
    <cellStyle name="Input [yellow] 3 15 5 17 3" xfId="32158"/>
    <cellStyle name="Input [yellow] 3 15 5 17 4" xfId="43323"/>
    <cellStyle name="Input [yellow] 3 15 5 17 5" xfId="54516"/>
    <cellStyle name="Input [yellow] 3 15 5 18" xfId="10296"/>
    <cellStyle name="Input [yellow] 3 15 5 18 2" xfId="21493"/>
    <cellStyle name="Input [yellow] 3 15 5 18 3" xfId="32661"/>
    <cellStyle name="Input [yellow] 3 15 5 18 4" xfId="43826"/>
    <cellStyle name="Input [yellow] 3 15 5 18 5" xfId="55019"/>
    <cellStyle name="Input [yellow] 3 15 5 19" xfId="10831"/>
    <cellStyle name="Input [yellow] 3 15 5 19 2" xfId="22028"/>
    <cellStyle name="Input [yellow] 3 15 5 19 3" xfId="33196"/>
    <cellStyle name="Input [yellow] 3 15 5 19 4" xfId="44361"/>
    <cellStyle name="Input [yellow] 3 15 5 19 5" xfId="55554"/>
    <cellStyle name="Input [yellow] 3 15 5 2" xfId="927"/>
    <cellStyle name="Input [yellow] 3 15 5 2 2" xfId="12124"/>
    <cellStyle name="Input [yellow] 3 15 5 2 3" xfId="23292"/>
    <cellStyle name="Input [yellow] 3 15 5 2 4" xfId="34457"/>
    <cellStyle name="Input [yellow] 3 15 5 2 5" xfId="45650"/>
    <cellStyle name="Input [yellow] 3 15 5 20" xfId="11478"/>
    <cellStyle name="Input [yellow] 3 15 5 21" xfId="22648"/>
    <cellStyle name="Input [yellow] 3 15 5 22" xfId="33815"/>
    <cellStyle name="Input [yellow] 3 15 5 23" xfId="45001"/>
    <cellStyle name="Input [yellow] 3 15 5 3" xfId="1599"/>
    <cellStyle name="Input [yellow] 3 15 5 3 2" xfId="12796"/>
    <cellStyle name="Input [yellow] 3 15 5 3 3" xfId="23964"/>
    <cellStyle name="Input [yellow] 3 15 5 3 4" xfId="35129"/>
    <cellStyle name="Input [yellow] 3 15 5 3 5" xfId="46322"/>
    <cellStyle name="Input [yellow] 3 15 5 4" xfId="2203"/>
    <cellStyle name="Input [yellow] 3 15 5 4 2" xfId="13400"/>
    <cellStyle name="Input [yellow] 3 15 5 4 3" xfId="24568"/>
    <cellStyle name="Input [yellow] 3 15 5 4 4" xfId="35733"/>
    <cellStyle name="Input [yellow] 3 15 5 4 5" xfId="46926"/>
    <cellStyle name="Input [yellow] 3 15 5 5" xfId="2628"/>
    <cellStyle name="Input [yellow] 3 15 5 5 2" xfId="13825"/>
    <cellStyle name="Input [yellow] 3 15 5 5 3" xfId="24993"/>
    <cellStyle name="Input [yellow] 3 15 5 5 4" xfId="36158"/>
    <cellStyle name="Input [yellow] 3 15 5 5 5" xfId="47351"/>
    <cellStyle name="Input [yellow] 3 15 5 6" xfId="3262"/>
    <cellStyle name="Input [yellow] 3 15 5 6 2" xfId="14459"/>
    <cellStyle name="Input [yellow] 3 15 5 6 3" xfId="25627"/>
    <cellStyle name="Input [yellow] 3 15 5 6 4" xfId="36792"/>
    <cellStyle name="Input [yellow] 3 15 5 6 5" xfId="47985"/>
    <cellStyle name="Input [yellow] 3 15 5 7" xfId="3896"/>
    <cellStyle name="Input [yellow] 3 15 5 7 2" xfId="15093"/>
    <cellStyle name="Input [yellow] 3 15 5 7 3" xfId="26261"/>
    <cellStyle name="Input [yellow] 3 15 5 7 4" xfId="37426"/>
    <cellStyle name="Input [yellow] 3 15 5 7 5" xfId="48619"/>
    <cellStyle name="Input [yellow] 3 15 5 8" xfId="4529"/>
    <cellStyle name="Input [yellow] 3 15 5 8 2" xfId="15726"/>
    <cellStyle name="Input [yellow] 3 15 5 8 3" xfId="26894"/>
    <cellStyle name="Input [yellow] 3 15 5 8 4" xfId="38059"/>
    <cellStyle name="Input [yellow] 3 15 5 8 5" xfId="49252"/>
    <cellStyle name="Input [yellow] 3 15 5 9" xfId="5160"/>
    <cellStyle name="Input [yellow] 3 15 5 9 2" xfId="16357"/>
    <cellStyle name="Input [yellow] 3 15 5 9 3" xfId="27525"/>
    <cellStyle name="Input [yellow] 3 15 5 9 4" xfId="38690"/>
    <cellStyle name="Input [yellow] 3 15 5 9 5" xfId="49883"/>
    <cellStyle name="Input [yellow] 3 15 6" xfId="399"/>
    <cellStyle name="Input [yellow] 3 15 6 10" xfId="5898"/>
    <cellStyle name="Input [yellow] 3 15 6 10 2" xfId="17095"/>
    <cellStyle name="Input [yellow] 3 15 6 10 3" xfId="28263"/>
    <cellStyle name="Input [yellow] 3 15 6 10 4" xfId="39428"/>
    <cellStyle name="Input [yellow] 3 15 6 10 5" xfId="50621"/>
    <cellStyle name="Input [yellow] 3 15 6 11" xfId="6335"/>
    <cellStyle name="Input [yellow] 3 15 6 11 2" xfId="17532"/>
    <cellStyle name="Input [yellow] 3 15 6 11 3" xfId="28700"/>
    <cellStyle name="Input [yellow] 3 15 6 11 4" xfId="39865"/>
    <cellStyle name="Input [yellow] 3 15 6 11 5" xfId="51058"/>
    <cellStyle name="Input [yellow] 3 15 6 12" xfId="6968"/>
    <cellStyle name="Input [yellow] 3 15 6 12 2" xfId="18165"/>
    <cellStyle name="Input [yellow] 3 15 6 12 3" xfId="29333"/>
    <cellStyle name="Input [yellow] 3 15 6 12 4" xfId="40498"/>
    <cellStyle name="Input [yellow] 3 15 6 12 5" xfId="51691"/>
    <cellStyle name="Input [yellow] 3 15 6 13" xfId="7602"/>
    <cellStyle name="Input [yellow] 3 15 6 13 2" xfId="18799"/>
    <cellStyle name="Input [yellow] 3 15 6 13 3" xfId="29967"/>
    <cellStyle name="Input [yellow] 3 15 6 13 4" xfId="41132"/>
    <cellStyle name="Input [yellow] 3 15 6 13 5" xfId="52325"/>
    <cellStyle name="Input [yellow] 3 15 6 14" xfId="8236"/>
    <cellStyle name="Input [yellow] 3 15 6 14 2" xfId="19433"/>
    <cellStyle name="Input [yellow] 3 15 6 14 3" xfId="30601"/>
    <cellStyle name="Input [yellow] 3 15 6 14 4" xfId="41766"/>
    <cellStyle name="Input [yellow] 3 15 6 14 5" xfId="52959"/>
    <cellStyle name="Input [yellow] 3 15 6 15" xfId="8864"/>
    <cellStyle name="Input [yellow] 3 15 6 15 2" xfId="20061"/>
    <cellStyle name="Input [yellow] 3 15 6 15 3" xfId="31229"/>
    <cellStyle name="Input [yellow] 3 15 6 15 4" xfId="42394"/>
    <cellStyle name="Input [yellow] 3 15 6 15 5" xfId="53587"/>
    <cellStyle name="Input [yellow] 3 15 6 16" xfId="9287"/>
    <cellStyle name="Input [yellow] 3 15 6 16 2" xfId="20484"/>
    <cellStyle name="Input [yellow] 3 15 6 16 3" xfId="31652"/>
    <cellStyle name="Input [yellow] 3 15 6 16 4" xfId="42817"/>
    <cellStyle name="Input [yellow] 3 15 6 16 5" xfId="54010"/>
    <cellStyle name="Input [yellow] 3 15 6 17" xfId="9913"/>
    <cellStyle name="Input [yellow] 3 15 6 17 2" xfId="21110"/>
    <cellStyle name="Input [yellow] 3 15 6 17 3" xfId="32278"/>
    <cellStyle name="Input [yellow] 3 15 6 17 4" xfId="43443"/>
    <cellStyle name="Input [yellow] 3 15 6 17 5" xfId="54636"/>
    <cellStyle name="Input [yellow] 3 15 6 18" xfId="10388"/>
    <cellStyle name="Input [yellow] 3 15 6 18 2" xfId="21585"/>
    <cellStyle name="Input [yellow] 3 15 6 18 3" xfId="32753"/>
    <cellStyle name="Input [yellow] 3 15 6 18 4" xfId="43918"/>
    <cellStyle name="Input [yellow] 3 15 6 18 5" xfId="55111"/>
    <cellStyle name="Input [yellow] 3 15 6 19" xfId="10952"/>
    <cellStyle name="Input [yellow] 3 15 6 19 2" xfId="22149"/>
    <cellStyle name="Input [yellow] 3 15 6 19 3" xfId="33317"/>
    <cellStyle name="Input [yellow] 3 15 6 19 4" xfId="44482"/>
    <cellStyle name="Input [yellow] 3 15 6 19 5" xfId="55675"/>
    <cellStyle name="Input [yellow] 3 15 6 2" xfId="1048"/>
    <cellStyle name="Input [yellow] 3 15 6 2 2" xfId="12245"/>
    <cellStyle name="Input [yellow] 3 15 6 2 3" xfId="23413"/>
    <cellStyle name="Input [yellow] 3 15 6 2 4" xfId="34578"/>
    <cellStyle name="Input [yellow] 3 15 6 2 5" xfId="45771"/>
    <cellStyle name="Input [yellow] 3 15 6 20" xfId="11599"/>
    <cellStyle name="Input [yellow] 3 15 6 21" xfId="22769"/>
    <cellStyle name="Input [yellow] 3 15 6 22" xfId="33936"/>
    <cellStyle name="Input [yellow] 3 15 6 23" xfId="45122"/>
    <cellStyle name="Input [yellow] 3 15 6 3" xfId="1633"/>
    <cellStyle name="Input [yellow] 3 15 6 3 2" xfId="12830"/>
    <cellStyle name="Input [yellow] 3 15 6 3 3" xfId="23998"/>
    <cellStyle name="Input [yellow] 3 15 6 3 4" xfId="35163"/>
    <cellStyle name="Input [yellow] 3 15 6 3 5" xfId="46356"/>
    <cellStyle name="Input [yellow] 3 15 6 4" xfId="2324"/>
    <cellStyle name="Input [yellow] 3 15 6 4 2" xfId="13521"/>
    <cellStyle name="Input [yellow] 3 15 6 4 3" xfId="24689"/>
    <cellStyle name="Input [yellow] 3 15 6 4 4" xfId="35854"/>
    <cellStyle name="Input [yellow] 3 15 6 4 5" xfId="47047"/>
    <cellStyle name="Input [yellow] 3 15 6 5" xfId="2749"/>
    <cellStyle name="Input [yellow] 3 15 6 5 2" xfId="13946"/>
    <cellStyle name="Input [yellow] 3 15 6 5 3" xfId="25114"/>
    <cellStyle name="Input [yellow] 3 15 6 5 4" xfId="36279"/>
    <cellStyle name="Input [yellow] 3 15 6 5 5" xfId="47472"/>
    <cellStyle name="Input [yellow] 3 15 6 6" xfId="3383"/>
    <cellStyle name="Input [yellow] 3 15 6 6 2" xfId="14580"/>
    <cellStyle name="Input [yellow] 3 15 6 6 3" xfId="25748"/>
    <cellStyle name="Input [yellow] 3 15 6 6 4" xfId="36913"/>
    <cellStyle name="Input [yellow] 3 15 6 6 5" xfId="48106"/>
    <cellStyle name="Input [yellow] 3 15 6 7" xfId="4017"/>
    <cellStyle name="Input [yellow] 3 15 6 7 2" xfId="15214"/>
    <cellStyle name="Input [yellow] 3 15 6 7 3" xfId="26382"/>
    <cellStyle name="Input [yellow] 3 15 6 7 4" xfId="37547"/>
    <cellStyle name="Input [yellow] 3 15 6 7 5" xfId="48740"/>
    <cellStyle name="Input [yellow] 3 15 6 8" xfId="4650"/>
    <cellStyle name="Input [yellow] 3 15 6 8 2" xfId="15847"/>
    <cellStyle name="Input [yellow] 3 15 6 8 3" xfId="27015"/>
    <cellStyle name="Input [yellow] 3 15 6 8 4" xfId="38180"/>
    <cellStyle name="Input [yellow] 3 15 6 8 5" xfId="49373"/>
    <cellStyle name="Input [yellow] 3 15 6 9" xfId="5281"/>
    <cellStyle name="Input [yellow] 3 15 6 9 2" xfId="16478"/>
    <cellStyle name="Input [yellow] 3 15 6 9 3" xfId="27646"/>
    <cellStyle name="Input [yellow] 3 15 6 9 4" xfId="38811"/>
    <cellStyle name="Input [yellow] 3 15 6 9 5" xfId="50004"/>
    <cellStyle name="Input [yellow] 3 15 7" xfId="367"/>
    <cellStyle name="Input [yellow] 3 15 7 10" xfId="5613"/>
    <cellStyle name="Input [yellow] 3 15 7 10 2" xfId="16810"/>
    <cellStyle name="Input [yellow] 3 15 7 10 3" xfId="27978"/>
    <cellStyle name="Input [yellow] 3 15 7 10 4" xfId="39143"/>
    <cellStyle name="Input [yellow] 3 15 7 10 5" xfId="50336"/>
    <cellStyle name="Input [yellow] 3 15 7 11" xfId="6303"/>
    <cellStyle name="Input [yellow] 3 15 7 11 2" xfId="17500"/>
    <cellStyle name="Input [yellow] 3 15 7 11 3" xfId="28668"/>
    <cellStyle name="Input [yellow] 3 15 7 11 4" xfId="39833"/>
    <cellStyle name="Input [yellow] 3 15 7 11 5" xfId="51026"/>
    <cellStyle name="Input [yellow] 3 15 7 12" xfId="6936"/>
    <cellStyle name="Input [yellow] 3 15 7 12 2" xfId="18133"/>
    <cellStyle name="Input [yellow] 3 15 7 12 3" xfId="29301"/>
    <cellStyle name="Input [yellow] 3 15 7 12 4" xfId="40466"/>
    <cellStyle name="Input [yellow] 3 15 7 12 5" xfId="51659"/>
    <cellStyle name="Input [yellow] 3 15 7 13" xfId="7570"/>
    <cellStyle name="Input [yellow] 3 15 7 13 2" xfId="18767"/>
    <cellStyle name="Input [yellow] 3 15 7 13 3" xfId="29935"/>
    <cellStyle name="Input [yellow] 3 15 7 13 4" xfId="41100"/>
    <cellStyle name="Input [yellow] 3 15 7 13 5" xfId="52293"/>
    <cellStyle name="Input [yellow] 3 15 7 14" xfId="8204"/>
    <cellStyle name="Input [yellow] 3 15 7 14 2" xfId="19401"/>
    <cellStyle name="Input [yellow] 3 15 7 14 3" xfId="30569"/>
    <cellStyle name="Input [yellow] 3 15 7 14 4" xfId="41734"/>
    <cellStyle name="Input [yellow] 3 15 7 14 5" xfId="52927"/>
    <cellStyle name="Input [yellow] 3 15 7 15" xfId="8832"/>
    <cellStyle name="Input [yellow] 3 15 7 15 2" xfId="20029"/>
    <cellStyle name="Input [yellow] 3 15 7 15 3" xfId="31197"/>
    <cellStyle name="Input [yellow] 3 15 7 15 4" xfId="42362"/>
    <cellStyle name="Input [yellow] 3 15 7 15 5" xfId="53555"/>
    <cellStyle name="Input [yellow] 3 15 7 16" xfId="9255"/>
    <cellStyle name="Input [yellow] 3 15 7 16 2" xfId="20452"/>
    <cellStyle name="Input [yellow] 3 15 7 16 3" xfId="31620"/>
    <cellStyle name="Input [yellow] 3 15 7 16 4" xfId="42785"/>
    <cellStyle name="Input [yellow] 3 15 7 16 5" xfId="53978"/>
    <cellStyle name="Input [yellow] 3 15 7 17" xfId="9881"/>
    <cellStyle name="Input [yellow] 3 15 7 17 2" xfId="21078"/>
    <cellStyle name="Input [yellow] 3 15 7 17 3" xfId="32246"/>
    <cellStyle name="Input [yellow] 3 15 7 17 4" xfId="43411"/>
    <cellStyle name="Input [yellow] 3 15 7 17 5" xfId="54604"/>
    <cellStyle name="Input [yellow] 3 15 7 18" xfId="10314"/>
    <cellStyle name="Input [yellow] 3 15 7 18 2" xfId="21511"/>
    <cellStyle name="Input [yellow] 3 15 7 18 3" xfId="32679"/>
    <cellStyle name="Input [yellow] 3 15 7 18 4" xfId="43844"/>
    <cellStyle name="Input [yellow] 3 15 7 18 5" xfId="55037"/>
    <cellStyle name="Input [yellow] 3 15 7 19" xfId="10920"/>
    <cellStyle name="Input [yellow] 3 15 7 19 2" xfId="22117"/>
    <cellStyle name="Input [yellow] 3 15 7 19 3" xfId="33285"/>
    <cellStyle name="Input [yellow] 3 15 7 19 4" xfId="44450"/>
    <cellStyle name="Input [yellow] 3 15 7 19 5" xfId="55643"/>
    <cellStyle name="Input [yellow] 3 15 7 2" xfId="1016"/>
    <cellStyle name="Input [yellow] 3 15 7 2 2" xfId="12213"/>
    <cellStyle name="Input [yellow] 3 15 7 2 3" xfId="23381"/>
    <cellStyle name="Input [yellow] 3 15 7 2 4" xfId="34546"/>
    <cellStyle name="Input [yellow] 3 15 7 2 5" xfId="45739"/>
    <cellStyle name="Input [yellow] 3 15 7 20" xfId="11567"/>
    <cellStyle name="Input [yellow] 3 15 7 21" xfId="22737"/>
    <cellStyle name="Input [yellow] 3 15 7 22" xfId="33904"/>
    <cellStyle name="Input [yellow] 3 15 7 23" xfId="45090"/>
    <cellStyle name="Input [yellow] 3 15 7 3" xfId="1600"/>
    <cellStyle name="Input [yellow] 3 15 7 3 2" xfId="12797"/>
    <cellStyle name="Input [yellow] 3 15 7 3 3" xfId="23965"/>
    <cellStyle name="Input [yellow] 3 15 7 3 4" xfId="35130"/>
    <cellStyle name="Input [yellow] 3 15 7 3 5" xfId="46323"/>
    <cellStyle name="Input [yellow] 3 15 7 4" xfId="2292"/>
    <cellStyle name="Input [yellow] 3 15 7 4 2" xfId="13489"/>
    <cellStyle name="Input [yellow] 3 15 7 4 3" xfId="24657"/>
    <cellStyle name="Input [yellow] 3 15 7 4 4" xfId="35822"/>
    <cellStyle name="Input [yellow] 3 15 7 4 5" xfId="47015"/>
    <cellStyle name="Input [yellow] 3 15 7 5" xfId="2717"/>
    <cellStyle name="Input [yellow] 3 15 7 5 2" xfId="13914"/>
    <cellStyle name="Input [yellow] 3 15 7 5 3" xfId="25082"/>
    <cellStyle name="Input [yellow] 3 15 7 5 4" xfId="36247"/>
    <cellStyle name="Input [yellow] 3 15 7 5 5" xfId="47440"/>
    <cellStyle name="Input [yellow] 3 15 7 6" xfId="3351"/>
    <cellStyle name="Input [yellow] 3 15 7 6 2" xfId="14548"/>
    <cellStyle name="Input [yellow] 3 15 7 6 3" xfId="25716"/>
    <cellStyle name="Input [yellow] 3 15 7 6 4" xfId="36881"/>
    <cellStyle name="Input [yellow] 3 15 7 6 5" xfId="48074"/>
    <cellStyle name="Input [yellow] 3 15 7 7" xfId="3985"/>
    <cellStyle name="Input [yellow] 3 15 7 7 2" xfId="15182"/>
    <cellStyle name="Input [yellow] 3 15 7 7 3" xfId="26350"/>
    <cellStyle name="Input [yellow] 3 15 7 7 4" xfId="37515"/>
    <cellStyle name="Input [yellow] 3 15 7 7 5" xfId="48708"/>
    <cellStyle name="Input [yellow] 3 15 7 8" xfId="4618"/>
    <cellStyle name="Input [yellow] 3 15 7 8 2" xfId="15815"/>
    <cellStyle name="Input [yellow] 3 15 7 8 3" xfId="26983"/>
    <cellStyle name="Input [yellow] 3 15 7 8 4" xfId="38148"/>
    <cellStyle name="Input [yellow] 3 15 7 8 5" xfId="49341"/>
    <cellStyle name="Input [yellow] 3 15 7 9" xfId="5249"/>
    <cellStyle name="Input [yellow] 3 15 7 9 2" xfId="16446"/>
    <cellStyle name="Input [yellow] 3 15 7 9 3" xfId="27614"/>
    <cellStyle name="Input [yellow] 3 15 7 9 4" xfId="38779"/>
    <cellStyle name="Input [yellow] 3 15 7 9 5" xfId="49972"/>
    <cellStyle name="Input [yellow] 3 15 8" xfId="504"/>
    <cellStyle name="Input [yellow] 3 15 8 10" xfId="5642"/>
    <cellStyle name="Input [yellow] 3 15 8 10 2" xfId="16839"/>
    <cellStyle name="Input [yellow] 3 15 8 10 3" xfId="28007"/>
    <cellStyle name="Input [yellow] 3 15 8 10 4" xfId="39172"/>
    <cellStyle name="Input [yellow] 3 15 8 10 5" xfId="50365"/>
    <cellStyle name="Input [yellow] 3 15 8 11" xfId="6440"/>
    <cellStyle name="Input [yellow] 3 15 8 11 2" xfId="17637"/>
    <cellStyle name="Input [yellow] 3 15 8 11 3" xfId="28805"/>
    <cellStyle name="Input [yellow] 3 15 8 11 4" xfId="39970"/>
    <cellStyle name="Input [yellow] 3 15 8 11 5" xfId="51163"/>
    <cellStyle name="Input [yellow] 3 15 8 12" xfId="7073"/>
    <cellStyle name="Input [yellow] 3 15 8 12 2" xfId="18270"/>
    <cellStyle name="Input [yellow] 3 15 8 12 3" xfId="29438"/>
    <cellStyle name="Input [yellow] 3 15 8 12 4" xfId="40603"/>
    <cellStyle name="Input [yellow] 3 15 8 12 5" xfId="51796"/>
    <cellStyle name="Input [yellow] 3 15 8 13" xfId="7707"/>
    <cellStyle name="Input [yellow] 3 15 8 13 2" xfId="18904"/>
    <cellStyle name="Input [yellow] 3 15 8 13 3" xfId="30072"/>
    <cellStyle name="Input [yellow] 3 15 8 13 4" xfId="41237"/>
    <cellStyle name="Input [yellow] 3 15 8 13 5" xfId="52430"/>
    <cellStyle name="Input [yellow] 3 15 8 14" xfId="8341"/>
    <cellStyle name="Input [yellow] 3 15 8 14 2" xfId="19538"/>
    <cellStyle name="Input [yellow] 3 15 8 14 3" xfId="30706"/>
    <cellStyle name="Input [yellow] 3 15 8 14 4" xfId="41871"/>
    <cellStyle name="Input [yellow] 3 15 8 14 5" xfId="53064"/>
    <cellStyle name="Input [yellow] 3 15 8 15" xfId="8969"/>
    <cellStyle name="Input [yellow] 3 15 8 15 2" xfId="20166"/>
    <cellStyle name="Input [yellow] 3 15 8 15 3" xfId="31334"/>
    <cellStyle name="Input [yellow] 3 15 8 15 4" xfId="42499"/>
    <cellStyle name="Input [yellow] 3 15 8 15 5" xfId="53692"/>
    <cellStyle name="Input [yellow] 3 15 8 16" xfId="9392"/>
    <cellStyle name="Input [yellow] 3 15 8 16 2" xfId="20589"/>
    <cellStyle name="Input [yellow] 3 15 8 16 3" xfId="31757"/>
    <cellStyle name="Input [yellow] 3 15 8 16 4" xfId="42922"/>
    <cellStyle name="Input [yellow] 3 15 8 16 5" xfId="54115"/>
    <cellStyle name="Input [yellow] 3 15 8 17" xfId="10017"/>
    <cellStyle name="Input [yellow] 3 15 8 17 2" xfId="21214"/>
    <cellStyle name="Input [yellow] 3 15 8 17 3" xfId="32382"/>
    <cellStyle name="Input [yellow] 3 15 8 17 4" xfId="43547"/>
    <cellStyle name="Input [yellow] 3 15 8 17 5" xfId="54740"/>
    <cellStyle name="Input [yellow] 3 15 8 18" xfId="10214"/>
    <cellStyle name="Input [yellow] 3 15 8 18 2" xfId="21411"/>
    <cellStyle name="Input [yellow] 3 15 8 18 3" xfId="32579"/>
    <cellStyle name="Input [yellow] 3 15 8 18 4" xfId="43744"/>
    <cellStyle name="Input [yellow] 3 15 8 18 5" xfId="54937"/>
    <cellStyle name="Input [yellow] 3 15 8 19" xfId="11057"/>
    <cellStyle name="Input [yellow] 3 15 8 19 2" xfId="22254"/>
    <cellStyle name="Input [yellow] 3 15 8 19 3" xfId="33422"/>
    <cellStyle name="Input [yellow] 3 15 8 19 4" xfId="44587"/>
    <cellStyle name="Input [yellow] 3 15 8 19 5" xfId="55780"/>
    <cellStyle name="Input [yellow] 3 15 8 2" xfId="1153"/>
    <cellStyle name="Input [yellow] 3 15 8 2 2" xfId="12350"/>
    <cellStyle name="Input [yellow] 3 15 8 2 3" xfId="23518"/>
    <cellStyle name="Input [yellow] 3 15 8 2 4" xfId="34683"/>
    <cellStyle name="Input [yellow] 3 15 8 2 5" xfId="45876"/>
    <cellStyle name="Input [yellow] 3 15 8 20" xfId="11704"/>
    <cellStyle name="Input [yellow] 3 15 8 21" xfId="22874"/>
    <cellStyle name="Input [yellow] 3 15 8 22" xfId="34041"/>
    <cellStyle name="Input [yellow] 3 15 8 23" xfId="45227"/>
    <cellStyle name="Input [yellow] 3 15 8 3" xfId="1631"/>
    <cellStyle name="Input [yellow] 3 15 8 3 2" xfId="12828"/>
    <cellStyle name="Input [yellow] 3 15 8 3 3" xfId="23996"/>
    <cellStyle name="Input [yellow] 3 15 8 3 4" xfId="35161"/>
    <cellStyle name="Input [yellow] 3 15 8 3 5" xfId="46354"/>
    <cellStyle name="Input [yellow] 3 15 8 4" xfId="2429"/>
    <cellStyle name="Input [yellow] 3 15 8 4 2" xfId="13626"/>
    <cellStyle name="Input [yellow] 3 15 8 4 3" xfId="24794"/>
    <cellStyle name="Input [yellow] 3 15 8 4 4" xfId="35959"/>
    <cellStyle name="Input [yellow] 3 15 8 4 5" xfId="47152"/>
    <cellStyle name="Input [yellow] 3 15 8 5" xfId="2854"/>
    <cellStyle name="Input [yellow] 3 15 8 5 2" xfId="14051"/>
    <cellStyle name="Input [yellow] 3 15 8 5 3" xfId="25219"/>
    <cellStyle name="Input [yellow] 3 15 8 5 4" xfId="36384"/>
    <cellStyle name="Input [yellow] 3 15 8 5 5" xfId="47577"/>
    <cellStyle name="Input [yellow] 3 15 8 6" xfId="3488"/>
    <cellStyle name="Input [yellow] 3 15 8 6 2" xfId="14685"/>
    <cellStyle name="Input [yellow] 3 15 8 6 3" xfId="25853"/>
    <cellStyle name="Input [yellow] 3 15 8 6 4" xfId="37018"/>
    <cellStyle name="Input [yellow] 3 15 8 6 5" xfId="48211"/>
    <cellStyle name="Input [yellow] 3 15 8 7" xfId="4122"/>
    <cellStyle name="Input [yellow] 3 15 8 7 2" xfId="15319"/>
    <cellStyle name="Input [yellow] 3 15 8 7 3" xfId="26487"/>
    <cellStyle name="Input [yellow] 3 15 8 7 4" xfId="37652"/>
    <cellStyle name="Input [yellow] 3 15 8 7 5" xfId="48845"/>
    <cellStyle name="Input [yellow] 3 15 8 8" xfId="4755"/>
    <cellStyle name="Input [yellow] 3 15 8 8 2" xfId="15952"/>
    <cellStyle name="Input [yellow] 3 15 8 8 3" xfId="27120"/>
    <cellStyle name="Input [yellow] 3 15 8 8 4" xfId="38285"/>
    <cellStyle name="Input [yellow] 3 15 8 8 5" xfId="49478"/>
    <cellStyle name="Input [yellow] 3 15 8 9" xfId="5386"/>
    <cellStyle name="Input [yellow] 3 15 8 9 2" xfId="16583"/>
    <cellStyle name="Input [yellow] 3 15 8 9 3" xfId="27751"/>
    <cellStyle name="Input [yellow] 3 15 8 9 4" xfId="38916"/>
    <cellStyle name="Input [yellow] 3 15 8 9 5" xfId="50109"/>
    <cellStyle name="Input [yellow] 3 15 9" xfId="562"/>
    <cellStyle name="Input [yellow] 3 15 9 10" xfId="6140"/>
    <cellStyle name="Input [yellow] 3 15 9 10 2" xfId="17337"/>
    <cellStyle name="Input [yellow] 3 15 9 10 3" xfId="28505"/>
    <cellStyle name="Input [yellow] 3 15 9 10 4" xfId="39670"/>
    <cellStyle name="Input [yellow] 3 15 9 10 5" xfId="50863"/>
    <cellStyle name="Input [yellow] 3 15 9 11" xfId="6498"/>
    <cellStyle name="Input [yellow] 3 15 9 11 2" xfId="17695"/>
    <cellStyle name="Input [yellow] 3 15 9 11 3" xfId="28863"/>
    <cellStyle name="Input [yellow] 3 15 9 11 4" xfId="40028"/>
    <cellStyle name="Input [yellow] 3 15 9 11 5" xfId="51221"/>
    <cellStyle name="Input [yellow] 3 15 9 12" xfId="7131"/>
    <cellStyle name="Input [yellow] 3 15 9 12 2" xfId="18328"/>
    <cellStyle name="Input [yellow] 3 15 9 12 3" xfId="29496"/>
    <cellStyle name="Input [yellow] 3 15 9 12 4" xfId="40661"/>
    <cellStyle name="Input [yellow] 3 15 9 12 5" xfId="51854"/>
    <cellStyle name="Input [yellow] 3 15 9 13" xfId="7765"/>
    <cellStyle name="Input [yellow] 3 15 9 13 2" xfId="18962"/>
    <cellStyle name="Input [yellow] 3 15 9 13 3" xfId="30130"/>
    <cellStyle name="Input [yellow] 3 15 9 13 4" xfId="41295"/>
    <cellStyle name="Input [yellow] 3 15 9 13 5" xfId="52488"/>
    <cellStyle name="Input [yellow] 3 15 9 14" xfId="8399"/>
    <cellStyle name="Input [yellow] 3 15 9 14 2" xfId="19596"/>
    <cellStyle name="Input [yellow] 3 15 9 14 3" xfId="30764"/>
    <cellStyle name="Input [yellow] 3 15 9 14 4" xfId="41929"/>
    <cellStyle name="Input [yellow] 3 15 9 14 5" xfId="53122"/>
    <cellStyle name="Input [yellow] 3 15 9 15" xfId="9027"/>
    <cellStyle name="Input [yellow] 3 15 9 15 2" xfId="20224"/>
    <cellStyle name="Input [yellow] 3 15 9 15 3" xfId="31392"/>
    <cellStyle name="Input [yellow] 3 15 9 15 4" xfId="42557"/>
    <cellStyle name="Input [yellow] 3 15 9 15 5" xfId="53750"/>
    <cellStyle name="Input [yellow] 3 15 9 16" xfId="9450"/>
    <cellStyle name="Input [yellow] 3 15 9 16 2" xfId="20647"/>
    <cellStyle name="Input [yellow] 3 15 9 16 3" xfId="31815"/>
    <cellStyle name="Input [yellow] 3 15 9 16 4" xfId="42980"/>
    <cellStyle name="Input [yellow] 3 15 9 16 5" xfId="54173"/>
    <cellStyle name="Input [yellow] 3 15 9 17" xfId="10075"/>
    <cellStyle name="Input [yellow] 3 15 9 17 2" xfId="21272"/>
    <cellStyle name="Input [yellow] 3 15 9 17 3" xfId="32440"/>
    <cellStyle name="Input [yellow] 3 15 9 17 4" xfId="43605"/>
    <cellStyle name="Input [yellow] 3 15 9 17 5" xfId="54798"/>
    <cellStyle name="Input [yellow] 3 15 9 18" xfId="10282"/>
    <cellStyle name="Input [yellow] 3 15 9 18 2" xfId="21479"/>
    <cellStyle name="Input [yellow] 3 15 9 18 3" xfId="32647"/>
    <cellStyle name="Input [yellow] 3 15 9 18 4" xfId="43812"/>
    <cellStyle name="Input [yellow] 3 15 9 18 5" xfId="55005"/>
    <cellStyle name="Input [yellow] 3 15 9 19" xfId="11115"/>
    <cellStyle name="Input [yellow] 3 15 9 19 2" xfId="22312"/>
    <cellStyle name="Input [yellow] 3 15 9 19 3" xfId="33480"/>
    <cellStyle name="Input [yellow] 3 15 9 19 4" xfId="44645"/>
    <cellStyle name="Input [yellow] 3 15 9 19 5" xfId="55838"/>
    <cellStyle name="Input [yellow] 3 15 9 2" xfId="1211"/>
    <cellStyle name="Input [yellow] 3 15 9 2 2" xfId="12408"/>
    <cellStyle name="Input [yellow] 3 15 9 2 3" xfId="23576"/>
    <cellStyle name="Input [yellow] 3 15 9 2 4" xfId="34741"/>
    <cellStyle name="Input [yellow] 3 15 9 2 5" xfId="45934"/>
    <cellStyle name="Input [yellow] 3 15 9 20" xfId="11762"/>
    <cellStyle name="Input [yellow] 3 15 9 21" xfId="22932"/>
    <cellStyle name="Input [yellow] 3 15 9 22" xfId="34099"/>
    <cellStyle name="Input [yellow] 3 15 9 23" xfId="45285"/>
    <cellStyle name="Input [yellow] 3 15 9 3" xfId="1659"/>
    <cellStyle name="Input [yellow] 3 15 9 3 2" xfId="12856"/>
    <cellStyle name="Input [yellow] 3 15 9 3 3" xfId="24024"/>
    <cellStyle name="Input [yellow] 3 15 9 3 4" xfId="35189"/>
    <cellStyle name="Input [yellow] 3 15 9 3 5" xfId="46382"/>
    <cellStyle name="Input [yellow] 3 15 9 4" xfId="2487"/>
    <cellStyle name="Input [yellow] 3 15 9 4 2" xfId="13684"/>
    <cellStyle name="Input [yellow] 3 15 9 4 3" xfId="24852"/>
    <cellStyle name="Input [yellow] 3 15 9 4 4" xfId="36017"/>
    <cellStyle name="Input [yellow] 3 15 9 4 5" xfId="47210"/>
    <cellStyle name="Input [yellow] 3 15 9 5" xfId="2912"/>
    <cellStyle name="Input [yellow] 3 15 9 5 2" xfId="14109"/>
    <cellStyle name="Input [yellow] 3 15 9 5 3" xfId="25277"/>
    <cellStyle name="Input [yellow] 3 15 9 5 4" xfId="36442"/>
    <cellStyle name="Input [yellow] 3 15 9 5 5" xfId="47635"/>
    <cellStyle name="Input [yellow] 3 15 9 6" xfId="3546"/>
    <cellStyle name="Input [yellow] 3 15 9 6 2" xfId="14743"/>
    <cellStyle name="Input [yellow] 3 15 9 6 3" xfId="25911"/>
    <cellStyle name="Input [yellow] 3 15 9 6 4" xfId="37076"/>
    <cellStyle name="Input [yellow] 3 15 9 6 5" xfId="48269"/>
    <cellStyle name="Input [yellow] 3 15 9 7" xfId="4180"/>
    <cellStyle name="Input [yellow] 3 15 9 7 2" xfId="15377"/>
    <cellStyle name="Input [yellow] 3 15 9 7 3" xfId="26545"/>
    <cellStyle name="Input [yellow] 3 15 9 7 4" xfId="37710"/>
    <cellStyle name="Input [yellow] 3 15 9 7 5" xfId="48903"/>
    <cellStyle name="Input [yellow] 3 15 9 8" xfId="4813"/>
    <cellStyle name="Input [yellow] 3 15 9 8 2" xfId="16010"/>
    <cellStyle name="Input [yellow] 3 15 9 8 3" xfId="27178"/>
    <cellStyle name="Input [yellow] 3 15 9 8 4" xfId="38343"/>
    <cellStyle name="Input [yellow] 3 15 9 8 5" xfId="49536"/>
    <cellStyle name="Input [yellow] 3 15 9 9" xfId="5444"/>
    <cellStyle name="Input [yellow] 3 15 9 9 2" xfId="16641"/>
    <cellStyle name="Input [yellow] 3 15 9 9 3" xfId="27809"/>
    <cellStyle name="Input [yellow] 3 15 9 9 4" xfId="38974"/>
    <cellStyle name="Input [yellow] 3 15 9 9 5" xfId="50167"/>
    <cellStyle name="Input [yellow] 3 16" xfId="98"/>
    <cellStyle name="Input [yellow] 3 16 10" xfId="613"/>
    <cellStyle name="Input [yellow] 3 16 10 10" xfId="5706"/>
    <cellStyle name="Input [yellow] 3 16 10 10 2" xfId="16903"/>
    <cellStyle name="Input [yellow] 3 16 10 10 3" xfId="28071"/>
    <cellStyle name="Input [yellow] 3 16 10 10 4" xfId="39236"/>
    <cellStyle name="Input [yellow] 3 16 10 10 5" xfId="50429"/>
    <cellStyle name="Input [yellow] 3 16 10 11" xfId="6549"/>
    <cellStyle name="Input [yellow] 3 16 10 11 2" xfId="17746"/>
    <cellStyle name="Input [yellow] 3 16 10 11 3" xfId="28914"/>
    <cellStyle name="Input [yellow] 3 16 10 11 4" xfId="40079"/>
    <cellStyle name="Input [yellow] 3 16 10 11 5" xfId="51272"/>
    <cellStyle name="Input [yellow] 3 16 10 12" xfId="7182"/>
    <cellStyle name="Input [yellow] 3 16 10 12 2" xfId="18379"/>
    <cellStyle name="Input [yellow] 3 16 10 12 3" xfId="29547"/>
    <cellStyle name="Input [yellow] 3 16 10 12 4" xfId="40712"/>
    <cellStyle name="Input [yellow] 3 16 10 12 5" xfId="51905"/>
    <cellStyle name="Input [yellow] 3 16 10 13" xfId="7816"/>
    <cellStyle name="Input [yellow] 3 16 10 13 2" xfId="19013"/>
    <cellStyle name="Input [yellow] 3 16 10 13 3" xfId="30181"/>
    <cellStyle name="Input [yellow] 3 16 10 13 4" xfId="41346"/>
    <cellStyle name="Input [yellow] 3 16 10 13 5" xfId="52539"/>
    <cellStyle name="Input [yellow] 3 16 10 14" xfId="8450"/>
    <cellStyle name="Input [yellow] 3 16 10 14 2" xfId="19647"/>
    <cellStyle name="Input [yellow] 3 16 10 14 3" xfId="30815"/>
    <cellStyle name="Input [yellow] 3 16 10 14 4" xfId="41980"/>
    <cellStyle name="Input [yellow] 3 16 10 14 5" xfId="53173"/>
    <cellStyle name="Input [yellow] 3 16 10 15" xfId="9078"/>
    <cellStyle name="Input [yellow] 3 16 10 15 2" xfId="20275"/>
    <cellStyle name="Input [yellow] 3 16 10 15 3" xfId="31443"/>
    <cellStyle name="Input [yellow] 3 16 10 15 4" xfId="42608"/>
    <cellStyle name="Input [yellow] 3 16 10 15 5" xfId="53801"/>
    <cellStyle name="Input [yellow] 3 16 10 16" xfId="9501"/>
    <cellStyle name="Input [yellow] 3 16 10 16 2" xfId="20698"/>
    <cellStyle name="Input [yellow] 3 16 10 16 3" xfId="31866"/>
    <cellStyle name="Input [yellow] 3 16 10 16 4" xfId="43031"/>
    <cellStyle name="Input [yellow] 3 16 10 16 5" xfId="54224"/>
    <cellStyle name="Input [yellow] 3 16 10 17" xfId="10126"/>
    <cellStyle name="Input [yellow] 3 16 10 17 2" xfId="21323"/>
    <cellStyle name="Input [yellow] 3 16 10 17 3" xfId="32491"/>
    <cellStyle name="Input [yellow] 3 16 10 17 4" xfId="43656"/>
    <cellStyle name="Input [yellow] 3 16 10 17 5" xfId="54849"/>
    <cellStyle name="Input [yellow] 3 16 10 18" xfId="10435"/>
    <cellStyle name="Input [yellow] 3 16 10 18 2" xfId="21632"/>
    <cellStyle name="Input [yellow] 3 16 10 18 3" xfId="32800"/>
    <cellStyle name="Input [yellow] 3 16 10 18 4" xfId="43965"/>
    <cellStyle name="Input [yellow] 3 16 10 18 5" xfId="55158"/>
    <cellStyle name="Input [yellow] 3 16 10 19" xfId="11166"/>
    <cellStyle name="Input [yellow] 3 16 10 19 2" xfId="22363"/>
    <cellStyle name="Input [yellow] 3 16 10 19 3" xfId="33531"/>
    <cellStyle name="Input [yellow] 3 16 10 19 4" xfId="44696"/>
    <cellStyle name="Input [yellow] 3 16 10 19 5" xfId="55889"/>
    <cellStyle name="Input [yellow] 3 16 10 2" xfId="1262"/>
    <cellStyle name="Input [yellow] 3 16 10 2 2" xfId="12459"/>
    <cellStyle name="Input [yellow] 3 16 10 2 3" xfId="23627"/>
    <cellStyle name="Input [yellow] 3 16 10 2 4" xfId="34792"/>
    <cellStyle name="Input [yellow] 3 16 10 2 5" xfId="45985"/>
    <cellStyle name="Input [yellow] 3 16 10 20" xfId="11813"/>
    <cellStyle name="Input [yellow] 3 16 10 21" xfId="22983"/>
    <cellStyle name="Input [yellow] 3 16 10 22" xfId="34150"/>
    <cellStyle name="Input [yellow] 3 16 10 23" xfId="45336"/>
    <cellStyle name="Input [yellow] 3 16 10 3" xfId="1724"/>
    <cellStyle name="Input [yellow] 3 16 10 3 2" xfId="12921"/>
    <cellStyle name="Input [yellow] 3 16 10 3 3" xfId="24089"/>
    <cellStyle name="Input [yellow] 3 16 10 3 4" xfId="35254"/>
    <cellStyle name="Input [yellow] 3 16 10 3 5" xfId="46447"/>
    <cellStyle name="Input [yellow] 3 16 10 4" xfId="2538"/>
    <cellStyle name="Input [yellow] 3 16 10 4 2" xfId="13735"/>
    <cellStyle name="Input [yellow] 3 16 10 4 3" xfId="24903"/>
    <cellStyle name="Input [yellow] 3 16 10 4 4" xfId="36068"/>
    <cellStyle name="Input [yellow] 3 16 10 4 5" xfId="47261"/>
    <cellStyle name="Input [yellow] 3 16 10 5" xfId="2963"/>
    <cellStyle name="Input [yellow] 3 16 10 5 2" xfId="14160"/>
    <cellStyle name="Input [yellow] 3 16 10 5 3" xfId="25328"/>
    <cellStyle name="Input [yellow] 3 16 10 5 4" xfId="36493"/>
    <cellStyle name="Input [yellow] 3 16 10 5 5" xfId="47686"/>
    <cellStyle name="Input [yellow] 3 16 10 6" xfId="3597"/>
    <cellStyle name="Input [yellow] 3 16 10 6 2" xfId="14794"/>
    <cellStyle name="Input [yellow] 3 16 10 6 3" xfId="25962"/>
    <cellStyle name="Input [yellow] 3 16 10 6 4" xfId="37127"/>
    <cellStyle name="Input [yellow] 3 16 10 6 5" xfId="48320"/>
    <cellStyle name="Input [yellow] 3 16 10 7" xfId="4231"/>
    <cellStyle name="Input [yellow] 3 16 10 7 2" xfId="15428"/>
    <cellStyle name="Input [yellow] 3 16 10 7 3" xfId="26596"/>
    <cellStyle name="Input [yellow] 3 16 10 7 4" xfId="37761"/>
    <cellStyle name="Input [yellow] 3 16 10 7 5" xfId="48954"/>
    <cellStyle name="Input [yellow] 3 16 10 8" xfId="4864"/>
    <cellStyle name="Input [yellow] 3 16 10 8 2" xfId="16061"/>
    <cellStyle name="Input [yellow] 3 16 10 8 3" xfId="27229"/>
    <cellStyle name="Input [yellow] 3 16 10 8 4" xfId="38394"/>
    <cellStyle name="Input [yellow] 3 16 10 8 5" xfId="49587"/>
    <cellStyle name="Input [yellow] 3 16 10 9" xfId="5495"/>
    <cellStyle name="Input [yellow] 3 16 10 9 2" xfId="16692"/>
    <cellStyle name="Input [yellow] 3 16 10 9 3" xfId="27860"/>
    <cellStyle name="Input [yellow] 3 16 10 9 4" xfId="39025"/>
    <cellStyle name="Input [yellow] 3 16 10 9 5" xfId="50218"/>
    <cellStyle name="Input [yellow] 3 16 11" xfId="660"/>
    <cellStyle name="Input [yellow] 3 16 11 10" xfId="5829"/>
    <cellStyle name="Input [yellow] 3 16 11 10 2" xfId="17026"/>
    <cellStyle name="Input [yellow] 3 16 11 10 3" xfId="28194"/>
    <cellStyle name="Input [yellow] 3 16 11 10 4" xfId="39359"/>
    <cellStyle name="Input [yellow] 3 16 11 10 5" xfId="50552"/>
    <cellStyle name="Input [yellow] 3 16 11 11" xfId="6596"/>
    <cellStyle name="Input [yellow] 3 16 11 11 2" xfId="17793"/>
    <cellStyle name="Input [yellow] 3 16 11 11 3" xfId="28961"/>
    <cellStyle name="Input [yellow] 3 16 11 11 4" xfId="40126"/>
    <cellStyle name="Input [yellow] 3 16 11 11 5" xfId="51319"/>
    <cellStyle name="Input [yellow] 3 16 11 12" xfId="7229"/>
    <cellStyle name="Input [yellow] 3 16 11 12 2" xfId="18426"/>
    <cellStyle name="Input [yellow] 3 16 11 12 3" xfId="29594"/>
    <cellStyle name="Input [yellow] 3 16 11 12 4" xfId="40759"/>
    <cellStyle name="Input [yellow] 3 16 11 12 5" xfId="51952"/>
    <cellStyle name="Input [yellow] 3 16 11 13" xfId="7863"/>
    <cellStyle name="Input [yellow] 3 16 11 13 2" xfId="19060"/>
    <cellStyle name="Input [yellow] 3 16 11 13 3" xfId="30228"/>
    <cellStyle name="Input [yellow] 3 16 11 13 4" xfId="41393"/>
    <cellStyle name="Input [yellow] 3 16 11 13 5" xfId="52586"/>
    <cellStyle name="Input [yellow] 3 16 11 14" xfId="8497"/>
    <cellStyle name="Input [yellow] 3 16 11 14 2" xfId="19694"/>
    <cellStyle name="Input [yellow] 3 16 11 14 3" xfId="30862"/>
    <cellStyle name="Input [yellow] 3 16 11 14 4" xfId="42027"/>
    <cellStyle name="Input [yellow] 3 16 11 14 5" xfId="53220"/>
    <cellStyle name="Input [yellow] 3 16 11 15" xfId="9125"/>
    <cellStyle name="Input [yellow] 3 16 11 15 2" xfId="20322"/>
    <cellStyle name="Input [yellow] 3 16 11 15 3" xfId="31490"/>
    <cellStyle name="Input [yellow] 3 16 11 15 4" xfId="42655"/>
    <cellStyle name="Input [yellow] 3 16 11 15 5" xfId="53848"/>
    <cellStyle name="Input [yellow] 3 16 11 16" xfId="9548"/>
    <cellStyle name="Input [yellow] 3 16 11 16 2" xfId="20745"/>
    <cellStyle name="Input [yellow] 3 16 11 16 3" xfId="31913"/>
    <cellStyle name="Input [yellow] 3 16 11 16 4" xfId="43078"/>
    <cellStyle name="Input [yellow] 3 16 11 16 5" xfId="54271"/>
    <cellStyle name="Input [yellow] 3 16 11 17" xfId="10172"/>
    <cellStyle name="Input [yellow] 3 16 11 17 2" xfId="21369"/>
    <cellStyle name="Input [yellow] 3 16 11 17 3" xfId="32537"/>
    <cellStyle name="Input [yellow] 3 16 11 17 4" xfId="43702"/>
    <cellStyle name="Input [yellow] 3 16 11 17 5" xfId="54895"/>
    <cellStyle name="Input [yellow] 3 16 11 18" xfId="10211"/>
    <cellStyle name="Input [yellow] 3 16 11 18 2" xfId="21408"/>
    <cellStyle name="Input [yellow] 3 16 11 18 3" xfId="32576"/>
    <cellStyle name="Input [yellow] 3 16 11 18 4" xfId="43741"/>
    <cellStyle name="Input [yellow] 3 16 11 18 5" xfId="54934"/>
    <cellStyle name="Input [yellow] 3 16 11 19" xfId="11213"/>
    <cellStyle name="Input [yellow] 3 16 11 19 2" xfId="22410"/>
    <cellStyle name="Input [yellow] 3 16 11 19 3" xfId="33578"/>
    <cellStyle name="Input [yellow] 3 16 11 19 4" xfId="44743"/>
    <cellStyle name="Input [yellow] 3 16 11 19 5" xfId="55936"/>
    <cellStyle name="Input [yellow] 3 16 11 2" xfId="1309"/>
    <cellStyle name="Input [yellow] 3 16 11 2 2" xfId="12506"/>
    <cellStyle name="Input [yellow] 3 16 11 2 3" xfId="23674"/>
    <cellStyle name="Input [yellow] 3 16 11 2 4" xfId="34839"/>
    <cellStyle name="Input [yellow] 3 16 11 2 5" xfId="46032"/>
    <cellStyle name="Input [yellow] 3 16 11 20" xfId="11860"/>
    <cellStyle name="Input [yellow] 3 16 11 21" xfId="23030"/>
    <cellStyle name="Input [yellow] 3 16 11 22" xfId="34197"/>
    <cellStyle name="Input [yellow] 3 16 11 23" xfId="45383"/>
    <cellStyle name="Input [yellow] 3 16 11 3" xfId="1556"/>
    <cellStyle name="Input [yellow] 3 16 11 3 2" xfId="12753"/>
    <cellStyle name="Input [yellow] 3 16 11 3 3" xfId="23921"/>
    <cellStyle name="Input [yellow] 3 16 11 3 4" xfId="35086"/>
    <cellStyle name="Input [yellow] 3 16 11 3 5" xfId="46279"/>
    <cellStyle name="Input [yellow] 3 16 11 4" xfId="2585"/>
    <cellStyle name="Input [yellow] 3 16 11 4 2" xfId="13782"/>
    <cellStyle name="Input [yellow] 3 16 11 4 3" xfId="24950"/>
    <cellStyle name="Input [yellow] 3 16 11 4 4" xfId="36115"/>
    <cellStyle name="Input [yellow] 3 16 11 4 5" xfId="47308"/>
    <cellStyle name="Input [yellow] 3 16 11 5" xfId="3010"/>
    <cellStyle name="Input [yellow] 3 16 11 5 2" xfId="14207"/>
    <cellStyle name="Input [yellow] 3 16 11 5 3" xfId="25375"/>
    <cellStyle name="Input [yellow] 3 16 11 5 4" xfId="36540"/>
    <cellStyle name="Input [yellow] 3 16 11 5 5" xfId="47733"/>
    <cellStyle name="Input [yellow] 3 16 11 6" xfId="3644"/>
    <cellStyle name="Input [yellow] 3 16 11 6 2" xfId="14841"/>
    <cellStyle name="Input [yellow] 3 16 11 6 3" xfId="26009"/>
    <cellStyle name="Input [yellow] 3 16 11 6 4" xfId="37174"/>
    <cellStyle name="Input [yellow] 3 16 11 6 5" xfId="48367"/>
    <cellStyle name="Input [yellow] 3 16 11 7" xfId="4278"/>
    <cellStyle name="Input [yellow] 3 16 11 7 2" xfId="15475"/>
    <cellStyle name="Input [yellow] 3 16 11 7 3" xfId="26643"/>
    <cellStyle name="Input [yellow] 3 16 11 7 4" xfId="37808"/>
    <cellStyle name="Input [yellow] 3 16 11 7 5" xfId="49001"/>
    <cellStyle name="Input [yellow] 3 16 11 8" xfId="4911"/>
    <cellStyle name="Input [yellow] 3 16 11 8 2" xfId="16108"/>
    <cellStyle name="Input [yellow] 3 16 11 8 3" xfId="27276"/>
    <cellStyle name="Input [yellow] 3 16 11 8 4" xfId="38441"/>
    <cellStyle name="Input [yellow] 3 16 11 8 5" xfId="49634"/>
    <cellStyle name="Input [yellow] 3 16 11 9" xfId="5542"/>
    <cellStyle name="Input [yellow] 3 16 11 9 2" xfId="16739"/>
    <cellStyle name="Input [yellow] 3 16 11 9 3" xfId="27907"/>
    <cellStyle name="Input [yellow] 3 16 11 9 4" xfId="39072"/>
    <cellStyle name="Input [yellow] 3 16 11 9 5" xfId="50265"/>
    <cellStyle name="Input [yellow] 3 16 12" xfId="747"/>
    <cellStyle name="Input [yellow] 3 16 12 2" xfId="11944"/>
    <cellStyle name="Input [yellow] 3 16 12 3" xfId="23112"/>
    <cellStyle name="Input [yellow] 3 16 12 4" xfId="34277"/>
    <cellStyle name="Input [yellow] 3 16 12 5" xfId="45470"/>
    <cellStyle name="Input [yellow] 3 16 13" xfId="1806"/>
    <cellStyle name="Input [yellow] 3 16 13 2" xfId="13003"/>
    <cellStyle name="Input [yellow] 3 16 13 3" xfId="24171"/>
    <cellStyle name="Input [yellow] 3 16 13 4" xfId="35336"/>
    <cellStyle name="Input [yellow] 3 16 13 5" xfId="46529"/>
    <cellStyle name="Input [yellow] 3 16 14" xfId="2024"/>
    <cellStyle name="Input [yellow] 3 16 14 2" xfId="13221"/>
    <cellStyle name="Input [yellow] 3 16 14 3" xfId="24389"/>
    <cellStyle name="Input [yellow] 3 16 14 4" xfId="35554"/>
    <cellStyle name="Input [yellow] 3 16 14 5" xfId="46747"/>
    <cellStyle name="Input [yellow] 3 16 15" xfId="2397"/>
    <cellStyle name="Input [yellow] 3 16 15 2" xfId="13594"/>
    <cellStyle name="Input [yellow] 3 16 15 3" xfId="24762"/>
    <cellStyle name="Input [yellow] 3 16 15 4" xfId="35927"/>
    <cellStyle name="Input [yellow] 3 16 15 5" xfId="47120"/>
    <cellStyle name="Input [yellow] 3 16 16" xfId="3082"/>
    <cellStyle name="Input [yellow] 3 16 16 2" xfId="14279"/>
    <cellStyle name="Input [yellow] 3 16 16 3" xfId="25447"/>
    <cellStyle name="Input [yellow] 3 16 16 4" xfId="36612"/>
    <cellStyle name="Input [yellow] 3 16 16 5" xfId="47805"/>
    <cellStyle name="Input [yellow] 3 16 17" xfId="3716"/>
    <cellStyle name="Input [yellow] 3 16 17 2" xfId="14913"/>
    <cellStyle name="Input [yellow] 3 16 17 3" xfId="26081"/>
    <cellStyle name="Input [yellow] 3 16 17 4" xfId="37246"/>
    <cellStyle name="Input [yellow] 3 16 17 5" xfId="48439"/>
    <cellStyle name="Input [yellow] 3 16 18" xfId="4349"/>
    <cellStyle name="Input [yellow] 3 16 18 2" xfId="15546"/>
    <cellStyle name="Input [yellow] 3 16 18 3" xfId="26714"/>
    <cellStyle name="Input [yellow] 3 16 18 4" xfId="37879"/>
    <cellStyle name="Input [yellow] 3 16 18 5" xfId="49072"/>
    <cellStyle name="Input [yellow] 3 16 19" xfId="4980"/>
    <cellStyle name="Input [yellow] 3 16 19 2" xfId="16177"/>
    <cellStyle name="Input [yellow] 3 16 19 3" xfId="27345"/>
    <cellStyle name="Input [yellow] 3 16 19 4" xfId="38510"/>
    <cellStyle name="Input [yellow] 3 16 19 5" xfId="49703"/>
    <cellStyle name="Input [yellow] 3 16 2" xfId="161"/>
    <cellStyle name="Input [yellow] 3 16 2 10" xfId="5716"/>
    <cellStyle name="Input [yellow] 3 16 2 10 2" xfId="16913"/>
    <cellStyle name="Input [yellow] 3 16 2 10 3" xfId="28081"/>
    <cellStyle name="Input [yellow] 3 16 2 10 4" xfId="39246"/>
    <cellStyle name="Input [yellow] 3 16 2 10 5" xfId="50439"/>
    <cellStyle name="Input [yellow] 3 16 2 11" xfId="5922"/>
    <cellStyle name="Input [yellow] 3 16 2 11 2" xfId="17119"/>
    <cellStyle name="Input [yellow] 3 16 2 11 3" xfId="28287"/>
    <cellStyle name="Input [yellow] 3 16 2 11 4" xfId="39452"/>
    <cellStyle name="Input [yellow] 3 16 2 11 5" xfId="50645"/>
    <cellStyle name="Input [yellow] 3 16 2 12" xfId="6730"/>
    <cellStyle name="Input [yellow] 3 16 2 12 2" xfId="17927"/>
    <cellStyle name="Input [yellow] 3 16 2 12 3" xfId="29095"/>
    <cellStyle name="Input [yellow] 3 16 2 12 4" xfId="40260"/>
    <cellStyle name="Input [yellow] 3 16 2 12 5" xfId="51453"/>
    <cellStyle name="Input [yellow] 3 16 2 13" xfId="7364"/>
    <cellStyle name="Input [yellow] 3 16 2 13 2" xfId="18561"/>
    <cellStyle name="Input [yellow] 3 16 2 13 3" xfId="29729"/>
    <cellStyle name="Input [yellow] 3 16 2 13 4" xfId="40894"/>
    <cellStyle name="Input [yellow] 3 16 2 13 5" xfId="52087"/>
    <cellStyle name="Input [yellow] 3 16 2 14" xfId="7998"/>
    <cellStyle name="Input [yellow] 3 16 2 14 2" xfId="19195"/>
    <cellStyle name="Input [yellow] 3 16 2 14 3" xfId="30363"/>
    <cellStyle name="Input [yellow] 3 16 2 14 4" xfId="41528"/>
    <cellStyle name="Input [yellow] 3 16 2 14 5" xfId="52721"/>
    <cellStyle name="Input [yellow] 3 16 2 15" xfId="8629"/>
    <cellStyle name="Input [yellow] 3 16 2 15 2" xfId="19826"/>
    <cellStyle name="Input [yellow] 3 16 2 15 3" xfId="30994"/>
    <cellStyle name="Input [yellow] 3 16 2 15 4" xfId="42159"/>
    <cellStyle name="Input [yellow] 3 16 2 15 5" xfId="53352"/>
    <cellStyle name="Input [yellow] 3 16 2 16" xfId="8751"/>
    <cellStyle name="Input [yellow] 3 16 2 16 2" xfId="19948"/>
    <cellStyle name="Input [yellow] 3 16 2 16 3" xfId="31116"/>
    <cellStyle name="Input [yellow] 3 16 2 16 4" xfId="42281"/>
    <cellStyle name="Input [yellow] 3 16 2 16 5" xfId="53474"/>
    <cellStyle name="Input [yellow] 3 16 2 17" xfId="9681"/>
    <cellStyle name="Input [yellow] 3 16 2 17 2" xfId="20878"/>
    <cellStyle name="Input [yellow] 3 16 2 17 3" xfId="32046"/>
    <cellStyle name="Input [yellow] 3 16 2 17 4" xfId="43211"/>
    <cellStyle name="Input [yellow] 3 16 2 17 5" xfId="54404"/>
    <cellStyle name="Input [yellow] 3 16 2 18" xfId="10589"/>
    <cellStyle name="Input [yellow] 3 16 2 18 2" xfId="21786"/>
    <cellStyle name="Input [yellow] 3 16 2 18 3" xfId="32954"/>
    <cellStyle name="Input [yellow] 3 16 2 18 4" xfId="44119"/>
    <cellStyle name="Input [yellow] 3 16 2 18 5" xfId="55312"/>
    <cellStyle name="Input [yellow] 3 16 2 19" xfId="10714"/>
    <cellStyle name="Input [yellow] 3 16 2 19 2" xfId="21911"/>
    <cellStyle name="Input [yellow] 3 16 2 19 3" xfId="33079"/>
    <cellStyle name="Input [yellow] 3 16 2 19 4" xfId="44244"/>
    <cellStyle name="Input [yellow] 3 16 2 19 5" xfId="55437"/>
    <cellStyle name="Input [yellow] 3 16 2 2" xfId="810"/>
    <cellStyle name="Input [yellow] 3 16 2 2 2" xfId="12007"/>
    <cellStyle name="Input [yellow] 3 16 2 2 3" xfId="23175"/>
    <cellStyle name="Input [yellow] 3 16 2 2 4" xfId="34340"/>
    <cellStyle name="Input [yellow] 3 16 2 2 5" xfId="45533"/>
    <cellStyle name="Input [yellow] 3 16 2 20" xfId="11361"/>
    <cellStyle name="Input [yellow] 3 16 2 21" xfId="22531"/>
    <cellStyle name="Input [yellow] 3 16 2 22" xfId="33698"/>
    <cellStyle name="Input [yellow] 3 16 2 23" xfId="44884"/>
    <cellStyle name="Input [yellow] 3 16 2 3" xfId="1896"/>
    <cellStyle name="Input [yellow] 3 16 2 3 2" xfId="13093"/>
    <cellStyle name="Input [yellow] 3 16 2 3 3" xfId="24261"/>
    <cellStyle name="Input [yellow] 3 16 2 3 4" xfId="35426"/>
    <cellStyle name="Input [yellow] 3 16 2 3 5" xfId="46619"/>
    <cellStyle name="Input [yellow] 3 16 2 4" xfId="2087"/>
    <cellStyle name="Input [yellow] 3 16 2 4 2" xfId="13284"/>
    <cellStyle name="Input [yellow] 3 16 2 4 3" xfId="24452"/>
    <cellStyle name="Input [yellow] 3 16 2 4 4" xfId="35617"/>
    <cellStyle name="Input [yellow] 3 16 2 4 5" xfId="46810"/>
    <cellStyle name="Input [yellow] 3 16 2 5" xfId="2519"/>
    <cellStyle name="Input [yellow] 3 16 2 5 2" xfId="13716"/>
    <cellStyle name="Input [yellow] 3 16 2 5 3" xfId="24884"/>
    <cellStyle name="Input [yellow] 3 16 2 5 4" xfId="36049"/>
    <cellStyle name="Input [yellow] 3 16 2 5 5" xfId="47242"/>
    <cellStyle name="Input [yellow] 3 16 2 6" xfId="3145"/>
    <cellStyle name="Input [yellow] 3 16 2 6 2" xfId="14342"/>
    <cellStyle name="Input [yellow] 3 16 2 6 3" xfId="25510"/>
    <cellStyle name="Input [yellow] 3 16 2 6 4" xfId="36675"/>
    <cellStyle name="Input [yellow] 3 16 2 6 5" xfId="47868"/>
    <cellStyle name="Input [yellow] 3 16 2 7" xfId="3779"/>
    <cellStyle name="Input [yellow] 3 16 2 7 2" xfId="14976"/>
    <cellStyle name="Input [yellow] 3 16 2 7 3" xfId="26144"/>
    <cellStyle name="Input [yellow] 3 16 2 7 4" xfId="37309"/>
    <cellStyle name="Input [yellow] 3 16 2 7 5" xfId="48502"/>
    <cellStyle name="Input [yellow] 3 16 2 8" xfId="4412"/>
    <cellStyle name="Input [yellow] 3 16 2 8 2" xfId="15609"/>
    <cellStyle name="Input [yellow] 3 16 2 8 3" xfId="26777"/>
    <cellStyle name="Input [yellow] 3 16 2 8 4" xfId="37942"/>
    <cellStyle name="Input [yellow] 3 16 2 8 5" xfId="49135"/>
    <cellStyle name="Input [yellow] 3 16 2 9" xfId="5043"/>
    <cellStyle name="Input [yellow] 3 16 2 9 2" xfId="16240"/>
    <cellStyle name="Input [yellow] 3 16 2 9 3" xfId="27408"/>
    <cellStyle name="Input [yellow] 3 16 2 9 4" xfId="38573"/>
    <cellStyle name="Input [yellow] 3 16 2 9 5" xfId="49766"/>
    <cellStyle name="Input [yellow] 3 16 20" xfId="5705"/>
    <cellStyle name="Input [yellow] 3 16 20 2" xfId="16902"/>
    <cellStyle name="Input [yellow] 3 16 20 3" xfId="28070"/>
    <cellStyle name="Input [yellow] 3 16 20 4" xfId="39235"/>
    <cellStyle name="Input [yellow] 3 16 20 5" xfId="50428"/>
    <cellStyle name="Input [yellow] 3 16 21" xfId="6183"/>
    <cellStyle name="Input [yellow] 3 16 21 2" xfId="17380"/>
    <cellStyle name="Input [yellow] 3 16 21 3" xfId="28548"/>
    <cellStyle name="Input [yellow] 3 16 21 4" xfId="39713"/>
    <cellStyle name="Input [yellow] 3 16 21 5" xfId="50906"/>
    <cellStyle name="Input [yellow] 3 16 22" xfId="6667"/>
    <cellStyle name="Input [yellow] 3 16 22 2" xfId="17864"/>
    <cellStyle name="Input [yellow] 3 16 22 3" xfId="29032"/>
    <cellStyle name="Input [yellow] 3 16 22 4" xfId="40197"/>
    <cellStyle name="Input [yellow] 3 16 22 5" xfId="51390"/>
    <cellStyle name="Input [yellow] 3 16 23" xfId="7301"/>
    <cellStyle name="Input [yellow] 3 16 23 2" xfId="18498"/>
    <cellStyle name="Input [yellow] 3 16 23 3" xfId="29666"/>
    <cellStyle name="Input [yellow] 3 16 23 4" xfId="40831"/>
    <cellStyle name="Input [yellow] 3 16 23 5" xfId="52024"/>
    <cellStyle name="Input [yellow] 3 16 24" xfId="7935"/>
    <cellStyle name="Input [yellow] 3 16 24 2" xfId="19132"/>
    <cellStyle name="Input [yellow] 3 16 24 3" xfId="30300"/>
    <cellStyle name="Input [yellow] 3 16 24 4" xfId="41465"/>
    <cellStyle name="Input [yellow] 3 16 24 5" xfId="52658"/>
    <cellStyle name="Input [yellow] 3 16 25" xfId="8566"/>
    <cellStyle name="Input [yellow] 3 16 25 2" xfId="19763"/>
    <cellStyle name="Input [yellow] 3 16 25 3" xfId="30931"/>
    <cellStyle name="Input [yellow] 3 16 25 4" xfId="42096"/>
    <cellStyle name="Input [yellow] 3 16 25 5" xfId="53289"/>
    <cellStyle name="Input [yellow] 3 16 26" xfId="9089"/>
    <cellStyle name="Input [yellow] 3 16 26 2" xfId="20286"/>
    <cellStyle name="Input [yellow] 3 16 26 3" xfId="31454"/>
    <cellStyle name="Input [yellow] 3 16 26 4" xfId="42619"/>
    <cellStyle name="Input [yellow] 3 16 26 5" xfId="53812"/>
    <cellStyle name="Input [yellow] 3 16 27" xfId="9619"/>
    <cellStyle name="Input [yellow] 3 16 27 2" xfId="20816"/>
    <cellStyle name="Input [yellow] 3 16 27 3" xfId="31984"/>
    <cellStyle name="Input [yellow] 3 16 27 4" xfId="43149"/>
    <cellStyle name="Input [yellow] 3 16 27 5" xfId="54342"/>
    <cellStyle name="Input [yellow] 3 16 28" xfId="9872"/>
    <cellStyle name="Input [yellow] 3 16 28 2" xfId="21069"/>
    <cellStyle name="Input [yellow] 3 16 28 3" xfId="32237"/>
    <cellStyle name="Input [yellow] 3 16 28 4" xfId="43402"/>
    <cellStyle name="Input [yellow] 3 16 28 5" xfId="54595"/>
    <cellStyle name="Input [yellow] 3 16 29" xfId="10651"/>
    <cellStyle name="Input [yellow] 3 16 29 2" xfId="21848"/>
    <cellStyle name="Input [yellow] 3 16 29 3" xfId="33016"/>
    <cellStyle name="Input [yellow] 3 16 29 4" xfId="44181"/>
    <cellStyle name="Input [yellow] 3 16 29 5" xfId="55374"/>
    <cellStyle name="Input [yellow] 3 16 3" xfId="217"/>
    <cellStyle name="Input [yellow] 3 16 3 10" xfId="5823"/>
    <cellStyle name="Input [yellow] 3 16 3 10 2" xfId="17020"/>
    <cellStyle name="Input [yellow] 3 16 3 10 3" xfId="28188"/>
    <cellStyle name="Input [yellow] 3 16 3 10 4" xfId="39353"/>
    <cellStyle name="Input [yellow] 3 16 3 10 5" xfId="50546"/>
    <cellStyle name="Input [yellow] 3 16 3 11" xfId="5732"/>
    <cellStyle name="Input [yellow] 3 16 3 11 2" xfId="16929"/>
    <cellStyle name="Input [yellow] 3 16 3 11 3" xfId="28097"/>
    <cellStyle name="Input [yellow] 3 16 3 11 4" xfId="39262"/>
    <cellStyle name="Input [yellow] 3 16 3 11 5" xfId="50455"/>
    <cellStyle name="Input [yellow] 3 16 3 12" xfId="6786"/>
    <cellStyle name="Input [yellow] 3 16 3 12 2" xfId="17983"/>
    <cellStyle name="Input [yellow] 3 16 3 12 3" xfId="29151"/>
    <cellStyle name="Input [yellow] 3 16 3 12 4" xfId="40316"/>
    <cellStyle name="Input [yellow] 3 16 3 12 5" xfId="51509"/>
    <cellStyle name="Input [yellow] 3 16 3 13" xfId="7420"/>
    <cellStyle name="Input [yellow] 3 16 3 13 2" xfId="18617"/>
    <cellStyle name="Input [yellow] 3 16 3 13 3" xfId="29785"/>
    <cellStyle name="Input [yellow] 3 16 3 13 4" xfId="40950"/>
    <cellStyle name="Input [yellow] 3 16 3 13 5" xfId="52143"/>
    <cellStyle name="Input [yellow] 3 16 3 14" xfId="8054"/>
    <cellStyle name="Input [yellow] 3 16 3 14 2" xfId="19251"/>
    <cellStyle name="Input [yellow] 3 16 3 14 3" xfId="30419"/>
    <cellStyle name="Input [yellow] 3 16 3 14 4" xfId="41584"/>
    <cellStyle name="Input [yellow] 3 16 3 14 5" xfId="52777"/>
    <cellStyle name="Input [yellow] 3 16 3 15" xfId="8685"/>
    <cellStyle name="Input [yellow] 3 16 3 15 2" xfId="19882"/>
    <cellStyle name="Input [yellow] 3 16 3 15 3" xfId="31050"/>
    <cellStyle name="Input [yellow] 3 16 3 15 4" xfId="42215"/>
    <cellStyle name="Input [yellow] 3 16 3 15 5" xfId="53408"/>
    <cellStyle name="Input [yellow] 3 16 3 16" xfId="8675"/>
    <cellStyle name="Input [yellow] 3 16 3 16 2" xfId="19872"/>
    <cellStyle name="Input [yellow] 3 16 3 16 3" xfId="31040"/>
    <cellStyle name="Input [yellow] 3 16 3 16 4" xfId="42205"/>
    <cellStyle name="Input [yellow] 3 16 3 16 5" xfId="53398"/>
    <cellStyle name="Input [yellow] 3 16 3 17" xfId="9736"/>
    <cellStyle name="Input [yellow] 3 16 3 17 2" xfId="20933"/>
    <cellStyle name="Input [yellow] 3 16 3 17 3" xfId="32101"/>
    <cellStyle name="Input [yellow] 3 16 3 17 4" xfId="43266"/>
    <cellStyle name="Input [yellow] 3 16 3 17 5" xfId="54459"/>
    <cellStyle name="Input [yellow] 3 16 3 18" xfId="10411"/>
    <cellStyle name="Input [yellow] 3 16 3 18 2" xfId="21608"/>
    <cellStyle name="Input [yellow] 3 16 3 18 3" xfId="32776"/>
    <cellStyle name="Input [yellow] 3 16 3 18 4" xfId="43941"/>
    <cellStyle name="Input [yellow] 3 16 3 18 5" xfId="55134"/>
    <cellStyle name="Input [yellow] 3 16 3 19" xfId="10770"/>
    <cellStyle name="Input [yellow] 3 16 3 19 2" xfId="21967"/>
    <cellStyle name="Input [yellow] 3 16 3 19 3" xfId="33135"/>
    <cellStyle name="Input [yellow] 3 16 3 19 4" xfId="44300"/>
    <cellStyle name="Input [yellow] 3 16 3 19 5" xfId="55493"/>
    <cellStyle name="Input [yellow] 3 16 3 2" xfId="866"/>
    <cellStyle name="Input [yellow] 3 16 3 2 2" xfId="12063"/>
    <cellStyle name="Input [yellow] 3 16 3 2 3" xfId="23231"/>
    <cellStyle name="Input [yellow] 3 16 3 2 4" xfId="34396"/>
    <cellStyle name="Input [yellow] 3 16 3 2 5" xfId="45589"/>
    <cellStyle name="Input [yellow] 3 16 3 20" xfId="11417"/>
    <cellStyle name="Input [yellow] 3 16 3 21" xfId="22587"/>
    <cellStyle name="Input [yellow] 3 16 3 22" xfId="33754"/>
    <cellStyle name="Input [yellow] 3 16 3 23" xfId="44940"/>
    <cellStyle name="Input [yellow] 3 16 3 3" xfId="1373"/>
    <cellStyle name="Input [yellow] 3 16 3 3 2" xfId="12570"/>
    <cellStyle name="Input [yellow] 3 16 3 3 3" xfId="23738"/>
    <cellStyle name="Input [yellow] 3 16 3 3 4" xfId="34903"/>
    <cellStyle name="Input [yellow] 3 16 3 3 5" xfId="46096"/>
    <cellStyle name="Input [yellow] 3 16 3 4" xfId="2143"/>
    <cellStyle name="Input [yellow] 3 16 3 4 2" xfId="13340"/>
    <cellStyle name="Input [yellow] 3 16 3 4 3" xfId="24508"/>
    <cellStyle name="Input [yellow] 3 16 3 4 4" xfId="35673"/>
    <cellStyle name="Input [yellow] 3 16 3 4 5" xfId="46866"/>
    <cellStyle name="Input [yellow] 3 16 3 5" xfId="2546"/>
    <cellStyle name="Input [yellow] 3 16 3 5 2" xfId="13743"/>
    <cellStyle name="Input [yellow] 3 16 3 5 3" xfId="24911"/>
    <cellStyle name="Input [yellow] 3 16 3 5 4" xfId="36076"/>
    <cellStyle name="Input [yellow] 3 16 3 5 5" xfId="47269"/>
    <cellStyle name="Input [yellow] 3 16 3 6" xfId="3201"/>
    <cellStyle name="Input [yellow] 3 16 3 6 2" xfId="14398"/>
    <cellStyle name="Input [yellow] 3 16 3 6 3" xfId="25566"/>
    <cellStyle name="Input [yellow] 3 16 3 6 4" xfId="36731"/>
    <cellStyle name="Input [yellow] 3 16 3 6 5" xfId="47924"/>
    <cellStyle name="Input [yellow] 3 16 3 7" xfId="3835"/>
    <cellStyle name="Input [yellow] 3 16 3 7 2" xfId="15032"/>
    <cellStyle name="Input [yellow] 3 16 3 7 3" xfId="26200"/>
    <cellStyle name="Input [yellow] 3 16 3 7 4" xfId="37365"/>
    <cellStyle name="Input [yellow] 3 16 3 7 5" xfId="48558"/>
    <cellStyle name="Input [yellow] 3 16 3 8" xfId="4468"/>
    <cellStyle name="Input [yellow] 3 16 3 8 2" xfId="15665"/>
    <cellStyle name="Input [yellow] 3 16 3 8 3" xfId="26833"/>
    <cellStyle name="Input [yellow] 3 16 3 8 4" xfId="37998"/>
    <cellStyle name="Input [yellow] 3 16 3 8 5" xfId="49191"/>
    <cellStyle name="Input [yellow] 3 16 3 9" xfId="5099"/>
    <cellStyle name="Input [yellow] 3 16 3 9 2" xfId="16296"/>
    <cellStyle name="Input [yellow] 3 16 3 9 3" xfId="27464"/>
    <cellStyle name="Input [yellow] 3 16 3 9 4" xfId="38629"/>
    <cellStyle name="Input [yellow] 3 16 3 9 5" xfId="49822"/>
    <cellStyle name="Input [yellow] 3 16 30" xfId="11298"/>
    <cellStyle name="Input [yellow] 3 16 31" xfId="22468"/>
    <cellStyle name="Input [yellow] 3 16 32" xfId="33635"/>
    <cellStyle name="Input [yellow] 3 16 33" xfId="44821"/>
    <cellStyle name="Input [yellow] 3 16 4" xfId="255"/>
    <cellStyle name="Input [yellow] 3 16 4 10" xfId="5958"/>
    <cellStyle name="Input [yellow] 3 16 4 10 2" xfId="17155"/>
    <cellStyle name="Input [yellow] 3 16 4 10 3" xfId="28323"/>
    <cellStyle name="Input [yellow] 3 16 4 10 4" xfId="39488"/>
    <cellStyle name="Input [yellow] 3 16 4 10 5" xfId="50681"/>
    <cellStyle name="Input [yellow] 3 16 4 11" xfId="6191"/>
    <cellStyle name="Input [yellow] 3 16 4 11 2" xfId="17388"/>
    <cellStyle name="Input [yellow] 3 16 4 11 3" xfId="28556"/>
    <cellStyle name="Input [yellow] 3 16 4 11 4" xfId="39721"/>
    <cellStyle name="Input [yellow] 3 16 4 11 5" xfId="50914"/>
    <cellStyle name="Input [yellow] 3 16 4 12" xfId="6824"/>
    <cellStyle name="Input [yellow] 3 16 4 12 2" xfId="18021"/>
    <cellStyle name="Input [yellow] 3 16 4 12 3" xfId="29189"/>
    <cellStyle name="Input [yellow] 3 16 4 12 4" xfId="40354"/>
    <cellStyle name="Input [yellow] 3 16 4 12 5" xfId="51547"/>
    <cellStyle name="Input [yellow] 3 16 4 13" xfId="7458"/>
    <cellStyle name="Input [yellow] 3 16 4 13 2" xfId="18655"/>
    <cellStyle name="Input [yellow] 3 16 4 13 3" xfId="29823"/>
    <cellStyle name="Input [yellow] 3 16 4 13 4" xfId="40988"/>
    <cellStyle name="Input [yellow] 3 16 4 13 5" xfId="52181"/>
    <cellStyle name="Input [yellow] 3 16 4 14" xfId="8092"/>
    <cellStyle name="Input [yellow] 3 16 4 14 2" xfId="19289"/>
    <cellStyle name="Input [yellow] 3 16 4 14 3" xfId="30457"/>
    <cellStyle name="Input [yellow] 3 16 4 14 4" xfId="41622"/>
    <cellStyle name="Input [yellow] 3 16 4 14 5" xfId="52815"/>
    <cellStyle name="Input [yellow] 3 16 4 15" xfId="8721"/>
    <cellStyle name="Input [yellow] 3 16 4 15 2" xfId="19918"/>
    <cellStyle name="Input [yellow] 3 16 4 15 3" xfId="31086"/>
    <cellStyle name="Input [yellow] 3 16 4 15 4" xfId="42251"/>
    <cellStyle name="Input [yellow] 3 16 4 15 5" xfId="53444"/>
    <cellStyle name="Input [yellow] 3 16 4 16" xfId="9143"/>
    <cellStyle name="Input [yellow] 3 16 4 16 2" xfId="20340"/>
    <cellStyle name="Input [yellow] 3 16 4 16 3" xfId="31508"/>
    <cellStyle name="Input [yellow] 3 16 4 16 4" xfId="42673"/>
    <cellStyle name="Input [yellow] 3 16 4 16 5" xfId="53866"/>
    <cellStyle name="Input [yellow] 3 16 4 17" xfId="9771"/>
    <cellStyle name="Input [yellow] 3 16 4 17 2" xfId="20968"/>
    <cellStyle name="Input [yellow] 3 16 4 17 3" xfId="32136"/>
    <cellStyle name="Input [yellow] 3 16 4 17 4" xfId="43301"/>
    <cellStyle name="Input [yellow] 3 16 4 17 5" xfId="54494"/>
    <cellStyle name="Input [yellow] 3 16 4 18" xfId="10371"/>
    <cellStyle name="Input [yellow] 3 16 4 18 2" xfId="21568"/>
    <cellStyle name="Input [yellow] 3 16 4 18 3" xfId="32736"/>
    <cellStyle name="Input [yellow] 3 16 4 18 4" xfId="43901"/>
    <cellStyle name="Input [yellow] 3 16 4 18 5" xfId="55094"/>
    <cellStyle name="Input [yellow] 3 16 4 19" xfId="10808"/>
    <cellStyle name="Input [yellow] 3 16 4 19 2" xfId="22005"/>
    <cellStyle name="Input [yellow] 3 16 4 19 3" xfId="33173"/>
    <cellStyle name="Input [yellow] 3 16 4 19 4" xfId="44338"/>
    <cellStyle name="Input [yellow] 3 16 4 19 5" xfId="55531"/>
    <cellStyle name="Input [yellow] 3 16 4 2" xfId="904"/>
    <cellStyle name="Input [yellow] 3 16 4 2 2" xfId="12101"/>
    <cellStyle name="Input [yellow] 3 16 4 2 3" xfId="23269"/>
    <cellStyle name="Input [yellow] 3 16 4 2 4" xfId="34434"/>
    <cellStyle name="Input [yellow] 3 16 4 2 5" xfId="45627"/>
    <cellStyle name="Input [yellow] 3 16 4 20" xfId="11455"/>
    <cellStyle name="Input [yellow] 3 16 4 21" xfId="22625"/>
    <cellStyle name="Input [yellow] 3 16 4 22" xfId="33792"/>
    <cellStyle name="Input [yellow] 3 16 4 23" xfId="44978"/>
    <cellStyle name="Input [yellow] 3 16 4 3" xfId="1681"/>
    <cellStyle name="Input [yellow] 3 16 4 3 2" xfId="12878"/>
    <cellStyle name="Input [yellow] 3 16 4 3 3" xfId="24046"/>
    <cellStyle name="Input [yellow] 3 16 4 3 4" xfId="35211"/>
    <cellStyle name="Input [yellow] 3 16 4 3 5" xfId="46404"/>
    <cellStyle name="Input [yellow] 3 16 4 4" xfId="2181"/>
    <cellStyle name="Input [yellow] 3 16 4 4 2" xfId="13378"/>
    <cellStyle name="Input [yellow] 3 16 4 4 3" xfId="24546"/>
    <cellStyle name="Input [yellow] 3 16 4 4 4" xfId="35711"/>
    <cellStyle name="Input [yellow] 3 16 4 4 5" xfId="46904"/>
    <cellStyle name="Input [yellow] 3 16 4 5" xfId="2605"/>
    <cellStyle name="Input [yellow] 3 16 4 5 2" xfId="13802"/>
    <cellStyle name="Input [yellow] 3 16 4 5 3" xfId="24970"/>
    <cellStyle name="Input [yellow] 3 16 4 5 4" xfId="36135"/>
    <cellStyle name="Input [yellow] 3 16 4 5 5" xfId="47328"/>
    <cellStyle name="Input [yellow] 3 16 4 6" xfId="3239"/>
    <cellStyle name="Input [yellow] 3 16 4 6 2" xfId="14436"/>
    <cellStyle name="Input [yellow] 3 16 4 6 3" xfId="25604"/>
    <cellStyle name="Input [yellow] 3 16 4 6 4" xfId="36769"/>
    <cellStyle name="Input [yellow] 3 16 4 6 5" xfId="47962"/>
    <cellStyle name="Input [yellow] 3 16 4 7" xfId="3873"/>
    <cellStyle name="Input [yellow] 3 16 4 7 2" xfId="15070"/>
    <cellStyle name="Input [yellow] 3 16 4 7 3" xfId="26238"/>
    <cellStyle name="Input [yellow] 3 16 4 7 4" xfId="37403"/>
    <cellStyle name="Input [yellow] 3 16 4 7 5" xfId="48596"/>
    <cellStyle name="Input [yellow] 3 16 4 8" xfId="4506"/>
    <cellStyle name="Input [yellow] 3 16 4 8 2" xfId="15703"/>
    <cellStyle name="Input [yellow] 3 16 4 8 3" xfId="26871"/>
    <cellStyle name="Input [yellow] 3 16 4 8 4" xfId="38036"/>
    <cellStyle name="Input [yellow] 3 16 4 8 5" xfId="49229"/>
    <cellStyle name="Input [yellow] 3 16 4 9" xfId="5137"/>
    <cellStyle name="Input [yellow] 3 16 4 9 2" xfId="16334"/>
    <cellStyle name="Input [yellow] 3 16 4 9 3" xfId="27502"/>
    <cellStyle name="Input [yellow] 3 16 4 9 4" xfId="38667"/>
    <cellStyle name="Input [yellow] 3 16 4 9 5" xfId="49860"/>
    <cellStyle name="Input [yellow] 3 16 5" xfId="336"/>
    <cellStyle name="Input [yellow] 3 16 5 10" xfId="5870"/>
    <cellStyle name="Input [yellow] 3 16 5 10 2" xfId="17067"/>
    <cellStyle name="Input [yellow] 3 16 5 10 3" xfId="28235"/>
    <cellStyle name="Input [yellow] 3 16 5 10 4" xfId="39400"/>
    <cellStyle name="Input [yellow] 3 16 5 10 5" xfId="50593"/>
    <cellStyle name="Input [yellow] 3 16 5 11" xfId="6272"/>
    <cellStyle name="Input [yellow] 3 16 5 11 2" xfId="17469"/>
    <cellStyle name="Input [yellow] 3 16 5 11 3" xfId="28637"/>
    <cellStyle name="Input [yellow] 3 16 5 11 4" xfId="39802"/>
    <cellStyle name="Input [yellow] 3 16 5 11 5" xfId="50995"/>
    <cellStyle name="Input [yellow] 3 16 5 12" xfId="6905"/>
    <cellStyle name="Input [yellow] 3 16 5 12 2" xfId="18102"/>
    <cellStyle name="Input [yellow] 3 16 5 12 3" xfId="29270"/>
    <cellStyle name="Input [yellow] 3 16 5 12 4" xfId="40435"/>
    <cellStyle name="Input [yellow] 3 16 5 12 5" xfId="51628"/>
    <cellStyle name="Input [yellow] 3 16 5 13" xfId="7539"/>
    <cellStyle name="Input [yellow] 3 16 5 13 2" xfId="18736"/>
    <cellStyle name="Input [yellow] 3 16 5 13 3" xfId="29904"/>
    <cellStyle name="Input [yellow] 3 16 5 13 4" xfId="41069"/>
    <cellStyle name="Input [yellow] 3 16 5 13 5" xfId="52262"/>
    <cellStyle name="Input [yellow] 3 16 5 14" xfId="8173"/>
    <cellStyle name="Input [yellow] 3 16 5 14 2" xfId="19370"/>
    <cellStyle name="Input [yellow] 3 16 5 14 3" xfId="30538"/>
    <cellStyle name="Input [yellow] 3 16 5 14 4" xfId="41703"/>
    <cellStyle name="Input [yellow] 3 16 5 14 5" xfId="52896"/>
    <cellStyle name="Input [yellow] 3 16 5 15" xfId="8802"/>
    <cellStyle name="Input [yellow] 3 16 5 15 2" xfId="19999"/>
    <cellStyle name="Input [yellow] 3 16 5 15 3" xfId="31167"/>
    <cellStyle name="Input [yellow] 3 16 5 15 4" xfId="42332"/>
    <cellStyle name="Input [yellow] 3 16 5 15 5" xfId="53525"/>
    <cellStyle name="Input [yellow] 3 16 5 16" xfId="9224"/>
    <cellStyle name="Input [yellow] 3 16 5 16 2" xfId="20421"/>
    <cellStyle name="Input [yellow] 3 16 5 16 3" xfId="31589"/>
    <cellStyle name="Input [yellow] 3 16 5 16 4" xfId="42754"/>
    <cellStyle name="Input [yellow] 3 16 5 16 5" xfId="53947"/>
    <cellStyle name="Input [yellow] 3 16 5 17" xfId="9851"/>
    <cellStyle name="Input [yellow] 3 16 5 17 2" xfId="21048"/>
    <cellStyle name="Input [yellow] 3 16 5 17 3" xfId="32216"/>
    <cellStyle name="Input [yellow] 3 16 5 17 4" xfId="43381"/>
    <cellStyle name="Input [yellow] 3 16 5 17 5" xfId="54574"/>
    <cellStyle name="Input [yellow] 3 16 5 18" xfId="9604"/>
    <cellStyle name="Input [yellow] 3 16 5 18 2" xfId="20801"/>
    <cellStyle name="Input [yellow] 3 16 5 18 3" xfId="31969"/>
    <cellStyle name="Input [yellow] 3 16 5 18 4" xfId="43134"/>
    <cellStyle name="Input [yellow] 3 16 5 18 5" xfId="54327"/>
    <cellStyle name="Input [yellow] 3 16 5 19" xfId="10889"/>
    <cellStyle name="Input [yellow] 3 16 5 19 2" xfId="22086"/>
    <cellStyle name="Input [yellow] 3 16 5 19 3" xfId="33254"/>
    <cellStyle name="Input [yellow] 3 16 5 19 4" xfId="44419"/>
    <cellStyle name="Input [yellow] 3 16 5 19 5" xfId="55612"/>
    <cellStyle name="Input [yellow] 3 16 5 2" xfId="985"/>
    <cellStyle name="Input [yellow] 3 16 5 2 2" xfId="12182"/>
    <cellStyle name="Input [yellow] 3 16 5 2 3" xfId="23350"/>
    <cellStyle name="Input [yellow] 3 16 5 2 4" xfId="34515"/>
    <cellStyle name="Input [yellow] 3 16 5 2 5" xfId="45708"/>
    <cellStyle name="Input [yellow] 3 16 5 20" xfId="11536"/>
    <cellStyle name="Input [yellow] 3 16 5 21" xfId="22706"/>
    <cellStyle name="Input [yellow] 3 16 5 22" xfId="33873"/>
    <cellStyle name="Input [yellow] 3 16 5 23" xfId="45059"/>
    <cellStyle name="Input [yellow] 3 16 5 3" xfId="1333"/>
    <cellStyle name="Input [yellow] 3 16 5 3 2" xfId="12530"/>
    <cellStyle name="Input [yellow] 3 16 5 3 3" xfId="23698"/>
    <cellStyle name="Input [yellow] 3 16 5 3 4" xfId="34863"/>
    <cellStyle name="Input [yellow] 3 16 5 3 5" xfId="46056"/>
    <cellStyle name="Input [yellow] 3 16 5 4" xfId="2261"/>
    <cellStyle name="Input [yellow] 3 16 5 4 2" xfId="13458"/>
    <cellStyle name="Input [yellow] 3 16 5 4 3" xfId="24626"/>
    <cellStyle name="Input [yellow] 3 16 5 4 4" xfId="35791"/>
    <cellStyle name="Input [yellow] 3 16 5 4 5" xfId="46984"/>
    <cellStyle name="Input [yellow] 3 16 5 5" xfId="2686"/>
    <cellStyle name="Input [yellow] 3 16 5 5 2" xfId="13883"/>
    <cellStyle name="Input [yellow] 3 16 5 5 3" xfId="25051"/>
    <cellStyle name="Input [yellow] 3 16 5 5 4" xfId="36216"/>
    <cellStyle name="Input [yellow] 3 16 5 5 5" xfId="47409"/>
    <cellStyle name="Input [yellow] 3 16 5 6" xfId="3320"/>
    <cellStyle name="Input [yellow] 3 16 5 6 2" xfId="14517"/>
    <cellStyle name="Input [yellow] 3 16 5 6 3" xfId="25685"/>
    <cellStyle name="Input [yellow] 3 16 5 6 4" xfId="36850"/>
    <cellStyle name="Input [yellow] 3 16 5 6 5" xfId="48043"/>
    <cellStyle name="Input [yellow] 3 16 5 7" xfId="3954"/>
    <cellStyle name="Input [yellow] 3 16 5 7 2" xfId="15151"/>
    <cellStyle name="Input [yellow] 3 16 5 7 3" xfId="26319"/>
    <cellStyle name="Input [yellow] 3 16 5 7 4" xfId="37484"/>
    <cellStyle name="Input [yellow] 3 16 5 7 5" xfId="48677"/>
    <cellStyle name="Input [yellow] 3 16 5 8" xfId="4587"/>
    <cellStyle name="Input [yellow] 3 16 5 8 2" xfId="15784"/>
    <cellStyle name="Input [yellow] 3 16 5 8 3" xfId="26952"/>
    <cellStyle name="Input [yellow] 3 16 5 8 4" xfId="38117"/>
    <cellStyle name="Input [yellow] 3 16 5 8 5" xfId="49310"/>
    <cellStyle name="Input [yellow] 3 16 5 9" xfId="5218"/>
    <cellStyle name="Input [yellow] 3 16 5 9 2" xfId="16415"/>
    <cellStyle name="Input [yellow] 3 16 5 9 3" xfId="27583"/>
    <cellStyle name="Input [yellow] 3 16 5 9 4" xfId="38748"/>
    <cellStyle name="Input [yellow] 3 16 5 9 5" xfId="49941"/>
    <cellStyle name="Input [yellow] 3 16 6" xfId="368"/>
    <cellStyle name="Input [yellow] 3 16 6 10" xfId="5803"/>
    <cellStyle name="Input [yellow] 3 16 6 10 2" xfId="17000"/>
    <cellStyle name="Input [yellow] 3 16 6 10 3" xfId="28168"/>
    <cellStyle name="Input [yellow] 3 16 6 10 4" xfId="39333"/>
    <cellStyle name="Input [yellow] 3 16 6 10 5" xfId="50526"/>
    <cellStyle name="Input [yellow] 3 16 6 11" xfId="6304"/>
    <cellStyle name="Input [yellow] 3 16 6 11 2" xfId="17501"/>
    <cellStyle name="Input [yellow] 3 16 6 11 3" xfId="28669"/>
    <cellStyle name="Input [yellow] 3 16 6 11 4" xfId="39834"/>
    <cellStyle name="Input [yellow] 3 16 6 11 5" xfId="51027"/>
    <cellStyle name="Input [yellow] 3 16 6 12" xfId="6937"/>
    <cellStyle name="Input [yellow] 3 16 6 12 2" xfId="18134"/>
    <cellStyle name="Input [yellow] 3 16 6 12 3" xfId="29302"/>
    <cellStyle name="Input [yellow] 3 16 6 12 4" xfId="40467"/>
    <cellStyle name="Input [yellow] 3 16 6 12 5" xfId="51660"/>
    <cellStyle name="Input [yellow] 3 16 6 13" xfId="7571"/>
    <cellStyle name="Input [yellow] 3 16 6 13 2" xfId="18768"/>
    <cellStyle name="Input [yellow] 3 16 6 13 3" xfId="29936"/>
    <cellStyle name="Input [yellow] 3 16 6 13 4" xfId="41101"/>
    <cellStyle name="Input [yellow] 3 16 6 13 5" xfId="52294"/>
    <cellStyle name="Input [yellow] 3 16 6 14" xfId="8205"/>
    <cellStyle name="Input [yellow] 3 16 6 14 2" xfId="19402"/>
    <cellStyle name="Input [yellow] 3 16 6 14 3" xfId="30570"/>
    <cellStyle name="Input [yellow] 3 16 6 14 4" xfId="41735"/>
    <cellStyle name="Input [yellow] 3 16 6 14 5" xfId="52928"/>
    <cellStyle name="Input [yellow] 3 16 6 15" xfId="8833"/>
    <cellStyle name="Input [yellow] 3 16 6 15 2" xfId="20030"/>
    <cellStyle name="Input [yellow] 3 16 6 15 3" xfId="31198"/>
    <cellStyle name="Input [yellow] 3 16 6 15 4" xfId="42363"/>
    <cellStyle name="Input [yellow] 3 16 6 15 5" xfId="53556"/>
    <cellStyle name="Input [yellow] 3 16 6 16" xfId="9256"/>
    <cellStyle name="Input [yellow] 3 16 6 16 2" xfId="20453"/>
    <cellStyle name="Input [yellow] 3 16 6 16 3" xfId="31621"/>
    <cellStyle name="Input [yellow] 3 16 6 16 4" xfId="42786"/>
    <cellStyle name="Input [yellow] 3 16 6 16 5" xfId="53979"/>
    <cellStyle name="Input [yellow] 3 16 6 17" xfId="9882"/>
    <cellStyle name="Input [yellow] 3 16 6 17 2" xfId="21079"/>
    <cellStyle name="Input [yellow] 3 16 6 17 3" xfId="32247"/>
    <cellStyle name="Input [yellow] 3 16 6 17 4" xfId="43412"/>
    <cellStyle name="Input [yellow] 3 16 6 17 5" xfId="54605"/>
    <cellStyle name="Input [yellow] 3 16 6 18" xfId="10248"/>
    <cellStyle name="Input [yellow] 3 16 6 18 2" xfId="21445"/>
    <cellStyle name="Input [yellow] 3 16 6 18 3" xfId="32613"/>
    <cellStyle name="Input [yellow] 3 16 6 18 4" xfId="43778"/>
    <cellStyle name="Input [yellow] 3 16 6 18 5" xfId="54971"/>
    <cellStyle name="Input [yellow] 3 16 6 19" xfId="10921"/>
    <cellStyle name="Input [yellow] 3 16 6 19 2" xfId="22118"/>
    <cellStyle name="Input [yellow] 3 16 6 19 3" xfId="33286"/>
    <cellStyle name="Input [yellow] 3 16 6 19 4" xfId="44451"/>
    <cellStyle name="Input [yellow] 3 16 6 19 5" xfId="55644"/>
    <cellStyle name="Input [yellow] 3 16 6 2" xfId="1017"/>
    <cellStyle name="Input [yellow] 3 16 6 2 2" xfId="12214"/>
    <cellStyle name="Input [yellow] 3 16 6 2 3" xfId="23382"/>
    <cellStyle name="Input [yellow] 3 16 6 2 4" xfId="34547"/>
    <cellStyle name="Input [yellow] 3 16 6 2 5" xfId="45740"/>
    <cellStyle name="Input [yellow] 3 16 6 20" xfId="11568"/>
    <cellStyle name="Input [yellow] 3 16 6 21" xfId="22738"/>
    <cellStyle name="Input [yellow] 3 16 6 22" xfId="33905"/>
    <cellStyle name="Input [yellow] 3 16 6 23" xfId="45091"/>
    <cellStyle name="Input [yellow] 3 16 6 3" xfId="1538"/>
    <cellStyle name="Input [yellow] 3 16 6 3 2" xfId="12735"/>
    <cellStyle name="Input [yellow] 3 16 6 3 3" xfId="23903"/>
    <cellStyle name="Input [yellow] 3 16 6 3 4" xfId="35068"/>
    <cellStyle name="Input [yellow] 3 16 6 3 5" xfId="46261"/>
    <cellStyle name="Input [yellow] 3 16 6 4" xfId="2293"/>
    <cellStyle name="Input [yellow] 3 16 6 4 2" xfId="13490"/>
    <cellStyle name="Input [yellow] 3 16 6 4 3" xfId="24658"/>
    <cellStyle name="Input [yellow] 3 16 6 4 4" xfId="35823"/>
    <cellStyle name="Input [yellow] 3 16 6 4 5" xfId="47016"/>
    <cellStyle name="Input [yellow] 3 16 6 5" xfId="2718"/>
    <cellStyle name="Input [yellow] 3 16 6 5 2" xfId="13915"/>
    <cellStyle name="Input [yellow] 3 16 6 5 3" xfId="25083"/>
    <cellStyle name="Input [yellow] 3 16 6 5 4" xfId="36248"/>
    <cellStyle name="Input [yellow] 3 16 6 5 5" xfId="47441"/>
    <cellStyle name="Input [yellow] 3 16 6 6" xfId="3352"/>
    <cellStyle name="Input [yellow] 3 16 6 6 2" xfId="14549"/>
    <cellStyle name="Input [yellow] 3 16 6 6 3" xfId="25717"/>
    <cellStyle name="Input [yellow] 3 16 6 6 4" xfId="36882"/>
    <cellStyle name="Input [yellow] 3 16 6 6 5" xfId="48075"/>
    <cellStyle name="Input [yellow] 3 16 6 7" xfId="3986"/>
    <cellStyle name="Input [yellow] 3 16 6 7 2" xfId="15183"/>
    <cellStyle name="Input [yellow] 3 16 6 7 3" xfId="26351"/>
    <cellStyle name="Input [yellow] 3 16 6 7 4" xfId="37516"/>
    <cellStyle name="Input [yellow] 3 16 6 7 5" xfId="48709"/>
    <cellStyle name="Input [yellow] 3 16 6 8" xfId="4619"/>
    <cellStyle name="Input [yellow] 3 16 6 8 2" xfId="15816"/>
    <cellStyle name="Input [yellow] 3 16 6 8 3" xfId="26984"/>
    <cellStyle name="Input [yellow] 3 16 6 8 4" xfId="38149"/>
    <cellStyle name="Input [yellow] 3 16 6 8 5" xfId="49342"/>
    <cellStyle name="Input [yellow] 3 16 6 9" xfId="5250"/>
    <cellStyle name="Input [yellow] 3 16 6 9 2" xfId="16447"/>
    <cellStyle name="Input [yellow] 3 16 6 9 3" xfId="27615"/>
    <cellStyle name="Input [yellow] 3 16 6 9 4" xfId="38780"/>
    <cellStyle name="Input [yellow] 3 16 6 9 5" xfId="49973"/>
    <cellStyle name="Input [yellow] 3 16 7" xfId="408"/>
    <cellStyle name="Input [yellow] 3 16 7 10" xfId="6107"/>
    <cellStyle name="Input [yellow] 3 16 7 10 2" xfId="17304"/>
    <cellStyle name="Input [yellow] 3 16 7 10 3" xfId="28472"/>
    <cellStyle name="Input [yellow] 3 16 7 10 4" xfId="39637"/>
    <cellStyle name="Input [yellow] 3 16 7 10 5" xfId="50830"/>
    <cellStyle name="Input [yellow] 3 16 7 11" xfId="6344"/>
    <cellStyle name="Input [yellow] 3 16 7 11 2" xfId="17541"/>
    <cellStyle name="Input [yellow] 3 16 7 11 3" xfId="28709"/>
    <cellStyle name="Input [yellow] 3 16 7 11 4" xfId="39874"/>
    <cellStyle name="Input [yellow] 3 16 7 11 5" xfId="51067"/>
    <cellStyle name="Input [yellow] 3 16 7 12" xfId="6977"/>
    <cellStyle name="Input [yellow] 3 16 7 12 2" xfId="18174"/>
    <cellStyle name="Input [yellow] 3 16 7 12 3" xfId="29342"/>
    <cellStyle name="Input [yellow] 3 16 7 12 4" xfId="40507"/>
    <cellStyle name="Input [yellow] 3 16 7 12 5" xfId="51700"/>
    <cellStyle name="Input [yellow] 3 16 7 13" xfId="7611"/>
    <cellStyle name="Input [yellow] 3 16 7 13 2" xfId="18808"/>
    <cellStyle name="Input [yellow] 3 16 7 13 3" xfId="29976"/>
    <cellStyle name="Input [yellow] 3 16 7 13 4" xfId="41141"/>
    <cellStyle name="Input [yellow] 3 16 7 13 5" xfId="52334"/>
    <cellStyle name="Input [yellow] 3 16 7 14" xfId="8245"/>
    <cellStyle name="Input [yellow] 3 16 7 14 2" xfId="19442"/>
    <cellStyle name="Input [yellow] 3 16 7 14 3" xfId="30610"/>
    <cellStyle name="Input [yellow] 3 16 7 14 4" xfId="41775"/>
    <cellStyle name="Input [yellow] 3 16 7 14 5" xfId="52968"/>
    <cellStyle name="Input [yellow] 3 16 7 15" xfId="8873"/>
    <cellStyle name="Input [yellow] 3 16 7 15 2" xfId="20070"/>
    <cellStyle name="Input [yellow] 3 16 7 15 3" xfId="31238"/>
    <cellStyle name="Input [yellow] 3 16 7 15 4" xfId="42403"/>
    <cellStyle name="Input [yellow] 3 16 7 15 5" xfId="53596"/>
    <cellStyle name="Input [yellow] 3 16 7 16" xfId="9296"/>
    <cellStyle name="Input [yellow] 3 16 7 16 2" xfId="20493"/>
    <cellStyle name="Input [yellow] 3 16 7 16 3" xfId="31661"/>
    <cellStyle name="Input [yellow] 3 16 7 16 4" xfId="42826"/>
    <cellStyle name="Input [yellow] 3 16 7 16 5" xfId="54019"/>
    <cellStyle name="Input [yellow] 3 16 7 17" xfId="9922"/>
    <cellStyle name="Input [yellow] 3 16 7 17 2" xfId="21119"/>
    <cellStyle name="Input [yellow] 3 16 7 17 3" xfId="32287"/>
    <cellStyle name="Input [yellow] 3 16 7 17 4" xfId="43452"/>
    <cellStyle name="Input [yellow] 3 16 7 17 5" xfId="54645"/>
    <cellStyle name="Input [yellow] 3 16 7 18" xfId="10481"/>
    <cellStyle name="Input [yellow] 3 16 7 18 2" xfId="21678"/>
    <cellStyle name="Input [yellow] 3 16 7 18 3" xfId="32846"/>
    <cellStyle name="Input [yellow] 3 16 7 18 4" xfId="44011"/>
    <cellStyle name="Input [yellow] 3 16 7 18 5" xfId="55204"/>
    <cellStyle name="Input [yellow] 3 16 7 19" xfId="10961"/>
    <cellStyle name="Input [yellow] 3 16 7 19 2" xfId="22158"/>
    <cellStyle name="Input [yellow] 3 16 7 19 3" xfId="33326"/>
    <cellStyle name="Input [yellow] 3 16 7 19 4" xfId="44491"/>
    <cellStyle name="Input [yellow] 3 16 7 19 5" xfId="55684"/>
    <cellStyle name="Input [yellow] 3 16 7 2" xfId="1057"/>
    <cellStyle name="Input [yellow] 3 16 7 2 2" xfId="12254"/>
    <cellStyle name="Input [yellow] 3 16 7 2 3" xfId="23422"/>
    <cellStyle name="Input [yellow] 3 16 7 2 4" xfId="34587"/>
    <cellStyle name="Input [yellow] 3 16 7 2 5" xfId="45780"/>
    <cellStyle name="Input [yellow] 3 16 7 20" xfId="11608"/>
    <cellStyle name="Input [yellow] 3 16 7 21" xfId="22778"/>
    <cellStyle name="Input [yellow] 3 16 7 22" xfId="33945"/>
    <cellStyle name="Input [yellow] 3 16 7 23" xfId="45131"/>
    <cellStyle name="Input [yellow] 3 16 7 3" xfId="1778"/>
    <cellStyle name="Input [yellow] 3 16 7 3 2" xfId="12975"/>
    <cellStyle name="Input [yellow] 3 16 7 3 3" xfId="24143"/>
    <cellStyle name="Input [yellow] 3 16 7 3 4" xfId="35308"/>
    <cellStyle name="Input [yellow] 3 16 7 3 5" xfId="46501"/>
    <cellStyle name="Input [yellow] 3 16 7 4" xfId="2333"/>
    <cellStyle name="Input [yellow] 3 16 7 4 2" xfId="13530"/>
    <cellStyle name="Input [yellow] 3 16 7 4 3" xfId="24698"/>
    <cellStyle name="Input [yellow] 3 16 7 4 4" xfId="35863"/>
    <cellStyle name="Input [yellow] 3 16 7 4 5" xfId="47056"/>
    <cellStyle name="Input [yellow] 3 16 7 5" xfId="2758"/>
    <cellStyle name="Input [yellow] 3 16 7 5 2" xfId="13955"/>
    <cellStyle name="Input [yellow] 3 16 7 5 3" xfId="25123"/>
    <cellStyle name="Input [yellow] 3 16 7 5 4" xfId="36288"/>
    <cellStyle name="Input [yellow] 3 16 7 5 5" xfId="47481"/>
    <cellStyle name="Input [yellow] 3 16 7 6" xfId="3392"/>
    <cellStyle name="Input [yellow] 3 16 7 6 2" xfId="14589"/>
    <cellStyle name="Input [yellow] 3 16 7 6 3" xfId="25757"/>
    <cellStyle name="Input [yellow] 3 16 7 6 4" xfId="36922"/>
    <cellStyle name="Input [yellow] 3 16 7 6 5" xfId="48115"/>
    <cellStyle name="Input [yellow] 3 16 7 7" xfId="4026"/>
    <cellStyle name="Input [yellow] 3 16 7 7 2" xfId="15223"/>
    <cellStyle name="Input [yellow] 3 16 7 7 3" xfId="26391"/>
    <cellStyle name="Input [yellow] 3 16 7 7 4" xfId="37556"/>
    <cellStyle name="Input [yellow] 3 16 7 7 5" xfId="48749"/>
    <cellStyle name="Input [yellow] 3 16 7 8" xfId="4659"/>
    <cellStyle name="Input [yellow] 3 16 7 8 2" xfId="15856"/>
    <cellStyle name="Input [yellow] 3 16 7 8 3" xfId="27024"/>
    <cellStyle name="Input [yellow] 3 16 7 8 4" xfId="38189"/>
    <cellStyle name="Input [yellow] 3 16 7 8 5" xfId="49382"/>
    <cellStyle name="Input [yellow] 3 16 7 9" xfId="5290"/>
    <cellStyle name="Input [yellow] 3 16 7 9 2" xfId="16487"/>
    <cellStyle name="Input [yellow] 3 16 7 9 3" xfId="27655"/>
    <cellStyle name="Input [yellow] 3 16 7 9 4" xfId="38820"/>
    <cellStyle name="Input [yellow] 3 16 7 9 5" xfId="50013"/>
    <cellStyle name="Input [yellow] 3 16 8" xfId="507"/>
    <cellStyle name="Input [yellow] 3 16 8 10" xfId="5725"/>
    <cellStyle name="Input [yellow] 3 16 8 10 2" xfId="16922"/>
    <cellStyle name="Input [yellow] 3 16 8 10 3" xfId="28090"/>
    <cellStyle name="Input [yellow] 3 16 8 10 4" xfId="39255"/>
    <cellStyle name="Input [yellow] 3 16 8 10 5" xfId="50448"/>
    <cellStyle name="Input [yellow] 3 16 8 11" xfId="6443"/>
    <cellStyle name="Input [yellow] 3 16 8 11 2" xfId="17640"/>
    <cellStyle name="Input [yellow] 3 16 8 11 3" xfId="28808"/>
    <cellStyle name="Input [yellow] 3 16 8 11 4" xfId="39973"/>
    <cellStyle name="Input [yellow] 3 16 8 11 5" xfId="51166"/>
    <cellStyle name="Input [yellow] 3 16 8 12" xfId="7076"/>
    <cellStyle name="Input [yellow] 3 16 8 12 2" xfId="18273"/>
    <cellStyle name="Input [yellow] 3 16 8 12 3" xfId="29441"/>
    <cellStyle name="Input [yellow] 3 16 8 12 4" xfId="40606"/>
    <cellStyle name="Input [yellow] 3 16 8 12 5" xfId="51799"/>
    <cellStyle name="Input [yellow] 3 16 8 13" xfId="7710"/>
    <cellStyle name="Input [yellow] 3 16 8 13 2" xfId="18907"/>
    <cellStyle name="Input [yellow] 3 16 8 13 3" xfId="30075"/>
    <cellStyle name="Input [yellow] 3 16 8 13 4" xfId="41240"/>
    <cellStyle name="Input [yellow] 3 16 8 13 5" xfId="52433"/>
    <cellStyle name="Input [yellow] 3 16 8 14" xfId="8344"/>
    <cellStyle name="Input [yellow] 3 16 8 14 2" xfId="19541"/>
    <cellStyle name="Input [yellow] 3 16 8 14 3" xfId="30709"/>
    <cellStyle name="Input [yellow] 3 16 8 14 4" xfId="41874"/>
    <cellStyle name="Input [yellow] 3 16 8 14 5" xfId="53067"/>
    <cellStyle name="Input [yellow] 3 16 8 15" xfId="8972"/>
    <cellStyle name="Input [yellow] 3 16 8 15 2" xfId="20169"/>
    <cellStyle name="Input [yellow] 3 16 8 15 3" xfId="31337"/>
    <cellStyle name="Input [yellow] 3 16 8 15 4" xfId="42502"/>
    <cellStyle name="Input [yellow] 3 16 8 15 5" xfId="53695"/>
    <cellStyle name="Input [yellow] 3 16 8 16" xfId="9395"/>
    <cellStyle name="Input [yellow] 3 16 8 16 2" xfId="20592"/>
    <cellStyle name="Input [yellow] 3 16 8 16 3" xfId="31760"/>
    <cellStyle name="Input [yellow] 3 16 8 16 4" xfId="42925"/>
    <cellStyle name="Input [yellow] 3 16 8 16 5" xfId="54118"/>
    <cellStyle name="Input [yellow] 3 16 8 17" xfId="10020"/>
    <cellStyle name="Input [yellow] 3 16 8 17 2" xfId="21217"/>
    <cellStyle name="Input [yellow] 3 16 8 17 3" xfId="32385"/>
    <cellStyle name="Input [yellow] 3 16 8 17 4" xfId="43550"/>
    <cellStyle name="Input [yellow] 3 16 8 17 5" xfId="54743"/>
    <cellStyle name="Input [yellow] 3 16 8 18" xfId="10018"/>
    <cellStyle name="Input [yellow] 3 16 8 18 2" xfId="21215"/>
    <cellStyle name="Input [yellow] 3 16 8 18 3" xfId="32383"/>
    <cellStyle name="Input [yellow] 3 16 8 18 4" xfId="43548"/>
    <cellStyle name="Input [yellow] 3 16 8 18 5" xfId="54741"/>
    <cellStyle name="Input [yellow] 3 16 8 19" xfId="11060"/>
    <cellStyle name="Input [yellow] 3 16 8 19 2" xfId="22257"/>
    <cellStyle name="Input [yellow] 3 16 8 19 3" xfId="33425"/>
    <cellStyle name="Input [yellow] 3 16 8 19 4" xfId="44590"/>
    <cellStyle name="Input [yellow] 3 16 8 19 5" xfId="55783"/>
    <cellStyle name="Input [yellow] 3 16 8 2" xfId="1156"/>
    <cellStyle name="Input [yellow] 3 16 8 2 2" xfId="12353"/>
    <cellStyle name="Input [yellow] 3 16 8 2 3" xfId="23521"/>
    <cellStyle name="Input [yellow] 3 16 8 2 4" xfId="34686"/>
    <cellStyle name="Input [yellow] 3 16 8 2 5" xfId="45879"/>
    <cellStyle name="Input [yellow] 3 16 8 20" xfId="11707"/>
    <cellStyle name="Input [yellow] 3 16 8 21" xfId="22877"/>
    <cellStyle name="Input [yellow] 3 16 8 22" xfId="34044"/>
    <cellStyle name="Input [yellow] 3 16 8 23" xfId="45230"/>
    <cellStyle name="Input [yellow] 3 16 8 3" xfId="1424"/>
    <cellStyle name="Input [yellow] 3 16 8 3 2" xfId="12621"/>
    <cellStyle name="Input [yellow] 3 16 8 3 3" xfId="23789"/>
    <cellStyle name="Input [yellow] 3 16 8 3 4" xfId="34954"/>
    <cellStyle name="Input [yellow] 3 16 8 3 5" xfId="46147"/>
    <cellStyle name="Input [yellow] 3 16 8 4" xfId="2432"/>
    <cellStyle name="Input [yellow] 3 16 8 4 2" xfId="13629"/>
    <cellStyle name="Input [yellow] 3 16 8 4 3" xfId="24797"/>
    <cellStyle name="Input [yellow] 3 16 8 4 4" xfId="35962"/>
    <cellStyle name="Input [yellow] 3 16 8 4 5" xfId="47155"/>
    <cellStyle name="Input [yellow] 3 16 8 5" xfId="2857"/>
    <cellStyle name="Input [yellow] 3 16 8 5 2" xfId="14054"/>
    <cellStyle name="Input [yellow] 3 16 8 5 3" xfId="25222"/>
    <cellStyle name="Input [yellow] 3 16 8 5 4" xfId="36387"/>
    <cellStyle name="Input [yellow] 3 16 8 5 5" xfId="47580"/>
    <cellStyle name="Input [yellow] 3 16 8 6" xfId="3491"/>
    <cellStyle name="Input [yellow] 3 16 8 6 2" xfId="14688"/>
    <cellStyle name="Input [yellow] 3 16 8 6 3" xfId="25856"/>
    <cellStyle name="Input [yellow] 3 16 8 6 4" xfId="37021"/>
    <cellStyle name="Input [yellow] 3 16 8 6 5" xfId="48214"/>
    <cellStyle name="Input [yellow] 3 16 8 7" xfId="4125"/>
    <cellStyle name="Input [yellow] 3 16 8 7 2" xfId="15322"/>
    <cellStyle name="Input [yellow] 3 16 8 7 3" xfId="26490"/>
    <cellStyle name="Input [yellow] 3 16 8 7 4" xfId="37655"/>
    <cellStyle name="Input [yellow] 3 16 8 7 5" xfId="48848"/>
    <cellStyle name="Input [yellow] 3 16 8 8" xfId="4758"/>
    <cellStyle name="Input [yellow] 3 16 8 8 2" xfId="15955"/>
    <cellStyle name="Input [yellow] 3 16 8 8 3" xfId="27123"/>
    <cellStyle name="Input [yellow] 3 16 8 8 4" xfId="38288"/>
    <cellStyle name="Input [yellow] 3 16 8 8 5" xfId="49481"/>
    <cellStyle name="Input [yellow] 3 16 8 9" xfId="5389"/>
    <cellStyle name="Input [yellow] 3 16 8 9 2" xfId="16586"/>
    <cellStyle name="Input [yellow] 3 16 8 9 3" xfId="27754"/>
    <cellStyle name="Input [yellow] 3 16 8 9 4" xfId="38919"/>
    <cellStyle name="Input [yellow] 3 16 8 9 5" xfId="50112"/>
    <cellStyle name="Input [yellow] 3 16 9" xfId="565"/>
    <cellStyle name="Input [yellow] 3 16 9 10" xfId="6148"/>
    <cellStyle name="Input [yellow] 3 16 9 10 2" xfId="17345"/>
    <cellStyle name="Input [yellow] 3 16 9 10 3" xfId="28513"/>
    <cellStyle name="Input [yellow] 3 16 9 10 4" xfId="39678"/>
    <cellStyle name="Input [yellow] 3 16 9 10 5" xfId="50871"/>
    <cellStyle name="Input [yellow] 3 16 9 11" xfId="6501"/>
    <cellStyle name="Input [yellow] 3 16 9 11 2" xfId="17698"/>
    <cellStyle name="Input [yellow] 3 16 9 11 3" xfId="28866"/>
    <cellStyle name="Input [yellow] 3 16 9 11 4" xfId="40031"/>
    <cellStyle name="Input [yellow] 3 16 9 11 5" xfId="51224"/>
    <cellStyle name="Input [yellow] 3 16 9 12" xfId="7134"/>
    <cellStyle name="Input [yellow] 3 16 9 12 2" xfId="18331"/>
    <cellStyle name="Input [yellow] 3 16 9 12 3" xfId="29499"/>
    <cellStyle name="Input [yellow] 3 16 9 12 4" xfId="40664"/>
    <cellStyle name="Input [yellow] 3 16 9 12 5" xfId="51857"/>
    <cellStyle name="Input [yellow] 3 16 9 13" xfId="7768"/>
    <cellStyle name="Input [yellow] 3 16 9 13 2" xfId="18965"/>
    <cellStyle name="Input [yellow] 3 16 9 13 3" xfId="30133"/>
    <cellStyle name="Input [yellow] 3 16 9 13 4" xfId="41298"/>
    <cellStyle name="Input [yellow] 3 16 9 13 5" xfId="52491"/>
    <cellStyle name="Input [yellow] 3 16 9 14" xfId="8402"/>
    <cellStyle name="Input [yellow] 3 16 9 14 2" xfId="19599"/>
    <cellStyle name="Input [yellow] 3 16 9 14 3" xfId="30767"/>
    <cellStyle name="Input [yellow] 3 16 9 14 4" xfId="41932"/>
    <cellStyle name="Input [yellow] 3 16 9 14 5" xfId="53125"/>
    <cellStyle name="Input [yellow] 3 16 9 15" xfId="9030"/>
    <cellStyle name="Input [yellow] 3 16 9 15 2" xfId="20227"/>
    <cellStyle name="Input [yellow] 3 16 9 15 3" xfId="31395"/>
    <cellStyle name="Input [yellow] 3 16 9 15 4" xfId="42560"/>
    <cellStyle name="Input [yellow] 3 16 9 15 5" xfId="53753"/>
    <cellStyle name="Input [yellow] 3 16 9 16" xfId="9453"/>
    <cellStyle name="Input [yellow] 3 16 9 16 2" xfId="20650"/>
    <cellStyle name="Input [yellow] 3 16 9 16 3" xfId="31818"/>
    <cellStyle name="Input [yellow] 3 16 9 16 4" xfId="42983"/>
    <cellStyle name="Input [yellow] 3 16 9 16 5" xfId="54176"/>
    <cellStyle name="Input [yellow] 3 16 9 17" xfId="10078"/>
    <cellStyle name="Input [yellow] 3 16 9 17 2" xfId="21275"/>
    <cellStyle name="Input [yellow] 3 16 9 17 3" xfId="32443"/>
    <cellStyle name="Input [yellow] 3 16 9 17 4" xfId="43608"/>
    <cellStyle name="Input [yellow] 3 16 9 17 5" xfId="54801"/>
    <cellStyle name="Input [yellow] 3 16 9 18" xfId="10194"/>
    <cellStyle name="Input [yellow] 3 16 9 18 2" xfId="21391"/>
    <cellStyle name="Input [yellow] 3 16 9 18 3" xfId="32559"/>
    <cellStyle name="Input [yellow] 3 16 9 18 4" xfId="43724"/>
    <cellStyle name="Input [yellow] 3 16 9 18 5" xfId="54917"/>
    <cellStyle name="Input [yellow] 3 16 9 19" xfId="11118"/>
    <cellStyle name="Input [yellow] 3 16 9 19 2" xfId="22315"/>
    <cellStyle name="Input [yellow] 3 16 9 19 3" xfId="33483"/>
    <cellStyle name="Input [yellow] 3 16 9 19 4" xfId="44648"/>
    <cellStyle name="Input [yellow] 3 16 9 19 5" xfId="55841"/>
    <cellStyle name="Input [yellow] 3 16 9 2" xfId="1214"/>
    <cellStyle name="Input [yellow] 3 16 9 2 2" xfId="12411"/>
    <cellStyle name="Input [yellow] 3 16 9 2 3" xfId="23579"/>
    <cellStyle name="Input [yellow] 3 16 9 2 4" xfId="34744"/>
    <cellStyle name="Input [yellow] 3 16 9 2 5" xfId="45937"/>
    <cellStyle name="Input [yellow] 3 16 9 20" xfId="11765"/>
    <cellStyle name="Input [yellow] 3 16 9 21" xfId="22935"/>
    <cellStyle name="Input [yellow] 3 16 9 22" xfId="34102"/>
    <cellStyle name="Input [yellow] 3 16 9 23" xfId="45288"/>
    <cellStyle name="Input [yellow] 3 16 9 3" xfId="1803"/>
    <cellStyle name="Input [yellow] 3 16 9 3 2" xfId="13000"/>
    <cellStyle name="Input [yellow] 3 16 9 3 3" xfId="24168"/>
    <cellStyle name="Input [yellow] 3 16 9 3 4" xfId="35333"/>
    <cellStyle name="Input [yellow] 3 16 9 3 5" xfId="46526"/>
    <cellStyle name="Input [yellow] 3 16 9 4" xfId="2490"/>
    <cellStyle name="Input [yellow] 3 16 9 4 2" xfId="13687"/>
    <cellStyle name="Input [yellow] 3 16 9 4 3" xfId="24855"/>
    <cellStyle name="Input [yellow] 3 16 9 4 4" xfId="36020"/>
    <cellStyle name="Input [yellow] 3 16 9 4 5" xfId="47213"/>
    <cellStyle name="Input [yellow] 3 16 9 5" xfId="2915"/>
    <cellStyle name="Input [yellow] 3 16 9 5 2" xfId="14112"/>
    <cellStyle name="Input [yellow] 3 16 9 5 3" xfId="25280"/>
    <cellStyle name="Input [yellow] 3 16 9 5 4" xfId="36445"/>
    <cellStyle name="Input [yellow] 3 16 9 5 5" xfId="47638"/>
    <cellStyle name="Input [yellow] 3 16 9 6" xfId="3549"/>
    <cellStyle name="Input [yellow] 3 16 9 6 2" xfId="14746"/>
    <cellStyle name="Input [yellow] 3 16 9 6 3" xfId="25914"/>
    <cellStyle name="Input [yellow] 3 16 9 6 4" xfId="37079"/>
    <cellStyle name="Input [yellow] 3 16 9 6 5" xfId="48272"/>
    <cellStyle name="Input [yellow] 3 16 9 7" xfId="4183"/>
    <cellStyle name="Input [yellow] 3 16 9 7 2" xfId="15380"/>
    <cellStyle name="Input [yellow] 3 16 9 7 3" xfId="26548"/>
    <cellStyle name="Input [yellow] 3 16 9 7 4" xfId="37713"/>
    <cellStyle name="Input [yellow] 3 16 9 7 5" xfId="48906"/>
    <cellStyle name="Input [yellow] 3 16 9 8" xfId="4816"/>
    <cellStyle name="Input [yellow] 3 16 9 8 2" xfId="16013"/>
    <cellStyle name="Input [yellow] 3 16 9 8 3" xfId="27181"/>
    <cellStyle name="Input [yellow] 3 16 9 8 4" xfId="38346"/>
    <cellStyle name="Input [yellow] 3 16 9 8 5" xfId="49539"/>
    <cellStyle name="Input [yellow] 3 16 9 9" xfId="5447"/>
    <cellStyle name="Input [yellow] 3 16 9 9 2" xfId="16644"/>
    <cellStyle name="Input [yellow] 3 16 9 9 3" xfId="27812"/>
    <cellStyle name="Input [yellow] 3 16 9 9 4" xfId="38977"/>
    <cellStyle name="Input [yellow] 3 16 9 9 5" xfId="50170"/>
    <cellStyle name="Input [yellow] 3 17" xfId="101"/>
    <cellStyle name="Input [yellow] 3 17 10" xfId="587"/>
    <cellStyle name="Input [yellow] 3 17 10 10" xfId="5737"/>
    <cellStyle name="Input [yellow] 3 17 10 10 2" xfId="16934"/>
    <cellStyle name="Input [yellow] 3 17 10 10 3" xfId="28102"/>
    <cellStyle name="Input [yellow] 3 17 10 10 4" xfId="39267"/>
    <cellStyle name="Input [yellow] 3 17 10 10 5" xfId="50460"/>
    <cellStyle name="Input [yellow] 3 17 10 11" xfId="6523"/>
    <cellStyle name="Input [yellow] 3 17 10 11 2" xfId="17720"/>
    <cellStyle name="Input [yellow] 3 17 10 11 3" xfId="28888"/>
    <cellStyle name="Input [yellow] 3 17 10 11 4" xfId="40053"/>
    <cellStyle name="Input [yellow] 3 17 10 11 5" xfId="51246"/>
    <cellStyle name="Input [yellow] 3 17 10 12" xfId="7156"/>
    <cellStyle name="Input [yellow] 3 17 10 12 2" xfId="18353"/>
    <cellStyle name="Input [yellow] 3 17 10 12 3" xfId="29521"/>
    <cellStyle name="Input [yellow] 3 17 10 12 4" xfId="40686"/>
    <cellStyle name="Input [yellow] 3 17 10 12 5" xfId="51879"/>
    <cellStyle name="Input [yellow] 3 17 10 13" xfId="7790"/>
    <cellStyle name="Input [yellow] 3 17 10 13 2" xfId="18987"/>
    <cellStyle name="Input [yellow] 3 17 10 13 3" xfId="30155"/>
    <cellStyle name="Input [yellow] 3 17 10 13 4" xfId="41320"/>
    <cellStyle name="Input [yellow] 3 17 10 13 5" xfId="52513"/>
    <cellStyle name="Input [yellow] 3 17 10 14" xfId="8424"/>
    <cellStyle name="Input [yellow] 3 17 10 14 2" xfId="19621"/>
    <cellStyle name="Input [yellow] 3 17 10 14 3" xfId="30789"/>
    <cellStyle name="Input [yellow] 3 17 10 14 4" xfId="41954"/>
    <cellStyle name="Input [yellow] 3 17 10 14 5" xfId="53147"/>
    <cellStyle name="Input [yellow] 3 17 10 15" xfId="9052"/>
    <cellStyle name="Input [yellow] 3 17 10 15 2" xfId="20249"/>
    <cellStyle name="Input [yellow] 3 17 10 15 3" xfId="31417"/>
    <cellStyle name="Input [yellow] 3 17 10 15 4" xfId="42582"/>
    <cellStyle name="Input [yellow] 3 17 10 15 5" xfId="53775"/>
    <cellStyle name="Input [yellow] 3 17 10 16" xfId="9475"/>
    <cellStyle name="Input [yellow] 3 17 10 16 2" xfId="20672"/>
    <cellStyle name="Input [yellow] 3 17 10 16 3" xfId="31840"/>
    <cellStyle name="Input [yellow] 3 17 10 16 4" xfId="43005"/>
    <cellStyle name="Input [yellow] 3 17 10 16 5" xfId="54198"/>
    <cellStyle name="Input [yellow] 3 17 10 17" xfId="10100"/>
    <cellStyle name="Input [yellow] 3 17 10 17 2" xfId="21297"/>
    <cellStyle name="Input [yellow] 3 17 10 17 3" xfId="32465"/>
    <cellStyle name="Input [yellow] 3 17 10 17 4" xfId="43630"/>
    <cellStyle name="Input [yellow] 3 17 10 17 5" xfId="54823"/>
    <cellStyle name="Input [yellow] 3 17 10 18" xfId="10523"/>
    <cellStyle name="Input [yellow] 3 17 10 18 2" xfId="21720"/>
    <cellStyle name="Input [yellow] 3 17 10 18 3" xfId="32888"/>
    <cellStyle name="Input [yellow] 3 17 10 18 4" xfId="44053"/>
    <cellStyle name="Input [yellow] 3 17 10 18 5" xfId="55246"/>
    <cellStyle name="Input [yellow] 3 17 10 19" xfId="11140"/>
    <cellStyle name="Input [yellow] 3 17 10 19 2" xfId="22337"/>
    <cellStyle name="Input [yellow] 3 17 10 19 3" xfId="33505"/>
    <cellStyle name="Input [yellow] 3 17 10 19 4" xfId="44670"/>
    <cellStyle name="Input [yellow] 3 17 10 19 5" xfId="55863"/>
    <cellStyle name="Input [yellow] 3 17 10 2" xfId="1236"/>
    <cellStyle name="Input [yellow] 3 17 10 2 2" xfId="12433"/>
    <cellStyle name="Input [yellow] 3 17 10 2 3" xfId="23601"/>
    <cellStyle name="Input [yellow] 3 17 10 2 4" xfId="34766"/>
    <cellStyle name="Input [yellow] 3 17 10 2 5" xfId="45959"/>
    <cellStyle name="Input [yellow] 3 17 10 20" xfId="11787"/>
    <cellStyle name="Input [yellow] 3 17 10 21" xfId="22957"/>
    <cellStyle name="Input [yellow] 3 17 10 22" xfId="34124"/>
    <cellStyle name="Input [yellow] 3 17 10 23" xfId="45310"/>
    <cellStyle name="Input [yellow] 3 17 10 3" xfId="1911"/>
    <cellStyle name="Input [yellow] 3 17 10 3 2" xfId="13108"/>
    <cellStyle name="Input [yellow] 3 17 10 3 3" xfId="24276"/>
    <cellStyle name="Input [yellow] 3 17 10 3 4" xfId="35441"/>
    <cellStyle name="Input [yellow] 3 17 10 3 5" xfId="46634"/>
    <cellStyle name="Input [yellow] 3 17 10 4" xfId="2512"/>
    <cellStyle name="Input [yellow] 3 17 10 4 2" xfId="13709"/>
    <cellStyle name="Input [yellow] 3 17 10 4 3" xfId="24877"/>
    <cellStyle name="Input [yellow] 3 17 10 4 4" xfId="36042"/>
    <cellStyle name="Input [yellow] 3 17 10 4 5" xfId="47235"/>
    <cellStyle name="Input [yellow] 3 17 10 5" xfId="2937"/>
    <cellStyle name="Input [yellow] 3 17 10 5 2" xfId="14134"/>
    <cellStyle name="Input [yellow] 3 17 10 5 3" xfId="25302"/>
    <cellStyle name="Input [yellow] 3 17 10 5 4" xfId="36467"/>
    <cellStyle name="Input [yellow] 3 17 10 5 5" xfId="47660"/>
    <cellStyle name="Input [yellow] 3 17 10 6" xfId="3571"/>
    <cellStyle name="Input [yellow] 3 17 10 6 2" xfId="14768"/>
    <cellStyle name="Input [yellow] 3 17 10 6 3" xfId="25936"/>
    <cellStyle name="Input [yellow] 3 17 10 6 4" xfId="37101"/>
    <cellStyle name="Input [yellow] 3 17 10 6 5" xfId="48294"/>
    <cellStyle name="Input [yellow] 3 17 10 7" xfId="4205"/>
    <cellStyle name="Input [yellow] 3 17 10 7 2" xfId="15402"/>
    <cellStyle name="Input [yellow] 3 17 10 7 3" xfId="26570"/>
    <cellStyle name="Input [yellow] 3 17 10 7 4" xfId="37735"/>
    <cellStyle name="Input [yellow] 3 17 10 7 5" xfId="48928"/>
    <cellStyle name="Input [yellow] 3 17 10 8" xfId="4838"/>
    <cellStyle name="Input [yellow] 3 17 10 8 2" xfId="16035"/>
    <cellStyle name="Input [yellow] 3 17 10 8 3" xfId="27203"/>
    <cellStyle name="Input [yellow] 3 17 10 8 4" xfId="38368"/>
    <cellStyle name="Input [yellow] 3 17 10 8 5" xfId="49561"/>
    <cellStyle name="Input [yellow] 3 17 10 9" xfId="5469"/>
    <cellStyle name="Input [yellow] 3 17 10 9 2" xfId="16666"/>
    <cellStyle name="Input [yellow] 3 17 10 9 3" xfId="27834"/>
    <cellStyle name="Input [yellow] 3 17 10 9 4" xfId="38999"/>
    <cellStyle name="Input [yellow] 3 17 10 9 5" xfId="50192"/>
    <cellStyle name="Input [yellow] 3 17 11" xfId="649"/>
    <cellStyle name="Input [yellow] 3 17 11 10" xfId="5558"/>
    <cellStyle name="Input [yellow] 3 17 11 10 2" xfId="16755"/>
    <cellStyle name="Input [yellow] 3 17 11 10 3" xfId="27923"/>
    <cellStyle name="Input [yellow] 3 17 11 10 4" xfId="39088"/>
    <cellStyle name="Input [yellow] 3 17 11 10 5" xfId="50281"/>
    <cellStyle name="Input [yellow] 3 17 11 11" xfId="6585"/>
    <cellStyle name="Input [yellow] 3 17 11 11 2" xfId="17782"/>
    <cellStyle name="Input [yellow] 3 17 11 11 3" xfId="28950"/>
    <cellStyle name="Input [yellow] 3 17 11 11 4" xfId="40115"/>
    <cellStyle name="Input [yellow] 3 17 11 11 5" xfId="51308"/>
    <cellStyle name="Input [yellow] 3 17 11 12" xfId="7218"/>
    <cellStyle name="Input [yellow] 3 17 11 12 2" xfId="18415"/>
    <cellStyle name="Input [yellow] 3 17 11 12 3" xfId="29583"/>
    <cellStyle name="Input [yellow] 3 17 11 12 4" xfId="40748"/>
    <cellStyle name="Input [yellow] 3 17 11 12 5" xfId="51941"/>
    <cellStyle name="Input [yellow] 3 17 11 13" xfId="7852"/>
    <cellStyle name="Input [yellow] 3 17 11 13 2" xfId="19049"/>
    <cellStyle name="Input [yellow] 3 17 11 13 3" xfId="30217"/>
    <cellStyle name="Input [yellow] 3 17 11 13 4" xfId="41382"/>
    <cellStyle name="Input [yellow] 3 17 11 13 5" xfId="52575"/>
    <cellStyle name="Input [yellow] 3 17 11 14" xfId="8486"/>
    <cellStyle name="Input [yellow] 3 17 11 14 2" xfId="19683"/>
    <cellStyle name="Input [yellow] 3 17 11 14 3" xfId="30851"/>
    <cellStyle name="Input [yellow] 3 17 11 14 4" xfId="42016"/>
    <cellStyle name="Input [yellow] 3 17 11 14 5" xfId="53209"/>
    <cellStyle name="Input [yellow] 3 17 11 15" xfId="9114"/>
    <cellStyle name="Input [yellow] 3 17 11 15 2" xfId="20311"/>
    <cellStyle name="Input [yellow] 3 17 11 15 3" xfId="31479"/>
    <cellStyle name="Input [yellow] 3 17 11 15 4" xfId="42644"/>
    <cellStyle name="Input [yellow] 3 17 11 15 5" xfId="53837"/>
    <cellStyle name="Input [yellow] 3 17 11 16" xfId="9537"/>
    <cellStyle name="Input [yellow] 3 17 11 16 2" xfId="20734"/>
    <cellStyle name="Input [yellow] 3 17 11 16 3" xfId="31902"/>
    <cellStyle name="Input [yellow] 3 17 11 16 4" xfId="43067"/>
    <cellStyle name="Input [yellow] 3 17 11 16 5" xfId="54260"/>
    <cellStyle name="Input [yellow] 3 17 11 17" xfId="10162"/>
    <cellStyle name="Input [yellow] 3 17 11 17 2" xfId="21359"/>
    <cellStyle name="Input [yellow] 3 17 11 17 3" xfId="32527"/>
    <cellStyle name="Input [yellow] 3 17 11 17 4" xfId="43692"/>
    <cellStyle name="Input [yellow] 3 17 11 17 5" xfId="54885"/>
    <cellStyle name="Input [yellow] 3 17 11 18" xfId="9722"/>
    <cellStyle name="Input [yellow] 3 17 11 18 2" xfId="20919"/>
    <cellStyle name="Input [yellow] 3 17 11 18 3" xfId="32087"/>
    <cellStyle name="Input [yellow] 3 17 11 18 4" xfId="43252"/>
    <cellStyle name="Input [yellow] 3 17 11 18 5" xfId="54445"/>
    <cellStyle name="Input [yellow] 3 17 11 19" xfId="11202"/>
    <cellStyle name="Input [yellow] 3 17 11 19 2" xfId="22399"/>
    <cellStyle name="Input [yellow] 3 17 11 19 3" xfId="33567"/>
    <cellStyle name="Input [yellow] 3 17 11 19 4" xfId="44732"/>
    <cellStyle name="Input [yellow] 3 17 11 19 5" xfId="55925"/>
    <cellStyle name="Input [yellow] 3 17 11 2" xfId="1298"/>
    <cellStyle name="Input [yellow] 3 17 11 2 2" xfId="12495"/>
    <cellStyle name="Input [yellow] 3 17 11 2 3" xfId="23663"/>
    <cellStyle name="Input [yellow] 3 17 11 2 4" xfId="34828"/>
    <cellStyle name="Input [yellow] 3 17 11 2 5" xfId="46021"/>
    <cellStyle name="Input [yellow] 3 17 11 20" xfId="11849"/>
    <cellStyle name="Input [yellow] 3 17 11 21" xfId="23019"/>
    <cellStyle name="Input [yellow] 3 17 11 22" xfId="34186"/>
    <cellStyle name="Input [yellow] 3 17 11 23" xfId="45372"/>
    <cellStyle name="Input [yellow] 3 17 11 3" xfId="1560"/>
    <cellStyle name="Input [yellow] 3 17 11 3 2" xfId="12757"/>
    <cellStyle name="Input [yellow] 3 17 11 3 3" xfId="23925"/>
    <cellStyle name="Input [yellow] 3 17 11 3 4" xfId="35090"/>
    <cellStyle name="Input [yellow] 3 17 11 3 5" xfId="46283"/>
    <cellStyle name="Input [yellow] 3 17 11 4" xfId="2574"/>
    <cellStyle name="Input [yellow] 3 17 11 4 2" xfId="13771"/>
    <cellStyle name="Input [yellow] 3 17 11 4 3" xfId="24939"/>
    <cellStyle name="Input [yellow] 3 17 11 4 4" xfId="36104"/>
    <cellStyle name="Input [yellow] 3 17 11 4 5" xfId="47297"/>
    <cellStyle name="Input [yellow] 3 17 11 5" xfId="2999"/>
    <cellStyle name="Input [yellow] 3 17 11 5 2" xfId="14196"/>
    <cellStyle name="Input [yellow] 3 17 11 5 3" xfId="25364"/>
    <cellStyle name="Input [yellow] 3 17 11 5 4" xfId="36529"/>
    <cellStyle name="Input [yellow] 3 17 11 5 5" xfId="47722"/>
    <cellStyle name="Input [yellow] 3 17 11 6" xfId="3633"/>
    <cellStyle name="Input [yellow] 3 17 11 6 2" xfId="14830"/>
    <cellStyle name="Input [yellow] 3 17 11 6 3" xfId="25998"/>
    <cellStyle name="Input [yellow] 3 17 11 6 4" xfId="37163"/>
    <cellStyle name="Input [yellow] 3 17 11 6 5" xfId="48356"/>
    <cellStyle name="Input [yellow] 3 17 11 7" xfId="4267"/>
    <cellStyle name="Input [yellow] 3 17 11 7 2" xfId="15464"/>
    <cellStyle name="Input [yellow] 3 17 11 7 3" xfId="26632"/>
    <cellStyle name="Input [yellow] 3 17 11 7 4" xfId="37797"/>
    <cellStyle name="Input [yellow] 3 17 11 7 5" xfId="48990"/>
    <cellStyle name="Input [yellow] 3 17 11 8" xfId="4900"/>
    <cellStyle name="Input [yellow] 3 17 11 8 2" xfId="16097"/>
    <cellStyle name="Input [yellow] 3 17 11 8 3" xfId="27265"/>
    <cellStyle name="Input [yellow] 3 17 11 8 4" xfId="38430"/>
    <cellStyle name="Input [yellow] 3 17 11 8 5" xfId="49623"/>
    <cellStyle name="Input [yellow] 3 17 11 9" xfId="5531"/>
    <cellStyle name="Input [yellow] 3 17 11 9 2" xfId="16728"/>
    <cellStyle name="Input [yellow] 3 17 11 9 3" xfId="27896"/>
    <cellStyle name="Input [yellow] 3 17 11 9 4" xfId="39061"/>
    <cellStyle name="Input [yellow] 3 17 11 9 5" xfId="50254"/>
    <cellStyle name="Input [yellow] 3 17 12" xfId="750"/>
    <cellStyle name="Input [yellow] 3 17 12 2" xfId="11947"/>
    <cellStyle name="Input [yellow] 3 17 12 3" xfId="23115"/>
    <cellStyle name="Input [yellow] 3 17 12 4" xfId="34280"/>
    <cellStyle name="Input [yellow] 3 17 12 5" xfId="45473"/>
    <cellStyle name="Input [yellow] 3 17 13" xfId="1656"/>
    <cellStyle name="Input [yellow] 3 17 13 2" xfId="12853"/>
    <cellStyle name="Input [yellow] 3 17 13 3" xfId="24021"/>
    <cellStyle name="Input [yellow] 3 17 13 4" xfId="35186"/>
    <cellStyle name="Input [yellow] 3 17 13 5" xfId="46379"/>
    <cellStyle name="Input [yellow] 3 17 14" xfId="2027"/>
    <cellStyle name="Input [yellow] 3 17 14 2" xfId="13224"/>
    <cellStyle name="Input [yellow] 3 17 14 3" xfId="24392"/>
    <cellStyle name="Input [yellow] 3 17 14 4" xfId="35557"/>
    <cellStyle name="Input [yellow] 3 17 14 5" xfId="46750"/>
    <cellStyle name="Input [yellow] 3 17 15" xfId="2262"/>
    <cellStyle name="Input [yellow] 3 17 15 2" xfId="13459"/>
    <cellStyle name="Input [yellow] 3 17 15 3" xfId="24627"/>
    <cellStyle name="Input [yellow] 3 17 15 4" xfId="35792"/>
    <cellStyle name="Input [yellow] 3 17 15 5" xfId="46985"/>
    <cellStyle name="Input [yellow] 3 17 16" xfId="3085"/>
    <cellStyle name="Input [yellow] 3 17 16 2" xfId="14282"/>
    <cellStyle name="Input [yellow] 3 17 16 3" xfId="25450"/>
    <cellStyle name="Input [yellow] 3 17 16 4" xfId="36615"/>
    <cellStyle name="Input [yellow] 3 17 16 5" xfId="47808"/>
    <cellStyle name="Input [yellow] 3 17 17" xfId="3719"/>
    <cellStyle name="Input [yellow] 3 17 17 2" xfId="14916"/>
    <cellStyle name="Input [yellow] 3 17 17 3" xfId="26084"/>
    <cellStyle name="Input [yellow] 3 17 17 4" xfId="37249"/>
    <cellStyle name="Input [yellow] 3 17 17 5" xfId="48442"/>
    <cellStyle name="Input [yellow] 3 17 18" xfId="4352"/>
    <cellStyle name="Input [yellow] 3 17 18 2" xfId="15549"/>
    <cellStyle name="Input [yellow] 3 17 18 3" xfId="26717"/>
    <cellStyle name="Input [yellow] 3 17 18 4" xfId="37882"/>
    <cellStyle name="Input [yellow] 3 17 18 5" xfId="49075"/>
    <cellStyle name="Input [yellow] 3 17 19" xfId="4983"/>
    <cellStyle name="Input [yellow] 3 17 19 2" xfId="16180"/>
    <cellStyle name="Input [yellow] 3 17 19 3" xfId="27348"/>
    <cellStyle name="Input [yellow] 3 17 19 4" xfId="38513"/>
    <cellStyle name="Input [yellow] 3 17 19 5" xfId="49706"/>
    <cellStyle name="Input [yellow] 3 17 2" xfId="164"/>
    <cellStyle name="Input [yellow] 3 17 2 10" xfId="5825"/>
    <cellStyle name="Input [yellow] 3 17 2 10 2" xfId="17022"/>
    <cellStyle name="Input [yellow] 3 17 2 10 3" xfId="28190"/>
    <cellStyle name="Input [yellow] 3 17 2 10 4" xfId="39355"/>
    <cellStyle name="Input [yellow] 3 17 2 10 5" xfId="50548"/>
    <cellStyle name="Input [yellow] 3 17 2 11" xfId="5831"/>
    <cellStyle name="Input [yellow] 3 17 2 11 2" xfId="17028"/>
    <cellStyle name="Input [yellow] 3 17 2 11 3" xfId="28196"/>
    <cellStyle name="Input [yellow] 3 17 2 11 4" xfId="39361"/>
    <cellStyle name="Input [yellow] 3 17 2 11 5" xfId="50554"/>
    <cellStyle name="Input [yellow] 3 17 2 12" xfId="6733"/>
    <cellStyle name="Input [yellow] 3 17 2 12 2" xfId="17930"/>
    <cellStyle name="Input [yellow] 3 17 2 12 3" xfId="29098"/>
    <cellStyle name="Input [yellow] 3 17 2 12 4" xfId="40263"/>
    <cellStyle name="Input [yellow] 3 17 2 12 5" xfId="51456"/>
    <cellStyle name="Input [yellow] 3 17 2 13" xfId="7367"/>
    <cellStyle name="Input [yellow] 3 17 2 13 2" xfId="18564"/>
    <cellStyle name="Input [yellow] 3 17 2 13 3" xfId="29732"/>
    <cellStyle name="Input [yellow] 3 17 2 13 4" xfId="40897"/>
    <cellStyle name="Input [yellow] 3 17 2 13 5" xfId="52090"/>
    <cellStyle name="Input [yellow] 3 17 2 14" xfId="8001"/>
    <cellStyle name="Input [yellow] 3 17 2 14 2" xfId="19198"/>
    <cellStyle name="Input [yellow] 3 17 2 14 3" xfId="30366"/>
    <cellStyle name="Input [yellow] 3 17 2 14 4" xfId="41531"/>
    <cellStyle name="Input [yellow] 3 17 2 14 5" xfId="52724"/>
    <cellStyle name="Input [yellow] 3 17 2 15" xfId="8632"/>
    <cellStyle name="Input [yellow] 3 17 2 15 2" xfId="19829"/>
    <cellStyle name="Input [yellow] 3 17 2 15 3" xfId="30997"/>
    <cellStyle name="Input [yellow] 3 17 2 15 4" xfId="42162"/>
    <cellStyle name="Input [yellow] 3 17 2 15 5" xfId="53355"/>
    <cellStyle name="Input [yellow] 3 17 2 16" xfId="9059"/>
    <cellStyle name="Input [yellow] 3 17 2 16 2" xfId="20256"/>
    <cellStyle name="Input [yellow] 3 17 2 16 3" xfId="31424"/>
    <cellStyle name="Input [yellow] 3 17 2 16 4" xfId="42589"/>
    <cellStyle name="Input [yellow] 3 17 2 16 5" xfId="53782"/>
    <cellStyle name="Input [yellow] 3 17 2 17" xfId="9684"/>
    <cellStyle name="Input [yellow] 3 17 2 17 2" xfId="20881"/>
    <cellStyle name="Input [yellow] 3 17 2 17 3" xfId="32049"/>
    <cellStyle name="Input [yellow] 3 17 2 17 4" xfId="43214"/>
    <cellStyle name="Input [yellow] 3 17 2 17 5" xfId="54407"/>
    <cellStyle name="Input [yellow] 3 17 2 18" xfId="10491"/>
    <cellStyle name="Input [yellow] 3 17 2 18 2" xfId="21688"/>
    <cellStyle name="Input [yellow] 3 17 2 18 3" xfId="32856"/>
    <cellStyle name="Input [yellow] 3 17 2 18 4" xfId="44021"/>
    <cellStyle name="Input [yellow] 3 17 2 18 5" xfId="55214"/>
    <cellStyle name="Input [yellow] 3 17 2 19" xfId="10717"/>
    <cellStyle name="Input [yellow] 3 17 2 19 2" xfId="21914"/>
    <cellStyle name="Input [yellow] 3 17 2 19 3" xfId="33082"/>
    <cellStyle name="Input [yellow] 3 17 2 19 4" xfId="44247"/>
    <cellStyle name="Input [yellow] 3 17 2 19 5" xfId="55440"/>
    <cellStyle name="Input [yellow] 3 17 2 2" xfId="813"/>
    <cellStyle name="Input [yellow] 3 17 2 2 2" xfId="12010"/>
    <cellStyle name="Input [yellow] 3 17 2 2 3" xfId="23178"/>
    <cellStyle name="Input [yellow] 3 17 2 2 4" xfId="34343"/>
    <cellStyle name="Input [yellow] 3 17 2 2 5" xfId="45536"/>
    <cellStyle name="Input [yellow] 3 17 2 20" xfId="11364"/>
    <cellStyle name="Input [yellow] 3 17 2 21" xfId="22534"/>
    <cellStyle name="Input [yellow] 3 17 2 22" xfId="33701"/>
    <cellStyle name="Input [yellow] 3 17 2 23" xfId="44887"/>
    <cellStyle name="Input [yellow] 3 17 2 3" xfId="1788"/>
    <cellStyle name="Input [yellow] 3 17 2 3 2" xfId="12985"/>
    <cellStyle name="Input [yellow] 3 17 2 3 3" xfId="24153"/>
    <cellStyle name="Input [yellow] 3 17 2 3 4" xfId="35318"/>
    <cellStyle name="Input [yellow] 3 17 2 3 5" xfId="46511"/>
    <cellStyle name="Input [yellow] 3 17 2 4" xfId="2090"/>
    <cellStyle name="Input [yellow] 3 17 2 4 2" xfId="13287"/>
    <cellStyle name="Input [yellow] 3 17 2 4 3" xfId="24455"/>
    <cellStyle name="Input [yellow] 3 17 2 4 4" xfId="35620"/>
    <cellStyle name="Input [yellow] 3 17 2 4 5" xfId="46813"/>
    <cellStyle name="Input [yellow] 3 17 2 5" xfId="2494"/>
    <cellStyle name="Input [yellow] 3 17 2 5 2" xfId="13691"/>
    <cellStyle name="Input [yellow] 3 17 2 5 3" xfId="24859"/>
    <cellStyle name="Input [yellow] 3 17 2 5 4" xfId="36024"/>
    <cellStyle name="Input [yellow] 3 17 2 5 5" xfId="47217"/>
    <cellStyle name="Input [yellow] 3 17 2 6" xfId="3148"/>
    <cellStyle name="Input [yellow] 3 17 2 6 2" xfId="14345"/>
    <cellStyle name="Input [yellow] 3 17 2 6 3" xfId="25513"/>
    <cellStyle name="Input [yellow] 3 17 2 6 4" xfId="36678"/>
    <cellStyle name="Input [yellow] 3 17 2 6 5" xfId="47871"/>
    <cellStyle name="Input [yellow] 3 17 2 7" xfId="3782"/>
    <cellStyle name="Input [yellow] 3 17 2 7 2" xfId="14979"/>
    <cellStyle name="Input [yellow] 3 17 2 7 3" xfId="26147"/>
    <cellStyle name="Input [yellow] 3 17 2 7 4" xfId="37312"/>
    <cellStyle name="Input [yellow] 3 17 2 7 5" xfId="48505"/>
    <cellStyle name="Input [yellow] 3 17 2 8" xfId="4415"/>
    <cellStyle name="Input [yellow] 3 17 2 8 2" xfId="15612"/>
    <cellStyle name="Input [yellow] 3 17 2 8 3" xfId="26780"/>
    <cellStyle name="Input [yellow] 3 17 2 8 4" xfId="37945"/>
    <cellStyle name="Input [yellow] 3 17 2 8 5" xfId="49138"/>
    <cellStyle name="Input [yellow] 3 17 2 9" xfId="5046"/>
    <cellStyle name="Input [yellow] 3 17 2 9 2" xfId="16243"/>
    <cellStyle name="Input [yellow] 3 17 2 9 3" xfId="27411"/>
    <cellStyle name="Input [yellow] 3 17 2 9 4" xfId="38576"/>
    <cellStyle name="Input [yellow] 3 17 2 9 5" xfId="49769"/>
    <cellStyle name="Input [yellow] 3 17 20" xfId="4305"/>
    <cellStyle name="Input [yellow] 3 17 20 2" xfId="15502"/>
    <cellStyle name="Input [yellow] 3 17 20 3" xfId="26670"/>
    <cellStyle name="Input [yellow] 3 17 20 4" xfId="37835"/>
    <cellStyle name="Input [yellow] 3 17 20 5" xfId="49028"/>
    <cellStyle name="Input [yellow] 3 17 21" xfId="6042"/>
    <cellStyle name="Input [yellow] 3 17 21 2" xfId="17239"/>
    <cellStyle name="Input [yellow] 3 17 21 3" xfId="28407"/>
    <cellStyle name="Input [yellow] 3 17 21 4" xfId="39572"/>
    <cellStyle name="Input [yellow] 3 17 21 5" xfId="50765"/>
    <cellStyle name="Input [yellow] 3 17 22" xfId="6670"/>
    <cellStyle name="Input [yellow] 3 17 22 2" xfId="17867"/>
    <cellStyle name="Input [yellow] 3 17 22 3" xfId="29035"/>
    <cellStyle name="Input [yellow] 3 17 22 4" xfId="40200"/>
    <cellStyle name="Input [yellow] 3 17 22 5" xfId="51393"/>
    <cellStyle name="Input [yellow] 3 17 23" xfId="7304"/>
    <cellStyle name="Input [yellow] 3 17 23 2" xfId="18501"/>
    <cellStyle name="Input [yellow] 3 17 23 3" xfId="29669"/>
    <cellStyle name="Input [yellow] 3 17 23 4" xfId="40834"/>
    <cellStyle name="Input [yellow] 3 17 23 5" xfId="52027"/>
    <cellStyle name="Input [yellow] 3 17 24" xfId="7938"/>
    <cellStyle name="Input [yellow] 3 17 24 2" xfId="19135"/>
    <cellStyle name="Input [yellow] 3 17 24 3" xfId="30303"/>
    <cellStyle name="Input [yellow] 3 17 24 4" xfId="41468"/>
    <cellStyle name="Input [yellow] 3 17 24 5" xfId="52661"/>
    <cellStyle name="Input [yellow] 3 17 25" xfId="8569"/>
    <cellStyle name="Input [yellow] 3 17 25 2" xfId="19766"/>
    <cellStyle name="Input [yellow] 3 17 25 3" xfId="30934"/>
    <cellStyle name="Input [yellow] 3 17 25 4" xfId="42099"/>
    <cellStyle name="Input [yellow] 3 17 25 5" xfId="53292"/>
    <cellStyle name="Input [yellow] 3 17 26" xfId="8937"/>
    <cellStyle name="Input [yellow] 3 17 26 2" xfId="20134"/>
    <cellStyle name="Input [yellow] 3 17 26 3" xfId="31302"/>
    <cellStyle name="Input [yellow] 3 17 26 4" xfId="42467"/>
    <cellStyle name="Input [yellow] 3 17 26 5" xfId="53660"/>
    <cellStyle name="Input [yellow] 3 17 27" xfId="9622"/>
    <cellStyle name="Input [yellow] 3 17 27 2" xfId="20819"/>
    <cellStyle name="Input [yellow] 3 17 27 3" xfId="31987"/>
    <cellStyle name="Input [yellow] 3 17 27 4" xfId="43152"/>
    <cellStyle name="Input [yellow] 3 17 27 5" xfId="54345"/>
    <cellStyle name="Input [yellow] 3 17 28" xfId="10384"/>
    <cellStyle name="Input [yellow] 3 17 28 2" xfId="21581"/>
    <cellStyle name="Input [yellow] 3 17 28 3" xfId="32749"/>
    <cellStyle name="Input [yellow] 3 17 28 4" xfId="43914"/>
    <cellStyle name="Input [yellow] 3 17 28 5" xfId="55107"/>
    <cellStyle name="Input [yellow] 3 17 29" xfId="10654"/>
    <cellStyle name="Input [yellow] 3 17 29 2" xfId="21851"/>
    <cellStyle name="Input [yellow] 3 17 29 3" xfId="33019"/>
    <cellStyle name="Input [yellow] 3 17 29 4" xfId="44184"/>
    <cellStyle name="Input [yellow] 3 17 29 5" xfId="55377"/>
    <cellStyle name="Input [yellow] 3 17 3" xfId="220"/>
    <cellStyle name="Input [yellow] 3 17 3 10" xfId="6056"/>
    <cellStyle name="Input [yellow] 3 17 3 10 2" xfId="17253"/>
    <cellStyle name="Input [yellow] 3 17 3 10 3" xfId="28421"/>
    <cellStyle name="Input [yellow] 3 17 3 10 4" xfId="39586"/>
    <cellStyle name="Input [yellow] 3 17 3 10 5" xfId="50779"/>
    <cellStyle name="Input [yellow] 3 17 3 11" xfId="5622"/>
    <cellStyle name="Input [yellow] 3 17 3 11 2" xfId="16819"/>
    <cellStyle name="Input [yellow] 3 17 3 11 3" xfId="27987"/>
    <cellStyle name="Input [yellow] 3 17 3 11 4" xfId="39152"/>
    <cellStyle name="Input [yellow] 3 17 3 11 5" xfId="50345"/>
    <cellStyle name="Input [yellow] 3 17 3 12" xfId="6789"/>
    <cellStyle name="Input [yellow] 3 17 3 12 2" xfId="17986"/>
    <cellStyle name="Input [yellow] 3 17 3 12 3" xfId="29154"/>
    <cellStyle name="Input [yellow] 3 17 3 12 4" xfId="40319"/>
    <cellStyle name="Input [yellow] 3 17 3 12 5" xfId="51512"/>
    <cellStyle name="Input [yellow] 3 17 3 13" xfId="7423"/>
    <cellStyle name="Input [yellow] 3 17 3 13 2" xfId="18620"/>
    <cellStyle name="Input [yellow] 3 17 3 13 3" xfId="29788"/>
    <cellStyle name="Input [yellow] 3 17 3 13 4" xfId="40953"/>
    <cellStyle name="Input [yellow] 3 17 3 13 5" xfId="52146"/>
    <cellStyle name="Input [yellow] 3 17 3 14" xfId="8057"/>
    <cellStyle name="Input [yellow] 3 17 3 14 2" xfId="19254"/>
    <cellStyle name="Input [yellow] 3 17 3 14 3" xfId="30422"/>
    <cellStyle name="Input [yellow] 3 17 3 14 4" xfId="41587"/>
    <cellStyle name="Input [yellow] 3 17 3 14 5" xfId="52780"/>
    <cellStyle name="Input [yellow] 3 17 3 15" xfId="8688"/>
    <cellStyle name="Input [yellow] 3 17 3 15 2" xfId="19885"/>
    <cellStyle name="Input [yellow] 3 17 3 15 3" xfId="31053"/>
    <cellStyle name="Input [yellow] 3 17 3 15 4" xfId="42218"/>
    <cellStyle name="Input [yellow] 3 17 3 15 5" xfId="53411"/>
    <cellStyle name="Input [yellow] 3 17 3 16" xfId="9086"/>
    <cellStyle name="Input [yellow] 3 17 3 16 2" xfId="20283"/>
    <cellStyle name="Input [yellow] 3 17 3 16 3" xfId="31451"/>
    <cellStyle name="Input [yellow] 3 17 3 16 4" xfId="42616"/>
    <cellStyle name="Input [yellow] 3 17 3 16 5" xfId="53809"/>
    <cellStyle name="Input [yellow] 3 17 3 17" xfId="9739"/>
    <cellStyle name="Input [yellow] 3 17 3 17 2" xfId="20936"/>
    <cellStyle name="Input [yellow] 3 17 3 17 3" xfId="32104"/>
    <cellStyle name="Input [yellow] 3 17 3 17 4" xfId="43269"/>
    <cellStyle name="Input [yellow] 3 17 3 17 5" xfId="54462"/>
    <cellStyle name="Input [yellow] 3 17 3 18" xfId="10418"/>
    <cellStyle name="Input [yellow] 3 17 3 18 2" xfId="21615"/>
    <cellStyle name="Input [yellow] 3 17 3 18 3" xfId="32783"/>
    <cellStyle name="Input [yellow] 3 17 3 18 4" xfId="43948"/>
    <cellStyle name="Input [yellow] 3 17 3 18 5" xfId="55141"/>
    <cellStyle name="Input [yellow] 3 17 3 19" xfId="10773"/>
    <cellStyle name="Input [yellow] 3 17 3 19 2" xfId="21970"/>
    <cellStyle name="Input [yellow] 3 17 3 19 3" xfId="33138"/>
    <cellStyle name="Input [yellow] 3 17 3 19 4" xfId="44303"/>
    <cellStyle name="Input [yellow] 3 17 3 19 5" xfId="55496"/>
    <cellStyle name="Input [yellow] 3 17 3 2" xfId="869"/>
    <cellStyle name="Input [yellow] 3 17 3 2 2" xfId="12066"/>
    <cellStyle name="Input [yellow] 3 17 3 2 3" xfId="23234"/>
    <cellStyle name="Input [yellow] 3 17 3 2 4" xfId="34399"/>
    <cellStyle name="Input [yellow] 3 17 3 2 5" xfId="45592"/>
    <cellStyle name="Input [yellow] 3 17 3 20" xfId="11420"/>
    <cellStyle name="Input [yellow] 3 17 3 21" xfId="22590"/>
    <cellStyle name="Input [yellow] 3 17 3 22" xfId="33757"/>
    <cellStyle name="Input [yellow] 3 17 3 23" xfId="44943"/>
    <cellStyle name="Input [yellow] 3 17 3 3" xfId="1612"/>
    <cellStyle name="Input [yellow] 3 17 3 3 2" xfId="12809"/>
    <cellStyle name="Input [yellow] 3 17 3 3 3" xfId="23977"/>
    <cellStyle name="Input [yellow] 3 17 3 3 4" xfId="35142"/>
    <cellStyle name="Input [yellow] 3 17 3 3 5" xfId="46335"/>
    <cellStyle name="Input [yellow] 3 17 3 4" xfId="2146"/>
    <cellStyle name="Input [yellow] 3 17 3 4 2" xfId="13343"/>
    <cellStyle name="Input [yellow] 3 17 3 4 3" xfId="24511"/>
    <cellStyle name="Input [yellow] 3 17 3 4 4" xfId="35676"/>
    <cellStyle name="Input [yellow] 3 17 3 4 5" xfId="46869"/>
    <cellStyle name="Input [yellow] 3 17 3 5" xfId="2417"/>
    <cellStyle name="Input [yellow] 3 17 3 5 2" xfId="13614"/>
    <cellStyle name="Input [yellow] 3 17 3 5 3" xfId="24782"/>
    <cellStyle name="Input [yellow] 3 17 3 5 4" xfId="35947"/>
    <cellStyle name="Input [yellow] 3 17 3 5 5" xfId="47140"/>
    <cellStyle name="Input [yellow] 3 17 3 6" xfId="3204"/>
    <cellStyle name="Input [yellow] 3 17 3 6 2" xfId="14401"/>
    <cellStyle name="Input [yellow] 3 17 3 6 3" xfId="25569"/>
    <cellStyle name="Input [yellow] 3 17 3 6 4" xfId="36734"/>
    <cellStyle name="Input [yellow] 3 17 3 6 5" xfId="47927"/>
    <cellStyle name="Input [yellow] 3 17 3 7" xfId="3838"/>
    <cellStyle name="Input [yellow] 3 17 3 7 2" xfId="15035"/>
    <cellStyle name="Input [yellow] 3 17 3 7 3" xfId="26203"/>
    <cellStyle name="Input [yellow] 3 17 3 7 4" xfId="37368"/>
    <cellStyle name="Input [yellow] 3 17 3 7 5" xfId="48561"/>
    <cellStyle name="Input [yellow] 3 17 3 8" xfId="4471"/>
    <cellStyle name="Input [yellow] 3 17 3 8 2" xfId="15668"/>
    <cellStyle name="Input [yellow] 3 17 3 8 3" xfId="26836"/>
    <cellStyle name="Input [yellow] 3 17 3 8 4" xfId="38001"/>
    <cellStyle name="Input [yellow] 3 17 3 8 5" xfId="49194"/>
    <cellStyle name="Input [yellow] 3 17 3 9" xfId="5102"/>
    <cellStyle name="Input [yellow] 3 17 3 9 2" xfId="16299"/>
    <cellStyle name="Input [yellow] 3 17 3 9 3" xfId="27467"/>
    <cellStyle name="Input [yellow] 3 17 3 9 4" xfId="38632"/>
    <cellStyle name="Input [yellow] 3 17 3 9 5" xfId="49825"/>
    <cellStyle name="Input [yellow] 3 17 30" xfId="11301"/>
    <cellStyle name="Input [yellow] 3 17 31" xfId="22471"/>
    <cellStyle name="Input [yellow] 3 17 32" xfId="33638"/>
    <cellStyle name="Input [yellow] 3 17 33" xfId="44824"/>
    <cellStyle name="Input [yellow] 3 17 4" xfId="114"/>
    <cellStyle name="Input [yellow] 3 17 4 10" xfId="5604"/>
    <cellStyle name="Input [yellow] 3 17 4 10 2" xfId="16801"/>
    <cellStyle name="Input [yellow] 3 17 4 10 3" xfId="27969"/>
    <cellStyle name="Input [yellow] 3 17 4 10 4" xfId="39134"/>
    <cellStyle name="Input [yellow] 3 17 4 10 5" xfId="50327"/>
    <cellStyle name="Input [yellow] 3 17 4 11" xfId="5873"/>
    <cellStyle name="Input [yellow] 3 17 4 11 2" xfId="17070"/>
    <cellStyle name="Input [yellow] 3 17 4 11 3" xfId="28238"/>
    <cellStyle name="Input [yellow] 3 17 4 11 4" xfId="39403"/>
    <cellStyle name="Input [yellow] 3 17 4 11 5" xfId="50596"/>
    <cellStyle name="Input [yellow] 3 17 4 12" xfId="6683"/>
    <cellStyle name="Input [yellow] 3 17 4 12 2" xfId="17880"/>
    <cellStyle name="Input [yellow] 3 17 4 12 3" xfId="29048"/>
    <cellStyle name="Input [yellow] 3 17 4 12 4" xfId="40213"/>
    <cellStyle name="Input [yellow] 3 17 4 12 5" xfId="51406"/>
    <cellStyle name="Input [yellow] 3 17 4 13" xfId="7317"/>
    <cellStyle name="Input [yellow] 3 17 4 13 2" xfId="18514"/>
    <cellStyle name="Input [yellow] 3 17 4 13 3" xfId="29682"/>
    <cellStyle name="Input [yellow] 3 17 4 13 4" xfId="40847"/>
    <cellStyle name="Input [yellow] 3 17 4 13 5" xfId="52040"/>
    <cellStyle name="Input [yellow] 3 17 4 14" xfId="7951"/>
    <cellStyle name="Input [yellow] 3 17 4 14 2" xfId="19148"/>
    <cellStyle name="Input [yellow] 3 17 4 14 3" xfId="30316"/>
    <cellStyle name="Input [yellow] 3 17 4 14 4" xfId="41481"/>
    <cellStyle name="Input [yellow] 3 17 4 14 5" xfId="52674"/>
    <cellStyle name="Input [yellow] 3 17 4 15" xfId="8582"/>
    <cellStyle name="Input [yellow] 3 17 4 15 2" xfId="19779"/>
    <cellStyle name="Input [yellow] 3 17 4 15 3" xfId="30947"/>
    <cellStyle name="Input [yellow] 3 17 4 15 4" xfId="42112"/>
    <cellStyle name="Input [yellow] 3 17 4 15 5" xfId="53305"/>
    <cellStyle name="Input [yellow] 3 17 4 16" xfId="8817"/>
    <cellStyle name="Input [yellow] 3 17 4 16 2" xfId="20014"/>
    <cellStyle name="Input [yellow] 3 17 4 16 3" xfId="31182"/>
    <cellStyle name="Input [yellow] 3 17 4 16 4" xfId="42347"/>
    <cellStyle name="Input [yellow] 3 17 4 16 5" xfId="53540"/>
    <cellStyle name="Input [yellow] 3 17 4 17" xfId="9635"/>
    <cellStyle name="Input [yellow] 3 17 4 17 2" xfId="20832"/>
    <cellStyle name="Input [yellow] 3 17 4 17 3" xfId="32000"/>
    <cellStyle name="Input [yellow] 3 17 4 17 4" xfId="43165"/>
    <cellStyle name="Input [yellow] 3 17 4 17 5" xfId="54358"/>
    <cellStyle name="Input [yellow] 3 17 4 18" xfId="10336"/>
    <cellStyle name="Input [yellow] 3 17 4 18 2" xfId="21533"/>
    <cellStyle name="Input [yellow] 3 17 4 18 3" xfId="32701"/>
    <cellStyle name="Input [yellow] 3 17 4 18 4" xfId="43866"/>
    <cellStyle name="Input [yellow] 3 17 4 18 5" xfId="55059"/>
    <cellStyle name="Input [yellow] 3 17 4 19" xfId="10667"/>
    <cellStyle name="Input [yellow] 3 17 4 19 2" xfId="21864"/>
    <cellStyle name="Input [yellow] 3 17 4 19 3" xfId="33032"/>
    <cellStyle name="Input [yellow] 3 17 4 19 4" xfId="44197"/>
    <cellStyle name="Input [yellow] 3 17 4 19 5" xfId="55390"/>
    <cellStyle name="Input [yellow] 3 17 4 2" xfId="763"/>
    <cellStyle name="Input [yellow] 3 17 4 2 2" xfId="11960"/>
    <cellStyle name="Input [yellow] 3 17 4 2 3" xfId="23128"/>
    <cellStyle name="Input [yellow] 3 17 4 2 4" xfId="34293"/>
    <cellStyle name="Input [yellow] 3 17 4 2 5" xfId="45486"/>
    <cellStyle name="Input [yellow] 3 17 4 20" xfId="11314"/>
    <cellStyle name="Input [yellow] 3 17 4 21" xfId="22484"/>
    <cellStyle name="Input [yellow] 3 17 4 22" xfId="33651"/>
    <cellStyle name="Input [yellow] 3 17 4 23" xfId="44837"/>
    <cellStyle name="Input [yellow] 3 17 4 3" xfId="1643"/>
    <cellStyle name="Input [yellow] 3 17 4 3 2" xfId="12840"/>
    <cellStyle name="Input [yellow] 3 17 4 3 3" xfId="24008"/>
    <cellStyle name="Input [yellow] 3 17 4 3 4" xfId="35173"/>
    <cellStyle name="Input [yellow] 3 17 4 3 5" xfId="46366"/>
    <cellStyle name="Input [yellow] 3 17 4 4" xfId="2040"/>
    <cellStyle name="Input [yellow] 3 17 4 4 2" xfId="13237"/>
    <cellStyle name="Input [yellow] 3 17 4 4 3" xfId="24405"/>
    <cellStyle name="Input [yellow] 3 17 4 4 4" xfId="35570"/>
    <cellStyle name="Input [yellow] 3 17 4 4 5" xfId="46763"/>
    <cellStyle name="Input [yellow] 3 17 4 5" xfId="2107"/>
    <cellStyle name="Input [yellow] 3 17 4 5 2" xfId="13304"/>
    <cellStyle name="Input [yellow] 3 17 4 5 3" xfId="24472"/>
    <cellStyle name="Input [yellow] 3 17 4 5 4" xfId="35637"/>
    <cellStyle name="Input [yellow] 3 17 4 5 5" xfId="46830"/>
    <cellStyle name="Input [yellow] 3 17 4 6" xfId="3098"/>
    <cellStyle name="Input [yellow] 3 17 4 6 2" xfId="14295"/>
    <cellStyle name="Input [yellow] 3 17 4 6 3" xfId="25463"/>
    <cellStyle name="Input [yellow] 3 17 4 6 4" xfId="36628"/>
    <cellStyle name="Input [yellow] 3 17 4 6 5" xfId="47821"/>
    <cellStyle name="Input [yellow] 3 17 4 7" xfId="3732"/>
    <cellStyle name="Input [yellow] 3 17 4 7 2" xfId="14929"/>
    <cellStyle name="Input [yellow] 3 17 4 7 3" xfId="26097"/>
    <cellStyle name="Input [yellow] 3 17 4 7 4" xfId="37262"/>
    <cellStyle name="Input [yellow] 3 17 4 7 5" xfId="48455"/>
    <cellStyle name="Input [yellow] 3 17 4 8" xfId="4365"/>
    <cellStyle name="Input [yellow] 3 17 4 8 2" xfId="15562"/>
    <cellStyle name="Input [yellow] 3 17 4 8 3" xfId="26730"/>
    <cellStyle name="Input [yellow] 3 17 4 8 4" xfId="37895"/>
    <cellStyle name="Input [yellow] 3 17 4 8 5" xfId="49088"/>
    <cellStyle name="Input [yellow] 3 17 4 9" xfId="4996"/>
    <cellStyle name="Input [yellow] 3 17 4 9 2" xfId="16193"/>
    <cellStyle name="Input [yellow] 3 17 4 9 3" xfId="27361"/>
    <cellStyle name="Input [yellow] 3 17 4 9 4" xfId="38526"/>
    <cellStyle name="Input [yellow] 3 17 4 9 5" xfId="49719"/>
    <cellStyle name="Input [yellow] 3 17 5" xfId="250"/>
    <cellStyle name="Input [yellow] 3 17 5 10" xfId="6078"/>
    <cellStyle name="Input [yellow] 3 17 5 10 2" xfId="17275"/>
    <cellStyle name="Input [yellow] 3 17 5 10 3" xfId="28443"/>
    <cellStyle name="Input [yellow] 3 17 5 10 4" xfId="39608"/>
    <cellStyle name="Input [yellow] 3 17 5 10 5" xfId="50801"/>
    <cellStyle name="Input [yellow] 3 17 5 11" xfId="5556"/>
    <cellStyle name="Input [yellow] 3 17 5 11 2" xfId="16753"/>
    <cellStyle name="Input [yellow] 3 17 5 11 3" xfId="27921"/>
    <cellStyle name="Input [yellow] 3 17 5 11 4" xfId="39086"/>
    <cellStyle name="Input [yellow] 3 17 5 11 5" xfId="50279"/>
    <cellStyle name="Input [yellow] 3 17 5 12" xfId="6819"/>
    <cellStyle name="Input [yellow] 3 17 5 12 2" xfId="18016"/>
    <cellStyle name="Input [yellow] 3 17 5 12 3" xfId="29184"/>
    <cellStyle name="Input [yellow] 3 17 5 12 4" xfId="40349"/>
    <cellStyle name="Input [yellow] 3 17 5 12 5" xfId="51542"/>
    <cellStyle name="Input [yellow] 3 17 5 13" xfId="7453"/>
    <cellStyle name="Input [yellow] 3 17 5 13 2" xfId="18650"/>
    <cellStyle name="Input [yellow] 3 17 5 13 3" xfId="29818"/>
    <cellStyle name="Input [yellow] 3 17 5 13 4" xfId="40983"/>
    <cellStyle name="Input [yellow] 3 17 5 13 5" xfId="52176"/>
    <cellStyle name="Input [yellow] 3 17 5 14" xfId="8087"/>
    <cellStyle name="Input [yellow] 3 17 5 14 2" xfId="19284"/>
    <cellStyle name="Input [yellow] 3 17 5 14 3" xfId="30452"/>
    <cellStyle name="Input [yellow] 3 17 5 14 4" xfId="41617"/>
    <cellStyle name="Input [yellow] 3 17 5 14 5" xfId="52810"/>
    <cellStyle name="Input [yellow] 3 17 5 15" xfId="8717"/>
    <cellStyle name="Input [yellow] 3 17 5 15 2" xfId="19914"/>
    <cellStyle name="Input [yellow] 3 17 5 15 3" xfId="31082"/>
    <cellStyle name="Input [yellow] 3 17 5 15 4" xfId="42247"/>
    <cellStyle name="Input [yellow] 3 17 5 15 5" xfId="53440"/>
    <cellStyle name="Input [yellow] 3 17 5 16" xfId="9138"/>
    <cellStyle name="Input [yellow] 3 17 5 16 2" xfId="20335"/>
    <cellStyle name="Input [yellow] 3 17 5 16 3" xfId="31503"/>
    <cellStyle name="Input [yellow] 3 17 5 16 4" xfId="42668"/>
    <cellStyle name="Input [yellow] 3 17 5 16 5" xfId="53861"/>
    <cellStyle name="Input [yellow] 3 17 5 17" xfId="9767"/>
    <cellStyle name="Input [yellow] 3 17 5 17 2" xfId="20964"/>
    <cellStyle name="Input [yellow] 3 17 5 17 3" xfId="32132"/>
    <cellStyle name="Input [yellow] 3 17 5 17 4" xfId="43297"/>
    <cellStyle name="Input [yellow] 3 17 5 17 5" xfId="54490"/>
    <cellStyle name="Input [yellow] 3 17 5 18" xfId="10539"/>
    <cellStyle name="Input [yellow] 3 17 5 18 2" xfId="21736"/>
    <cellStyle name="Input [yellow] 3 17 5 18 3" xfId="32904"/>
    <cellStyle name="Input [yellow] 3 17 5 18 4" xfId="44069"/>
    <cellStyle name="Input [yellow] 3 17 5 18 5" xfId="55262"/>
    <cellStyle name="Input [yellow] 3 17 5 19" xfId="10803"/>
    <cellStyle name="Input [yellow] 3 17 5 19 2" xfId="22000"/>
    <cellStyle name="Input [yellow] 3 17 5 19 3" xfId="33168"/>
    <cellStyle name="Input [yellow] 3 17 5 19 4" xfId="44333"/>
    <cellStyle name="Input [yellow] 3 17 5 19 5" xfId="55526"/>
    <cellStyle name="Input [yellow] 3 17 5 2" xfId="899"/>
    <cellStyle name="Input [yellow] 3 17 5 2 2" xfId="12096"/>
    <cellStyle name="Input [yellow] 3 17 5 2 3" xfId="23264"/>
    <cellStyle name="Input [yellow] 3 17 5 2 4" xfId="34429"/>
    <cellStyle name="Input [yellow] 3 17 5 2 5" xfId="45622"/>
    <cellStyle name="Input [yellow] 3 17 5 20" xfId="11450"/>
    <cellStyle name="Input [yellow] 3 17 5 21" xfId="22620"/>
    <cellStyle name="Input [yellow] 3 17 5 22" xfId="33787"/>
    <cellStyle name="Input [yellow] 3 17 5 23" xfId="44973"/>
    <cellStyle name="Input [yellow] 3 17 5 3" xfId="1751"/>
    <cellStyle name="Input [yellow] 3 17 5 3 2" xfId="12948"/>
    <cellStyle name="Input [yellow] 3 17 5 3 3" xfId="24116"/>
    <cellStyle name="Input [yellow] 3 17 5 3 4" xfId="35281"/>
    <cellStyle name="Input [yellow] 3 17 5 3 5" xfId="46474"/>
    <cellStyle name="Input [yellow] 3 17 5 4" xfId="2176"/>
    <cellStyle name="Input [yellow] 3 17 5 4 2" xfId="13373"/>
    <cellStyle name="Input [yellow] 3 17 5 4 3" xfId="24541"/>
    <cellStyle name="Input [yellow] 3 17 5 4 4" xfId="35706"/>
    <cellStyle name="Input [yellow] 3 17 5 4 5" xfId="46899"/>
    <cellStyle name="Input [yellow] 3 17 5 5" xfId="2600"/>
    <cellStyle name="Input [yellow] 3 17 5 5 2" xfId="13797"/>
    <cellStyle name="Input [yellow] 3 17 5 5 3" xfId="24965"/>
    <cellStyle name="Input [yellow] 3 17 5 5 4" xfId="36130"/>
    <cellStyle name="Input [yellow] 3 17 5 5 5" xfId="47323"/>
    <cellStyle name="Input [yellow] 3 17 5 6" xfId="3234"/>
    <cellStyle name="Input [yellow] 3 17 5 6 2" xfId="14431"/>
    <cellStyle name="Input [yellow] 3 17 5 6 3" xfId="25599"/>
    <cellStyle name="Input [yellow] 3 17 5 6 4" xfId="36764"/>
    <cellStyle name="Input [yellow] 3 17 5 6 5" xfId="47957"/>
    <cellStyle name="Input [yellow] 3 17 5 7" xfId="3868"/>
    <cellStyle name="Input [yellow] 3 17 5 7 2" xfId="15065"/>
    <cellStyle name="Input [yellow] 3 17 5 7 3" xfId="26233"/>
    <cellStyle name="Input [yellow] 3 17 5 7 4" xfId="37398"/>
    <cellStyle name="Input [yellow] 3 17 5 7 5" xfId="48591"/>
    <cellStyle name="Input [yellow] 3 17 5 8" xfId="4501"/>
    <cellStyle name="Input [yellow] 3 17 5 8 2" xfId="15698"/>
    <cellStyle name="Input [yellow] 3 17 5 8 3" xfId="26866"/>
    <cellStyle name="Input [yellow] 3 17 5 8 4" xfId="38031"/>
    <cellStyle name="Input [yellow] 3 17 5 8 5" xfId="49224"/>
    <cellStyle name="Input [yellow] 3 17 5 9" xfId="5132"/>
    <cellStyle name="Input [yellow] 3 17 5 9 2" xfId="16329"/>
    <cellStyle name="Input [yellow] 3 17 5 9 3" xfId="27497"/>
    <cellStyle name="Input [yellow] 3 17 5 9 4" xfId="38662"/>
    <cellStyle name="Input [yellow] 3 17 5 9 5" xfId="49855"/>
    <cellStyle name="Input [yellow] 3 17 6" xfId="352"/>
    <cellStyle name="Input [yellow] 3 17 6 10" xfId="5636"/>
    <cellStyle name="Input [yellow] 3 17 6 10 2" xfId="16833"/>
    <cellStyle name="Input [yellow] 3 17 6 10 3" xfId="28001"/>
    <cellStyle name="Input [yellow] 3 17 6 10 4" xfId="39166"/>
    <cellStyle name="Input [yellow] 3 17 6 10 5" xfId="50359"/>
    <cellStyle name="Input [yellow] 3 17 6 11" xfId="6288"/>
    <cellStyle name="Input [yellow] 3 17 6 11 2" xfId="17485"/>
    <cellStyle name="Input [yellow] 3 17 6 11 3" xfId="28653"/>
    <cellStyle name="Input [yellow] 3 17 6 11 4" xfId="39818"/>
    <cellStyle name="Input [yellow] 3 17 6 11 5" xfId="51011"/>
    <cellStyle name="Input [yellow] 3 17 6 12" xfId="6921"/>
    <cellStyle name="Input [yellow] 3 17 6 12 2" xfId="18118"/>
    <cellStyle name="Input [yellow] 3 17 6 12 3" xfId="29286"/>
    <cellStyle name="Input [yellow] 3 17 6 12 4" xfId="40451"/>
    <cellStyle name="Input [yellow] 3 17 6 12 5" xfId="51644"/>
    <cellStyle name="Input [yellow] 3 17 6 13" xfId="7555"/>
    <cellStyle name="Input [yellow] 3 17 6 13 2" xfId="18752"/>
    <cellStyle name="Input [yellow] 3 17 6 13 3" xfId="29920"/>
    <cellStyle name="Input [yellow] 3 17 6 13 4" xfId="41085"/>
    <cellStyle name="Input [yellow] 3 17 6 13 5" xfId="52278"/>
    <cellStyle name="Input [yellow] 3 17 6 14" xfId="8189"/>
    <cellStyle name="Input [yellow] 3 17 6 14 2" xfId="19386"/>
    <cellStyle name="Input [yellow] 3 17 6 14 3" xfId="30554"/>
    <cellStyle name="Input [yellow] 3 17 6 14 4" xfId="41719"/>
    <cellStyle name="Input [yellow] 3 17 6 14 5" xfId="52912"/>
    <cellStyle name="Input [yellow] 3 17 6 15" xfId="8818"/>
    <cellStyle name="Input [yellow] 3 17 6 15 2" xfId="20015"/>
    <cellStyle name="Input [yellow] 3 17 6 15 3" xfId="31183"/>
    <cellStyle name="Input [yellow] 3 17 6 15 4" xfId="42348"/>
    <cellStyle name="Input [yellow] 3 17 6 15 5" xfId="53541"/>
    <cellStyle name="Input [yellow] 3 17 6 16" xfId="9240"/>
    <cellStyle name="Input [yellow] 3 17 6 16 2" xfId="20437"/>
    <cellStyle name="Input [yellow] 3 17 6 16 3" xfId="31605"/>
    <cellStyle name="Input [yellow] 3 17 6 16 4" xfId="42770"/>
    <cellStyle name="Input [yellow] 3 17 6 16 5" xfId="53963"/>
    <cellStyle name="Input [yellow] 3 17 6 17" xfId="9867"/>
    <cellStyle name="Input [yellow] 3 17 6 17 2" xfId="21064"/>
    <cellStyle name="Input [yellow] 3 17 6 17 3" xfId="32232"/>
    <cellStyle name="Input [yellow] 3 17 6 17 4" xfId="43397"/>
    <cellStyle name="Input [yellow] 3 17 6 17 5" xfId="54590"/>
    <cellStyle name="Input [yellow] 3 17 6 18" xfId="9852"/>
    <cellStyle name="Input [yellow] 3 17 6 18 2" xfId="21049"/>
    <cellStyle name="Input [yellow] 3 17 6 18 3" xfId="32217"/>
    <cellStyle name="Input [yellow] 3 17 6 18 4" xfId="43382"/>
    <cellStyle name="Input [yellow] 3 17 6 18 5" xfId="54575"/>
    <cellStyle name="Input [yellow] 3 17 6 19" xfId="10905"/>
    <cellStyle name="Input [yellow] 3 17 6 19 2" xfId="22102"/>
    <cellStyle name="Input [yellow] 3 17 6 19 3" xfId="33270"/>
    <cellStyle name="Input [yellow] 3 17 6 19 4" xfId="44435"/>
    <cellStyle name="Input [yellow] 3 17 6 19 5" xfId="55628"/>
    <cellStyle name="Input [yellow] 3 17 6 2" xfId="1001"/>
    <cellStyle name="Input [yellow] 3 17 6 2 2" xfId="12198"/>
    <cellStyle name="Input [yellow] 3 17 6 2 3" xfId="23366"/>
    <cellStyle name="Input [yellow] 3 17 6 2 4" xfId="34531"/>
    <cellStyle name="Input [yellow] 3 17 6 2 5" xfId="45724"/>
    <cellStyle name="Input [yellow] 3 17 6 20" xfId="11552"/>
    <cellStyle name="Input [yellow] 3 17 6 21" xfId="22722"/>
    <cellStyle name="Input [yellow] 3 17 6 22" xfId="33889"/>
    <cellStyle name="Input [yellow] 3 17 6 23" xfId="45075"/>
    <cellStyle name="Input [yellow] 3 17 6 3" xfId="1853"/>
    <cellStyle name="Input [yellow] 3 17 6 3 2" xfId="13050"/>
    <cellStyle name="Input [yellow] 3 17 6 3 3" xfId="24218"/>
    <cellStyle name="Input [yellow] 3 17 6 3 4" xfId="35383"/>
    <cellStyle name="Input [yellow] 3 17 6 3 5" xfId="46576"/>
    <cellStyle name="Input [yellow] 3 17 6 4" xfId="2277"/>
    <cellStyle name="Input [yellow] 3 17 6 4 2" xfId="13474"/>
    <cellStyle name="Input [yellow] 3 17 6 4 3" xfId="24642"/>
    <cellStyle name="Input [yellow] 3 17 6 4 4" xfId="35807"/>
    <cellStyle name="Input [yellow] 3 17 6 4 5" xfId="47000"/>
    <cellStyle name="Input [yellow] 3 17 6 5" xfId="2702"/>
    <cellStyle name="Input [yellow] 3 17 6 5 2" xfId="13899"/>
    <cellStyle name="Input [yellow] 3 17 6 5 3" xfId="25067"/>
    <cellStyle name="Input [yellow] 3 17 6 5 4" xfId="36232"/>
    <cellStyle name="Input [yellow] 3 17 6 5 5" xfId="47425"/>
    <cellStyle name="Input [yellow] 3 17 6 6" xfId="3336"/>
    <cellStyle name="Input [yellow] 3 17 6 6 2" xfId="14533"/>
    <cellStyle name="Input [yellow] 3 17 6 6 3" xfId="25701"/>
    <cellStyle name="Input [yellow] 3 17 6 6 4" xfId="36866"/>
    <cellStyle name="Input [yellow] 3 17 6 6 5" xfId="48059"/>
    <cellStyle name="Input [yellow] 3 17 6 7" xfId="3970"/>
    <cellStyle name="Input [yellow] 3 17 6 7 2" xfId="15167"/>
    <cellStyle name="Input [yellow] 3 17 6 7 3" xfId="26335"/>
    <cellStyle name="Input [yellow] 3 17 6 7 4" xfId="37500"/>
    <cellStyle name="Input [yellow] 3 17 6 7 5" xfId="48693"/>
    <cellStyle name="Input [yellow] 3 17 6 8" xfId="4603"/>
    <cellStyle name="Input [yellow] 3 17 6 8 2" xfId="15800"/>
    <cellStyle name="Input [yellow] 3 17 6 8 3" xfId="26968"/>
    <cellStyle name="Input [yellow] 3 17 6 8 4" xfId="38133"/>
    <cellStyle name="Input [yellow] 3 17 6 8 5" xfId="49326"/>
    <cellStyle name="Input [yellow] 3 17 6 9" xfId="5234"/>
    <cellStyle name="Input [yellow] 3 17 6 9 2" xfId="16431"/>
    <cellStyle name="Input [yellow] 3 17 6 9 3" xfId="27599"/>
    <cellStyle name="Input [yellow] 3 17 6 9 4" xfId="38764"/>
    <cellStyle name="Input [yellow] 3 17 6 9 5" xfId="49957"/>
    <cellStyle name="Input [yellow] 3 17 7" xfId="431"/>
    <cellStyle name="Input [yellow] 3 17 7 10" xfId="5964"/>
    <cellStyle name="Input [yellow] 3 17 7 10 2" xfId="17161"/>
    <cellStyle name="Input [yellow] 3 17 7 10 3" xfId="28329"/>
    <cellStyle name="Input [yellow] 3 17 7 10 4" xfId="39494"/>
    <cellStyle name="Input [yellow] 3 17 7 10 5" xfId="50687"/>
    <cellStyle name="Input [yellow] 3 17 7 11" xfId="6367"/>
    <cellStyle name="Input [yellow] 3 17 7 11 2" xfId="17564"/>
    <cellStyle name="Input [yellow] 3 17 7 11 3" xfId="28732"/>
    <cellStyle name="Input [yellow] 3 17 7 11 4" xfId="39897"/>
    <cellStyle name="Input [yellow] 3 17 7 11 5" xfId="51090"/>
    <cellStyle name="Input [yellow] 3 17 7 12" xfId="7000"/>
    <cellStyle name="Input [yellow] 3 17 7 12 2" xfId="18197"/>
    <cellStyle name="Input [yellow] 3 17 7 12 3" xfId="29365"/>
    <cellStyle name="Input [yellow] 3 17 7 12 4" xfId="40530"/>
    <cellStyle name="Input [yellow] 3 17 7 12 5" xfId="51723"/>
    <cellStyle name="Input [yellow] 3 17 7 13" xfId="7634"/>
    <cellStyle name="Input [yellow] 3 17 7 13 2" xfId="18831"/>
    <cellStyle name="Input [yellow] 3 17 7 13 3" xfId="29999"/>
    <cellStyle name="Input [yellow] 3 17 7 13 4" xfId="41164"/>
    <cellStyle name="Input [yellow] 3 17 7 13 5" xfId="52357"/>
    <cellStyle name="Input [yellow] 3 17 7 14" xfId="8268"/>
    <cellStyle name="Input [yellow] 3 17 7 14 2" xfId="19465"/>
    <cellStyle name="Input [yellow] 3 17 7 14 3" xfId="30633"/>
    <cellStyle name="Input [yellow] 3 17 7 14 4" xfId="41798"/>
    <cellStyle name="Input [yellow] 3 17 7 14 5" xfId="52991"/>
    <cellStyle name="Input [yellow] 3 17 7 15" xfId="8896"/>
    <cellStyle name="Input [yellow] 3 17 7 15 2" xfId="20093"/>
    <cellStyle name="Input [yellow] 3 17 7 15 3" xfId="31261"/>
    <cellStyle name="Input [yellow] 3 17 7 15 4" xfId="42426"/>
    <cellStyle name="Input [yellow] 3 17 7 15 5" xfId="53619"/>
    <cellStyle name="Input [yellow] 3 17 7 16" xfId="9319"/>
    <cellStyle name="Input [yellow] 3 17 7 16 2" xfId="20516"/>
    <cellStyle name="Input [yellow] 3 17 7 16 3" xfId="31684"/>
    <cellStyle name="Input [yellow] 3 17 7 16 4" xfId="42849"/>
    <cellStyle name="Input [yellow] 3 17 7 16 5" xfId="54042"/>
    <cellStyle name="Input [yellow] 3 17 7 17" xfId="9945"/>
    <cellStyle name="Input [yellow] 3 17 7 17 2" xfId="21142"/>
    <cellStyle name="Input [yellow] 3 17 7 17 3" xfId="32310"/>
    <cellStyle name="Input [yellow] 3 17 7 17 4" xfId="43475"/>
    <cellStyle name="Input [yellow] 3 17 7 17 5" xfId="54668"/>
    <cellStyle name="Input [yellow] 3 17 7 18" xfId="10420"/>
    <cellStyle name="Input [yellow] 3 17 7 18 2" xfId="21617"/>
    <cellStyle name="Input [yellow] 3 17 7 18 3" xfId="32785"/>
    <cellStyle name="Input [yellow] 3 17 7 18 4" xfId="43950"/>
    <cellStyle name="Input [yellow] 3 17 7 18 5" xfId="55143"/>
    <cellStyle name="Input [yellow] 3 17 7 19" xfId="10984"/>
    <cellStyle name="Input [yellow] 3 17 7 19 2" xfId="22181"/>
    <cellStyle name="Input [yellow] 3 17 7 19 3" xfId="33349"/>
    <cellStyle name="Input [yellow] 3 17 7 19 4" xfId="44514"/>
    <cellStyle name="Input [yellow] 3 17 7 19 5" xfId="55707"/>
    <cellStyle name="Input [yellow] 3 17 7 2" xfId="1080"/>
    <cellStyle name="Input [yellow] 3 17 7 2 2" xfId="12277"/>
    <cellStyle name="Input [yellow] 3 17 7 2 3" xfId="23445"/>
    <cellStyle name="Input [yellow] 3 17 7 2 4" xfId="34610"/>
    <cellStyle name="Input [yellow] 3 17 7 2 5" xfId="45803"/>
    <cellStyle name="Input [yellow] 3 17 7 20" xfId="11631"/>
    <cellStyle name="Input [yellow] 3 17 7 21" xfId="22801"/>
    <cellStyle name="Input [yellow] 3 17 7 22" xfId="33968"/>
    <cellStyle name="Input [yellow] 3 17 7 23" xfId="45154"/>
    <cellStyle name="Input [yellow] 3 17 7 3" xfId="1678"/>
    <cellStyle name="Input [yellow] 3 17 7 3 2" xfId="12875"/>
    <cellStyle name="Input [yellow] 3 17 7 3 3" xfId="24043"/>
    <cellStyle name="Input [yellow] 3 17 7 3 4" xfId="35208"/>
    <cellStyle name="Input [yellow] 3 17 7 3 5" xfId="46401"/>
    <cellStyle name="Input [yellow] 3 17 7 4" xfId="2356"/>
    <cellStyle name="Input [yellow] 3 17 7 4 2" xfId="13553"/>
    <cellStyle name="Input [yellow] 3 17 7 4 3" xfId="24721"/>
    <cellStyle name="Input [yellow] 3 17 7 4 4" xfId="35886"/>
    <cellStyle name="Input [yellow] 3 17 7 4 5" xfId="47079"/>
    <cellStyle name="Input [yellow] 3 17 7 5" xfId="2781"/>
    <cellStyle name="Input [yellow] 3 17 7 5 2" xfId="13978"/>
    <cellStyle name="Input [yellow] 3 17 7 5 3" xfId="25146"/>
    <cellStyle name="Input [yellow] 3 17 7 5 4" xfId="36311"/>
    <cellStyle name="Input [yellow] 3 17 7 5 5" xfId="47504"/>
    <cellStyle name="Input [yellow] 3 17 7 6" xfId="3415"/>
    <cellStyle name="Input [yellow] 3 17 7 6 2" xfId="14612"/>
    <cellStyle name="Input [yellow] 3 17 7 6 3" xfId="25780"/>
    <cellStyle name="Input [yellow] 3 17 7 6 4" xfId="36945"/>
    <cellStyle name="Input [yellow] 3 17 7 6 5" xfId="48138"/>
    <cellStyle name="Input [yellow] 3 17 7 7" xfId="4049"/>
    <cellStyle name="Input [yellow] 3 17 7 7 2" xfId="15246"/>
    <cellStyle name="Input [yellow] 3 17 7 7 3" xfId="26414"/>
    <cellStyle name="Input [yellow] 3 17 7 7 4" xfId="37579"/>
    <cellStyle name="Input [yellow] 3 17 7 7 5" xfId="48772"/>
    <cellStyle name="Input [yellow] 3 17 7 8" xfId="4682"/>
    <cellStyle name="Input [yellow] 3 17 7 8 2" xfId="15879"/>
    <cellStyle name="Input [yellow] 3 17 7 8 3" xfId="27047"/>
    <cellStyle name="Input [yellow] 3 17 7 8 4" xfId="38212"/>
    <cellStyle name="Input [yellow] 3 17 7 8 5" xfId="49405"/>
    <cellStyle name="Input [yellow] 3 17 7 9" xfId="5313"/>
    <cellStyle name="Input [yellow] 3 17 7 9 2" xfId="16510"/>
    <cellStyle name="Input [yellow] 3 17 7 9 3" xfId="27678"/>
    <cellStyle name="Input [yellow] 3 17 7 9 4" xfId="38843"/>
    <cellStyle name="Input [yellow] 3 17 7 9 5" xfId="50036"/>
    <cellStyle name="Input [yellow] 3 17 8" xfId="510"/>
    <cellStyle name="Input [yellow] 3 17 8 10" xfId="6109"/>
    <cellStyle name="Input [yellow] 3 17 8 10 2" xfId="17306"/>
    <cellStyle name="Input [yellow] 3 17 8 10 3" xfId="28474"/>
    <cellStyle name="Input [yellow] 3 17 8 10 4" xfId="39639"/>
    <cellStyle name="Input [yellow] 3 17 8 10 5" xfId="50832"/>
    <cellStyle name="Input [yellow] 3 17 8 11" xfId="6446"/>
    <cellStyle name="Input [yellow] 3 17 8 11 2" xfId="17643"/>
    <cellStyle name="Input [yellow] 3 17 8 11 3" xfId="28811"/>
    <cellStyle name="Input [yellow] 3 17 8 11 4" xfId="39976"/>
    <cellStyle name="Input [yellow] 3 17 8 11 5" xfId="51169"/>
    <cellStyle name="Input [yellow] 3 17 8 12" xfId="7079"/>
    <cellStyle name="Input [yellow] 3 17 8 12 2" xfId="18276"/>
    <cellStyle name="Input [yellow] 3 17 8 12 3" xfId="29444"/>
    <cellStyle name="Input [yellow] 3 17 8 12 4" xfId="40609"/>
    <cellStyle name="Input [yellow] 3 17 8 12 5" xfId="51802"/>
    <cellStyle name="Input [yellow] 3 17 8 13" xfId="7713"/>
    <cellStyle name="Input [yellow] 3 17 8 13 2" xfId="18910"/>
    <cellStyle name="Input [yellow] 3 17 8 13 3" xfId="30078"/>
    <cellStyle name="Input [yellow] 3 17 8 13 4" xfId="41243"/>
    <cellStyle name="Input [yellow] 3 17 8 13 5" xfId="52436"/>
    <cellStyle name="Input [yellow] 3 17 8 14" xfId="8347"/>
    <cellStyle name="Input [yellow] 3 17 8 14 2" xfId="19544"/>
    <cellStyle name="Input [yellow] 3 17 8 14 3" xfId="30712"/>
    <cellStyle name="Input [yellow] 3 17 8 14 4" xfId="41877"/>
    <cellStyle name="Input [yellow] 3 17 8 14 5" xfId="53070"/>
    <cellStyle name="Input [yellow] 3 17 8 15" xfId="8975"/>
    <cellStyle name="Input [yellow] 3 17 8 15 2" xfId="20172"/>
    <cellStyle name="Input [yellow] 3 17 8 15 3" xfId="31340"/>
    <cellStyle name="Input [yellow] 3 17 8 15 4" xfId="42505"/>
    <cellStyle name="Input [yellow] 3 17 8 15 5" xfId="53698"/>
    <cellStyle name="Input [yellow] 3 17 8 16" xfId="9398"/>
    <cellStyle name="Input [yellow] 3 17 8 16 2" xfId="20595"/>
    <cellStyle name="Input [yellow] 3 17 8 16 3" xfId="31763"/>
    <cellStyle name="Input [yellow] 3 17 8 16 4" xfId="42928"/>
    <cellStyle name="Input [yellow] 3 17 8 16 5" xfId="54121"/>
    <cellStyle name="Input [yellow] 3 17 8 17" xfId="10023"/>
    <cellStyle name="Input [yellow] 3 17 8 17 2" xfId="21220"/>
    <cellStyle name="Input [yellow] 3 17 8 17 3" xfId="32388"/>
    <cellStyle name="Input [yellow] 3 17 8 17 4" xfId="43553"/>
    <cellStyle name="Input [yellow] 3 17 8 17 5" xfId="54746"/>
    <cellStyle name="Input [yellow] 3 17 8 18" xfId="10514"/>
    <cellStyle name="Input [yellow] 3 17 8 18 2" xfId="21711"/>
    <cellStyle name="Input [yellow] 3 17 8 18 3" xfId="32879"/>
    <cellStyle name="Input [yellow] 3 17 8 18 4" xfId="44044"/>
    <cellStyle name="Input [yellow] 3 17 8 18 5" xfId="55237"/>
    <cellStyle name="Input [yellow] 3 17 8 19" xfId="11063"/>
    <cellStyle name="Input [yellow] 3 17 8 19 2" xfId="22260"/>
    <cellStyle name="Input [yellow] 3 17 8 19 3" xfId="33428"/>
    <cellStyle name="Input [yellow] 3 17 8 19 4" xfId="44593"/>
    <cellStyle name="Input [yellow] 3 17 8 19 5" xfId="55786"/>
    <cellStyle name="Input [yellow] 3 17 8 2" xfId="1159"/>
    <cellStyle name="Input [yellow] 3 17 8 2 2" xfId="12356"/>
    <cellStyle name="Input [yellow] 3 17 8 2 3" xfId="23524"/>
    <cellStyle name="Input [yellow] 3 17 8 2 4" xfId="34689"/>
    <cellStyle name="Input [yellow] 3 17 8 2 5" xfId="45882"/>
    <cellStyle name="Input [yellow] 3 17 8 20" xfId="11710"/>
    <cellStyle name="Input [yellow] 3 17 8 21" xfId="22880"/>
    <cellStyle name="Input [yellow] 3 17 8 22" xfId="34047"/>
    <cellStyle name="Input [yellow] 3 17 8 23" xfId="45233"/>
    <cellStyle name="Input [yellow] 3 17 8 3" xfId="1360"/>
    <cellStyle name="Input [yellow] 3 17 8 3 2" xfId="12557"/>
    <cellStyle name="Input [yellow] 3 17 8 3 3" xfId="23725"/>
    <cellStyle name="Input [yellow] 3 17 8 3 4" xfId="34890"/>
    <cellStyle name="Input [yellow] 3 17 8 3 5" xfId="46083"/>
    <cellStyle name="Input [yellow] 3 17 8 4" xfId="2435"/>
    <cellStyle name="Input [yellow] 3 17 8 4 2" xfId="13632"/>
    <cellStyle name="Input [yellow] 3 17 8 4 3" xfId="24800"/>
    <cellStyle name="Input [yellow] 3 17 8 4 4" xfId="35965"/>
    <cellStyle name="Input [yellow] 3 17 8 4 5" xfId="47158"/>
    <cellStyle name="Input [yellow] 3 17 8 5" xfId="2860"/>
    <cellStyle name="Input [yellow] 3 17 8 5 2" xfId="14057"/>
    <cellStyle name="Input [yellow] 3 17 8 5 3" xfId="25225"/>
    <cellStyle name="Input [yellow] 3 17 8 5 4" xfId="36390"/>
    <cellStyle name="Input [yellow] 3 17 8 5 5" xfId="47583"/>
    <cellStyle name="Input [yellow] 3 17 8 6" xfId="3494"/>
    <cellStyle name="Input [yellow] 3 17 8 6 2" xfId="14691"/>
    <cellStyle name="Input [yellow] 3 17 8 6 3" xfId="25859"/>
    <cellStyle name="Input [yellow] 3 17 8 6 4" xfId="37024"/>
    <cellStyle name="Input [yellow] 3 17 8 6 5" xfId="48217"/>
    <cellStyle name="Input [yellow] 3 17 8 7" xfId="4128"/>
    <cellStyle name="Input [yellow] 3 17 8 7 2" xfId="15325"/>
    <cellStyle name="Input [yellow] 3 17 8 7 3" xfId="26493"/>
    <cellStyle name="Input [yellow] 3 17 8 7 4" xfId="37658"/>
    <cellStyle name="Input [yellow] 3 17 8 7 5" xfId="48851"/>
    <cellStyle name="Input [yellow] 3 17 8 8" xfId="4761"/>
    <cellStyle name="Input [yellow] 3 17 8 8 2" xfId="15958"/>
    <cellStyle name="Input [yellow] 3 17 8 8 3" xfId="27126"/>
    <cellStyle name="Input [yellow] 3 17 8 8 4" xfId="38291"/>
    <cellStyle name="Input [yellow] 3 17 8 8 5" xfId="49484"/>
    <cellStyle name="Input [yellow] 3 17 8 9" xfId="5392"/>
    <cellStyle name="Input [yellow] 3 17 8 9 2" xfId="16589"/>
    <cellStyle name="Input [yellow] 3 17 8 9 3" xfId="27757"/>
    <cellStyle name="Input [yellow] 3 17 8 9 4" xfId="38922"/>
    <cellStyle name="Input [yellow] 3 17 8 9 5" xfId="50115"/>
    <cellStyle name="Input [yellow] 3 17 9" xfId="568"/>
    <cellStyle name="Input [yellow] 3 17 9 10" xfId="6176"/>
    <cellStyle name="Input [yellow] 3 17 9 10 2" xfId="17373"/>
    <cellStyle name="Input [yellow] 3 17 9 10 3" xfId="28541"/>
    <cellStyle name="Input [yellow] 3 17 9 10 4" xfId="39706"/>
    <cellStyle name="Input [yellow] 3 17 9 10 5" xfId="50899"/>
    <cellStyle name="Input [yellow] 3 17 9 11" xfId="6504"/>
    <cellStyle name="Input [yellow] 3 17 9 11 2" xfId="17701"/>
    <cellStyle name="Input [yellow] 3 17 9 11 3" xfId="28869"/>
    <cellStyle name="Input [yellow] 3 17 9 11 4" xfId="40034"/>
    <cellStyle name="Input [yellow] 3 17 9 11 5" xfId="51227"/>
    <cellStyle name="Input [yellow] 3 17 9 12" xfId="7137"/>
    <cellStyle name="Input [yellow] 3 17 9 12 2" xfId="18334"/>
    <cellStyle name="Input [yellow] 3 17 9 12 3" xfId="29502"/>
    <cellStyle name="Input [yellow] 3 17 9 12 4" xfId="40667"/>
    <cellStyle name="Input [yellow] 3 17 9 12 5" xfId="51860"/>
    <cellStyle name="Input [yellow] 3 17 9 13" xfId="7771"/>
    <cellStyle name="Input [yellow] 3 17 9 13 2" xfId="18968"/>
    <cellStyle name="Input [yellow] 3 17 9 13 3" xfId="30136"/>
    <cellStyle name="Input [yellow] 3 17 9 13 4" xfId="41301"/>
    <cellStyle name="Input [yellow] 3 17 9 13 5" xfId="52494"/>
    <cellStyle name="Input [yellow] 3 17 9 14" xfId="8405"/>
    <cellStyle name="Input [yellow] 3 17 9 14 2" xfId="19602"/>
    <cellStyle name="Input [yellow] 3 17 9 14 3" xfId="30770"/>
    <cellStyle name="Input [yellow] 3 17 9 14 4" xfId="41935"/>
    <cellStyle name="Input [yellow] 3 17 9 14 5" xfId="53128"/>
    <cellStyle name="Input [yellow] 3 17 9 15" xfId="9033"/>
    <cellStyle name="Input [yellow] 3 17 9 15 2" xfId="20230"/>
    <cellStyle name="Input [yellow] 3 17 9 15 3" xfId="31398"/>
    <cellStyle name="Input [yellow] 3 17 9 15 4" xfId="42563"/>
    <cellStyle name="Input [yellow] 3 17 9 15 5" xfId="53756"/>
    <cellStyle name="Input [yellow] 3 17 9 16" xfId="9456"/>
    <cellStyle name="Input [yellow] 3 17 9 16 2" xfId="20653"/>
    <cellStyle name="Input [yellow] 3 17 9 16 3" xfId="31821"/>
    <cellStyle name="Input [yellow] 3 17 9 16 4" xfId="42986"/>
    <cellStyle name="Input [yellow] 3 17 9 16 5" xfId="54179"/>
    <cellStyle name="Input [yellow] 3 17 9 17" xfId="10081"/>
    <cellStyle name="Input [yellow] 3 17 9 17 2" xfId="21278"/>
    <cellStyle name="Input [yellow] 3 17 9 17 3" xfId="32446"/>
    <cellStyle name="Input [yellow] 3 17 9 17 4" xfId="43611"/>
    <cellStyle name="Input [yellow] 3 17 9 17 5" xfId="54804"/>
    <cellStyle name="Input [yellow] 3 17 9 18" xfId="10312"/>
    <cellStyle name="Input [yellow] 3 17 9 18 2" xfId="21509"/>
    <cellStyle name="Input [yellow] 3 17 9 18 3" xfId="32677"/>
    <cellStyle name="Input [yellow] 3 17 9 18 4" xfId="43842"/>
    <cellStyle name="Input [yellow] 3 17 9 18 5" xfId="55035"/>
    <cellStyle name="Input [yellow] 3 17 9 19" xfId="11121"/>
    <cellStyle name="Input [yellow] 3 17 9 19 2" xfId="22318"/>
    <cellStyle name="Input [yellow] 3 17 9 19 3" xfId="33486"/>
    <cellStyle name="Input [yellow] 3 17 9 19 4" xfId="44651"/>
    <cellStyle name="Input [yellow] 3 17 9 19 5" xfId="55844"/>
    <cellStyle name="Input [yellow] 3 17 9 2" xfId="1217"/>
    <cellStyle name="Input [yellow] 3 17 9 2 2" xfId="12414"/>
    <cellStyle name="Input [yellow] 3 17 9 2 3" xfId="23582"/>
    <cellStyle name="Input [yellow] 3 17 9 2 4" xfId="34747"/>
    <cellStyle name="Input [yellow] 3 17 9 2 5" xfId="45940"/>
    <cellStyle name="Input [yellow] 3 17 9 20" xfId="11768"/>
    <cellStyle name="Input [yellow] 3 17 9 21" xfId="22938"/>
    <cellStyle name="Input [yellow] 3 17 9 22" xfId="34105"/>
    <cellStyle name="Input [yellow] 3 17 9 23" xfId="45291"/>
    <cellStyle name="Input [yellow] 3 17 9 3" xfId="1604"/>
    <cellStyle name="Input [yellow] 3 17 9 3 2" xfId="12801"/>
    <cellStyle name="Input [yellow] 3 17 9 3 3" xfId="23969"/>
    <cellStyle name="Input [yellow] 3 17 9 3 4" xfId="35134"/>
    <cellStyle name="Input [yellow] 3 17 9 3 5" xfId="46327"/>
    <cellStyle name="Input [yellow] 3 17 9 4" xfId="2493"/>
    <cellStyle name="Input [yellow] 3 17 9 4 2" xfId="13690"/>
    <cellStyle name="Input [yellow] 3 17 9 4 3" xfId="24858"/>
    <cellStyle name="Input [yellow] 3 17 9 4 4" xfId="36023"/>
    <cellStyle name="Input [yellow] 3 17 9 4 5" xfId="47216"/>
    <cellStyle name="Input [yellow] 3 17 9 5" xfId="2918"/>
    <cellStyle name="Input [yellow] 3 17 9 5 2" xfId="14115"/>
    <cellStyle name="Input [yellow] 3 17 9 5 3" xfId="25283"/>
    <cellStyle name="Input [yellow] 3 17 9 5 4" xfId="36448"/>
    <cellStyle name="Input [yellow] 3 17 9 5 5" xfId="47641"/>
    <cellStyle name="Input [yellow] 3 17 9 6" xfId="3552"/>
    <cellStyle name="Input [yellow] 3 17 9 6 2" xfId="14749"/>
    <cellStyle name="Input [yellow] 3 17 9 6 3" xfId="25917"/>
    <cellStyle name="Input [yellow] 3 17 9 6 4" xfId="37082"/>
    <cellStyle name="Input [yellow] 3 17 9 6 5" xfId="48275"/>
    <cellStyle name="Input [yellow] 3 17 9 7" xfId="4186"/>
    <cellStyle name="Input [yellow] 3 17 9 7 2" xfId="15383"/>
    <cellStyle name="Input [yellow] 3 17 9 7 3" xfId="26551"/>
    <cellStyle name="Input [yellow] 3 17 9 7 4" xfId="37716"/>
    <cellStyle name="Input [yellow] 3 17 9 7 5" xfId="48909"/>
    <cellStyle name="Input [yellow] 3 17 9 8" xfId="4819"/>
    <cellStyle name="Input [yellow] 3 17 9 8 2" xfId="16016"/>
    <cellStyle name="Input [yellow] 3 17 9 8 3" xfId="27184"/>
    <cellStyle name="Input [yellow] 3 17 9 8 4" xfId="38349"/>
    <cellStyle name="Input [yellow] 3 17 9 8 5" xfId="49542"/>
    <cellStyle name="Input [yellow] 3 17 9 9" xfId="5450"/>
    <cellStyle name="Input [yellow] 3 17 9 9 2" xfId="16647"/>
    <cellStyle name="Input [yellow] 3 17 9 9 3" xfId="27815"/>
    <cellStyle name="Input [yellow] 3 17 9 9 4" xfId="38980"/>
    <cellStyle name="Input [yellow] 3 17 9 9 5" xfId="50173"/>
    <cellStyle name="Input [yellow] 3 18" xfId="105"/>
    <cellStyle name="Input [yellow] 3 18 10" xfId="627"/>
    <cellStyle name="Input [yellow] 3 18 10 10" xfId="5809"/>
    <cellStyle name="Input [yellow] 3 18 10 10 2" xfId="17006"/>
    <cellStyle name="Input [yellow] 3 18 10 10 3" xfId="28174"/>
    <cellStyle name="Input [yellow] 3 18 10 10 4" xfId="39339"/>
    <cellStyle name="Input [yellow] 3 18 10 10 5" xfId="50532"/>
    <cellStyle name="Input [yellow] 3 18 10 11" xfId="6563"/>
    <cellStyle name="Input [yellow] 3 18 10 11 2" xfId="17760"/>
    <cellStyle name="Input [yellow] 3 18 10 11 3" xfId="28928"/>
    <cellStyle name="Input [yellow] 3 18 10 11 4" xfId="40093"/>
    <cellStyle name="Input [yellow] 3 18 10 11 5" xfId="51286"/>
    <cellStyle name="Input [yellow] 3 18 10 12" xfId="7196"/>
    <cellStyle name="Input [yellow] 3 18 10 12 2" xfId="18393"/>
    <cellStyle name="Input [yellow] 3 18 10 12 3" xfId="29561"/>
    <cellStyle name="Input [yellow] 3 18 10 12 4" xfId="40726"/>
    <cellStyle name="Input [yellow] 3 18 10 12 5" xfId="51919"/>
    <cellStyle name="Input [yellow] 3 18 10 13" xfId="7830"/>
    <cellStyle name="Input [yellow] 3 18 10 13 2" xfId="19027"/>
    <cellStyle name="Input [yellow] 3 18 10 13 3" xfId="30195"/>
    <cellStyle name="Input [yellow] 3 18 10 13 4" xfId="41360"/>
    <cellStyle name="Input [yellow] 3 18 10 13 5" xfId="52553"/>
    <cellStyle name="Input [yellow] 3 18 10 14" xfId="8464"/>
    <cellStyle name="Input [yellow] 3 18 10 14 2" xfId="19661"/>
    <cellStyle name="Input [yellow] 3 18 10 14 3" xfId="30829"/>
    <cellStyle name="Input [yellow] 3 18 10 14 4" xfId="41994"/>
    <cellStyle name="Input [yellow] 3 18 10 14 5" xfId="53187"/>
    <cellStyle name="Input [yellow] 3 18 10 15" xfId="9092"/>
    <cellStyle name="Input [yellow] 3 18 10 15 2" xfId="20289"/>
    <cellStyle name="Input [yellow] 3 18 10 15 3" xfId="31457"/>
    <cellStyle name="Input [yellow] 3 18 10 15 4" xfId="42622"/>
    <cellStyle name="Input [yellow] 3 18 10 15 5" xfId="53815"/>
    <cellStyle name="Input [yellow] 3 18 10 16" xfId="9515"/>
    <cellStyle name="Input [yellow] 3 18 10 16 2" xfId="20712"/>
    <cellStyle name="Input [yellow] 3 18 10 16 3" xfId="31880"/>
    <cellStyle name="Input [yellow] 3 18 10 16 4" xfId="43045"/>
    <cellStyle name="Input [yellow] 3 18 10 16 5" xfId="54238"/>
    <cellStyle name="Input [yellow] 3 18 10 17" xfId="10140"/>
    <cellStyle name="Input [yellow] 3 18 10 17 2" xfId="21337"/>
    <cellStyle name="Input [yellow] 3 18 10 17 3" xfId="32505"/>
    <cellStyle name="Input [yellow] 3 18 10 17 4" xfId="43670"/>
    <cellStyle name="Input [yellow] 3 18 10 17 5" xfId="54863"/>
    <cellStyle name="Input [yellow] 3 18 10 18" xfId="10266"/>
    <cellStyle name="Input [yellow] 3 18 10 18 2" xfId="21463"/>
    <cellStyle name="Input [yellow] 3 18 10 18 3" xfId="32631"/>
    <cellStyle name="Input [yellow] 3 18 10 18 4" xfId="43796"/>
    <cellStyle name="Input [yellow] 3 18 10 18 5" xfId="54989"/>
    <cellStyle name="Input [yellow] 3 18 10 19" xfId="11180"/>
    <cellStyle name="Input [yellow] 3 18 10 19 2" xfId="22377"/>
    <cellStyle name="Input [yellow] 3 18 10 19 3" xfId="33545"/>
    <cellStyle name="Input [yellow] 3 18 10 19 4" xfId="44710"/>
    <cellStyle name="Input [yellow] 3 18 10 19 5" xfId="55903"/>
    <cellStyle name="Input [yellow] 3 18 10 2" xfId="1276"/>
    <cellStyle name="Input [yellow] 3 18 10 2 2" xfId="12473"/>
    <cellStyle name="Input [yellow] 3 18 10 2 3" xfId="23641"/>
    <cellStyle name="Input [yellow] 3 18 10 2 4" xfId="34806"/>
    <cellStyle name="Input [yellow] 3 18 10 2 5" xfId="45999"/>
    <cellStyle name="Input [yellow] 3 18 10 20" xfId="11827"/>
    <cellStyle name="Input [yellow] 3 18 10 21" xfId="22997"/>
    <cellStyle name="Input [yellow] 3 18 10 22" xfId="34164"/>
    <cellStyle name="Input [yellow] 3 18 10 23" xfId="45350"/>
    <cellStyle name="Input [yellow] 3 18 10 3" xfId="1463"/>
    <cellStyle name="Input [yellow] 3 18 10 3 2" xfId="12660"/>
    <cellStyle name="Input [yellow] 3 18 10 3 3" xfId="23828"/>
    <cellStyle name="Input [yellow] 3 18 10 3 4" xfId="34993"/>
    <cellStyle name="Input [yellow] 3 18 10 3 5" xfId="46186"/>
    <cellStyle name="Input [yellow] 3 18 10 4" xfId="2552"/>
    <cellStyle name="Input [yellow] 3 18 10 4 2" xfId="13749"/>
    <cellStyle name="Input [yellow] 3 18 10 4 3" xfId="24917"/>
    <cellStyle name="Input [yellow] 3 18 10 4 4" xfId="36082"/>
    <cellStyle name="Input [yellow] 3 18 10 4 5" xfId="47275"/>
    <cellStyle name="Input [yellow] 3 18 10 5" xfId="2977"/>
    <cellStyle name="Input [yellow] 3 18 10 5 2" xfId="14174"/>
    <cellStyle name="Input [yellow] 3 18 10 5 3" xfId="25342"/>
    <cellStyle name="Input [yellow] 3 18 10 5 4" xfId="36507"/>
    <cellStyle name="Input [yellow] 3 18 10 5 5" xfId="47700"/>
    <cellStyle name="Input [yellow] 3 18 10 6" xfId="3611"/>
    <cellStyle name="Input [yellow] 3 18 10 6 2" xfId="14808"/>
    <cellStyle name="Input [yellow] 3 18 10 6 3" xfId="25976"/>
    <cellStyle name="Input [yellow] 3 18 10 6 4" xfId="37141"/>
    <cellStyle name="Input [yellow] 3 18 10 6 5" xfId="48334"/>
    <cellStyle name="Input [yellow] 3 18 10 7" xfId="4245"/>
    <cellStyle name="Input [yellow] 3 18 10 7 2" xfId="15442"/>
    <cellStyle name="Input [yellow] 3 18 10 7 3" xfId="26610"/>
    <cellStyle name="Input [yellow] 3 18 10 7 4" xfId="37775"/>
    <cellStyle name="Input [yellow] 3 18 10 7 5" xfId="48968"/>
    <cellStyle name="Input [yellow] 3 18 10 8" xfId="4878"/>
    <cellStyle name="Input [yellow] 3 18 10 8 2" xfId="16075"/>
    <cellStyle name="Input [yellow] 3 18 10 8 3" xfId="27243"/>
    <cellStyle name="Input [yellow] 3 18 10 8 4" xfId="38408"/>
    <cellStyle name="Input [yellow] 3 18 10 8 5" xfId="49601"/>
    <cellStyle name="Input [yellow] 3 18 10 9" xfId="5509"/>
    <cellStyle name="Input [yellow] 3 18 10 9 2" xfId="16706"/>
    <cellStyle name="Input [yellow] 3 18 10 9 3" xfId="27874"/>
    <cellStyle name="Input [yellow] 3 18 10 9 4" xfId="39039"/>
    <cellStyle name="Input [yellow] 3 18 10 9 5" xfId="50232"/>
    <cellStyle name="Input [yellow] 3 18 11" xfId="602"/>
    <cellStyle name="Input [yellow] 3 18 11 10" xfId="6100"/>
    <cellStyle name="Input [yellow] 3 18 11 10 2" xfId="17297"/>
    <cellStyle name="Input [yellow] 3 18 11 10 3" xfId="28465"/>
    <cellStyle name="Input [yellow] 3 18 11 10 4" xfId="39630"/>
    <cellStyle name="Input [yellow] 3 18 11 10 5" xfId="50823"/>
    <cellStyle name="Input [yellow] 3 18 11 11" xfId="6538"/>
    <cellStyle name="Input [yellow] 3 18 11 11 2" xfId="17735"/>
    <cellStyle name="Input [yellow] 3 18 11 11 3" xfId="28903"/>
    <cellStyle name="Input [yellow] 3 18 11 11 4" xfId="40068"/>
    <cellStyle name="Input [yellow] 3 18 11 11 5" xfId="51261"/>
    <cellStyle name="Input [yellow] 3 18 11 12" xfId="7171"/>
    <cellStyle name="Input [yellow] 3 18 11 12 2" xfId="18368"/>
    <cellStyle name="Input [yellow] 3 18 11 12 3" xfId="29536"/>
    <cellStyle name="Input [yellow] 3 18 11 12 4" xfId="40701"/>
    <cellStyle name="Input [yellow] 3 18 11 12 5" xfId="51894"/>
    <cellStyle name="Input [yellow] 3 18 11 13" xfId="7805"/>
    <cellStyle name="Input [yellow] 3 18 11 13 2" xfId="19002"/>
    <cellStyle name="Input [yellow] 3 18 11 13 3" xfId="30170"/>
    <cellStyle name="Input [yellow] 3 18 11 13 4" xfId="41335"/>
    <cellStyle name="Input [yellow] 3 18 11 13 5" xfId="52528"/>
    <cellStyle name="Input [yellow] 3 18 11 14" xfId="8439"/>
    <cellStyle name="Input [yellow] 3 18 11 14 2" xfId="19636"/>
    <cellStyle name="Input [yellow] 3 18 11 14 3" xfId="30804"/>
    <cellStyle name="Input [yellow] 3 18 11 14 4" xfId="41969"/>
    <cellStyle name="Input [yellow] 3 18 11 14 5" xfId="53162"/>
    <cellStyle name="Input [yellow] 3 18 11 15" xfId="9067"/>
    <cellStyle name="Input [yellow] 3 18 11 15 2" xfId="20264"/>
    <cellStyle name="Input [yellow] 3 18 11 15 3" xfId="31432"/>
    <cellStyle name="Input [yellow] 3 18 11 15 4" xfId="42597"/>
    <cellStyle name="Input [yellow] 3 18 11 15 5" xfId="53790"/>
    <cellStyle name="Input [yellow] 3 18 11 16" xfId="9490"/>
    <cellStyle name="Input [yellow] 3 18 11 16 2" xfId="20687"/>
    <cellStyle name="Input [yellow] 3 18 11 16 3" xfId="31855"/>
    <cellStyle name="Input [yellow] 3 18 11 16 4" xfId="43020"/>
    <cellStyle name="Input [yellow] 3 18 11 16 5" xfId="54213"/>
    <cellStyle name="Input [yellow] 3 18 11 17" xfId="10115"/>
    <cellStyle name="Input [yellow] 3 18 11 17 2" xfId="21312"/>
    <cellStyle name="Input [yellow] 3 18 11 17 3" xfId="32480"/>
    <cellStyle name="Input [yellow] 3 18 11 17 4" xfId="43645"/>
    <cellStyle name="Input [yellow] 3 18 11 17 5" xfId="54838"/>
    <cellStyle name="Input [yellow] 3 18 11 18" xfId="10438"/>
    <cellStyle name="Input [yellow] 3 18 11 18 2" xfId="21635"/>
    <cellStyle name="Input [yellow] 3 18 11 18 3" xfId="32803"/>
    <cellStyle name="Input [yellow] 3 18 11 18 4" xfId="43968"/>
    <cellStyle name="Input [yellow] 3 18 11 18 5" xfId="55161"/>
    <cellStyle name="Input [yellow] 3 18 11 19" xfId="11155"/>
    <cellStyle name="Input [yellow] 3 18 11 19 2" xfId="22352"/>
    <cellStyle name="Input [yellow] 3 18 11 19 3" xfId="33520"/>
    <cellStyle name="Input [yellow] 3 18 11 19 4" xfId="44685"/>
    <cellStyle name="Input [yellow] 3 18 11 19 5" xfId="55878"/>
    <cellStyle name="Input [yellow] 3 18 11 2" xfId="1251"/>
    <cellStyle name="Input [yellow] 3 18 11 2 2" xfId="12448"/>
    <cellStyle name="Input [yellow] 3 18 11 2 3" xfId="23616"/>
    <cellStyle name="Input [yellow] 3 18 11 2 4" xfId="34781"/>
    <cellStyle name="Input [yellow] 3 18 11 2 5" xfId="45974"/>
    <cellStyle name="Input [yellow] 3 18 11 20" xfId="11802"/>
    <cellStyle name="Input [yellow] 3 18 11 21" xfId="22972"/>
    <cellStyle name="Input [yellow] 3 18 11 22" xfId="34139"/>
    <cellStyle name="Input [yellow] 3 18 11 23" xfId="45325"/>
    <cellStyle name="Input [yellow] 3 18 11 3" xfId="1711"/>
    <cellStyle name="Input [yellow] 3 18 11 3 2" xfId="12908"/>
    <cellStyle name="Input [yellow] 3 18 11 3 3" xfId="24076"/>
    <cellStyle name="Input [yellow] 3 18 11 3 4" xfId="35241"/>
    <cellStyle name="Input [yellow] 3 18 11 3 5" xfId="46434"/>
    <cellStyle name="Input [yellow] 3 18 11 4" xfId="2527"/>
    <cellStyle name="Input [yellow] 3 18 11 4 2" xfId="13724"/>
    <cellStyle name="Input [yellow] 3 18 11 4 3" xfId="24892"/>
    <cellStyle name="Input [yellow] 3 18 11 4 4" xfId="36057"/>
    <cellStyle name="Input [yellow] 3 18 11 4 5" xfId="47250"/>
    <cellStyle name="Input [yellow] 3 18 11 5" xfId="2952"/>
    <cellStyle name="Input [yellow] 3 18 11 5 2" xfId="14149"/>
    <cellStyle name="Input [yellow] 3 18 11 5 3" xfId="25317"/>
    <cellStyle name="Input [yellow] 3 18 11 5 4" xfId="36482"/>
    <cellStyle name="Input [yellow] 3 18 11 5 5" xfId="47675"/>
    <cellStyle name="Input [yellow] 3 18 11 6" xfId="3586"/>
    <cellStyle name="Input [yellow] 3 18 11 6 2" xfId="14783"/>
    <cellStyle name="Input [yellow] 3 18 11 6 3" xfId="25951"/>
    <cellStyle name="Input [yellow] 3 18 11 6 4" xfId="37116"/>
    <cellStyle name="Input [yellow] 3 18 11 6 5" xfId="48309"/>
    <cellStyle name="Input [yellow] 3 18 11 7" xfId="4220"/>
    <cellStyle name="Input [yellow] 3 18 11 7 2" xfId="15417"/>
    <cellStyle name="Input [yellow] 3 18 11 7 3" xfId="26585"/>
    <cellStyle name="Input [yellow] 3 18 11 7 4" xfId="37750"/>
    <cellStyle name="Input [yellow] 3 18 11 7 5" xfId="48943"/>
    <cellStyle name="Input [yellow] 3 18 11 8" xfId="4853"/>
    <cellStyle name="Input [yellow] 3 18 11 8 2" xfId="16050"/>
    <cellStyle name="Input [yellow] 3 18 11 8 3" xfId="27218"/>
    <cellStyle name="Input [yellow] 3 18 11 8 4" xfId="38383"/>
    <cellStyle name="Input [yellow] 3 18 11 8 5" xfId="49576"/>
    <cellStyle name="Input [yellow] 3 18 11 9" xfId="5484"/>
    <cellStyle name="Input [yellow] 3 18 11 9 2" xfId="16681"/>
    <cellStyle name="Input [yellow] 3 18 11 9 3" xfId="27849"/>
    <cellStyle name="Input [yellow] 3 18 11 9 4" xfId="39014"/>
    <cellStyle name="Input [yellow] 3 18 11 9 5" xfId="50207"/>
    <cellStyle name="Input [yellow] 3 18 12" xfId="754"/>
    <cellStyle name="Input [yellow] 3 18 12 2" xfId="11951"/>
    <cellStyle name="Input [yellow] 3 18 12 3" xfId="23119"/>
    <cellStyle name="Input [yellow] 3 18 12 4" xfId="34284"/>
    <cellStyle name="Input [yellow] 3 18 12 5" xfId="45477"/>
    <cellStyle name="Input [yellow] 3 18 13" xfId="1410"/>
    <cellStyle name="Input [yellow] 3 18 13 2" xfId="12607"/>
    <cellStyle name="Input [yellow] 3 18 13 3" xfId="23775"/>
    <cellStyle name="Input [yellow] 3 18 13 4" xfId="34940"/>
    <cellStyle name="Input [yellow] 3 18 13 5" xfId="46133"/>
    <cellStyle name="Input [yellow] 3 18 14" xfId="2031"/>
    <cellStyle name="Input [yellow] 3 18 14 2" xfId="13228"/>
    <cellStyle name="Input [yellow] 3 18 14 3" xfId="24396"/>
    <cellStyle name="Input [yellow] 3 18 14 4" xfId="35561"/>
    <cellStyle name="Input [yellow] 3 18 14 5" xfId="46754"/>
    <cellStyle name="Input [yellow] 3 18 15" xfId="2566"/>
    <cellStyle name="Input [yellow] 3 18 15 2" xfId="13763"/>
    <cellStyle name="Input [yellow] 3 18 15 3" xfId="24931"/>
    <cellStyle name="Input [yellow] 3 18 15 4" xfId="36096"/>
    <cellStyle name="Input [yellow] 3 18 15 5" xfId="47289"/>
    <cellStyle name="Input [yellow] 3 18 16" xfId="3089"/>
    <cellStyle name="Input [yellow] 3 18 16 2" xfId="14286"/>
    <cellStyle name="Input [yellow] 3 18 16 3" xfId="25454"/>
    <cellStyle name="Input [yellow] 3 18 16 4" xfId="36619"/>
    <cellStyle name="Input [yellow] 3 18 16 5" xfId="47812"/>
    <cellStyle name="Input [yellow] 3 18 17" xfId="3723"/>
    <cellStyle name="Input [yellow] 3 18 17 2" xfId="14920"/>
    <cellStyle name="Input [yellow] 3 18 17 3" xfId="26088"/>
    <cellStyle name="Input [yellow] 3 18 17 4" xfId="37253"/>
    <cellStyle name="Input [yellow] 3 18 17 5" xfId="48446"/>
    <cellStyle name="Input [yellow] 3 18 18" xfId="4356"/>
    <cellStyle name="Input [yellow] 3 18 18 2" xfId="15553"/>
    <cellStyle name="Input [yellow] 3 18 18 3" xfId="26721"/>
    <cellStyle name="Input [yellow] 3 18 18 4" xfId="37886"/>
    <cellStyle name="Input [yellow] 3 18 18 5" xfId="49079"/>
    <cellStyle name="Input [yellow] 3 18 19" xfId="4987"/>
    <cellStyle name="Input [yellow] 3 18 19 2" xfId="16184"/>
    <cellStyle name="Input [yellow] 3 18 19 3" xfId="27352"/>
    <cellStyle name="Input [yellow] 3 18 19 4" xfId="38517"/>
    <cellStyle name="Input [yellow] 3 18 19 5" xfId="49710"/>
    <cellStyle name="Input [yellow] 3 18 2" xfId="168"/>
    <cellStyle name="Input [yellow] 3 18 2 10" xfId="5792"/>
    <cellStyle name="Input [yellow] 3 18 2 10 2" xfId="16989"/>
    <cellStyle name="Input [yellow] 3 18 2 10 3" xfId="28157"/>
    <cellStyle name="Input [yellow] 3 18 2 10 4" xfId="39322"/>
    <cellStyle name="Input [yellow] 3 18 2 10 5" xfId="50515"/>
    <cellStyle name="Input [yellow] 3 18 2 11" xfId="5901"/>
    <cellStyle name="Input [yellow] 3 18 2 11 2" xfId="17098"/>
    <cellStyle name="Input [yellow] 3 18 2 11 3" xfId="28266"/>
    <cellStyle name="Input [yellow] 3 18 2 11 4" xfId="39431"/>
    <cellStyle name="Input [yellow] 3 18 2 11 5" xfId="50624"/>
    <cellStyle name="Input [yellow] 3 18 2 12" xfId="6737"/>
    <cellStyle name="Input [yellow] 3 18 2 12 2" xfId="17934"/>
    <cellStyle name="Input [yellow] 3 18 2 12 3" xfId="29102"/>
    <cellStyle name="Input [yellow] 3 18 2 12 4" xfId="40267"/>
    <cellStyle name="Input [yellow] 3 18 2 12 5" xfId="51460"/>
    <cellStyle name="Input [yellow] 3 18 2 13" xfId="7371"/>
    <cellStyle name="Input [yellow] 3 18 2 13 2" xfId="18568"/>
    <cellStyle name="Input [yellow] 3 18 2 13 3" xfId="29736"/>
    <cellStyle name="Input [yellow] 3 18 2 13 4" xfId="40901"/>
    <cellStyle name="Input [yellow] 3 18 2 13 5" xfId="52094"/>
    <cellStyle name="Input [yellow] 3 18 2 14" xfId="8005"/>
    <cellStyle name="Input [yellow] 3 18 2 14 2" xfId="19202"/>
    <cellStyle name="Input [yellow] 3 18 2 14 3" xfId="30370"/>
    <cellStyle name="Input [yellow] 3 18 2 14 4" xfId="41535"/>
    <cellStyle name="Input [yellow] 3 18 2 14 5" xfId="52728"/>
    <cellStyle name="Input [yellow] 3 18 2 15" xfId="8636"/>
    <cellStyle name="Input [yellow] 3 18 2 15 2" xfId="19833"/>
    <cellStyle name="Input [yellow] 3 18 2 15 3" xfId="31001"/>
    <cellStyle name="Input [yellow] 3 18 2 15 4" xfId="42166"/>
    <cellStyle name="Input [yellow] 3 18 2 15 5" xfId="53359"/>
    <cellStyle name="Input [yellow] 3 18 2 16" xfId="8976"/>
    <cellStyle name="Input [yellow] 3 18 2 16 2" xfId="20173"/>
    <cellStyle name="Input [yellow] 3 18 2 16 3" xfId="31341"/>
    <cellStyle name="Input [yellow] 3 18 2 16 4" xfId="42506"/>
    <cellStyle name="Input [yellow] 3 18 2 16 5" xfId="53699"/>
    <cellStyle name="Input [yellow] 3 18 2 17" xfId="9688"/>
    <cellStyle name="Input [yellow] 3 18 2 17 2" xfId="20885"/>
    <cellStyle name="Input [yellow] 3 18 2 17 3" xfId="32053"/>
    <cellStyle name="Input [yellow] 3 18 2 17 4" xfId="43218"/>
    <cellStyle name="Input [yellow] 3 18 2 17 5" xfId="54411"/>
    <cellStyle name="Input [yellow] 3 18 2 18" xfId="10212"/>
    <cellStyle name="Input [yellow] 3 18 2 18 2" xfId="21409"/>
    <cellStyle name="Input [yellow] 3 18 2 18 3" xfId="32577"/>
    <cellStyle name="Input [yellow] 3 18 2 18 4" xfId="43742"/>
    <cellStyle name="Input [yellow] 3 18 2 18 5" xfId="54935"/>
    <cellStyle name="Input [yellow] 3 18 2 19" xfId="10721"/>
    <cellStyle name="Input [yellow] 3 18 2 19 2" xfId="21918"/>
    <cellStyle name="Input [yellow] 3 18 2 19 3" xfId="33086"/>
    <cellStyle name="Input [yellow] 3 18 2 19 4" xfId="44251"/>
    <cellStyle name="Input [yellow] 3 18 2 19 5" xfId="55444"/>
    <cellStyle name="Input [yellow] 3 18 2 2" xfId="817"/>
    <cellStyle name="Input [yellow] 3 18 2 2 2" xfId="12014"/>
    <cellStyle name="Input [yellow] 3 18 2 2 3" xfId="23182"/>
    <cellStyle name="Input [yellow] 3 18 2 2 4" xfId="34347"/>
    <cellStyle name="Input [yellow] 3 18 2 2 5" xfId="45540"/>
    <cellStyle name="Input [yellow] 3 18 2 20" xfId="11368"/>
    <cellStyle name="Input [yellow] 3 18 2 21" xfId="22538"/>
    <cellStyle name="Input [yellow] 3 18 2 22" xfId="33705"/>
    <cellStyle name="Input [yellow] 3 18 2 23" xfId="44891"/>
    <cellStyle name="Input [yellow] 3 18 2 3" xfId="1552"/>
    <cellStyle name="Input [yellow] 3 18 2 3 2" xfId="12749"/>
    <cellStyle name="Input [yellow] 3 18 2 3 3" xfId="23917"/>
    <cellStyle name="Input [yellow] 3 18 2 3 4" xfId="35082"/>
    <cellStyle name="Input [yellow] 3 18 2 3 5" xfId="46275"/>
    <cellStyle name="Input [yellow] 3 18 2 4" xfId="2094"/>
    <cellStyle name="Input [yellow] 3 18 2 4 2" xfId="13291"/>
    <cellStyle name="Input [yellow] 3 18 2 4 3" xfId="24459"/>
    <cellStyle name="Input [yellow] 3 18 2 4 4" xfId="35624"/>
    <cellStyle name="Input [yellow] 3 18 2 4 5" xfId="46817"/>
    <cellStyle name="Input [yellow] 3 18 2 5" xfId="2235"/>
    <cellStyle name="Input [yellow] 3 18 2 5 2" xfId="13432"/>
    <cellStyle name="Input [yellow] 3 18 2 5 3" xfId="24600"/>
    <cellStyle name="Input [yellow] 3 18 2 5 4" xfId="35765"/>
    <cellStyle name="Input [yellow] 3 18 2 5 5" xfId="46958"/>
    <cellStyle name="Input [yellow] 3 18 2 6" xfId="3152"/>
    <cellStyle name="Input [yellow] 3 18 2 6 2" xfId="14349"/>
    <cellStyle name="Input [yellow] 3 18 2 6 3" xfId="25517"/>
    <cellStyle name="Input [yellow] 3 18 2 6 4" xfId="36682"/>
    <cellStyle name="Input [yellow] 3 18 2 6 5" xfId="47875"/>
    <cellStyle name="Input [yellow] 3 18 2 7" xfId="3786"/>
    <cellStyle name="Input [yellow] 3 18 2 7 2" xfId="14983"/>
    <cellStyle name="Input [yellow] 3 18 2 7 3" xfId="26151"/>
    <cellStyle name="Input [yellow] 3 18 2 7 4" xfId="37316"/>
    <cellStyle name="Input [yellow] 3 18 2 7 5" xfId="48509"/>
    <cellStyle name="Input [yellow] 3 18 2 8" xfId="4419"/>
    <cellStyle name="Input [yellow] 3 18 2 8 2" xfId="15616"/>
    <cellStyle name="Input [yellow] 3 18 2 8 3" xfId="26784"/>
    <cellStyle name="Input [yellow] 3 18 2 8 4" xfId="37949"/>
    <cellStyle name="Input [yellow] 3 18 2 8 5" xfId="49142"/>
    <cellStyle name="Input [yellow] 3 18 2 9" xfId="5050"/>
    <cellStyle name="Input [yellow] 3 18 2 9 2" xfId="16247"/>
    <cellStyle name="Input [yellow] 3 18 2 9 3" xfId="27415"/>
    <cellStyle name="Input [yellow] 3 18 2 9 4" xfId="38580"/>
    <cellStyle name="Input [yellow] 3 18 2 9 5" xfId="49773"/>
    <cellStyle name="Input [yellow] 3 18 20" xfId="5908"/>
    <cellStyle name="Input [yellow] 3 18 20 2" xfId="17105"/>
    <cellStyle name="Input [yellow] 3 18 20 3" xfId="28273"/>
    <cellStyle name="Input [yellow] 3 18 20 4" xfId="39438"/>
    <cellStyle name="Input [yellow] 3 18 20 5" xfId="50631"/>
    <cellStyle name="Input [yellow] 3 18 21" xfId="5762"/>
    <cellStyle name="Input [yellow] 3 18 21 2" xfId="16959"/>
    <cellStyle name="Input [yellow] 3 18 21 3" xfId="28127"/>
    <cellStyle name="Input [yellow] 3 18 21 4" xfId="39292"/>
    <cellStyle name="Input [yellow] 3 18 21 5" xfId="50485"/>
    <cellStyle name="Input [yellow] 3 18 22" xfId="6674"/>
    <cellStyle name="Input [yellow] 3 18 22 2" xfId="17871"/>
    <cellStyle name="Input [yellow] 3 18 22 3" xfId="29039"/>
    <cellStyle name="Input [yellow] 3 18 22 4" xfId="40204"/>
    <cellStyle name="Input [yellow] 3 18 22 5" xfId="51397"/>
    <cellStyle name="Input [yellow] 3 18 23" xfId="7308"/>
    <cellStyle name="Input [yellow] 3 18 23 2" xfId="18505"/>
    <cellStyle name="Input [yellow] 3 18 23 3" xfId="29673"/>
    <cellStyle name="Input [yellow] 3 18 23 4" xfId="40838"/>
    <cellStyle name="Input [yellow] 3 18 23 5" xfId="52031"/>
    <cellStyle name="Input [yellow] 3 18 24" xfId="7942"/>
    <cellStyle name="Input [yellow] 3 18 24 2" xfId="19139"/>
    <cellStyle name="Input [yellow] 3 18 24 3" xfId="30307"/>
    <cellStyle name="Input [yellow] 3 18 24 4" xfId="41472"/>
    <cellStyle name="Input [yellow] 3 18 24 5" xfId="52665"/>
    <cellStyle name="Input [yellow] 3 18 25" xfId="8573"/>
    <cellStyle name="Input [yellow] 3 18 25 2" xfId="19770"/>
    <cellStyle name="Input [yellow] 3 18 25 3" xfId="30938"/>
    <cellStyle name="Input [yellow] 3 18 25 4" xfId="42103"/>
    <cellStyle name="Input [yellow] 3 18 25 5" xfId="53296"/>
    <cellStyle name="Input [yellow] 3 18 26" xfId="8704"/>
    <cellStyle name="Input [yellow] 3 18 26 2" xfId="19901"/>
    <cellStyle name="Input [yellow] 3 18 26 3" xfId="31069"/>
    <cellStyle name="Input [yellow] 3 18 26 4" xfId="42234"/>
    <cellStyle name="Input [yellow] 3 18 26 5" xfId="53427"/>
    <cellStyle name="Input [yellow] 3 18 27" xfId="9626"/>
    <cellStyle name="Input [yellow] 3 18 27 2" xfId="20823"/>
    <cellStyle name="Input [yellow] 3 18 27 3" xfId="31991"/>
    <cellStyle name="Input [yellow] 3 18 27 4" xfId="43156"/>
    <cellStyle name="Input [yellow] 3 18 27 5" xfId="54349"/>
    <cellStyle name="Input [yellow] 3 18 28" xfId="10110"/>
    <cellStyle name="Input [yellow] 3 18 28 2" xfId="21307"/>
    <cellStyle name="Input [yellow] 3 18 28 3" xfId="32475"/>
    <cellStyle name="Input [yellow] 3 18 28 4" xfId="43640"/>
    <cellStyle name="Input [yellow] 3 18 28 5" xfId="54833"/>
    <cellStyle name="Input [yellow] 3 18 29" xfId="10658"/>
    <cellStyle name="Input [yellow] 3 18 29 2" xfId="21855"/>
    <cellStyle name="Input [yellow] 3 18 29 3" xfId="33023"/>
    <cellStyle name="Input [yellow] 3 18 29 4" xfId="44188"/>
    <cellStyle name="Input [yellow] 3 18 29 5" xfId="55381"/>
    <cellStyle name="Input [yellow] 3 18 3" xfId="224"/>
    <cellStyle name="Input [yellow] 3 18 3 10" xfId="5707"/>
    <cellStyle name="Input [yellow] 3 18 3 10 2" xfId="16904"/>
    <cellStyle name="Input [yellow] 3 18 3 10 3" xfId="28072"/>
    <cellStyle name="Input [yellow] 3 18 3 10 4" xfId="39237"/>
    <cellStyle name="Input [yellow] 3 18 3 10 5" xfId="50430"/>
    <cellStyle name="Input [yellow] 3 18 3 11" xfId="5816"/>
    <cellStyle name="Input [yellow] 3 18 3 11 2" xfId="17013"/>
    <cellStyle name="Input [yellow] 3 18 3 11 3" xfId="28181"/>
    <cellStyle name="Input [yellow] 3 18 3 11 4" xfId="39346"/>
    <cellStyle name="Input [yellow] 3 18 3 11 5" xfId="50539"/>
    <cellStyle name="Input [yellow] 3 18 3 12" xfId="6793"/>
    <cellStyle name="Input [yellow] 3 18 3 12 2" xfId="17990"/>
    <cellStyle name="Input [yellow] 3 18 3 12 3" xfId="29158"/>
    <cellStyle name="Input [yellow] 3 18 3 12 4" xfId="40323"/>
    <cellStyle name="Input [yellow] 3 18 3 12 5" xfId="51516"/>
    <cellStyle name="Input [yellow] 3 18 3 13" xfId="7427"/>
    <cellStyle name="Input [yellow] 3 18 3 13 2" xfId="18624"/>
    <cellStyle name="Input [yellow] 3 18 3 13 3" xfId="29792"/>
    <cellStyle name="Input [yellow] 3 18 3 13 4" xfId="40957"/>
    <cellStyle name="Input [yellow] 3 18 3 13 5" xfId="52150"/>
    <cellStyle name="Input [yellow] 3 18 3 14" xfId="8061"/>
    <cellStyle name="Input [yellow] 3 18 3 14 2" xfId="19258"/>
    <cellStyle name="Input [yellow] 3 18 3 14 3" xfId="30426"/>
    <cellStyle name="Input [yellow] 3 18 3 14 4" xfId="41591"/>
    <cellStyle name="Input [yellow] 3 18 3 14 5" xfId="52784"/>
    <cellStyle name="Input [yellow] 3 18 3 15" xfId="8692"/>
    <cellStyle name="Input [yellow] 3 18 3 15 2" xfId="19889"/>
    <cellStyle name="Input [yellow] 3 18 3 15 3" xfId="31057"/>
    <cellStyle name="Input [yellow] 3 18 3 15 4" xfId="42222"/>
    <cellStyle name="Input [yellow] 3 18 3 15 5" xfId="53415"/>
    <cellStyle name="Input [yellow] 3 18 3 16" xfId="8875"/>
    <cellStyle name="Input [yellow] 3 18 3 16 2" xfId="20072"/>
    <cellStyle name="Input [yellow] 3 18 3 16 3" xfId="31240"/>
    <cellStyle name="Input [yellow] 3 18 3 16 4" xfId="42405"/>
    <cellStyle name="Input [yellow] 3 18 3 16 5" xfId="53598"/>
    <cellStyle name="Input [yellow] 3 18 3 17" xfId="9743"/>
    <cellStyle name="Input [yellow] 3 18 3 17 2" xfId="20940"/>
    <cellStyle name="Input [yellow] 3 18 3 17 3" xfId="32108"/>
    <cellStyle name="Input [yellow] 3 18 3 17 4" xfId="43273"/>
    <cellStyle name="Input [yellow] 3 18 3 17 5" xfId="54466"/>
    <cellStyle name="Input [yellow] 3 18 3 18" xfId="9080"/>
    <cellStyle name="Input [yellow] 3 18 3 18 2" xfId="20277"/>
    <cellStyle name="Input [yellow] 3 18 3 18 3" xfId="31445"/>
    <cellStyle name="Input [yellow] 3 18 3 18 4" xfId="42610"/>
    <cellStyle name="Input [yellow] 3 18 3 18 5" xfId="53803"/>
    <cellStyle name="Input [yellow] 3 18 3 19" xfId="10777"/>
    <cellStyle name="Input [yellow] 3 18 3 19 2" xfId="21974"/>
    <cellStyle name="Input [yellow] 3 18 3 19 3" xfId="33142"/>
    <cellStyle name="Input [yellow] 3 18 3 19 4" xfId="44307"/>
    <cellStyle name="Input [yellow] 3 18 3 19 5" xfId="55500"/>
    <cellStyle name="Input [yellow] 3 18 3 2" xfId="873"/>
    <cellStyle name="Input [yellow] 3 18 3 2 2" xfId="12070"/>
    <cellStyle name="Input [yellow] 3 18 3 2 3" xfId="23238"/>
    <cellStyle name="Input [yellow] 3 18 3 2 4" xfId="34403"/>
    <cellStyle name="Input [yellow] 3 18 3 2 5" xfId="45596"/>
    <cellStyle name="Input [yellow] 3 18 3 20" xfId="11424"/>
    <cellStyle name="Input [yellow] 3 18 3 21" xfId="22594"/>
    <cellStyle name="Input [yellow] 3 18 3 22" xfId="33761"/>
    <cellStyle name="Input [yellow] 3 18 3 23" xfId="44947"/>
    <cellStyle name="Input [yellow] 3 18 3 3" xfId="1487"/>
    <cellStyle name="Input [yellow] 3 18 3 3 2" xfId="12684"/>
    <cellStyle name="Input [yellow] 3 18 3 3 3" xfId="23852"/>
    <cellStyle name="Input [yellow] 3 18 3 3 4" xfId="35017"/>
    <cellStyle name="Input [yellow] 3 18 3 3 5" xfId="46210"/>
    <cellStyle name="Input [yellow] 3 18 3 4" xfId="2150"/>
    <cellStyle name="Input [yellow] 3 18 3 4 2" xfId="13347"/>
    <cellStyle name="Input [yellow] 3 18 3 4 3" xfId="24515"/>
    <cellStyle name="Input [yellow] 3 18 3 4 4" xfId="35680"/>
    <cellStyle name="Input [yellow] 3 18 3 4 5" xfId="46873"/>
    <cellStyle name="Input [yellow] 3 18 3 5" xfId="2199"/>
    <cellStyle name="Input [yellow] 3 18 3 5 2" xfId="13396"/>
    <cellStyle name="Input [yellow] 3 18 3 5 3" xfId="24564"/>
    <cellStyle name="Input [yellow] 3 18 3 5 4" xfId="35729"/>
    <cellStyle name="Input [yellow] 3 18 3 5 5" xfId="46922"/>
    <cellStyle name="Input [yellow] 3 18 3 6" xfId="3208"/>
    <cellStyle name="Input [yellow] 3 18 3 6 2" xfId="14405"/>
    <cellStyle name="Input [yellow] 3 18 3 6 3" xfId="25573"/>
    <cellStyle name="Input [yellow] 3 18 3 6 4" xfId="36738"/>
    <cellStyle name="Input [yellow] 3 18 3 6 5" xfId="47931"/>
    <cellStyle name="Input [yellow] 3 18 3 7" xfId="3842"/>
    <cellStyle name="Input [yellow] 3 18 3 7 2" xfId="15039"/>
    <cellStyle name="Input [yellow] 3 18 3 7 3" xfId="26207"/>
    <cellStyle name="Input [yellow] 3 18 3 7 4" xfId="37372"/>
    <cellStyle name="Input [yellow] 3 18 3 7 5" xfId="48565"/>
    <cellStyle name="Input [yellow] 3 18 3 8" xfId="4475"/>
    <cellStyle name="Input [yellow] 3 18 3 8 2" xfId="15672"/>
    <cellStyle name="Input [yellow] 3 18 3 8 3" xfId="26840"/>
    <cellStyle name="Input [yellow] 3 18 3 8 4" xfId="38005"/>
    <cellStyle name="Input [yellow] 3 18 3 8 5" xfId="49198"/>
    <cellStyle name="Input [yellow] 3 18 3 9" xfId="5106"/>
    <cellStyle name="Input [yellow] 3 18 3 9 2" xfId="16303"/>
    <cellStyle name="Input [yellow] 3 18 3 9 3" xfId="27471"/>
    <cellStyle name="Input [yellow] 3 18 3 9 4" xfId="38636"/>
    <cellStyle name="Input [yellow] 3 18 3 9 5" xfId="49829"/>
    <cellStyle name="Input [yellow] 3 18 30" xfId="11305"/>
    <cellStyle name="Input [yellow] 3 18 31" xfId="22475"/>
    <cellStyle name="Input [yellow] 3 18 32" xfId="33642"/>
    <cellStyle name="Input [yellow] 3 18 33" xfId="44828"/>
    <cellStyle name="Input [yellow] 3 18 4" xfId="115"/>
    <cellStyle name="Input [yellow] 3 18 4 10" xfId="5682"/>
    <cellStyle name="Input [yellow] 3 18 4 10 2" xfId="16879"/>
    <cellStyle name="Input [yellow] 3 18 4 10 3" xfId="28047"/>
    <cellStyle name="Input [yellow] 3 18 4 10 4" xfId="39212"/>
    <cellStyle name="Input [yellow] 3 18 4 10 5" xfId="50405"/>
    <cellStyle name="Input [yellow] 3 18 4 11" xfId="6180"/>
    <cellStyle name="Input [yellow] 3 18 4 11 2" xfId="17377"/>
    <cellStyle name="Input [yellow] 3 18 4 11 3" xfId="28545"/>
    <cellStyle name="Input [yellow] 3 18 4 11 4" xfId="39710"/>
    <cellStyle name="Input [yellow] 3 18 4 11 5" xfId="50903"/>
    <cellStyle name="Input [yellow] 3 18 4 12" xfId="6684"/>
    <cellStyle name="Input [yellow] 3 18 4 12 2" xfId="17881"/>
    <cellStyle name="Input [yellow] 3 18 4 12 3" xfId="29049"/>
    <cellStyle name="Input [yellow] 3 18 4 12 4" xfId="40214"/>
    <cellStyle name="Input [yellow] 3 18 4 12 5" xfId="51407"/>
    <cellStyle name="Input [yellow] 3 18 4 13" xfId="7318"/>
    <cellStyle name="Input [yellow] 3 18 4 13 2" xfId="18515"/>
    <cellStyle name="Input [yellow] 3 18 4 13 3" xfId="29683"/>
    <cellStyle name="Input [yellow] 3 18 4 13 4" xfId="40848"/>
    <cellStyle name="Input [yellow] 3 18 4 13 5" xfId="52041"/>
    <cellStyle name="Input [yellow] 3 18 4 14" xfId="7952"/>
    <cellStyle name="Input [yellow] 3 18 4 14 2" xfId="19149"/>
    <cellStyle name="Input [yellow] 3 18 4 14 3" xfId="30317"/>
    <cellStyle name="Input [yellow] 3 18 4 14 4" xfId="41482"/>
    <cellStyle name="Input [yellow] 3 18 4 14 5" xfId="52675"/>
    <cellStyle name="Input [yellow] 3 18 4 15" xfId="8583"/>
    <cellStyle name="Input [yellow] 3 18 4 15 2" xfId="19780"/>
    <cellStyle name="Input [yellow] 3 18 4 15 3" xfId="30948"/>
    <cellStyle name="Input [yellow] 3 18 4 15 4" xfId="42113"/>
    <cellStyle name="Input [yellow] 3 18 4 15 5" xfId="53306"/>
    <cellStyle name="Input [yellow] 3 18 4 16" xfId="8738"/>
    <cellStyle name="Input [yellow] 3 18 4 16 2" xfId="19935"/>
    <cellStyle name="Input [yellow] 3 18 4 16 3" xfId="31103"/>
    <cellStyle name="Input [yellow] 3 18 4 16 4" xfId="42268"/>
    <cellStyle name="Input [yellow] 3 18 4 16 5" xfId="53461"/>
    <cellStyle name="Input [yellow] 3 18 4 17" xfId="9636"/>
    <cellStyle name="Input [yellow] 3 18 4 17 2" xfId="20833"/>
    <cellStyle name="Input [yellow] 3 18 4 17 3" xfId="32001"/>
    <cellStyle name="Input [yellow] 3 18 4 17 4" xfId="43166"/>
    <cellStyle name="Input [yellow] 3 18 4 17 5" xfId="54359"/>
    <cellStyle name="Input [yellow] 3 18 4 18" xfId="10290"/>
    <cellStyle name="Input [yellow] 3 18 4 18 2" xfId="21487"/>
    <cellStyle name="Input [yellow] 3 18 4 18 3" xfId="32655"/>
    <cellStyle name="Input [yellow] 3 18 4 18 4" xfId="43820"/>
    <cellStyle name="Input [yellow] 3 18 4 18 5" xfId="55013"/>
    <cellStyle name="Input [yellow] 3 18 4 19" xfId="10668"/>
    <cellStyle name="Input [yellow] 3 18 4 19 2" xfId="21865"/>
    <cellStyle name="Input [yellow] 3 18 4 19 3" xfId="33033"/>
    <cellStyle name="Input [yellow] 3 18 4 19 4" xfId="44198"/>
    <cellStyle name="Input [yellow] 3 18 4 19 5" xfId="55391"/>
    <cellStyle name="Input [yellow] 3 18 4 2" xfId="764"/>
    <cellStyle name="Input [yellow] 3 18 4 2 2" xfId="11961"/>
    <cellStyle name="Input [yellow] 3 18 4 2 3" xfId="23129"/>
    <cellStyle name="Input [yellow] 3 18 4 2 4" xfId="34294"/>
    <cellStyle name="Input [yellow] 3 18 4 2 5" xfId="45487"/>
    <cellStyle name="Input [yellow] 3 18 4 20" xfId="11315"/>
    <cellStyle name="Input [yellow] 3 18 4 21" xfId="22485"/>
    <cellStyle name="Input [yellow] 3 18 4 22" xfId="33652"/>
    <cellStyle name="Input [yellow] 3 18 4 23" xfId="44838"/>
    <cellStyle name="Input [yellow] 3 18 4 3" xfId="1548"/>
    <cellStyle name="Input [yellow] 3 18 4 3 2" xfId="12745"/>
    <cellStyle name="Input [yellow] 3 18 4 3 3" xfId="23913"/>
    <cellStyle name="Input [yellow] 3 18 4 3 4" xfId="35078"/>
    <cellStyle name="Input [yellow] 3 18 4 3 5" xfId="46271"/>
    <cellStyle name="Input [yellow] 3 18 4 4" xfId="2041"/>
    <cellStyle name="Input [yellow] 3 18 4 4 2" xfId="13238"/>
    <cellStyle name="Input [yellow] 3 18 4 4 3" xfId="24406"/>
    <cellStyle name="Input [yellow] 3 18 4 4 4" xfId="35571"/>
    <cellStyle name="Input [yellow] 3 18 4 4 5" xfId="46764"/>
    <cellStyle name="Input [yellow] 3 18 4 5" xfId="2051"/>
    <cellStyle name="Input [yellow] 3 18 4 5 2" xfId="13248"/>
    <cellStyle name="Input [yellow] 3 18 4 5 3" xfId="24416"/>
    <cellStyle name="Input [yellow] 3 18 4 5 4" xfId="35581"/>
    <cellStyle name="Input [yellow] 3 18 4 5 5" xfId="46774"/>
    <cellStyle name="Input [yellow] 3 18 4 6" xfId="3099"/>
    <cellStyle name="Input [yellow] 3 18 4 6 2" xfId="14296"/>
    <cellStyle name="Input [yellow] 3 18 4 6 3" xfId="25464"/>
    <cellStyle name="Input [yellow] 3 18 4 6 4" xfId="36629"/>
    <cellStyle name="Input [yellow] 3 18 4 6 5" xfId="47822"/>
    <cellStyle name="Input [yellow] 3 18 4 7" xfId="3733"/>
    <cellStyle name="Input [yellow] 3 18 4 7 2" xfId="14930"/>
    <cellStyle name="Input [yellow] 3 18 4 7 3" xfId="26098"/>
    <cellStyle name="Input [yellow] 3 18 4 7 4" xfId="37263"/>
    <cellStyle name="Input [yellow] 3 18 4 7 5" xfId="48456"/>
    <cellStyle name="Input [yellow] 3 18 4 8" xfId="4366"/>
    <cellStyle name="Input [yellow] 3 18 4 8 2" xfId="15563"/>
    <cellStyle name="Input [yellow] 3 18 4 8 3" xfId="26731"/>
    <cellStyle name="Input [yellow] 3 18 4 8 4" xfId="37896"/>
    <cellStyle name="Input [yellow] 3 18 4 8 5" xfId="49089"/>
    <cellStyle name="Input [yellow] 3 18 4 9" xfId="4997"/>
    <cellStyle name="Input [yellow] 3 18 4 9 2" xfId="16194"/>
    <cellStyle name="Input [yellow] 3 18 4 9 3" xfId="27362"/>
    <cellStyle name="Input [yellow] 3 18 4 9 4" xfId="38527"/>
    <cellStyle name="Input [yellow] 3 18 4 9 5" xfId="49720"/>
    <cellStyle name="Input [yellow] 3 18 5" xfId="292"/>
    <cellStyle name="Input [yellow] 3 18 5 10" xfId="5799"/>
    <cellStyle name="Input [yellow] 3 18 5 10 2" xfId="16996"/>
    <cellStyle name="Input [yellow] 3 18 5 10 3" xfId="28164"/>
    <cellStyle name="Input [yellow] 3 18 5 10 4" xfId="39329"/>
    <cellStyle name="Input [yellow] 3 18 5 10 5" xfId="50522"/>
    <cellStyle name="Input [yellow] 3 18 5 11" xfId="6228"/>
    <cellStyle name="Input [yellow] 3 18 5 11 2" xfId="17425"/>
    <cellStyle name="Input [yellow] 3 18 5 11 3" xfId="28593"/>
    <cellStyle name="Input [yellow] 3 18 5 11 4" xfId="39758"/>
    <cellStyle name="Input [yellow] 3 18 5 11 5" xfId="50951"/>
    <cellStyle name="Input [yellow] 3 18 5 12" xfId="6861"/>
    <cellStyle name="Input [yellow] 3 18 5 12 2" xfId="18058"/>
    <cellStyle name="Input [yellow] 3 18 5 12 3" xfId="29226"/>
    <cellStyle name="Input [yellow] 3 18 5 12 4" xfId="40391"/>
    <cellStyle name="Input [yellow] 3 18 5 12 5" xfId="51584"/>
    <cellStyle name="Input [yellow] 3 18 5 13" xfId="7495"/>
    <cellStyle name="Input [yellow] 3 18 5 13 2" xfId="18692"/>
    <cellStyle name="Input [yellow] 3 18 5 13 3" xfId="29860"/>
    <cellStyle name="Input [yellow] 3 18 5 13 4" xfId="41025"/>
    <cellStyle name="Input [yellow] 3 18 5 13 5" xfId="52218"/>
    <cellStyle name="Input [yellow] 3 18 5 14" xfId="8129"/>
    <cellStyle name="Input [yellow] 3 18 5 14 2" xfId="19326"/>
    <cellStyle name="Input [yellow] 3 18 5 14 3" xfId="30494"/>
    <cellStyle name="Input [yellow] 3 18 5 14 4" xfId="41659"/>
    <cellStyle name="Input [yellow] 3 18 5 14 5" xfId="52852"/>
    <cellStyle name="Input [yellow] 3 18 5 15" xfId="8758"/>
    <cellStyle name="Input [yellow] 3 18 5 15 2" xfId="19955"/>
    <cellStyle name="Input [yellow] 3 18 5 15 3" xfId="31123"/>
    <cellStyle name="Input [yellow] 3 18 5 15 4" xfId="42288"/>
    <cellStyle name="Input [yellow] 3 18 5 15 5" xfId="53481"/>
    <cellStyle name="Input [yellow] 3 18 5 16" xfId="9180"/>
    <cellStyle name="Input [yellow] 3 18 5 16 2" xfId="20377"/>
    <cellStyle name="Input [yellow] 3 18 5 16 3" xfId="31545"/>
    <cellStyle name="Input [yellow] 3 18 5 16 4" xfId="42710"/>
    <cellStyle name="Input [yellow] 3 18 5 16 5" xfId="53903"/>
    <cellStyle name="Input [yellow] 3 18 5 17" xfId="9807"/>
    <cellStyle name="Input [yellow] 3 18 5 17 2" xfId="21004"/>
    <cellStyle name="Input [yellow] 3 18 5 17 3" xfId="32172"/>
    <cellStyle name="Input [yellow] 3 18 5 17 4" xfId="43337"/>
    <cellStyle name="Input [yellow] 3 18 5 17 5" xfId="54530"/>
    <cellStyle name="Input [yellow] 3 18 5 18" xfId="10079"/>
    <cellStyle name="Input [yellow] 3 18 5 18 2" xfId="21276"/>
    <cellStyle name="Input [yellow] 3 18 5 18 3" xfId="32444"/>
    <cellStyle name="Input [yellow] 3 18 5 18 4" xfId="43609"/>
    <cellStyle name="Input [yellow] 3 18 5 18 5" xfId="54802"/>
    <cellStyle name="Input [yellow] 3 18 5 19" xfId="10845"/>
    <cellStyle name="Input [yellow] 3 18 5 19 2" xfId="22042"/>
    <cellStyle name="Input [yellow] 3 18 5 19 3" xfId="33210"/>
    <cellStyle name="Input [yellow] 3 18 5 19 4" xfId="44375"/>
    <cellStyle name="Input [yellow] 3 18 5 19 5" xfId="55568"/>
    <cellStyle name="Input [yellow] 3 18 5 2" xfId="941"/>
    <cellStyle name="Input [yellow] 3 18 5 2 2" xfId="12138"/>
    <cellStyle name="Input [yellow] 3 18 5 2 3" xfId="23306"/>
    <cellStyle name="Input [yellow] 3 18 5 2 4" xfId="34471"/>
    <cellStyle name="Input [yellow] 3 18 5 2 5" xfId="45664"/>
    <cellStyle name="Input [yellow] 3 18 5 20" xfId="11492"/>
    <cellStyle name="Input [yellow] 3 18 5 21" xfId="22662"/>
    <cellStyle name="Input [yellow] 3 18 5 22" xfId="33829"/>
    <cellStyle name="Input [yellow] 3 18 5 23" xfId="45015"/>
    <cellStyle name="Input [yellow] 3 18 5 3" xfId="1412"/>
    <cellStyle name="Input [yellow] 3 18 5 3 2" xfId="12609"/>
    <cellStyle name="Input [yellow] 3 18 5 3 3" xfId="23777"/>
    <cellStyle name="Input [yellow] 3 18 5 3 4" xfId="34942"/>
    <cellStyle name="Input [yellow] 3 18 5 3 5" xfId="46135"/>
    <cellStyle name="Input [yellow] 3 18 5 4" xfId="2217"/>
    <cellStyle name="Input [yellow] 3 18 5 4 2" xfId="13414"/>
    <cellStyle name="Input [yellow] 3 18 5 4 3" xfId="24582"/>
    <cellStyle name="Input [yellow] 3 18 5 4 4" xfId="35747"/>
    <cellStyle name="Input [yellow] 3 18 5 4 5" xfId="46940"/>
    <cellStyle name="Input [yellow] 3 18 5 5" xfId="2642"/>
    <cellStyle name="Input [yellow] 3 18 5 5 2" xfId="13839"/>
    <cellStyle name="Input [yellow] 3 18 5 5 3" xfId="25007"/>
    <cellStyle name="Input [yellow] 3 18 5 5 4" xfId="36172"/>
    <cellStyle name="Input [yellow] 3 18 5 5 5" xfId="47365"/>
    <cellStyle name="Input [yellow] 3 18 5 6" xfId="3276"/>
    <cellStyle name="Input [yellow] 3 18 5 6 2" xfId="14473"/>
    <cellStyle name="Input [yellow] 3 18 5 6 3" xfId="25641"/>
    <cellStyle name="Input [yellow] 3 18 5 6 4" xfId="36806"/>
    <cellStyle name="Input [yellow] 3 18 5 6 5" xfId="47999"/>
    <cellStyle name="Input [yellow] 3 18 5 7" xfId="3910"/>
    <cellStyle name="Input [yellow] 3 18 5 7 2" xfId="15107"/>
    <cellStyle name="Input [yellow] 3 18 5 7 3" xfId="26275"/>
    <cellStyle name="Input [yellow] 3 18 5 7 4" xfId="37440"/>
    <cellStyle name="Input [yellow] 3 18 5 7 5" xfId="48633"/>
    <cellStyle name="Input [yellow] 3 18 5 8" xfId="4543"/>
    <cellStyle name="Input [yellow] 3 18 5 8 2" xfId="15740"/>
    <cellStyle name="Input [yellow] 3 18 5 8 3" xfId="26908"/>
    <cellStyle name="Input [yellow] 3 18 5 8 4" xfId="38073"/>
    <cellStyle name="Input [yellow] 3 18 5 8 5" xfId="49266"/>
    <cellStyle name="Input [yellow] 3 18 5 9" xfId="5174"/>
    <cellStyle name="Input [yellow] 3 18 5 9 2" xfId="16371"/>
    <cellStyle name="Input [yellow] 3 18 5 9 3" xfId="27539"/>
    <cellStyle name="Input [yellow] 3 18 5 9 4" xfId="38704"/>
    <cellStyle name="Input [yellow] 3 18 5 9 5" xfId="49897"/>
    <cellStyle name="Input [yellow] 3 18 6" xfId="402"/>
    <cellStyle name="Input [yellow] 3 18 6 10" xfId="6052"/>
    <cellStyle name="Input [yellow] 3 18 6 10 2" xfId="17249"/>
    <cellStyle name="Input [yellow] 3 18 6 10 3" xfId="28417"/>
    <cellStyle name="Input [yellow] 3 18 6 10 4" xfId="39582"/>
    <cellStyle name="Input [yellow] 3 18 6 10 5" xfId="50775"/>
    <cellStyle name="Input [yellow] 3 18 6 11" xfId="6338"/>
    <cellStyle name="Input [yellow] 3 18 6 11 2" xfId="17535"/>
    <cellStyle name="Input [yellow] 3 18 6 11 3" xfId="28703"/>
    <cellStyle name="Input [yellow] 3 18 6 11 4" xfId="39868"/>
    <cellStyle name="Input [yellow] 3 18 6 11 5" xfId="51061"/>
    <cellStyle name="Input [yellow] 3 18 6 12" xfId="6971"/>
    <cellStyle name="Input [yellow] 3 18 6 12 2" xfId="18168"/>
    <cellStyle name="Input [yellow] 3 18 6 12 3" xfId="29336"/>
    <cellStyle name="Input [yellow] 3 18 6 12 4" xfId="40501"/>
    <cellStyle name="Input [yellow] 3 18 6 12 5" xfId="51694"/>
    <cellStyle name="Input [yellow] 3 18 6 13" xfId="7605"/>
    <cellStyle name="Input [yellow] 3 18 6 13 2" xfId="18802"/>
    <cellStyle name="Input [yellow] 3 18 6 13 3" xfId="29970"/>
    <cellStyle name="Input [yellow] 3 18 6 13 4" xfId="41135"/>
    <cellStyle name="Input [yellow] 3 18 6 13 5" xfId="52328"/>
    <cellStyle name="Input [yellow] 3 18 6 14" xfId="8239"/>
    <cellStyle name="Input [yellow] 3 18 6 14 2" xfId="19436"/>
    <cellStyle name="Input [yellow] 3 18 6 14 3" xfId="30604"/>
    <cellStyle name="Input [yellow] 3 18 6 14 4" xfId="41769"/>
    <cellStyle name="Input [yellow] 3 18 6 14 5" xfId="52962"/>
    <cellStyle name="Input [yellow] 3 18 6 15" xfId="8867"/>
    <cellStyle name="Input [yellow] 3 18 6 15 2" xfId="20064"/>
    <cellStyle name="Input [yellow] 3 18 6 15 3" xfId="31232"/>
    <cellStyle name="Input [yellow] 3 18 6 15 4" xfId="42397"/>
    <cellStyle name="Input [yellow] 3 18 6 15 5" xfId="53590"/>
    <cellStyle name="Input [yellow] 3 18 6 16" xfId="9290"/>
    <cellStyle name="Input [yellow] 3 18 6 16 2" xfId="20487"/>
    <cellStyle name="Input [yellow] 3 18 6 16 3" xfId="31655"/>
    <cellStyle name="Input [yellow] 3 18 6 16 4" xfId="42820"/>
    <cellStyle name="Input [yellow] 3 18 6 16 5" xfId="54013"/>
    <cellStyle name="Input [yellow] 3 18 6 17" xfId="9916"/>
    <cellStyle name="Input [yellow] 3 18 6 17 2" xfId="21113"/>
    <cellStyle name="Input [yellow] 3 18 6 17 3" xfId="32281"/>
    <cellStyle name="Input [yellow] 3 18 6 17 4" xfId="43446"/>
    <cellStyle name="Input [yellow] 3 18 6 17 5" xfId="54639"/>
    <cellStyle name="Input [yellow] 3 18 6 18" xfId="9665"/>
    <cellStyle name="Input [yellow] 3 18 6 18 2" xfId="20862"/>
    <cellStyle name="Input [yellow] 3 18 6 18 3" xfId="32030"/>
    <cellStyle name="Input [yellow] 3 18 6 18 4" xfId="43195"/>
    <cellStyle name="Input [yellow] 3 18 6 18 5" xfId="54388"/>
    <cellStyle name="Input [yellow] 3 18 6 19" xfId="10955"/>
    <cellStyle name="Input [yellow] 3 18 6 19 2" xfId="22152"/>
    <cellStyle name="Input [yellow] 3 18 6 19 3" xfId="33320"/>
    <cellStyle name="Input [yellow] 3 18 6 19 4" xfId="44485"/>
    <cellStyle name="Input [yellow] 3 18 6 19 5" xfId="55678"/>
    <cellStyle name="Input [yellow] 3 18 6 2" xfId="1051"/>
    <cellStyle name="Input [yellow] 3 18 6 2 2" xfId="12248"/>
    <cellStyle name="Input [yellow] 3 18 6 2 3" xfId="23416"/>
    <cellStyle name="Input [yellow] 3 18 6 2 4" xfId="34581"/>
    <cellStyle name="Input [yellow] 3 18 6 2 5" xfId="45774"/>
    <cellStyle name="Input [yellow] 3 18 6 20" xfId="11602"/>
    <cellStyle name="Input [yellow] 3 18 6 21" xfId="22772"/>
    <cellStyle name="Input [yellow] 3 18 6 22" xfId="33939"/>
    <cellStyle name="Input [yellow] 3 18 6 23" xfId="45125"/>
    <cellStyle name="Input [yellow] 3 18 6 3" xfId="1496"/>
    <cellStyle name="Input [yellow] 3 18 6 3 2" xfId="12693"/>
    <cellStyle name="Input [yellow] 3 18 6 3 3" xfId="23861"/>
    <cellStyle name="Input [yellow] 3 18 6 3 4" xfId="35026"/>
    <cellStyle name="Input [yellow] 3 18 6 3 5" xfId="46219"/>
    <cellStyle name="Input [yellow] 3 18 6 4" xfId="2327"/>
    <cellStyle name="Input [yellow] 3 18 6 4 2" xfId="13524"/>
    <cellStyle name="Input [yellow] 3 18 6 4 3" xfId="24692"/>
    <cellStyle name="Input [yellow] 3 18 6 4 4" xfId="35857"/>
    <cellStyle name="Input [yellow] 3 18 6 4 5" xfId="47050"/>
    <cellStyle name="Input [yellow] 3 18 6 5" xfId="2752"/>
    <cellStyle name="Input [yellow] 3 18 6 5 2" xfId="13949"/>
    <cellStyle name="Input [yellow] 3 18 6 5 3" xfId="25117"/>
    <cellStyle name="Input [yellow] 3 18 6 5 4" xfId="36282"/>
    <cellStyle name="Input [yellow] 3 18 6 5 5" xfId="47475"/>
    <cellStyle name="Input [yellow] 3 18 6 6" xfId="3386"/>
    <cellStyle name="Input [yellow] 3 18 6 6 2" xfId="14583"/>
    <cellStyle name="Input [yellow] 3 18 6 6 3" xfId="25751"/>
    <cellStyle name="Input [yellow] 3 18 6 6 4" xfId="36916"/>
    <cellStyle name="Input [yellow] 3 18 6 6 5" xfId="48109"/>
    <cellStyle name="Input [yellow] 3 18 6 7" xfId="4020"/>
    <cellStyle name="Input [yellow] 3 18 6 7 2" xfId="15217"/>
    <cellStyle name="Input [yellow] 3 18 6 7 3" xfId="26385"/>
    <cellStyle name="Input [yellow] 3 18 6 7 4" xfId="37550"/>
    <cellStyle name="Input [yellow] 3 18 6 7 5" xfId="48743"/>
    <cellStyle name="Input [yellow] 3 18 6 8" xfId="4653"/>
    <cellStyle name="Input [yellow] 3 18 6 8 2" xfId="15850"/>
    <cellStyle name="Input [yellow] 3 18 6 8 3" xfId="27018"/>
    <cellStyle name="Input [yellow] 3 18 6 8 4" xfId="38183"/>
    <cellStyle name="Input [yellow] 3 18 6 8 5" xfId="49376"/>
    <cellStyle name="Input [yellow] 3 18 6 9" xfId="5284"/>
    <cellStyle name="Input [yellow] 3 18 6 9 2" xfId="16481"/>
    <cellStyle name="Input [yellow] 3 18 6 9 3" xfId="27649"/>
    <cellStyle name="Input [yellow] 3 18 6 9 4" xfId="38814"/>
    <cellStyle name="Input [yellow] 3 18 6 9 5" xfId="50007"/>
    <cellStyle name="Input [yellow] 3 18 7" xfId="302"/>
    <cellStyle name="Input [yellow] 3 18 7 10" xfId="3658"/>
    <cellStyle name="Input [yellow] 3 18 7 10 2" xfId="14855"/>
    <cellStyle name="Input [yellow] 3 18 7 10 3" xfId="26023"/>
    <cellStyle name="Input [yellow] 3 18 7 10 4" xfId="37188"/>
    <cellStyle name="Input [yellow] 3 18 7 10 5" xfId="48381"/>
    <cellStyle name="Input [yellow] 3 18 7 11" xfId="6238"/>
    <cellStyle name="Input [yellow] 3 18 7 11 2" xfId="17435"/>
    <cellStyle name="Input [yellow] 3 18 7 11 3" xfId="28603"/>
    <cellStyle name="Input [yellow] 3 18 7 11 4" xfId="39768"/>
    <cellStyle name="Input [yellow] 3 18 7 11 5" xfId="50961"/>
    <cellStyle name="Input [yellow] 3 18 7 12" xfId="6871"/>
    <cellStyle name="Input [yellow] 3 18 7 12 2" xfId="18068"/>
    <cellStyle name="Input [yellow] 3 18 7 12 3" xfId="29236"/>
    <cellStyle name="Input [yellow] 3 18 7 12 4" xfId="40401"/>
    <cellStyle name="Input [yellow] 3 18 7 12 5" xfId="51594"/>
    <cellStyle name="Input [yellow] 3 18 7 13" xfId="7505"/>
    <cellStyle name="Input [yellow] 3 18 7 13 2" xfId="18702"/>
    <cellStyle name="Input [yellow] 3 18 7 13 3" xfId="29870"/>
    <cellStyle name="Input [yellow] 3 18 7 13 4" xfId="41035"/>
    <cellStyle name="Input [yellow] 3 18 7 13 5" xfId="52228"/>
    <cellStyle name="Input [yellow] 3 18 7 14" xfId="8139"/>
    <cellStyle name="Input [yellow] 3 18 7 14 2" xfId="19336"/>
    <cellStyle name="Input [yellow] 3 18 7 14 3" xfId="30504"/>
    <cellStyle name="Input [yellow] 3 18 7 14 4" xfId="41669"/>
    <cellStyle name="Input [yellow] 3 18 7 14 5" xfId="52862"/>
    <cellStyle name="Input [yellow] 3 18 7 15" xfId="8768"/>
    <cellStyle name="Input [yellow] 3 18 7 15 2" xfId="19965"/>
    <cellStyle name="Input [yellow] 3 18 7 15 3" xfId="31133"/>
    <cellStyle name="Input [yellow] 3 18 7 15 4" xfId="42298"/>
    <cellStyle name="Input [yellow] 3 18 7 15 5" xfId="53491"/>
    <cellStyle name="Input [yellow] 3 18 7 16" xfId="9190"/>
    <cellStyle name="Input [yellow] 3 18 7 16 2" xfId="20387"/>
    <cellStyle name="Input [yellow] 3 18 7 16 3" xfId="31555"/>
    <cellStyle name="Input [yellow] 3 18 7 16 4" xfId="42720"/>
    <cellStyle name="Input [yellow] 3 18 7 16 5" xfId="53913"/>
    <cellStyle name="Input [yellow] 3 18 7 17" xfId="9817"/>
    <cellStyle name="Input [yellow] 3 18 7 17 2" xfId="21014"/>
    <cellStyle name="Input [yellow] 3 18 7 17 3" xfId="32182"/>
    <cellStyle name="Input [yellow] 3 18 7 17 4" xfId="43347"/>
    <cellStyle name="Input [yellow] 3 18 7 17 5" xfId="54540"/>
    <cellStyle name="Input [yellow] 3 18 7 18" xfId="10364"/>
    <cellStyle name="Input [yellow] 3 18 7 18 2" xfId="21561"/>
    <cellStyle name="Input [yellow] 3 18 7 18 3" xfId="32729"/>
    <cellStyle name="Input [yellow] 3 18 7 18 4" xfId="43894"/>
    <cellStyle name="Input [yellow] 3 18 7 18 5" xfId="55087"/>
    <cellStyle name="Input [yellow] 3 18 7 19" xfId="10855"/>
    <cellStyle name="Input [yellow] 3 18 7 19 2" xfId="22052"/>
    <cellStyle name="Input [yellow] 3 18 7 19 3" xfId="33220"/>
    <cellStyle name="Input [yellow] 3 18 7 19 4" xfId="44385"/>
    <cellStyle name="Input [yellow] 3 18 7 19 5" xfId="55578"/>
    <cellStyle name="Input [yellow] 3 18 7 2" xfId="951"/>
    <cellStyle name="Input [yellow] 3 18 7 2 2" xfId="12148"/>
    <cellStyle name="Input [yellow] 3 18 7 2 3" xfId="23316"/>
    <cellStyle name="Input [yellow] 3 18 7 2 4" xfId="34481"/>
    <cellStyle name="Input [yellow] 3 18 7 2 5" xfId="45674"/>
    <cellStyle name="Input [yellow] 3 18 7 20" xfId="11502"/>
    <cellStyle name="Input [yellow] 3 18 7 21" xfId="22672"/>
    <cellStyle name="Input [yellow] 3 18 7 22" xfId="33839"/>
    <cellStyle name="Input [yellow] 3 18 7 23" xfId="45025"/>
    <cellStyle name="Input [yellow] 3 18 7 3" xfId="1554"/>
    <cellStyle name="Input [yellow] 3 18 7 3 2" xfId="12751"/>
    <cellStyle name="Input [yellow] 3 18 7 3 3" xfId="23919"/>
    <cellStyle name="Input [yellow] 3 18 7 3 4" xfId="35084"/>
    <cellStyle name="Input [yellow] 3 18 7 3 5" xfId="46277"/>
    <cellStyle name="Input [yellow] 3 18 7 4" xfId="2227"/>
    <cellStyle name="Input [yellow] 3 18 7 4 2" xfId="13424"/>
    <cellStyle name="Input [yellow] 3 18 7 4 3" xfId="24592"/>
    <cellStyle name="Input [yellow] 3 18 7 4 4" xfId="35757"/>
    <cellStyle name="Input [yellow] 3 18 7 4 5" xfId="46950"/>
    <cellStyle name="Input [yellow] 3 18 7 5" xfId="2652"/>
    <cellStyle name="Input [yellow] 3 18 7 5 2" xfId="13849"/>
    <cellStyle name="Input [yellow] 3 18 7 5 3" xfId="25017"/>
    <cellStyle name="Input [yellow] 3 18 7 5 4" xfId="36182"/>
    <cellStyle name="Input [yellow] 3 18 7 5 5" xfId="47375"/>
    <cellStyle name="Input [yellow] 3 18 7 6" xfId="3286"/>
    <cellStyle name="Input [yellow] 3 18 7 6 2" xfId="14483"/>
    <cellStyle name="Input [yellow] 3 18 7 6 3" xfId="25651"/>
    <cellStyle name="Input [yellow] 3 18 7 6 4" xfId="36816"/>
    <cellStyle name="Input [yellow] 3 18 7 6 5" xfId="48009"/>
    <cellStyle name="Input [yellow] 3 18 7 7" xfId="3920"/>
    <cellStyle name="Input [yellow] 3 18 7 7 2" xfId="15117"/>
    <cellStyle name="Input [yellow] 3 18 7 7 3" xfId="26285"/>
    <cellStyle name="Input [yellow] 3 18 7 7 4" xfId="37450"/>
    <cellStyle name="Input [yellow] 3 18 7 7 5" xfId="48643"/>
    <cellStyle name="Input [yellow] 3 18 7 8" xfId="4553"/>
    <cellStyle name="Input [yellow] 3 18 7 8 2" xfId="15750"/>
    <cellStyle name="Input [yellow] 3 18 7 8 3" xfId="26918"/>
    <cellStyle name="Input [yellow] 3 18 7 8 4" xfId="38083"/>
    <cellStyle name="Input [yellow] 3 18 7 8 5" xfId="49276"/>
    <cellStyle name="Input [yellow] 3 18 7 9" xfId="5184"/>
    <cellStyle name="Input [yellow] 3 18 7 9 2" xfId="16381"/>
    <cellStyle name="Input [yellow] 3 18 7 9 3" xfId="27549"/>
    <cellStyle name="Input [yellow] 3 18 7 9 4" xfId="38714"/>
    <cellStyle name="Input [yellow] 3 18 7 9 5" xfId="49907"/>
    <cellStyle name="Input [yellow] 3 18 8" xfId="514"/>
    <cellStyle name="Input [yellow] 3 18 8 10" xfId="5899"/>
    <cellStyle name="Input [yellow] 3 18 8 10 2" xfId="17096"/>
    <cellStyle name="Input [yellow] 3 18 8 10 3" xfId="28264"/>
    <cellStyle name="Input [yellow] 3 18 8 10 4" xfId="39429"/>
    <cellStyle name="Input [yellow] 3 18 8 10 5" xfId="50622"/>
    <cellStyle name="Input [yellow] 3 18 8 11" xfId="6450"/>
    <cellStyle name="Input [yellow] 3 18 8 11 2" xfId="17647"/>
    <cellStyle name="Input [yellow] 3 18 8 11 3" xfId="28815"/>
    <cellStyle name="Input [yellow] 3 18 8 11 4" xfId="39980"/>
    <cellStyle name="Input [yellow] 3 18 8 11 5" xfId="51173"/>
    <cellStyle name="Input [yellow] 3 18 8 12" xfId="7083"/>
    <cellStyle name="Input [yellow] 3 18 8 12 2" xfId="18280"/>
    <cellStyle name="Input [yellow] 3 18 8 12 3" xfId="29448"/>
    <cellStyle name="Input [yellow] 3 18 8 12 4" xfId="40613"/>
    <cellStyle name="Input [yellow] 3 18 8 12 5" xfId="51806"/>
    <cellStyle name="Input [yellow] 3 18 8 13" xfId="7717"/>
    <cellStyle name="Input [yellow] 3 18 8 13 2" xfId="18914"/>
    <cellStyle name="Input [yellow] 3 18 8 13 3" xfId="30082"/>
    <cellStyle name="Input [yellow] 3 18 8 13 4" xfId="41247"/>
    <cellStyle name="Input [yellow] 3 18 8 13 5" xfId="52440"/>
    <cellStyle name="Input [yellow] 3 18 8 14" xfId="8351"/>
    <cellStyle name="Input [yellow] 3 18 8 14 2" xfId="19548"/>
    <cellStyle name="Input [yellow] 3 18 8 14 3" xfId="30716"/>
    <cellStyle name="Input [yellow] 3 18 8 14 4" xfId="41881"/>
    <cellStyle name="Input [yellow] 3 18 8 14 5" xfId="53074"/>
    <cellStyle name="Input [yellow] 3 18 8 15" xfId="8979"/>
    <cellStyle name="Input [yellow] 3 18 8 15 2" xfId="20176"/>
    <cellStyle name="Input [yellow] 3 18 8 15 3" xfId="31344"/>
    <cellStyle name="Input [yellow] 3 18 8 15 4" xfId="42509"/>
    <cellStyle name="Input [yellow] 3 18 8 15 5" xfId="53702"/>
    <cellStyle name="Input [yellow] 3 18 8 16" xfId="9402"/>
    <cellStyle name="Input [yellow] 3 18 8 16 2" xfId="20599"/>
    <cellStyle name="Input [yellow] 3 18 8 16 3" xfId="31767"/>
    <cellStyle name="Input [yellow] 3 18 8 16 4" xfId="42932"/>
    <cellStyle name="Input [yellow] 3 18 8 16 5" xfId="54125"/>
    <cellStyle name="Input [yellow] 3 18 8 17" xfId="10027"/>
    <cellStyle name="Input [yellow] 3 18 8 17 2" xfId="21224"/>
    <cellStyle name="Input [yellow] 3 18 8 17 3" xfId="32392"/>
    <cellStyle name="Input [yellow] 3 18 8 17 4" xfId="43557"/>
    <cellStyle name="Input [yellow] 3 18 8 17 5" xfId="54750"/>
    <cellStyle name="Input [yellow] 3 18 8 18" xfId="10297"/>
    <cellStyle name="Input [yellow] 3 18 8 18 2" xfId="21494"/>
    <cellStyle name="Input [yellow] 3 18 8 18 3" xfId="32662"/>
    <cellStyle name="Input [yellow] 3 18 8 18 4" xfId="43827"/>
    <cellStyle name="Input [yellow] 3 18 8 18 5" xfId="55020"/>
    <cellStyle name="Input [yellow] 3 18 8 19" xfId="11067"/>
    <cellStyle name="Input [yellow] 3 18 8 19 2" xfId="22264"/>
    <cellStyle name="Input [yellow] 3 18 8 19 3" xfId="33432"/>
    <cellStyle name="Input [yellow] 3 18 8 19 4" xfId="44597"/>
    <cellStyle name="Input [yellow] 3 18 8 19 5" xfId="55790"/>
    <cellStyle name="Input [yellow] 3 18 8 2" xfId="1163"/>
    <cellStyle name="Input [yellow] 3 18 8 2 2" xfId="12360"/>
    <cellStyle name="Input [yellow] 3 18 8 2 3" xfId="23528"/>
    <cellStyle name="Input [yellow] 3 18 8 2 4" xfId="34693"/>
    <cellStyle name="Input [yellow] 3 18 8 2 5" xfId="45886"/>
    <cellStyle name="Input [yellow] 3 18 8 20" xfId="11714"/>
    <cellStyle name="Input [yellow] 3 18 8 21" xfId="22884"/>
    <cellStyle name="Input [yellow] 3 18 8 22" xfId="34051"/>
    <cellStyle name="Input [yellow] 3 18 8 23" xfId="45237"/>
    <cellStyle name="Input [yellow] 3 18 8 3" xfId="1685"/>
    <cellStyle name="Input [yellow] 3 18 8 3 2" xfId="12882"/>
    <cellStyle name="Input [yellow] 3 18 8 3 3" xfId="24050"/>
    <cellStyle name="Input [yellow] 3 18 8 3 4" xfId="35215"/>
    <cellStyle name="Input [yellow] 3 18 8 3 5" xfId="46408"/>
    <cellStyle name="Input [yellow] 3 18 8 4" xfId="2439"/>
    <cellStyle name="Input [yellow] 3 18 8 4 2" xfId="13636"/>
    <cellStyle name="Input [yellow] 3 18 8 4 3" xfId="24804"/>
    <cellStyle name="Input [yellow] 3 18 8 4 4" xfId="35969"/>
    <cellStyle name="Input [yellow] 3 18 8 4 5" xfId="47162"/>
    <cellStyle name="Input [yellow] 3 18 8 5" xfId="2864"/>
    <cellStyle name="Input [yellow] 3 18 8 5 2" xfId="14061"/>
    <cellStyle name="Input [yellow] 3 18 8 5 3" xfId="25229"/>
    <cellStyle name="Input [yellow] 3 18 8 5 4" xfId="36394"/>
    <cellStyle name="Input [yellow] 3 18 8 5 5" xfId="47587"/>
    <cellStyle name="Input [yellow] 3 18 8 6" xfId="3498"/>
    <cellStyle name="Input [yellow] 3 18 8 6 2" xfId="14695"/>
    <cellStyle name="Input [yellow] 3 18 8 6 3" xfId="25863"/>
    <cellStyle name="Input [yellow] 3 18 8 6 4" xfId="37028"/>
    <cellStyle name="Input [yellow] 3 18 8 6 5" xfId="48221"/>
    <cellStyle name="Input [yellow] 3 18 8 7" xfId="4132"/>
    <cellStyle name="Input [yellow] 3 18 8 7 2" xfId="15329"/>
    <cellStyle name="Input [yellow] 3 18 8 7 3" xfId="26497"/>
    <cellStyle name="Input [yellow] 3 18 8 7 4" xfId="37662"/>
    <cellStyle name="Input [yellow] 3 18 8 7 5" xfId="48855"/>
    <cellStyle name="Input [yellow] 3 18 8 8" xfId="4765"/>
    <cellStyle name="Input [yellow] 3 18 8 8 2" xfId="15962"/>
    <cellStyle name="Input [yellow] 3 18 8 8 3" xfId="27130"/>
    <cellStyle name="Input [yellow] 3 18 8 8 4" xfId="38295"/>
    <cellStyle name="Input [yellow] 3 18 8 8 5" xfId="49488"/>
    <cellStyle name="Input [yellow] 3 18 8 9" xfId="5396"/>
    <cellStyle name="Input [yellow] 3 18 8 9 2" xfId="16593"/>
    <cellStyle name="Input [yellow] 3 18 8 9 3" xfId="27761"/>
    <cellStyle name="Input [yellow] 3 18 8 9 4" xfId="38926"/>
    <cellStyle name="Input [yellow] 3 18 8 9 5" xfId="50119"/>
    <cellStyle name="Input [yellow] 3 18 9" xfId="572"/>
    <cellStyle name="Input [yellow] 3 18 9 10" xfId="6074"/>
    <cellStyle name="Input [yellow] 3 18 9 10 2" xfId="17271"/>
    <cellStyle name="Input [yellow] 3 18 9 10 3" xfId="28439"/>
    <cellStyle name="Input [yellow] 3 18 9 10 4" xfId="39604"/>
    <cellStyle name="Input [yellow] 3 18 9 10 5" xfId="50797"/>
    <cellStyle name="Input [yellow] 3 18 9 11" xfId="6508"/>
    <cellStyle name="Input [yellow] 3 18 9 11 2" xfId="17705"/>
    <cellStyle name="Input [yellow] 3 18 9 11 3" xfId="28873"/>
    <cellStyle name="Input [yellow] 3 18 9 11 4" xfId="40038"/>
    <cellStyle name="Input [yellow] 3 18 9 11 5" xfId="51231"/>
    <cellStyle name="Input [yellow] 3 18 9 12" xfId="7141"/>
    <cellStyle name="Input [yellow] 3 18 9 12 2" xfId="18338"/>
    <cellStyle name="Input [yellow] 3 18 9 12 3" xfId="29506"/>
    <cellStyle name="Input [yellow] 3 18 9 12 4" xfId="40671"/>
    <cellStyle name="Input [yellow] 3 18 9 12 5" xfId="51864"/>
    <cellStyle name="Input [yellow] 3 18 9 13" xfId="7775"/>
    <cellStyle name="Input [yellow] 3 18 9 13 2" xfId="18972"/>
    <cellStyle name="Input [yellow] 3 18 9 13 3" xfId="30140"/>
    <cellStyle name="Input [yellow] 3 18 9 13 4" xfId="41305"/>
    <cellStyle name="Input [yellow] 3 18 9 13 5" xfId="52498"/>
    <cellStyle name="Input [yellow] 3 18 9 14" xfId="8409"/>
    <cellStyle name="Input [yellow] 3 18 9 14 2" xfId="19606"/>
    <cellStyle name="Input [yellow] 3 18 9 14 3" xfId="30774"/>
    <cellStyle name="Input [yellow] 3 18 9 14 4" xfId="41939"/>
    <cellStyle name="Input [yellow] 3 18 9 14 5" xfId="53132"/>
    <cellStyle name="Input [yellow] 3 18 9 15" xfId="9037"/>
    <cellStyle name="Input [yellow] 3 18 9 15 2" xfId="20234"/>
    <cellStyle name="Input [yellow] 3 18 9 15 3" xfId="31402"/>
    <cellStyle name="Input [yellow] 3 18 9 15 4" xfId="42567"/>
    <cellStyle name="Input [yellow] 3 18 9 15 5" xfId="53760"/>
    <cellStyle name="Input [yellow] 3 18 9 16" xfId="9460"/>
    <cellStyle name="Input [yellow] 3 18 9 16 2" xfId="20657"/>
    <cellStyle name="Input [yellow] 3 18 9 16 3" xfId="31825"/>
    <cellStyle name="Input [yellow] 3 18 9 16 4" xfId="42990"/>
    <cellStyle name="Input [yellow] 3 18 9 16 5" xfId="54183"/>
    <cellStyle name="Input [yellow] 3 18 9 17" xfId="10085"/>
    <cellStyle name="Input [yellow] 3 18 9 17 2" xfId="21282"/>
    <cellStyle name="Input [yellow] 3 18 9 17 3" xfId="32450"/>
    <cellStyle name="Input [yellow] 3 18 9 17 4" xfId="43615"/>
    <cellStyle name="Input [yellow] 3 18 9 17 5" xfId="54808"/>
    <cellStyle name="Input [yellow] 3 18 9 18" xfId="9740"/>
    <cellStyle name="Input [yellow] 3 18 9 18 2" xfId="20937"/>
    <cellStyle name="Input [yellow] 3 18 9 18 3" xfId="32105"/>
    <cellStyle name="Input [yellow] 3 18 9 18 4" xfId="43270"/>
    <cellStyle name="Input [yellow] 3 18 9 18 5" xfId="54463"/>
    <cellStyle name="Input [yellow] 3 18 9 19" xfId="11125"/>
    <cellStyle name="Input [yellow] 3 18 9 19 2" xfId="22322"/>
    <cellStyle name="Input [yellow] 3 18 9 19 3" xfId="33490"/>
    <cellStyle name="Input [yellow] 3 18 9 19 4" xfId="44655"/>
    <cellStyle name="Input [yellow] 3 18 9 19 5" xfId="55848"/>
    <cellStyle name="Input [yellow] 3 18 9 2" xfId="1221"/>
    <cellStyle name="Input [yellow] 3 18 9 2 2" xfId="12418"/>
    <cellStyle name="Input [yellow] 3 18 9 2 3" xfId="23586"/>
    <cellStyle name="Input [yellow] 3 18 9 2 4" xfId="34751"/>
    <cellStyle name="Input [yellow] 3 18 9 2 5" xfId="45944"/>
    <cellStyle name="Input [yellow] 3 18 9 20" xfId="11772"/>
    <cellStyle name="Input [yellow] 3 18 9 21" xfId="22942"/>
    <cellStyle name="Input [yellow] 3 18 9 22" xfId="34109"/>
    <cellStyle name="Input [yellow] 3 18 9 23" xfId="45295"/>
    <cellStyle name="Input [yellow] 3 18 9 3" xfId="1408"/>
    <cellStyle name="Input [yellow] 3 18 9 3 2" xfId="12605"/>
    <cellStyle name="Input [yellow] 3 18 9 3 3" xfId="23773"/>
    <cellStyle name="Input [yellow] 3 18 9 3 4" xfId="34938"/>
    <cellStyle name="Input [yellow] 3 18 9 3 5" xfId="46131"/>
    <cellStyle name="Input [yellow] 3 18 9 4" xfId="2497"/>
    <cellStyle name="Input [yellow] 3 18 9 4 2" xfId="13694"/>
    <cellStyle name="Input [yellow] 3 18 9 4 3" xfId="24862"/>
    <cellStyle name="Input [yellow] 3 18 9 4 4" xfId="36027"/>
    <cellStyle name="Input [yellow] 3 18 9 4 5" xfId="47220"/>
    <cellStyle name="Input [yellow] 3 18 9 5" xfId="2922"/>
    <cellStyle name="Input [yellow] 3 18 9 5 2" xfId="14119"/>
    <cellStyle name="Input [yellow] 3 18 9 5 3" xfId="25287"/>
    <cellStyle name="Input [yellow] 3 18 9 5 4" xfId="36452"/>
    <cellStyle name="Input [yellow] 3 18 9 5 5" xfId="47645"/>
    <cellStyle name="Input [yellow] 3 18 9 6" xfId="3556"/>
    <cellStyle name="Input [yellow] 3 18 9 6 2" xfId="14753"/>
    <cellStyle name="Input [yellow] 3 18 9 6 3" xfId="25921"/>
    <cellStyle name="Input [yellow] 3 18 9 6 4" xfId="37086"/>
    <cellStyle name="Input [yellow] 3 18 9 6 5" xfId="48279"/>
    <cellStyle name="Input [yellow] 3 18 9 7" xfId="4190"/>
    <cellStyle name="Input [yellow] 3 18 9 7 2" xfId="15387"/>
    <cellStyle name="Input [yellow] 3 18 9 7 3" xfId="26555"/>
    <cellStyle name="Input [yellow] 3 18 9 7 4" xfId="37720"/>
    <cellStyle name="Input [yellow] 3 18 9 7 5" xfId="48913"/>
    <cellStyle name="Input [yellow] 3 18 9 8" xfId="4823"/>
    <cellStyle name="Input [yellow] 3 18 9 8 2" xfId="16020"/>
    <cellStyle name="Input [yellow] 3 18 9 8 3" xfId="27188"/>
    <cellStyle name="Input [yellow] 3 18 9 8 4" xfId="38353"/>
    <cellStyle name="Input [yellow] 3 18 9 8 5" xfId="49546"/>
    <cellStyle name="Input [yellow] 3 18 9 9" xfId="5454"/>
    <cellStyle name="Input [yellow] 3 18 9 9 2" xfId="16651"/>
    <cellStyle name="Input [yellow] 3 18 9 9 3" xfId="27819"/>
    <cellStyle name="Input [yellow] 3 18 9 9 4" xfId="38984"/>
    <cellStyle name="Input [yellow] 3 18 9 9 5" xfId="50177"/>
    <cellStyle name="Input [yellow] 3 19" xfId="109"/>
    <cellStyle name="Input [yellow] 3 19 10" xfId="5969"/>
    <cellStyle name="Input [yellow] 3 19 10 2" xfId="17166"/>
    <cellStyle name="Input [yellow] 3 19 10 3" xfId="28334"/>
    <cellStyle name="Input [yellow] 3 19 10 4" xfId="39499"/>
    <cellStyle name="Input [yellow] 3 19 10 5" xfId="50692"/>
    <cellStyle name="Input [yellow] 3 19 11" xfId="5886"/>
    <cellStyle name="Input [yellow] 3 19 11 2" xfId="17083"/>
    <cellStyle name="Input [yellow] 3 19 11 3" xfId="28251"/>
    <cellStyle name="Input [yellow] 3 19 11 4" xfId="39416"/>
    <cellStyle name="Input [yellow] 3 19 11 5" xfId="50609"/>
    <cellStyle name="Input [yellow] 3 19 12" xfId="6678"/>
    <cellStyle name="Input [yellow] 3 19 12 2" xfId="17875"/>
    <cellStyle name="Input [yellow] 3 19 12 3" xfId="29043"/>
    <cellStyle name="Input [yellow] 3 19 12 4" xfId="40208"/>
    <cellStyle name="Input [yellow] 3 19 12 5" xfId="51401"/>
    <cellStyle name="Input [yellow] 3 19 13" xfId="7312"/>
    <cellStyle name="Input [yellow] 3 19 13 2" xfId="18509"/>
    <cellStyle name="Input [yellow] 3 19 13 3" xfId="29677"/>
    <cellStyle name="Input [yellow] 3 19 13 4" xfId="40842"/>
    <cellStyle name="Input [yellow] 3 19 13 5" xfId="52035"/>
    <cellStyle name="Input [yellow] 3 19 14" xfId="7946"/>
    <cellStyle name="Input [yellow] 3 19 14 2" xfId="19143"/>
    <cellStyle name="Input [yellow] 3 19 14 3" xfId="30311"/>
    <cellStyle name="Input [yellow] 3 19 14 4" xfId="41476"/>
    <cellStyle name="Input [yellow] 3 19 14 5" xfId="52669"/>
    <cellStyle name="Input [yellow] 3 19 15" xfId="8577"/>
    <cellStyle name="Input [yellow] 3 19 15 2" xfId="19774"/>
    <cellStyle name="Input [yellow] 3 19 15 3" xfId="30942"/>
    <cellStyle name="Input [yellow] 3 19 15 4" xfId="42107"/>
    <cellStyle name="Input [yellow] 3 19 15 5" xfId="53300"/>
    <cellStyle name="Input [yellow] 3 19 16" xfId="9060"/>
    <cellStyle name="Input [yellow] 3 19 16 2" xfId="20257"/>
    <cellStyle name="Input [yellow] 3 19 16 3" xfId="31425"/>
    <cellStyle name="Input [yellow] 3 19 16 4" xfId="42590"/>
    <cellStyle name="Input [yellow] 3 19 16 5" xfId="53783"/>
    <cellStyle name="Input [yellow] 3 19 17" xfId="9630"/>
    <cellStyle name="Input [yellow] 3 19 17 2" xfId="20827"/>
    <cellStyle name="Input [yellow] 3 19 17 3" xfId="31995"/>
    <cellStyle name="Input [yellow] 3 19 17 4" xfId="43160"/>
    <cellStyle name="Input [yellow] 3 19 17 5" xfId="54353"/>
    <cellStyle name="Input [yellow] 3 19 18" xfId="9593"/>
    <cellStyle name="Input [yellow] 3 19 18 2" xfId="20790"/>
    <cellStyle name="Input [yellow] 3 19 18 3" xfId="31958"/>
    <cellStyle name="Input [yellow] 3 19 18 4" xfId="43123"/>
    <cellStyle name="Input [yellow] 3 19 18 5" xfId="54316"/>
    <cellStyle name="Input [yellow] 3 19 19" xfId="10662"/>
    <cellStyle name="Input [yellow] 3 19 19 2" xfId="21859"/>
    <cellStyle name="Input [yellow] 3 19 19 3" xfId="33027"/>
    <cellStyle name="Input [yellow] 3 19 19 4" xfId="44192"/>
    <cellStyle name="Input [yellow] 3 19 19 5" xfId="55385"/>
    <cellStyle name="Input [yellow] 3 19 2" xfId="758"/>
    <cellStyle name="Input [yellow] 3 19 2 2" xfId="11955"/>
    <cellStyle name="Input [yellow] 3 19 2 3" xfId="23123"/>
    <cellStyle name="Input [yellow] 3 19 2 4" xfId="34288"/>
    <cellStyle name="Input [yellow] 3 19 2 5" xfId="45481"/>
    <cellStyle name="Input [yellow] 3 19 20" xfId="11309"/>
    <cellStyle name="Input [yellow] 3 19 21" xfId="22479"/>
    <cellStyle name="Input [yellow] 3 19 22" xfId="33646"/>
    <cellStyle name="Input [yellow] 3 19 23" xfId="44832"/>
    <cellStyle name="Input [yellow] 3 19 3" xfId="1900"/>
    <cellStyle name="Input [yellow] 3 19 3 2" xfId="13097"/>
    <cellStyle name="Input [yellow] 3 19 3 3" xfId="24265"/>
    <cellStyle name="Input [yellow] 3 19 3 4" xfId="35430"/>
    <cellStyle name="Input [yellow] 3 19 3 5" xfId="46623"/>
    <cellStyle name="Input [yellow] 3 19 4" xfId="2035"/>
    <cellStyle name="Input [yellow] 3 19 4 2" xfId="13232"/>
    <cellStyle name="Input [yellow] 3 19 4 3" xfId="24400"/>
    <cellStyle name="Input [yellow] 3 19 4 4" xfId="35565"/>
    <cellStyle name="Input [yellow] 3 19 4 5" xfId="46758"/>
    <cellStyle name="Input [yellow] 3 19 5" xfId="2394"/>
    <cellStyle name="Input [yellow] 3 19 5 2" xfId="13591"/>
    <cellStyle name="Input [yellow] 3 19 5 3" xfId="24759"/>
    <cellStyle name="Input [yellow] 3 19 5 4" xfId="35924"/>
    <cellStyle name="Input [yellow] 3 19 5 5" xfId="47117"/>
    <cellStyle name="Input [yellow] 3 19 6" xfId="3093"/>
    <cellStyle name="Input [yellow] 3 19 6 2" xfId="14290"/>
    <cellStyle name="Input [yellow] 3 19 6 3" xfId="25458"/>
    <cellStyle name="Input [yellow] 3 19 6 4" xfId="36623"/>
    <cellStyle name="Input [yellow] 3 19 6 5" xfId="47816"/>
    <cellStyle name="Input [yellow] 3 19 7" xfId="3727"/>
    <cellStyle name="Input [yellow] 3 19 7 2" xfId="14924"/>
    <cellStyle name="Input [yellow] 3 19 7 3" xfId="26092"/>
    <cellStyle name="Input [yellow] 3 19 7 4" xfId="37257"/>
    <cellStyle name="Input [yellow] 3 19 7 5" xfId="48450"/>
    <cellStyle name="Input [yellow] 3 19 8" xfId="4360"/>
    <cellStyle name="Input [yellow] 3 19 8 2" xfId="15557"/>
    <cellStyle name="Input [yellow] 3 19 8 3" xfId="26725"/>
    <cellStyle name="Input [yellow] 3 19 8 4" xfId="37890"/>
    <cellStyle name="Input [yellow] 3 19 8 5" xfId="49083"/>
    <cellStyle name="Input [yellow] 3 19 9" xfId="4991"/>
    <cellStyle name="Input [yellow] 3 19 9 2" xfId="16188"/>
    <cellStyle name="Input [yellow] 3 19 9 3" xfId="27356"/>
    <cellStyle name="Input [yellow] 3 19 9 4" xfId="38521"/>
    <cellStyle name="Input [yellow] 3 19 9 5" xfId="49714"/>
    <cellStyle name="Input [yellow] 3 2" xfId="51"/>
    <cellStyle name="Input [yellow] 3 2 10" xfId="579"/>
    <cellStyle name="Input [yellow] 3 2 10 10" xfId="6122"/>
    <cellStyle name="Input [yellow] 3 2 10 10 2" xfId="17319"/>
    <cellStyle name="Input [yellow] 3 2 10 10 3" xfId="28487"/>
    <cellStyle name="Input [yellow] 3 2 10 10 4" xfId="39652"/>
    <cellStyle name="Input [yellow] 3 2 10 10 5" xfId="50845"/>
    <cellStyle name="Input [yellow] 3 2 10 11" xfId="6515"/>
    <cellStyle name="Input [yellow] 3 2 10 11 2" xfId="17712"/>
    <cellStyle name="Input [yellow] 3 2 10 11 3" xfId="28880"/>
    <cellStyle name="Input [yellow] 3 2 10 11 4" xfId="40045"/>
    <cellStyle name="Input [yellow] 3 2 10 11 5" xfId="51238"/>
    <cellStyle name="Input [yellow] 3 2 10 12" xfId="7148"/>
    <cellStyle name="Input [yellow] 3 2 10 12 2" xfId="18345"/>
    <cellStyle name="Input [yellow] 3 2 10 12 3" xfId="29513"/>
    <cellStyle name="Input [yellow] 3 2 10 12 4" xfId="40678"/>
    <cellStyle name="Input [yellow] 3 2 10 12 5" xfId="51871"/>
    <cellStyle name="Input [yellow] 3 2 10 13" xfId="7782"/>
    <cellStyle name="Input [yellow] 3 2 10 13 2" xfId="18979"/>
    <cellStyle name="Input [yellow] 3 2 10 13 3" xfId="30147"/>
    <cellStyle name="Input [yellow] 3 2 10 13 4" xfId="41312"/>
    <cellStyle name="Input [yellow] 3 2 10 13 5" xfId="52505"/>
    <cellStyle name="Input [yellow] 3 2 10 14" xfId="8416"/>
    <cellStyle name="Input [yellow] 3 2 10 14 2" xfId="19613"/>
    <cellStyle name="Input [yellow] 3 2 10 14 3" xfId="30781"/>
    <cellStyle name="Input [yellow] 3 2 10 14 4" xfId="41946"/>
    <cellStyle name="Input [yellow] 3 2 10 14 5" xfId="53139"/>
    <cellStyle name="Input [yellow] 3 2 10 15" xfId="9044"/>
    <cellStyle name="Input [yellow] 3 2 10 15 2" xfId="20241"/>
    <cellStyle name="Input [yellow] 3 2 10 15 3" xfId="31409"/>
    <cellStyle name="Input [yellow] 3 2 10 15 4" xfId="42574"/>
    <cellStyle name="Input [yellow] 3 2 10 15 5" xfId="53767"/>
    <cellStyle name="Input [yellow] 3 2 10 16" xfId="9467"/>
    <cellStyle name="Input [yellow] 3 2 10 16 2" xfId="20664"/>
    <cellStyle name="Input [yellow] 3 2 10 16 3" xfId="31832"/>
    <cellStyle name="Input [yellow] 3 2 10 16 4" xfId="42997"/>
    <cellStyle name="Input [yellow] 3 2 10 16 5" xfId="54190"/>
    <cellStyle name="Input [yellow] 3 2 10 17" xfId="10092"/>
    <cellStyle name="Input [yellow] 3 2 10 17 2" xfId="21289"/>
    <cellStyle name="Input [yellow] 3 2 10 17 3" xfId="32457"/>
    <cellStyle name="Input [yellow] 3 2 10 17 4" xfId="43622"/>
    <cellStyle name="Input [yellow] 3 2 10 17 5" xfId="54815"/>
    <cellStyle name="Input [yellow] 3 2 10 18" xfId="10502"/>
    <cellStyle name="Input [yellow] 3 2 10 18 2" xfId="21699"/>
    <cellStyle name="Input [yellow] 3 2 10 18 3" xfId="32867"/>
    <cellStyle name="Input [yellow] 3 2 10 18 4" xfId="44032"/>
    <cellStyle name="Input [yellow] 3 2 10 18 5" xfId="55225"/>
    <cellStyle name="Input [yellow] 3 2 10 19" xfId="11132"/>
    <cellStyle name="Input [yellow] 3 2 10 19 2" xfId="22329"/>
    <cellStyle name="Input [yellow] 3 2 10 19 3" xfId="33497"/>
    <cellStyle name="Input [yellow] 3 2 10 19 4" xfId="44662"/>
    <cellStyle name="Input [yellow] 3 2 10 19 5" xfId="55855"/>
    <cellStyle name="Input [yellow] 3 2 10 2" xfId="1228"/>
    <cellStyle name="Input [yellow] 3 2 10 2 2" xfId="12425"/>
    <cellStyle name="Input [yellow] 3 2 10 2 3" xfId="23593"/>
    <cellStyle name="Input [yellow] 3 2 10 2 4" xfId="34758"/>
    <cellStyle name="Input [yellow] 3 2 10 2 5" xfId="45951"/>
    <cellStyle name="Input [yellow] 3 2 10 20" xfId="11779"/>
    <cellStyle name="Input [yellow] 3 2 10 21" xfId="22949"/>
    <cellStyle name="Input [yellow] 3 2 10 22" xfId="34116"/>
    <cellStyle name="Input [yellow] 3 2 10 23" xfId="45302"/>
    <cellStyle name="Input [yellow] 3 2 10 3" xfId="1799"/>
    <cellStyle name="Input [yellow] 3 2 10 3 2" xfId="12996"/>
    <cellStyle name="Input [yellow] 3 2 10 3 3" xfId="24164"/>
    <cellStyle name="Input [yellow] 3 2 10 3 4" xfId="35329"/>
    <cellStyle name="Input [yellow] 3 2 10 3 5" xfId="46522"/>
    <cellStyle name="Input [yellow] 3 2 10 4" xfId="2504"/>
    <cellStyle name="Input [yellow] 3 2 10 4 2" xfId="13701"/>
    <cellStyle name="Input [yellow] 3 2 10 4 3" xfId="24869"/>
    <cellStyle name="Input [yellow] 3 2 10 4 4" xfId="36034"/>
    <cellStyle name="Input [yellow] 3 2 10 4 5" xfId="47227"/>
    <cellStyle name="Input [yellow] 3 2 10 5" xfId="2929"/>
    <cellStyle name="Input [yellow] 3 2 10 5 2" xfId="14126"/>
    <cellStyle name="Input [yellow] 3 2 10 5 3" xfId="25294"/>
    <cellStyle name="Input [yellow] 3 2 10 5 4" xfId="36459"/>
    <cellStyle name="Input [yellow] 3 2 10 5 5" xfId="47652"/>
    <cellStyle name="Input [yellow] 3 2 10 6" xfId="3563"/>
    <cellStyle name="Input [yellow] 3 2 10 6 2" xfId="14760"/>
    <cellStyle name="Input [yellow] 3 2 10 6 3" xfId="25928"/>
    <cellStyle name="Input [yellow] 3 2 10 6 4" xfId="37093"/>
    <cellStyle name="Input [yellow] 3 2 10 6 5" xfId="48286"/>
    <cellStyle name="Input [yellow] 3 2 10 7" xfId="4197"/>
    <cellStyle name="Input [yellow] 3 2 10 7 2" xfId="15394"/>
    <cellStyle name="Input [yellow] 3 2 10 7 3" xfId="26562"/>
    <cellStyle name="Input [yellow] 3 2 10 7 4" xfId="37727"/>
    <cellStyle name="Input [yellow] 3 2 10 7 5" xfId="48920"/>
    <cellStyle name="Input [yellow] 3 2 10 8" xfId="4830"/>
    <cellStyle name="Input [yellow] 3 2 10 8 2" xfId="16027"/>
    <cellStyle name="Input [yellow] 3 2 10 8 3" xfId="27195"/>
    <cellStyle name="Input [yellow] 3 2 10 8 4" xfId="38360"/>
    <cellStyle name="Input [yellow] 3 2 10 8 5" xfId="49553"/>
    <cellStyle name="Input [yellow] 3 2 10 9" xfId="5461"/>
    <cellStyle name="Input [yellow] 3 2 10 9 2" xfId="16658"/>
    <cellStyle name="Input [yellow] 3 2 10 9 3" xfId="27826"/>
    <cellStyle name="Input [yellow] 3 2 10 9 4" xfId="38991"/>
    <cellStyle name="Input [yellow] 3 2 10 9 5" xfId="50184"/>
    <cellStyle name="Input [yellow] 3 2 11" xfId="630"/>
    <cellStyle name="Input [yellow] 3 2 11 10" xfId="5771"/>
    <cellStyle name="Input [yellow] 3 2 11 10 2" xfId="16968"/>
    <cellStyle name="Input [yellow] 3 2 11 10 3" xfId="28136"/>
    <cellStyle name="Input [yellow] 3 2 11 10 4" xfId="39301"/>
    <cellStyle name="Input [yellow] 3 2 11 10 5" xfId="50494"/>
    <cellStyle name="Input [yellow] 3 2 11 11" xfId="6566"/>
    <cellStyle name="Input [yellow] 3 2 11 11 2" xfId="17763"/>
    <cellStyle name="Input [yellow] 3 2 11 11 3" xfId="28931"/>
    <cellStyle name="Input [yellow] 3 2 11 11 4" xfId="40096"/>
    <cellStyle name="Input [yellow] 3 2 11 11 5" xfId="51289"/>
    <cellStyle name="Input [yellow] 3 2 11 12" xfId="7199"/>
    <cellStyle name="Input [yellow] 3 2 11 12 2" xfId="18396"/>
    <cellStyle name="Input [yellow] 3 2 11 12 3" xfId="29564"/>
    <cellStyle name="Input [yellow] 3 2 11 12 4" xfId="40729"/>
    <cellStyle name="Input [yellow] 3 2 11 12 5" xfId="51922"/>
    <cellStyle name="Input [yellow] 3 2 11 13" xfId="7833"/>
    <cellStyle name="Input [yellow] 3 2 11 13 2" xfId="19030"/>
    <cellStyle name="Input [yellow] 3 2 11 13 3" xfId="30198"/>
    <cellStyle name="Input [yellow] 3 2 11 13 4" xfId="41363"/>
    <cellStyle name="Input [yellow] 3 2 11 13 5" xfId="52556"/>
    <cellStyle name="Input [yellow] 3 2 11 14" xfId="8467"/>
    <cellStyle name="Input [yellow] 3 2 11 14 2" xfId="19664"/>
    <cellStyle name="Input [yellow] 3 2 11 14 3" xfId="30832"/>
    <cellStyle name="Input [yellow] 3 2 11 14 4" xfId="41997"/>
    <cellStyle name="Input [yellow] 3 2 11 14 5" xfId="53190"/>
    <cellStyle name="Input [yellow] 3 2 11 15" xfId="9095"/>
    <cellStyle name="Input [yellow] 3 2 11 15 2" xfId="20292"/>
    <cellStyle name="Input [yellow] 3 2 11 15 3" xfId="31460"/>
    <cellStyle name="Input [yellow] 3 2 11 15 4" xfId="42625"/>
    <cellStyle name="Input [yellow] 3 2 11 15 5" xfId="53818"/>
    <cellStyle name="Input [yellow] 3 2 11 16" xfId="9518"/>
    <cellStyle name="Input [yellow] 3 2 11 16 2" xfId="20715"/>
    <cellStyle name="Input [yellow] 3 2 11 16 3" xfId="31883"/>
    <cellStyle name="Input [yellow] 3 2 11 16 4" xfId="43048"/>
    <cellStyle name="Input [yellow] 3 2 11 16 5" xfId="54241"/>
    <cellStyle name="Input [yellow] 3 2 11 17" xfId="10143"/>
    <cellStyle name="Input [yellow] 3 2 11 17 2" xfId="21340"/>
    <cellStyle name="Input [yellow] 3 2 11 17 3" xfId="32508"/>
    <cellStyle name="Input [yellow] 3 2 11 17 4" xfId="43673"/>
    <cellStyle name="Input [yellow] 3 2 11 17 5" xfId="54866"/>
    <cellStyle name="Input [yellow] 3 2 11 18" xfId="10086"/>
    <cellStyle name="Input [yellow] 3 2 11 18 2" xfId="21283"/>
    <cellStyle name="Input [yellow] 3 2 11 18 3" xfId="32451"/>
    <cellStyle name="Input [yellow] 3 2 11 18 4" xfId="43616"/>
    <cellStyle name="Input [yellow] 3 2 11 18 5" xfId="54809"/>
    <cellStyle name="Input [yellow] 3 2 11 19" xfId="11183"/>
    <cellStyle name="Input [yellow] 3 2 11 19 2" xfId="22380"/>
    <cellStyle name="Input [yellow] 3 2 11 19 3" xfId="33548"/>
    <cellStyle name="Input [yellow] 3 2 11 19 4" xfId="44713"/>
    <cellStyle name="Input [yellow] 3 2 11 19 5" xfId="55906"/>
    <cellStyle name="Input [yellow] 3 2 11 2" xfId="1279"/>
    <cellStyle name="Input [yellow] 3 2 11 2 2" xfId="12476"/>
    <cellStyle name="Input [yellow] 3 2 11 2 3" xfId="23644"/>
    <cellStyle name="Input [yellow] 3 2 11 2 4" xfId="34809"/>
    <cellStyle name="Input [yellow] 3 2 11 2 5" xfId="46002"/>
    <cellStyle name="Input [yellow] 3 2 11 20" xfId="11830"/>
    <cellStyle name="Input [yellow] 3 2 11 21" xfId="23000"/>
    <cellStyle name="Input [yellow] 3 2 11 22" xfId="34167"/>
    <cellStyle name="Input [yellow] 3 2 11 23" xfId="45353"/>
    <cellStyle name="Input [yellow] 3 2 11 3" xfId="1914"/>
    <cellStyle name="Input [yellow] 3 2 11 3 2" xfId="13111"/>
    <cellStyle name="Input [yellow] 3 2 11 3 3" xfId="24279"/>
    <cellStyle name="Input [yellow] 3 2 11 3 4" xfId="35444"/>
    <cellStyle name="Input [yellow] 3 2 11 3 5" xfId="46637"/>
    <cellStyle name="Input [yellow] 3 2 11 4" xfId="2555"/>
    <cellStyle name="Input [yellow] 3 2 11 4 2" xfId="13752"/>
    <cellStyle name="Input [yellow] 3 2 11 4 3" xfId="24920"/>
    <cellStyle name="Input [yellow] 3 2 11 4 4" xfId="36085"/>
    <cellStyle name="Input [yellow] 3 2 11 4 5" xfId="47278"/>
    <cellStyle name="Input [yellow] 3 2 11 5" xfId="2980"/>
    <cellStyle name="Input [yellow] 3 2 11 5 2" xfId="14177"/>
    <cellStyle name="Input [yellow] 3 2 11 5 3" xfId="25345"/>
    <cellStyle name="Input [yellow] 3 2 11 5 4" xfId="36510"/>
    <cellStyle name="Input [yellow] 3 2 11 5 5" xfId="47703"/>
    <cellStyle name="Input [yellow] 3 2 11 6" xfId="3614"/>
    <cellStyle name="Input [yellow] 3 2 11 6 2" xfId="14811"/>
    <cellStyle name="Input [yellow] 3 2 11 6 3" xfId="25979"/>
    <cellStyle name="Input [yellow] 3 2 11 6 4" xfId="37144"/>
    <cellStyle name="Input [yellow] 3 2 11 6 5" xfId="48337"/>
    <cellStyle name="Input [yellow] 3 2 11 7" xfId="4248"/>
    <cellStyle name="Input [yellow] 3 2 11 7 2" xfId="15445"/>
    <cellStyle name="Input [yellow] 3 2 11 7 3" xfId="26613"/>
    <cellStyle name="Input [yellow] 3 2 11 7 4" xfId="37778"/>
    <cellStyle name="Input [yellow] 3 2 11 7 5" xfId="48971"/>
    <cellStyle name="Input [yellow] 3 2 11 8" xfId="4881"/>
    <cellStyle name="Input [yellow] 3 2 11 8 2" xfId="16078"/>
    <cellStyle name="Input [yellow] 3 2 11 8 3" xfId="27246"/>
    <cellStyle name="Input [yellow] 3 2 11 8 4" xfId="38411"/>
    <cellStyle name="Input [yellow] 3 2 11 8 5" xfId="49604"/>
    <cellStyle name="Input [yellow] 3 2 11 9" xfId="5512"/>
    <cellStyle name="Input [yellow] 3 2 11 9 2" xfId="16709"/>
    <cellStyle name="Input [yellow] 3 2 11 9 3" xfId="27877"/>
    <cellStyle name="Input [yellow] 3 2 11 9 4" xfId="39042"/>
    <cellStyle name="Input [yellow] 3 2 11 9 5" xfId="50235"/>
    <cellStyle name="Input [yellow] 3 2 12" xfId="702"/>
    <cellStyle name="Input [yellow] 3 2 12 2" xfId="11900"/>
    <cellStyle name="Input [yellow] 3 2 12 3" xfId="23069"/>
    <cellStyle name="Input [yellow] 3 2 12 4" xfId="34234"/>
    <cellStyle name="Input [yellow] 3 2 12 5" xfId="45425"/>
    <cellStyle name="Input [yellow] 3 2 13" xfId="1949"/>
    <cellStyle name="Input [yellow] 3 2 13 2" xfId="13146"/>
    <cellStyle name="Input [yellow] 3 2 13 3" xfId="24314"/>
    <cellStyle name="Input [yellow] 3 2 13 4" xfId="35479"/>
    <cellStyle name="Input [yellow] 3 2 13 5" xfId="46672"/>
    <cellStyle name="Input [yellow] 3 2 14" xfId="1977"/>
    <cellStyle name="Input [yellow] 3 2 14 2" xfId="13174"/>
    <cellStyle name="Input [yellow] 3 2 14 3" xfId="24342"/>
    <cellStyle name="Input [yellow] 3 2 14 4" xfId="35507"/>
    <cellStyle name="Input [yellow] 3 2 14 5" xfId="46700"/>
    <cellStyle name="Input [yellow] 3 2 15" xfId="2540"/>
    <cellStyle name="Input [yellow] 3 2 15 2" xfId="13737"/>
    <cellStyle name="Input [yellow] 3 2 15 3" xfId="24905"/>
    <cellStyle name="Input [yellow] 3 2 15 4" xfId="36070"/>
    <cellStyle name="Input [yellow] 3 2 15 5" xfId="47263"/>
    <cellStyle name="Input [yellow] 3 2 16" xfId="3035"/>
    <cellStyle name="Input [yellow] 3 2 16 2" xfId="14232"/>
    <cellStyle name="Input [yellow] 3 2 16 3" xfId="25400"/>
    <cellStyle name="Input [yellow] 3 2 16 4" xfId="36565"/>
    <cellStyle name="Input [yellow] 3 2 16 5" xfId="47758"/>
    <cellStyle name="Input [yellow] 3 2 17" xfId="3670"/>
    <cellStyle name="Input [yellow] 3 2 17 2" xfId="14867"/>
    <cellStyle name="Input [yellow] 3 2 17 3" xfId="26035"/>
    <cellStyle name="Input [yellow] 3 2 17 4" xfId="37200"/>
    <cellStyle name="Input [yellow] 3 2 17 5" xfId="48393"/>
    <cellStyle name="Input [yellow] 3 2 18" xfId="4302"/>
    <cellStyle name="Input [yellow] 3 2 18 2" xfId="15499"/>
    <cellStyle name="Input [yellow] 3 2 18 3" xfId="26667"/>
    <cellStyle name="Input [yellow] 3 2 18 4" xfId="37832"/>
    <cellStyle name="Input [yellow] 3 2 18 5" xfId="49025"/>
    <cellStyle name="Input [yellow] 3 2 19" xfId="4935"/>
    <cellStyle name="Input [yellow] 3 2 19 2" xfId="16132"/>
    <cellStyle name="Input [yellow] 3 2 19 3" xfId="27300"/>
    <cellStyle name="Input [yellow] 3 2 19 4" xfId="38465"/>
    <cellStyle name="Input [yellow] 3 2 19 5" xfId="49658"/>
    <cellStyle name="Input [yellow] 3 2 2" xfId="117"/>
    <cellStyle name="Input [yellow] 3 2 2 10" xfId="5595"/>
    <cellStyle name="Input [yellow] 3 2 2 10 2" xfId="16792"/>
    <cellStyle name="Input [yellow] 3 2 2 10 3" xfId="27960"/>
    <cellStyle name="Input [yellow] 3 2 2 10 4" xfId="39125"/>
    <cellStyle name="Input [yellow] 3 2 2 10 5" xfId="50318"/>
    <cellStyle name="Input [yellow] 3 2 2 11" xfId="5667"/>
    <cellStyle name="Input [yellow] 3 2 2 11 2" xfId="16864"/>
    <cellStyle name="Input [yellow] 3 2 2 11 3" xfId="28032"/>
    <cellStyle name="Input [yellow] 3 2 2 11 4" xfId="39197"/>
    <cellStyle name="Input [yellow] 3 2 2 11 5" xfId="50390"/>
    <cellStyle name="Input [yellow] 3 2 2 12" xfId="6686"/>
    <cellStyle name="Input [yellow] 3 2 2 12 2" xfId="17883"/>
    <cellStyle name="Input [yellow] 3 2 2 12 3" xfId="29051"/>
    <cellStyle name="Input [yellow] 3 2 2 12 4" xfId="40216"/>
    <cellStyle name="Input [yellow] 3 2 2 12 5" xfId="51409"/>
    <cellStyle name="Input [yellow] 3 2 2 13" xfId="7320"/>
    <cellStyle name="Input [yellow] 3 2 2 13 2" xfId="18517"/>
    <cellStyle name="Input [yellow] 3 2 2 13 3" xfId="29685"/>
    <cellStyle name="Input [yellow] 3 2 2 13 4" xfId="40850"/>
    <cellStyle name="Input [yellow] 3 2 2 13 5" xfId="52043"/>
    <cellStyle name="Input [yellow] 3 2 2 14" xfId="7954"/>
    <cellStyle name="Input [yellow] 3 2 2 14 2" xfId="19151"/>
    <cellStyle name="Input [yellow] 3 2 2 14 3" xfId="30319"/>
    <cellStyle name="Input [yellow] 3 2 2 14 4" xfId="41484"/>
    <cellStyle name="Input [yellow] 3 2 2 14 5" xfId="52677"/>
    <cellStyle name="Input [yellow] 3 2 2 15" xfId="8585"/>
    <cellStyle name="Input [yellow] 3 2 2 15 2" xfId="19782"/>
    <cellStyle name="Input [yellow] 3 2 2 15 3" xfId="30950"/>
    <cellStyle name="Input [yellow] 3 2 2 15 4" xfId="42115"/>
    <cellStyle name="Input [yellow] 3 2 2 15 5" xfId="53308"/>
    <cellStyle name="Input [yellow] 3 2 2 16" xfId="8649"/>
    <cellStyle name="Input [yellow] 3 2 2 16 2" xfId="19846"/>
    <cellStyle name="Input [yellow] 3 2 2 16 3" xfId="31014"/>
    <cellStyle name="Input [yellow] 3 2 2 16 4" xfId="42179"/>
    <cellStyle name="Input [yellow] 3 2 2 16 5" xfId="53372"/>
    <cellStyle name="Input [yellow] 3 2 2 17" xfId="9638"/>
    <cellStyle name="Input [yellow] 3 2 2 17 2" xfId="20835"/>
    <cellStyle name="Input [yellow] 3 2 2 17 3" xfId="32003"/>
    <cellStyle name="Input [yellow] 3 2 2 17 4" xfId="43168"/>
    <cellStyle name="Input [yellow] 3 2 2 17 5" xfId="54361"/>
    <cellStyle name="Input [yellow] 3 2 2 18" xfId="9789"/>
    <cellStyle name="Input [yellow] 3 2 2 18 2" xfId="20986"/>
    <cellStyle name="Input [yellow] 3 2 2 18 3" xfId="32154"/>
    <cellStyle name="Input [yellow] 3 2 2 18 4" xfId="43319"/>
    <cellStyle name="Input [yellow] 3 2 2 18 5" xfId="54512"/>
    <cellStyle name="Input [yellow] 3 2 2 19" xfId="10670"/>
    <cellStyle name="Input [yellow] 3 2 2 19 2" xfId="21867"/>
    <cellStyle name="Input [yellow] 3 2 2 19 3" xfId="33035"/>
    <cellStyle name="Input [yellow] 3 2 2 19 4" xfId="44200"/>
    <cellStyle name="Input [yellow] 3 2 2 19 5" xfId="55393"/>
    <cellStyle name="Input [yellow] 3 2 2 2" xfId="766"/>
    <cellStyle name="Input [yellow] 3 2 2 2 2" xfId="11963"/>
    <cellStyle name="Input [yellow] 3 2 2 2 3" xfId="23131"/>
    <cellStyle name="Input [yellow] 3 2 2 2 4" xfId="34296"/>
    <cellStyle name="Input [yellow] 3 2 2 2 5" xfId="45489"/>
    <cellStyle name="Input [yellow] 3 2 2 20" xfId="11317"/>
    <cellStyle name="Input [yellow] 3 2 2 21" xfId="22487"/>
    <cellStyle name="Input [yellow] 3 2 2 22" xfId="33654"/>
    <cellStyle name="Input [yellow] 3 2 2 23" xfId="44840"/>
    <cellStyle name="Input [yellow] 3 2 2 3" xfId="1336"/>
    <cellStyle name="Input [yellow] 3 2 2 3 2" xfId="12533"/>
    <cellStyle name="Input [yellow] 3 2 2 3 3" xfId="23701"/>
    <cellStyle name="Input [yellow] 3 2 2 3 4" xfId="34866"/>
    <cellStyle name="Input [yellow] 3 2 2 3 5" xfId="46059"/>
    <cellStyle name="Input [yellow] 3 2 2 4" xfId="2043"/>
    <cellStyle name="Input [yellow] 3 2 2 4 2" xfId="13240"/>
    <cellStyle name="Input [yellow] 3 2 2 4 3" xfId="24408"/>
    <cellStyle name="Input [yellow] 3 2 2 4 4" xfId="35573"/>
    <cellStyle name="Input [yellow] 3 2 2 4 5" xfId="46766"/>
    <cellStyle name="Input [yellow] 3 2 2 5" xfId="2508"/>
    <cellStyle name="Input [yellow] 3 2 2 5 2" xfId="13705"/>
    <cellStyle name="Input [yellow] 3 2 2 5 3" xfId="24873"/>
    <cellStyle name="Input [yellow] 3 2 2 5 4" xfId="36038"/>
    <cellStyle name="Input [yellow] 3 2 2 5 5" xfId="47231"/>
    <cellStyle name="Input [yellow] 3 2 2 6" xfId="3101"/>
    <cellStyle name="Input [yellow] 3 2 2 6 2" xfId="14298"/>
    <cellStyle name="Input [yellow] 3 2 2 6 3" xfId="25466"/>
    <cellStyle name="Input [yellow] 3 2 2 6 4" xfId="36631"/>
    <cellStyle name="Input [yellow] 3 2 2 6 5" xfId="47824"/>
    <cellStyle name="Input [yellow] 3 2 2 7" xfId="3735"/>
    <cellStyle name="Input [yellow] 3 2 2 7 2" xfId="14932"/>
    <cellStyle name="Input [yellow] 3 2 2 7 3" xfId="26100"/>
    <cellStyle name="Input [yellow] 3 2 2 7 4" xfId="37265"/>
    <cellStyle name="Input [yellow] 3 2 2 7 5" xfId="48458"/>
    <cellStyle name="Input [yellow] 3 2 2 8" xfId="4368"/>
    <cellStyle name="Input [yellow] 3 2 2 8 2" xfId="15565"/>
    <cellStyle name="Input [yellow] 3 2 2 8 3" xfId="26733"/>
    <cellStyle name="Input [yellow] 3 2 2 8 4" xfId="37898"/>
    <cellStyle name="Input [yellow] 3 2 2 8 5" xfId="49091"/>
    <cellStyle name="Input [yellow] 3 2 2 9" xfId="4999"/>
    <cellStyle name="Input [yellow] 3 2 2 9 2" xfId="16196"/>
    <cellStyle name="Input [yellow] 3 2 2 9 3" xfId="27364"/>
    <cellStyle name="Input [yellow] 3 2 2 9 4" xfId="38529"/>
    <cellStyle name="Input [yellow] 3 2 2 9 5" xfId="49722"/>
    <cellStyle name="Input [yellow] 3 2 20" xfId="6117"/>
    <cellStyle name="Input [yellow] 3 2 20 2" xfId="17314"/>
    <cellStyle name="Input [yellow] 3 2 20 3" xfId="28482"/>
    <cellStyle name="Input [yellow] 3 2 20 4" xfId="39647"/>
    <cellStyle name="Input [yellow] 3 2 20 5" xfId="50840"/>
    <cellStyle name="Input [yellow] 3 2 21" xfId="5950"/>
    <cellStyle name="Input [yellow] 3 2 21 2" xfId="17147"/>
    <cellStyle name="Input [yellow] 3 2 21 3" xfId="28315"/>
    <cellStyle name="Input [yellow] 3 2 21 4" xfId="39480"/>
    <cellStyle name="Input [yellow] 3 2 21 5" xfId="50673"/>
    <cellStyle name="Input [yellow] 3 2 22" xfId="6622"/>
    <cellStyle name="Input [yellow] 3 2 22 2" xfId="17819"/>
    <cellStyle name="Input [yellow] 3 2 22 3" xfId="28987"/>
    <cellStyle name="Input [yellow] 3 2 22 4" xfId="40152"/>
    <cellStyle name="Input [yellow] 3 2 22 5" xfId="51345"/>
    <cellStyle name="Input [yellow] 3 2 23" xfId="7254"/>
    <cellStyle name="Input [yellow] 3 2 23 2" xfId="18451"/>
    <cellStyle name="Input [yellow] 3 2 23 3" xfId="29619"/>
    <cellStyle name="Input [yellow] 3 2 23 4" xfId="40784"/>
    <cellStyle name="Input [yellow] 3 2 23 5" xfId="51977"/>
    <cellStyle name="Input [yellow] 3 2 24" xfId="7888"/>
    <cellStyle name="Input [yellow] 3 2 24 2" xfId="19085"/>
    <cellStyle name="Input [yellow] 3 2 24 3" xfId="30253"/>
    <cellStyle name="Input [yellow] 3 2 24 4" xfId="41418"/>
    <cellStyle name="Input [yellow] 3 2 24 5" xfId="52611"/>
    <cellStyle name="Input [yellow] 3 2 25" xfId="8521"/>
    <cellStyle name="Input [yellow] 3 2 25 2" xfId="19718"/>
    <cellStyle name="Input [yellow] 3 2 25 3" xfId="30886"/>
    <cellStyle name="Input [yellow] 3 2 25 4" xfId="42051"/>
    <cellStyle name="Input [yellow] 3 2 25 5" xfId="53244"/>
    <cellStyle name="Input [yellow] 3 2 26" xfId="8660"/>
    <cellStyle name="Input [yellow] 3 2 26 2" xfId="19857"/>
    <cellStyle name="Input [yellow] 3 2 26 3" xfId="31025"/>
    <cellStyle name="Input [yellow] 3 2 26 4" xfId="42190"/>
    <cellStyle name="Input [yellow] 3 2 26 5" xfId="53383"/>
    <cellStyle name="Input [yellow] 3 2 27" xfId="9573"/>
    <cellStyle name="Input [yellow] 3 2 27 2" xfId="20770"/>
    <cellStyle name="Input [yellow] 3 2 27 3" xfId="31938"/>
    <cellStyle name="Input [yellow] 3 2 27 4" xfId="43103"/>
    <cellStyle name="Input [yellow] 3 2 27 5" xfId="54296"/>
    <cellStyle name="Input [yellow] 3 2 28" xfId="9964"/>
    <cellStyle name="Input [yellow] 3 2 28 2" xfId="21161"/>
    <cellStyle name="Input [yellow] 3 2 28 3" xfId="32329"/>
    <cellStyle name="Input [yellow] 3 2 28 4" xfId="43494"/>
    <cellStyle name="Input [yellow] 3 2 28 5" xfId="54687"/>
    <cellStyle name="Input [yellow] 3 2 29" xfId="10608"/>
    <cellStyle name="Input [yellow] 3 2 29 2" xfId="21805"/>
    <cellStyle name="Input [yellow] 3 2 29 3" xfId="32973"/>
    <cellStyle name="Input [yellow] 3 2 29 4" xfId="44138"/>
    <cellStyle name="Input [yellow] 3 2 29 5" xfId="55331"/>
    <cellStyle name="Input [yellow] 3 2 3" xfId="172"/>
    <cellStyle name="Input [yellow] 3 2 3 10" xfId="4942"/>
    <cellStyle name="Input [yellow] 3 2 3 10 2" xfId="16139"/>
    <cellStyle name="Input [yellow] 3 2 3 10 3" xfId="27307"/>
    <cellStyle name="Input [yellow] 3 2 3 10 4" xfId="38472"/>
    <cellStyle name="Input [yellow] 3 2 3 10 5" xfId="49665"/>
    <cellStyle name="Input [yellow] 3 2 3 11" xfId="5733"/>
    <cellStyle name="Input [yellow] 3 2 3 11 2" xfId="16930"/>
    <cellStyle name="Input [yellow] 3 2 3 11 3" xfId="28098"/>
    <cellStyle name="Input [yellow] 3 2 3 11 4" xfId="39263"/>
    <cellStyle name="Input [yellow] 3 2 3 11 5" xfId="50456"/>
    <cellStyle name="Input [yellow] 3 2 3 12" xfId="6741"/>
    <cellStyle name="Input [yellow] 3 2 3 12 2" xfId="17938"/>
    <cellStyle name="Input [yellow] 3 2 3 12 3" xfId="29106"/>
    <cellStyle name="Input [yellow] 3 2 3 12 4" xfId="40271"/>
    <cellStyle name="Input [yellow] 3 2 3 12 5" xfId="51464"/>
    <cellStyle name="Input [yellow] 3 2 3 13" xfId="7375"/>
    <cellStyle name="Input [yellow] 3 2 3 13 2" xfId="18572"/>
    <cellStyle name="Input [yellow] 3 2 3 13 3" xfId="29740"/>
    <cellStyle name="Input [yellow] 3 2 3 13 4" xfId="40905"/>
    <cellStyle name="Input [yellow] 3 2 3 13 5" xfId="52098"/>
    <cellStyle name="Input [yellow] 3 2 3 14" xfId="8009"/>
    <cellStyle name="Input [yellow] 3 2 3 14 2" xfId="19206"/>
    <cellStyle name="Input [yellow] 3 2 3 14 3" xfId="30374"/>
    <cellStyle name="Input [yellow] 3 2 3 14 4" xfId="41539"/>
    <cellStyle name="Input [yellow] 3 2 3 14 5" xfId="52732"/>
    <cellStyle name="Input [yellow] 3 2 3 15" xfId="8640"/>
    <cellStyle name="Input [yellow] 3 2 3 15 2" xfId="19837"/>
    <cellStyle name="Input [yellow] 3 2 3 15 3" xfId="31005"/>
    <cellStyle name="Input [yellow] 3 2 3 15 4" xfId="42170"/>
    <cellStyle name="Input [yellow] 3 2 3 15 5" xfId="53363"/>
    <cellStyle name="Input [yellow] 3 2 3 16" xfId="8697"/>
    <cellStyle name="Input [yellow] 3 2 3 16 2" xfId="19894"/>
    <cellStyle name="Input [yellow] 3 2 3 16 3" xfId="31062"/>
    <cellStyle name="Input [yellow] 3 2 3 16 4" xfId="42227"/>
    <cellStyle name="Input [yellow] 3 2 3 16 5" xfId="53420"/>
    <cellStyle name="Input [yellow] 3 2 3 17" xfId="9692"/>
    <cellStyle name="Input [yellow] 3 2 3 17 2" xfId="20889"/>
    <cellStyle name="Input [yellow] 3 2 3 17 3" xfId="32057"/>
    <cellStyle name="Input [yellow] 3 2 3 17 4" xfId="43222"/>
    <cellStyle name="Input [yellow] 3 2 3 17 5" xfId="54415"/>
    <cellStyle name="Input [yellow] 3 2 3 18" xfId="10597"/>
    <cellStyle name="Input [yellow] 3 2 3 18 2" xfId="21794"/>
    <cellStyle name="Input [yellow] 3 2 3 18 3" xfId="32962"/>
    <cellStyle name="Input [yellow] 3 2 3 18 4" xfId="44127"/>
    <cellStyle name="Input [yellow] 3 2 3 18 5" xfId="55320"/>
    <cellStyle name="Input [yellow] 3 2 3 19" xfId="10725"/>
    <cellStyle name="Input [yellow] 3 2 3 19 2" xfId="21922"/>
    <cellStyle name="Input [yellow] 3 2 3 19 3" xfId="33090"/>
    <cellStyle name="Input [yellow] 3 2 3 19 4" xfId="44255"/>
    <cellStyle name="Input [yellow] 3 2 3 19 5" xfId="55448"/>
    <cellStyle name="Input [yellow] 3 2 3 2" xfId="821"/>
    <cellStyle name="Input [yellow] 3 2 3 2 2" xfId="12018"/>
    <cellStyle name="Input [yellow] 3 2 3 2 3" xfId="23186"/>
    <cellStyle name="Input [yellow] 3 2 3 2 4" xfId="34351"/>
    <cellStyle name="Input [yellow] 3 2 3 2 5" xfId="45544"/>
    <cellStyle name="Input [yellow] 3 2 3 20" xfId="11372"/>
    <cellStyle name="Input [yellow] 3 2 3 21" xfId="22542"/>
    <cellStyle name="Input [yellow] 3 2 3 22" xfId="33709"/>
    <cellStyle name="Input [yellow] 3 2 3 23" xfId="44895"/>
    <cellStyle name="Input [yellow] 3 2 3 3" xfId="1719"/>
    <cellStyle name="Input [yellow] 3 2 3 3 2" xfId="12916"/>
    <cellStyle name="Input [yellow] 3 2 3 3 3" xfId="24084"/>
    <cellStyle name="Input [yellow] 3 2 3 3 4" xfId="35249"/>
    <cellStyle name="Input [yellow] 3 2 3 3 5" xfId="46442"/>
    <cellStyle name="Input [yellow] 3 2 3 4" xfId="2098"/>
    <cellStyle name="Input [yellow] 3 2 3 4 2" xfId="13295"/>
    <cellStyle name="Input [yellow] 3 2 3 4 3" xfId="24463"/>
    <cellStyle name="Input [yellow] 3 2 3 4 4" xfId="35628"/>
    <cellStyle name="Input [yellow] 3 2 3 4 5" xfId="46821"/>
    <cellStyle name="Input [yellow] 3 2 3 5" xfId="2515"/>
    <cellStyle name="Input [yellow] 3 2 3 5 2" xfId="13712"/>
    <cellStyle name="Input [yellow] 3 2 3 5 3" xfId="24880"/>
    <cellStyle name="Input [yellow] 3 2 3 5 4" xfId="36045"/>
    <cellStyle name="Input [yellow] 3 2 3 5 5" xfId="47238"/>
    <cellStyle name="Input [yellow] 3 2 3 6" xfId="3156"/>
    <cellStyle name="Input [yellow] 3 2 3 6 2" xfId="14353"/>
    <cellStyle name="Input [yellow] 3 2 3 6 3" xfId="25521"/>
    <cellStyle name="Input [yellow] 3 2 3 6 4" xfId="36686"/>
    <cellStyle name="Input [yellow] 3 2 3 6 5" xfId="47879"/>
    <cellStyle name="Input [yellow] 3 2 3 7" xfId="3790"/>
    <cellStyle name="Input [yellow] 3 2 3 7 2" xfId="14987"/>
    <cellStyle name="Input [yellow] 3 2 3 7 3" xfId="26155"/>
    <cellStyle name="Input [yellow] 3 2 3 7 4" xfId="37320"/>
    <cellStyle name="Input [yellow] 3 2 3 7 5" xfId="48513"/>
    <cellStyle name="Input [yellow] 3 2 3 8" xfId="4423"/>
    <cellStyle name="Input [yellow] 3 2 3 8 2" xfId="15620"/>
    <cellStyle name="Input [yellow] 3 2 3 8 3" xfId="26788"/>
    <cellStyle name="Input [yellow] 3 2 3 8 4" xfId="37953"/>
    <cellStyle name="Input [yellow] 3 2 3 8 5" xfId="49146"/>
    <cellStyle name="Input [yellow] 3 2 3 9" xfId="5054"/>
    <cellStyle name="Input [yellow] 3 2 3 9 2" xfId="16251"/>
    <cellStyle name="Input [yellow] 3 2 3 9 3" xfId="27419"/>
    <cellStyle name="Input [yellow] 3 2 3 9 4" xfId="38584"/>
    <cellStyle name="Input [yellow] 3 2 3 9 5" xfId="49777"/>
    <cellStyle name="Input [yellow] 3 2 30" xfId="11252"/>
    <cellStyle name="Input [yellow] 3 2 31" xfId="22425"/>
    <cellStyle name="Input [yellow] 3 2 32" xfId="33592"/>
    <cellStyle name="Input [yellow] 3 2 33" xfId="44776"/>
    <cellStyle name="Input [yellow] 3 2 4" xfId="171"/>
    <cellStyle name="Input [yellow] 3 2 4 10" xfId="5677"/>
    <cellStyle name="Input [yellow] 3 2 4 10 2" xfId="16874"/>
    <cellStyle name="Input [yellow] 3 2 4 10 3" xfId="28042"/>
    <cellStyle name="Input [yellow] 3 2 4 10 4" xfId="39207"/>
    <cellStyle name="Input [yellow] 3 2 4 10 5" xfId="50400"/>
    <cellStyle name="Input [yellow] 3 2 4 11" xfId="5862"/>
    <cellStyle name="Input [yellow] 3 2 4 11 2" xfId="17059"/>
    <cellStyle name="Input [yellow] 3 2 4 11 3" xfId="28227"/>
    <cellStyle name="Input [yellow] 3 2 4 11 4" xfId="39392"/>
    <cellStyle name="Input [yellow] 3 2 4 11 5" xfId="50585"/>
    <cellStyle name="Input [yellow] 3 2 4 12" xfId="6740"/>
    <cellStyle name="Input [yellow] 3 2 4 12 2" xfId="17937"/>
    <cellStyle name="Input [yellow] 3 2 4 12 3" xfId="29105"/>
    <cellStyle name="Input [yellow] 3 2 4 12 4" xfId="40270"/>
    <cellStyle name="Input [yellow] 3 2 4 12 5" xfId="51463"/>
    <cellStyle name="Input [yellow] 3 2 4 13" xfId="7374"/>
    <cellStyle name="Input [yellow] 3 2 4 13 2" xfId="18571"/>
    <cellStyle name="Input [yellow] 3 2 4 13 3" xfId="29739"/>
    <cellStyle name="Input [yellow] 3 2 4 13 4" xfId="40904"/>
    <cellStyle name="Input [yellow] 3 2 4 13 5" xfId="52097"/>
    <cellStyle name="Input [yellow] 3 2 4 14" xfId="8008"/>
    <cellStyle name="Input [yellow] 3 2 4 14 2" xfId="19205"/>
    <cellStyle name="Input [yellow] 3 2 4 14 3" xfId="30373"/>
    <cellStyle name="Input [yellow] 3 2 4 14 4" xfId="41538"/>
    <cellStyle name="Input [yellow] 3 2 4 14 5" xfId="52731"/>
    <cellStyle name="Input [yellow] 3 2 4 15" xfId="8639"/>
    <cellStyle name="Input [yellow] 3 2 4 15 2" xfId="19836"/>
    <cellStyle name="Input [yellow] 3 2 4 15 3" xfId="31004"/>
    <cellStyle name="Input [yellow] 3 2 4 15 4" xfId="42169"/>
    <cellStyle name="Input [yellow] 3 2 4 15 5" xfId="53362"/>
    <cellStyle name="Input [yellow] 3 2 4 16" xfId="8776"/>
    <cellStyle name="Input [yellow] 3 2 4 16 2" xfId="19973"/>
    <cellStyle name="Input [yellow] 3 2 4 16 3" xfId="31141"/>
    <cellStyle name="Input [yellow] 3 2 4 16 4" xfId="42306"/>
    <cellStyle name="Input [yellow] 3 2 4 16 5" xfId="53499"/>
    <cellStyle name="Input [yellow] 3 2 4 17" xfId="9691"/>
    <cellStyle name="Input [yellow] 3 2 4 17 2" xfId="20888"/>
    <cellStyle name="Input [yellow] 3 2 4 17 3" xfId="32056"/>
    <cellStyle name="Input [yellow] 3 2 4 17 4" xfId="43221"/>
    <cellStyle name="Input [yellow] 3 2 4 17 5" xfId="54414"/>
    <cellStyle name="Input [yellow] 3 2 4 18" xfId="9884"/>
    <cellStyle name="Input [yellow] 3 2 4 18 2" xfId="21081"/>
    <cellStyle name="Input [yellow] 3 2 4 18 3" xfId="32249"/>
    <cellStyle name="Input [yellow] 3 2 4 18 4" xfId="43414"/>
    <cellStyle name="Input [yellow] 3 2 4 18 5" xfId="54607"/>
    <cellStyle name="Input [yellow] 3 2 4 19" xfId="10724"/>
    <cellStyle name="Input [yellow] 3 2 4 19 2" xfId="21921"/>
    <cellStyle name="Input [yellow] 3 2 4 19 3" xfId="33089"/>
    <cellStyle name="Input [yellow] 3 2 4 19 4" xfId="44254"/>
    <cellStyle name="Input [yellow] 3 2 4 19 5" xfId="55447"/>
    <cellStyle name="Input [yellow] 3 2 4 2" xfId="820"/>
    <cellStyle name="Input [yellow] 3 2 4 2 2" xfId="12017"/>
    <cellStyle name="Input [yellow] 3 2 4 2 3" xfId="23185"/>
    <cellStyle name="Input [yellow] 3 2 4 2 4" xfId="34350"/>
    <cellStyle name="Input [yellow] 3 2 4 2 5" xfId="45543"/>
    <cellStyle name="Input [yellow] 3 2 4 20" xfId="11371"/>
    <cellStyle name="Input [yellow] 3 2 4 21" xfId="22541"/>
    <cellStyle name="Input [yellow] 3 2 4 22" xfId="33708"/>
    <cellStyle name="Input [yellow] 3 2 4 23" xfId="44894"/>
    <cellStyle name="Input [yellow] 3 2 4 3" xfId="1951"/>
    <cellStyle name="Input [yellow] 3 2 4 3 2" xfId="13148"/>
    <cellStyle name="Input [yellow] 3 2 4 3 3" xfId="24316"/>
    <cellStyle name="Input [yellow] 3 2 4 3 4" xfId="35481"/>
    <cellStyle name="Input [yellow] 3 2 4 3 5" xfId="46674"/>
    <cellStyle name="Input [yellow] 3 2 4 4" xfId="2097"/>
    <cellStyle name="Input [yellow] 3 2 4 4 2" xfId="13294"/>
    <cellStyle name="Input [yellow] 3 2 4 4 3" xfId="24462"/>
    <cellStyle name="Input [yellow] 3 2 4 4 4" xfId="35627"/>
    <cellStyle name="Input [yellow] 3 2 4 4 5" xfId="46820"/>
    <cellStyle name="Input [yellow] 3 2 4 5" xfId="2091"/>
    <cellStyle name="Input [yellow] 3 2 4 5 2" xfId="13288"/>
    <cellStyle name="Input [yellow] 3 2 4 5 3" xfId="24456"/>
    <cellStyle name="Input [yellow] 3 2 4 5 4" xfId="35621"/>
    <cellStyle name="Input [yellow] 3 2 4 5 5" xfId="46814"/>
    <cellStyle name="Input [yellow] 3 2 4 6" xfId="3155"/>
    <cellStyle name="Input [yellow] 3 2 4 6 2" xfId="14352"/>
    <cellStyle name="Input [yellow] 3 2 4 6 3" xfId="25520"/>
    <cellStyle name="Input [yellow] 3 2 4 6 4" xfId="36685"/>
    <cellStyle name="Input [yellow] 3 2 4 6 5" xfId="47878"/>
    <cellStyle name="Input [yellow] 3 2 4 7" xfId="3789"/>
    <cellStyle name="Input [yellow] 3 2 4 7 2" xfId="14986"/>
    <cellStyle name="Input [yellow] 3 2 4 7 3" xfId="26154"/>
    <cellStyle name="Input [yellow] 3 2 4 7 4" xfId="37319"/>
    <cellStyle name="Input [yellow] 3 2 4 7 5" xfId="48512"/>
    <cellStyle name="Input [yellow] 3 2 4 8" xfId="4422"/>
    <cellStyle name="Input [yellow] 3 2 4 8 2" xfId="15619"/>
    <cellStyle name="Input [yellow] 3 2 4 8 3" xfId="26787"/>
    <cellStyle name="Input [yellow] 3 2 4 8 4" xfId="37952"/>
    <cellStyle name="Input [yellow] 3 2 4 8 5" xfId="49145"/>
    <cellStyle name="Input [yellow] 3 2 4 9" xfId="5053"/>
    <cellStyle name="Input [yellow] 3 2 4 9 2" xfId="16250"/>
    <cellStyle name="Input [yellow] 3 2 4 9 3" xfId="27418"/>
    <cellStyle name="Input [yellow] 3 2 4 9 4" xfId="38583"/>
    <cellStyle name="Input [yellow] 3 2 4 9 5" xfId="49776"/>
    <cellStyle name="Input [yellow] 3 2 5" xfId="335"/>
    <cellStyle name="Input [yellow] 3 2 5 10" xfId="5686"/>
    <cellStyle name="Input [yellow] 3 2 5 10 2" xfId="16883"/>
    <cellStyle name="Input [yellow] 3 2 5 10 3" xfId="28051"/>
    <cellStyle name="Input [yellow] 3 2 5 10 4" xfId="39216"/>
    <cellStyle name="Input [yellow] 3 2 5 10 5" xfId="50409"/>
    <cellStyle name="Input [yellow] 3 2 5 11" xfId="6271"/>
    <cellStyle name="Input [yellow] 3 2 5 11 2" xfId="17468"/>
    <cellStyle name="Input [yellow] 3 2 5 11 3" xfId="28636"/>
    <cellStyle name="Input [yellow] 3 2 5 11 4" xfId="39801"/>
    <cellStyle name="Input [yellow] 3 2 5 11 5" xfId="50994"/>
    <cellStyle name="Input [yellow] 3 2 5 12" xfId="6904"/>
    <cellStyle name="Input [yellow] 3 2 5 12 2" xfId="18101"/>
    <cellStyle name="Input [yellow] 3 2 5 12 3" xfId="29269"/>
    <cellStyle name="Input [yellow] 3 2 5 12 4" xfId="40434"/>
    <cellStyle name="Input [yellow] 3 2 5 12 5" xfId="51627"/>
    <cellStyle name="Input [yellow] 3 2 5 13" xfId="7538"/>
    <cellStyle name="Input [yellow] 3 2 5 13 2" xfId="18735"/>
    <cellStyle name="Input [yellow] 3 2 5 13 3" xfId="29903"/>
    <cellStyle name="Input [yellow] 3 2 5 13 4" xfId="41068"/>
    <cellStyle name="Input [yellow] 3 2 5 13 5" xfId="52261"/>
    <cellStyle name="Input [yellow] 3 2 5 14" xfId="8172"/>
    <cellStyle name="Input [yellow] 3 2 5 14 2" xfId="19369"/>
    <cellStyle name="Input [yellow] 3 2 5 14 3" xfId="30537"/>
    <cellStyle name="Input [yellow] 3 2 5 14 4" xfId="41702"/>
    <cellStyle name="Input [yellow] 3 2 5 14 5" xfId="52895"/>
    <cellStyle name="Input [yellow] 3 2 5 15" xfId="8801"/>
    <cellStyle name="Input [yellow] 3 2 5 15 2" xfId="19998"/>
    <cellStyle name="Input [yellow] 3 2 5 15 3" xfId="31166"/>
    <cellStyle name="Input [yellow] 3 2 5 15 4" xfId="42331"/>
    <cellStyle name="Input [yellow] 3 2 5 15 5" xfId="53524"/>
    <cellStyle name="Input [yellow] 3 2 5 16" xfId="9223"/>
    <cellStyle name="Input [yellow] 3 2 5 16 2" xfId="20420"/>
    <cellStyle name="Input [yellow] 3 2 5 16 3" xfId="31588"/>
    <cellStyle name="Input [yellow] 3 2 5 16 4" xfId="42753"/>
    <cellStyle name="Input [yellow] 3 2 5 16 5" xfId="53946"/>
    <cellStyle name="Input [yellow] 3 2 5 17" xfId="9850"/>
    <cellStyle name="Input [yellow] 3 2 5 17 2" xfId="21047"/>
    <cellStyle name="Input [yellow] 3 2 5 17 3" xfId="32215"/>
    <cellStyle name="Input [yellow] 3 2 5 17 4" xfId="43380"/>
    <cellStyle name="Input [yellow] 3 2 5 17 5" xfId="54573"/>
    <cellStyle name="Input [yellow] 3 2 5 18" xfId="10259"/>
    <cellStyle name="Input [yellow] 3 2 5 18 2" xfId="21456"/>
    <cellStyle name="Input [yellow] 3 2 5 18 3" xfId="32624"/>
    <cellStyle name="Input [yellow] 3 2 5 18 4" xfId="43789"/>
    <cellStyle name="Input [yellow] 3 2 5 18 5" xfId="54982"/>
    <cellStyle name="Input [yellow] 3 2 5 19" xfId="10888"/>
    <cellStyle name="Input [yellow] 3 2 5 19 2" xfId="22085"/>
    <cellStyle name="Input [yellow] 3 2 5 19 3" xfId="33253"/>
    <cellStyle name="Input [yellow] 3 2 5 19 4" xfId="44418"/>
    <cellStyle name="Input [yellow] 3 2 5 19 5" xfId="55611"/>
    <cellStyle name="Input [yellow] 3 2 5 2" xfId="984"/>
    <cellStyle name="Input [yellow] 3 2 5 2 2" xfId="12181"/>
    <cellStyle name="Input [yellow] 3 2 5 2 3" xfId="23349"/>
    <cellStyle name="Input [yellow] 3 2 5 2 4" xfId="34514"/>
    <cellStyle name="Input [yellow] 3 2 5 2 5" xfId="45707"/>
    <cellStyle name="Input [yellow] 3 2 5 20" xfId="11535"/>
    <cellStyle name="Input [yellow] 3 2 5 21" xfId="22705"/>
    <cellStyle name="Input [yellow] 3 2 5 22" xfId="33872"/>
    <cellStyle name="Input [yellow] 3 2 5 23" xfId="45058"/>
    <cellStyle name="Input [yellow] 3 2 5 3" xfId="1520"/>
    <cellStyle name="Input [yellow] 3 2 5 3 2" xfId="12717"/>
    <cellStyle name="Input [yellow] 3 2 5 3 3" xfId="23885"/>
    <cellStyle name="Input [yellow] 3 2 5 3 4" xfId="35050"/>
    <cellStyle name="Input [yellow] 3 2 5 3 5" xfId="46243"/>
    <cellStyle name="Input [yellow] 3 2 5 4" xfId="2260"/>
    <cellStyle name="Input [yellow] 3 2 5 4 2" xfId="13457"/>
    <cellStyle name="Input [yellow] 3 2 5 4 3" xfId="24625"/>
    <cellStyle name="Input [yellow] 3 2 5 4 4" xfId="35790"/>
    <cellStyle name="Input [yellow] 3 2 5 4 5" xfId="46983"/>
    <cellStyle name="Input [yellow] 3 2 5 5" xfId="2685"/>
    <cellStyle name="Input [yellow] 3 2 5 5 2" xfId="13882"/>
    <cellStyle name="Input [yellow] 3 2 5 5 3" xfId="25050"/>
    <cellStyle name="Input [yellow] 3 2 5 5 4" xfId="36215"/>
    <cellStyle name="Input [yellow] 3 2 5 5 5" xfId="47408"/>
    <cellStyle name="Input [yellow] 3 2 5 6" xfId="3319"/>
    <cellStyle name="Input [yellow] 3 2 5 6 2" xfId="14516"/>
    <cellStyle name="Input [yellow] 3 2 5 6 3" xfId="25684"/>
    <cellStyle name="Input [yellow] 3 2 5 6 4" xfId="36849"/>
    <cellStyle name="Input [yellow] 3 2 5 6 5" xfId="48042"/>
    <cellStyle name="Input [yellow] 3 2 5 7" xfId="3953"/>
    <cellStyle name="Input [yellow] 3 2 5 7 2" xfId="15150"/>
    <cellStyle name="Input [yellow] 3 2 5 7 3" xfId="26318"/>
    <cellStyle name="Input [yellow] 3 2 5 7 4" xfId="37483"/>
    <cellStyle name="Input [yellow] 3 2 5 7 5" xfId="48676"/>
    <cellStyle name="Input [yellow] 3 2 5 8" xfId="4586"/>
    <cellStyle name="Input [yellow] 3 2 5 8 2" xfId="15783"/>
    <cellStyle name="Input [yellow] 3 2 5 8 3" xfId="26951"/>
    <cellStyle name="Input [yellow] 3 2 5 8 4" xfId="38116"/>
    <cellStyle name="Input [yellow] 3 2 5 8 5" xfId="49309"/>
    <cellStyle name="Input [yellow] 3 2 5 9" xfId="5217"/>
    <cellStyle name="Input [yellow] 3 2 5 9 2" xfId="16414"/>
    <cellStyle name="Input [yellow] 3 2 5 9 3" xfId="27582"/>
    <cellStyle name="Input [yellow] 3 2 5 9 4" xfId="38747"/>
    <cellStyle name="Input [yellow] 3 2 5 9 5" xfId="49940"/>
    <cellStyle name="Input [yellow] 3 2 6" xfId="385"/>
    <cellStyle name="Input [yellow] 3 2 6 10" xfId="6037"/>
    <cellStyle name="Input [yellow] 3 2 6 10 2" xfId="17234"/>
    <cellStyle name="Input [yellow] 3 2 6 10 3" xfId="28402"/>
    <cellStyle name="Input [yellow] 3 2 6 10 4" xfId="39567"/>
    <cellStyle name="Input [yellow] 3 2 6 10 5" xfId="50760"/>
    <cellStyle name="Input [yellow] 3 2 6 11" xfId="6321"/>
    <cellStyle name="Input [yellow] 3 2 6 11 2" xfId="17518"/>
    <cellStyle name="Input [yellow] 3 2 6 11 3" xfId="28686"/>
    <cellStyle name="Input [yellow] 3 2 6 11 4" xfId="39851"/>
    <cellStyle name="Input [yellow] 3 2 6 11 5" xfId="51044"/>
    <cellStyle name="Input [yellow] 3 2 6 12" xfId="6954"/>
    <cellStyle name="Input [yellow] 3 2 6 12 2" xfId="18151"/>
    <cellStyle name="Input [yellow] 3 2 6 12 3" xfId="29319"/>
    <cellStyle name="Input [yellow] 3 2 6 12 4" xfId="40484"/>
    <cellStyle name="Input [yellow] 3 2 6 12 5" xfId="51677"/>
    <cellStyle name="Input [yellow] 3 2 6 13" xfId="7588"/>
    <cellStyle name="Input [yellow] 3 2 6 13 2" xfId="18785"/>
    <cellStyle name="Input [yellow] 3 2 6 13 3" xfId="29953"/>
    <cellStyle name="Input [yellow] 3 2 6 13 4" xfId="41118"/>
    <cellStyle name="Input [yellow] 3 2 6 13 5" xfId="52311"/>
    <cellStyle name="Input [yellow] 3 2 6 14" xfId="8222"/>
    <cellStyle name="Input [yellow] 3 2 6 14 2" xfId="19419"/>
    <cellStyle name="Input [yellow] 3 2 6 14 3" xfId="30587"/>
    <cellStyle name="Input [yellow] 3 2 6 14 4" xfId="41752"/>
    <cellStyle name="Input [yellow] 3 2 6 14 5" xfId="52945"/>
    <cellStyle name="Input [yellow] 3 2 6 15" xfId="8850"/>
    <cellStyle name="Input [yellow] 3 2 6 15 2" xfId="20047"/>
    <cellStyle name="Input [yellow] 3 2 6 15 3" xfId="31215"/>
    <cellStyle name="Input [yellow] 3 2 6 15 4" xfId="42380"/>
    <cellStyle name="Input [yellow] 3 2 6 15 5" xfId="53573"/>
    <cellStyle name="Input [yellow] 3 2 6 16" xfId="9273"/>
    <cellStyle name="Input [yellow] 3 2 6 16 2" xfId="20470"/>
    <cellStyle name="Input [yellow] 3 2 6 16 3" xfId="31638"/>
    <cellStyle name="Input [yellow] 3 2 6 16 4" xfId="42803"/>
    <cellStyle name="Input [yellow] 3 2 6 16 5" xfId="53996"/>
    <cellStyle name="Input [yellow] 3 2 6 17" xfId="9899"/>
    <cellStyle name="Input [yellow] 3 2 6 17 2" xfId="21096"/>
    <cellStyle name="Input [yellow] 3 2 6 17 3" xfId="32264"/>
    <cellStyle name="Input [yellow] 3 2 6 17 4" xfId="43429"/>
    <cellStyle name="Input [yellow] 3 2 6 17 5" xfId="54622"/>
    <cellStyle name="Input [yellow] 3 2 6 18" xfId="10148"/>
    <cellStyle name="Input [yellow] 3 2 6 18 2" xfId="21345"/>
    <cellStyle name="Input [yellow] 3 2 6 18 3" xfId="32513"/>
    <cellStyle name="Input [yellow] 3 2 6 18 4" xfId="43678"/>
    <cellStyle name="Input [yellow] 3 2 6 18 5" xfId="54871"/>
    <cellStyle name="Input [yellow] 3 2 6 19" xfId="10938"/>
    <cellStyle name="Input [yellow] 3 2 6 19 2" xfId="22135"/>
    <cellStyle name="Input [yellow] 3 2 6 19 3" xfId="33303"/>
    <cellStyle name="Input [yellow] 3 2 6 19 4" xfId="44468"/>
    <cellStyle name="Input [yellow] 3 2 6 19 5" xfId="55661"/>
    <cellStyle name="Input [yellow] 3 2 6 2" xfId="1034"/>
    <cellStyle name="Input [yellow] 3 2 6 2 2" xfId="12231"/>
    <cellStyle name="Input [yellow] 3 2 6 2 3" xfId="23399"/>
    <cellStyle name="Input [yellow] 3 2 6 2 4" xfId="34564"/>
    <cellStyle name="Input [yellow] 3 2 6 2 5" xfId="45757"/>
    <cellStyle name="Input [yellow] 3 2 6 20" xfId="11585"/>
    <cellStyle name="Input [yellow] 3 2 6 21" xfId="22755"/>
    <cellStyle name="Input [yellow] 3 2 6 22" xfId="33922"/>
    <cellStyle name="Input [yellow] 3 2 6 23" xfId="45108"/>
    <cellStyle name="Input [yellow] 3 2 6 3" xfId="1844"/>
    <cellStyle name="Input [yellow] 3 2 6 3 2" xfId="13041"/>
    <cellStyle name="Input [yellow] 3 2 6 3 3" xfId="24209"/>
    <cellStyle name="Input [yellow] 3 2 6 3 4" xfId="35374"/>
    <cellStyle name="Input [yellow] 3 2 6 3 5" xfId="46567"/>
    <cellStyle name="Input [yellow] 3 2 6 4" xfId="2310"/>
    <cellStyle name="Input [yellow] 3 2 6 4 2" xfId="13507"/>
    <cellStyle name="Input [yellow] 3 2 6 4 3" xfId="24675"/>
    <cellStyle name="Input [yellow] 3 2 6 4 4" xfId="35840"/>
    <cellStyle name="Input [yellow] 3 2 6 4 5" xfId="47033"/>
    <cellStyle name="Input [yellow] 3 2 6 5" xfId="2735"/>
    <cellStyle name="Input [yellow] 3 2 6 5 2" xfId="13932"/>
    <cellStyle name="Input [yellow] 3 2 6 5 3" xfId="25100"/>
    <cellStyle name="Input [yellow] 3 2 6 5 4" xfId="36265"/>
    <cellStyle name="Input [yellow] 3 2 6 5 5" xfId="47458"/>
    <cellStyle name="Input [yellow] 3 2 6 6" xfId="3369"/>
    <cellStyle name="Input [yellow] 3 2 6 6 2" xfId="14566"/>
    <cellStyle name="Input [yellow] 3 2 6 6 3" xfId="25734"/>
    <cellStyle name="Input [yellow] 3 2 6 6 4" xfId="36899"/>
    <cellStyle name="Input [yellow] 3 2 6 6 5" xfId="48092"/>
    <cellStyle name="Input [yellow] 3 2 6 7" xfId="4003"/>
    <cellStyle name="Input [yellow] 3 2 6 7 2" xfId="15200"/>
    <cellStyle name="Input [yellow] 3 2 6 7 3" xfId="26368"/>
    <cellStyle name="Input [yellow] 3 2 6 7 4" xfId="37533"/>
    <cellStyle name="Input [yellow] 3 2 6 7 5" xfId="48726"/>
    <cellStyle name="Input [yellow] 3 2 6 8" xfId="4636"/>
    <cellStyle name="Input [yellow] 3 2 6 8 2" xfId="15833"/>
    <cellStyle name="Input [yellow] 3 2 6 8 3" xfId="27001"/>
    <cellStyle name="Input [yellow] 3 2 6 8 4" xfId="38166"/>
    <cellStyle name="Input [yellow] 3 2 6 8 5" xfId="49359"/>
    <cellStyle name="Input [yellow] 3 2 6 9" xfId="5267"/>
    <cellStyle name="Input [yellow] 3 2 6 9 2" xfId="16464"/>
    <cellStyle name="Input [yellow] 3 2 6 9 3" xfId="27632"/>
    <cellStyle name="Input [yellow] 3 2 6 9 4" xfId="38797"/>
    <cellStyle name="Input [yellow] 3 2 6 9 5" xfId="49990"/>
    <cellStyle name="Input [yellow] 3 2 7" xfId="407"/>
    <cellStyle name="Input [yellow] 3 2 7 10" xfId="5893"/>
    <cellStyle name="Input [yellow] 3 2 7 10 2" xfId="17090"/>
    <cellStyle name="Input [yellow] 3 2 7 10 3" xfId="28258"/>
    <cellStyle name="Input [yellow] 3 2 7 10 4" xfId="39423"/>
    <cellStyle name="Input [yellow] 3 2 7 10 5" xfId="50616"/>
    <cellStyle name="Input [yellow] 3 2 7 11" xfId="6343"/>
    <cellStyle name="Input [yellow] 3 2 7 11 2" xfId="17540"/>
    <cellStyle name="Input [yellow] 3 2 7 11 3" xfId="28708"/>
    <cellStyle name="Input [yellow] 3 2 7 11 4" xfId="39873"/>
    <cellStyle name="Input [yellow] 3 2 7 11 5" xfId="51066"/>
    <cellStyle name="Input [yellow] 3 2 7 12" xfId="6976"/>
    <cellStyle name="Input [yellow] 3 2 7 12 2" xfId="18173"/>
    <cellStyle name="Input [yellow] 3 2 7 12 3" xfId="29341"/>
    <cellStyle name="Input [yellow] 3 2 7 12 4" xfId="40506"/>
    <cellStyle name="Input [yellow] 3 2 7 12 5" xfId="51699"/>
    <cellStyle name="Input [yellow] 3 2 7 13" xfId="7610"/>
    <cellStyle name="Input [yellow] 3 2 7 13 2" xfId="18807"/>
    <cellStyle name="Input [yellow] 3 2 7 13 3" xfId="29975"/>
    <cellStyle name="Input [yellow] 3 2 7 13 4" xfId="41140"/>
    <cellStyle name="Input [yellow] 3 2 7 13 5" xfId="52333"/>
    <cellStyle name="Input [yellow] 3 2 7 14" xfId="8244"/>
    <cellStyle name="Input [yellow] 3 2 7 14 2" xfId="19441"/>
    <cellStyle name="Input [yellow] 3 2 7 14 3" xfId="30609"/>
    <cellStyle name="Input [yellow] 3 2 7 14 4" xfId="41774"/>
    <cellStyle name="Input [yellow] 3 2 7 14 5" xfId="52967"/>
    <cellStyle name="Input [yellow] 3 2 7 15" xfId="8872"/>
    <cellStyle name="Input [yellow] 3 2 7 15 2" xfId="20069"/>
    <cellStyle name="Input [yellow] 3 2 7 15 3" xfId="31237"/>
    <cellStyle name="Input [yellow] 3 2 7 15 4" xfId="42402"/>
    <cellStyle name="Input [yellow] 3 2 7 15 5" xfId="53595"/>
    <cellStyle name="Input [yellow] 3 2 7 16" xfId="9295"/>
    <cellStyle name="Input [yellow] 3 2 7 16 2" xfId="20492"/>
    <cellStyle name="Input [yellow] 3 2 7 16 3" xfId="31660"/>
    <cellStyle name="Input [yellow] 3 2 7 16 4" xfId="42825"/>
    <cellStyle name="Input [yellow] 3 2 7 16 5" xfId="54018"/>
    <cellStyle name="Input [yellow] 3 2 7 17" xfId="9921"/>
    <cellStyle name="Input [yellow] 3 2 7 17 2" xfId="21118"/>
    <cellStyle name="Input [yellow] 3 2 7 17 3" xfId="32286"/>
    <cellStyle name="Input [yellow] 3 2 7 17 4" xfId="43451"/>
    <cellStyle name="Input [yellow] 3 2 7 17 5" xfId="54644"/>
    <cellStyle name="Input [yellow] 3 2 7 18" xfId="9591"/>
    <cellStyle name="Input [yellow] 3 2 7 18 2" xfId="20788"/>
    <cellStyle name="Input [yellow] 3 2 7 18 3" xfId="31956"/>
    <cellStyle name="Input [yellow] 3 2 7 18 4" xfId="43121"/>
    <cellStyle name="Input [yellow] 3 2 7 18 5" xfId="54314"/>
    <cellStyle name="Input [yellow] 3 2 7 19" xfId="10960"/>
    <cellStyle name="Input [yellow] 3 2 7 19 2" xfId="22157"/>
    <cellStyle name="Input [yellow] 3 2 7 19 3" xfId="33325"/>
    <cellStyle name="Input [yellow] 3 2 7 19 4" xfId="44490"/>
    <cellStyle name="Input [yellow] 3 2 7 19 5" xfId="55683"/>
    <cellStyle name="Input [yellow] 3 2 7 2" xfId="1056"/>
    <cellStyle name="Input [yellow] 3 2 7 2 2" xfId="12253"/>
    <cellStyle name="Input [yellow] 3 2 7 2 3" xfId="23421"/>
    <cellStyle name="Input [yellow] 3 2 7 2 4" xfId="34586"/>
    <cellStyle name="Input [yellow] 3 2 7 2 5" xfId="45779"/>
    <cellStyle name="Input [yellow] 3 2 7 20" xfId="11607"/>
    <cellStyle name="Input [yellow] 3 2 7 21" xfId="22777"/>
    <cellStyle name="Input [yellow] 3 2 7 22" xfId="33944"/>
    <cellStyle name="Input [yellow] 3 2 7 23" xfId="45130"/>
    <cellStyle name="Input [yellow] 3 2 7 3" xfId="1835"/>
    <cellStyle name="Input [yellow] 3 2 7 3 2" xfId="13032"/>
    <cellStyle name="Input [yellow] 3 2 7 3 3" xfId="24200"/>
    <cellStyle name="Input [yellow] 3 2 7 3 4" xfId="35365"/>
    <cellStyle name="Input [yellow] 3 2 7 3 5" xfId="46558"/>
    <cellStyle name="Input [yellow] 3 2 7 4" xfId="2332"/>
    <cellStyle name="Input [yellow] 3 2 7 4 2" xfId="13529"/>
    <cellStyle name="Input [yellow] 3 2 7 4 3" xfId="24697"/>
    <cellStyle name="Input [yellow] 3 2 7 4 4" xfId="35862"/>
    <cellStyle name="Input [yellow] 3 2 7 4 5" xfId="47055"/>
    <cellStyle name="Input [yellow] 3 2 7 5" xfId="2757"/>
    <cellStyle name="Input [yellow] 3 2 7 5 2" xfId="13954"/>
    <cellStyle name="Input [yellow] 3 2 7 5 3" xfId="25122"/>
    <cellStyle name="Input [yellow] 3 2 7 5 4" xfId="36287"/>
    <cellStyle name="Input [yellow] 3 2 7 5 5" xfId="47480"/>
    <cellStyle name="Input [yellow] 3 2 7 6" xfId="3391"/>
    <cellStyle name="Input [yellow] 3 2 7 6 2" xfId="14588"/>
    <cellStyle name="Input [yellow] 3 2 7 6 3" xfId="25756"/>
    <cellStyle name="Input [yellow] 3 2 7 6 4" xfId="36921"/>
    <cellStyle name="Input [yellow] 3 2 7 6 5" xfId="48114"/>
    <cellStyle name="Input [yellow] 3 2 7 7" xfId="4025"/>
    <cellStyle name="Input [yellow] 3 2 7 7 2" xfId="15222"/>
    <cellStyle name="Input [yellow] 3 2 7 7 3" xfId="26390"/>
    <cellStyle name="Input [yellow] 3 2 7 7 4" xfId="37555"/>
    <cellStyle name="Input [yellow] 3 2 7 7 5" xfId="48748"/>
    <cellStyle name="Input [yellow] 3 2 7 8" xfId="4658"/>
    <cellStyle name="Input [yellow] 3 2 7 8 2" xfId="15855"/>
    <cellStyle name="Input [yellow] 3 2 7 8 3" xfId="27023"/>
    <cellStyle name="Input [yellow] 3 2 7 8 4" xfId="38188"/>
    <cellStyle name="Input [yellow] 3 2 7 8 5" xfId="49381"/>
    <cellStyle name="Input [yellow] 3 2 7 9" xfId="5289"/>
    <cellStyle name="Input [yellow] 3 2 7 9 2" xfId="16486"/>
    <cellStyle name="Input [yellow] 3 2 7 9 3" xfId="27654"/>
    <cellStyle name="Input [yellow] 3 2 7 9 4" xfId="38819"/>
    <cellStyle name="Input [yellow] 3 2 7 9 5" xfId="50012"/>
    <cellStyle name="Input [yellow] 3 2 8" xfId="460"/>
    <cellStyle name="Input [yellow] 3 2 8 10" xfId="6095"/>
    <cellStyle name="Input [yellow] 3 2 8 10 2" xfId="17292"/>
    <cellStyle name="Input [yellow] 3 2 8 10 3" xfId="28460"/>
    <cellStyle name="Input [yellow] 3 2 8 10 4" xfId="39625"/>
    <cellStyle name="Input [yellow] 3 2 8 10 5" xfId="50818"/>
    <cellStyle name="Input [yellow] 3 2 8 11" xfId="6396"/>
    <cellStyle name="Input [yellow] 3 2 8 11 2" xfId="17593"/>
    <cellStyle name="Input [yellow] 3 2 8 11 3" xfId="28761"/>
    <cellStyle name="Input [yellow] 3 2 8 11 4" xfId="39926"/>
    <cellStyle name="Input [yellow] 3 2 8 11 5" xfId="51119"/>
    <cellStyle name="Input [yellow] 3 2 8 12" xfId="7029"/>
    <cellStyle name="Input [yellow] 3 2 8 12 2" xfId="18226"/>
    <cellStyle name="Input [yellow] 3 2 8 12 3" xfId="29394"/>
    <cellStyle name="Input [yellow] 3 2 8 12 4" xfId="40559"/>
    <cellStyle name="Input [yellow] 3 2 8 12 5" xfId="51752"/>
    <cellStyle name="Input [yellow] 3 2 8 13" xfId="7663"/>
    <cellStyle name="Input [yellow] 3 2 8 13 2" xfId="18860"/>
    <cellStyle name="Input [yellow] 3 2 8 13 3" xfId="30028"/>
    <cellStyle name="Input [yellow] 3 2 8 13 4" xfId="41193"/>
    <cellStyle name="Input [yellow] 3 2 8 13 5" xfId="52386"/>
    <cellStyle name="Input [yellow] 3 2 8 14" xfId="8297"/>
    <cellStyle name="Input [yellow] 3 2 8 14 2" xfId="19494"/>
    <cellStyle name="Input [yellow] 3 2 8 14 3" xfId="30662"/>
    <cellStyle name="Input [yellow] 3 2 8 14 4" xfId="41827"/>
    <cellStyle name="Input [yellow] 3 2 8 14 5" xfId="53020"/>
    <cellStyle name="Input [yellow] 3 2 8 15" xfId="8925"/>
    <cellStyle name="Input [yellow] 3 2 8 15 2" xfId="20122"/>
    <cellStyle name="Input [yellow] 3 2 8 15 3" xfId="31290"/>
    <cellStyle name="Input [yellow] 3 2 8 15 4" xfId="42455"/>
    <cellStyle name="Input [yellow] 3 2 8 15 5" xfId="53648"/>
    <cellStyle name="Input [yellow] 3 2 8 16" xfId="9348"/>
    <cellStyle name="Input [yellow] 3 2 8 16 2" xfId="20545"/>
    <cellStyle name="Input [yellow] 3 2 8 16 3" xfId="31713"/>
    <cellStyle name="Input [yellow] 3 2 8 16 4" xfId="42878"/>
    <cellStyle name="Input [yellow] 3 2 8 16 5" xfId="54071"/>
    <cellStyle name="Input [yellow] 3 2 8 17" xfId="9974"/>
    <cellStyle name="Input [yellow] 3 2 8 17 2" xfId="21171"/>
    <cellStyle name="Input [yellow] 3 2 8 17 3" xfId="32339"/>
    <cellStyle name="Input [yellow] 3 2 8 17 4" xfId="43504"/>
    <cellStyle name="Input [yellow] 3 2 8 17 5" xfId="54697"/>
    <cellStyle name="Input [yellow] 3 2 8 18" xfId="10313"/>
    <cellStyle name="Input [yellow] 3 2 8 18 2" xfId="21510"/>
    <cellStyle name="Input [yellow] 3 2 8 18 3" xfId="32678"/>
    <cellStyle name="Input [yellow] 3 2 8 18 4" xfId="43843"/>
    <cellStyle name="Input [yellow] 3 2 8 18 5" xfId="55036"/>
    <cellStyle name="Input [yellow] 3 2 8 19" xfId="11013"/>
    <cellStyle name="Input [yellow] 3 2 8 19 2" xfId="22210"/>
    <cellStyle name="Input [yellow] 3 2 8 19 3" xfId="33378"/>
    <cellStyle name="Input [yellow] 3 2 8 19 4" xfId="44543"/>
    <cellStyle name="Input [yellow] 3 2 8 19 5" xfId="55736"/>
    <cellStyle name="Input [yellow] 3 2 8 2" xfId="1109"/>
    <cellStyle name="Input [yellow] 3 2 8 2 2" xfId="12306"/>
    <cellStyle name="Input [yellow] 3 2 8 2 3" xfId="23474"/>
    <cellStyle name="Input [yellow] 3 2 8 2 4" xfId="34639"/>
    <cellStyle name="Input [yellow] 3 2 8 2 5" xfId="45832"/>
    <cellStyle name="Input [yellow] 3 2 8 20" xfId="11660"/>
    <cellStyle name="Input [yellow] 3 2 8 21" xfId="22830"/>
    <cellStyle name="Input [yellow] 3 2 8 22" xfId="33997"/>
    <cellStyle name="Input [yellow] 3 2 8 23" xfId="45183"/>
    <cellStyle name="Input [yellow] 3 2 8 3" xfId="1585"/>
    <cellStyle name="Input [yellow] 3 2 8 3 2" xfId="12782"/>
    <cellStyle name="Input [yellow] 3 2 8 3 3" xfId="23950"/>
    <cellStyle name="Input [yellow] 3 2 8 3 4" xfId="35115"/>
    <cellStyle name="Input [yellow] 3 2 8 3 5" xfId="46308"/>
    <cellStyle name="Input [yellow] 3 2 8 4" xfId="2385"/>
    <cellStyle name="Input [yellow] 3 2 8 4 2" xfId="13582"/>
    <cellStyle name="Input [yellow] 3 2 8 4 3" xfId="24750"/>
    <cellStyle name="Input [yellow] 3 2 8 4 4" xfId="35915"/>
    <cellStyle name="Input [yellow] 3 2 8 4 5" xfId="47108"/>
    <cellStyle name="Input [yellow] 3 2 8 5" xfId="2810"/>
    <cellStyle name="Input [yellow] 3 2 8 5 2" xfId="14007"/>
    <cellStyle name="Input [yellow] 3 2 8 5 3" xfId="25175"/>
    <cellStyle name="Input [yellow] 3 2 8 5 4" xfId="36340"/>
    <cellStyle name="Input [yellow] 3 2 8 5 5" xfId="47533"/>
    <cellStyle name="Input [yellow] 3 2 8 6" xfId="3444"/>
    <cellStyle name="Input [yellow] 3 2 8 6 2" xfId="14641"/>
    <cellStyle name="Input [yellow] 3 2 8 6 3" xfId="25809"/>
    <cellStyle name="Input [yellow] 3 2 8 6 4" xfId="36974"/>
    <cellStyle name="Input [yellow] 3 2 8 6 5" xfId="48167"/>
    <cellStyle name="Input [yellow] 3 2 8 7" xfId="4078"/>
    <cellStyle name="Input [yellow] 3 2 8 7 2" xfId="15275"/>
    <cellStyle name="Input [yellow] 3 2 8 7 3" xfId="26443"/>
    <cellStyle name="Input [yellow] 3 2 8 7 4" xfId="37608"/>
    <cellStyle name="Input [yellow] 3 2 8 7 5" xfId="48801"/>
    <cellStyle name="Input [yellow] 3 2 8 8" xfId="4711"/>
    <cellStyle name="Input [yellow] 3 2 8 8 2" xfId="15908"/>
    <cellStyle name="Input [yellow] 3 2 8 8 3" xfId="27076"/>
    <cellStyle name="Input [yellow] 3 2 8 8 4" xfId="38241"/>
    <cellStyle name="Input [yellow] 3 2 8 8 5" xfId="49434"/>
    <cellStyle name="Input [yellow] 3 2 8 9" xfId="5342"/>
    <cellStyle name="Input [yellow] 3 2 8 9 2" xfId="16539"/>
    <cellStyle name="Input [yellow] 3 2 8 9 3" xfId="27707"/>
    <cellStyle name="Input [yellow] 3 2 8 9 4" xfId="38872"/>
    <cellStyle name="Input [yellow] 3 2 8 9 5" xfId="50065"/>
    <cellStyle name="Input [yellow] 3 2 9" xfId="518"/>
    <cellStyle name="Input [yellow] 3 2 9 10" xfId="5891"/>
    <cellStyle name="Input [yellow] 3 2 9 10 2" xfId="17088"/>
    <cellStyle name="Input [yellow] 3 2 9 10 3" xfId="28256"/>
    <cellStyle name="Input [yellow] 3 2 9 10 4" xfId="39421"/>
    <cellStyle name="Input [yellow] 3 2 9 10 5" xfId="50614"/>
    <cellStyle name="Input [yellow] 3 2 9 11" xfId="6454"/>
    <cellStyle name="Input [yellow] 3 2 9 11 2" xfId="17651"/>
    <cellStyle name="Input [yellow] 3 2 9 11 3" xfId="28819"/>
    <cellStyle name="Input [yellow] 3 2 9 11 4" xfId="39984"/>
    <cellStyle name="Input [yellow] 3 2 9 11 5" xfId="51177"/>
    <cellStyle name="Input [yellow] 3 2 9 12" xfId="7087"/>
    <cellStyle name="Input [yellow] 3 2 9 12 2" xfId="18284"/>
    <cellStyle name="Input [yellow] 3 2 9 12 3" xfId="29452"/>
    <cellStyle name="Input [yellow] 3 2 9 12 4" xfId="40617"/>
    <cellStyle name="Input [yellow] 3 2 9 12 5" xfId="51810"/>
    <cellStyle name="Input [yellow] 3 2 9 13" xfId="7721"/>
    <cellStyle name="Input [yellow] 3 2 9 13 2" xfId="18918"/>
    <cellStyle name="Input [yellow] 3 2 9 13 3" xfId="30086"/>
    <cellStyle name="Input [yellow] 3 2 9 13 4" xfId="41251"/>
    <cellStyle name="Input [yellow] 3 2 9 13 5" xfId="52444"/>
    <cellStyle name="Input [yellow] 3 2 9 14" xfId="8355"/>
    <cellStyle name="Input [yellow] 3 2 9 14 2" xfId="19552"/>
    <cellStyle name="Input [yellow] 3 2 9 14 3" xfId="30720"/>
    <cellStyle name="Input [yellow] 3 2 9 14 4" xfId="41885"/>
    <cellStyle name="Input [yellow] 3 2 9 14 5" xfId="53078"/>
    <cellStyle name="Input [yellow] 3 2 9 15" xfId="8983"/>
    <cellStyle name="Input [yellow] 3 2 9 15 2" xfId="20180"/>
    <cellStyle name="Input [yellow] 3 2 9 15 3" xfId="31348"/>
    <cellStyle name="Input [yellow] 3 2 9 15 4" xfId="42513"/>
    <cellStyle name="Input [yellow] 3 2 9 15 5" xfId="53706"/>
    <cellStyle name="Input [yellow] 3 2 9 16" xfId="9406"/>
    <cellStyle name="Input [yellow] 3 2 9 16 2" xfId="20603"/>
    <cellStyle name="Input [yellow] 3 2 9 16 3" xfId="31771"/>
    <cellStyle name="Input [yellow] 3 2 9 16 4" xfId="42936"/>
    <cellStyle name="Input [yellow] 3 2 9 16 5" xfId="54129"/>
    <cellStyle name="Input [yellow] 3 2 9 17" xfId="10031"/>
    <cellStyle name="Input [yellow] 3 2 9 17 2" xfId="21228"/>
    <cellStyle name="Input [yellow] 3 2 9 17 3" xfId="32396"/>
    <cellStyle name="Input [yellow] 3 2 9 17 4" xfId="43561"/>
    <cellStyle name="Input [yellow] 3 2 9 17 5" xfId="54754"/>
    <cellStyle name="Input [yellow] 3 2 9 18" xfId="10124"/>
    <cellStyle name="Input [yellow] 3 2 9 18 2" xfId="21321"/>
    <cellStyle name="Input [yellow] 3 2 9 18 3" xfId="32489"/>
    <cellStyle name="Input [yellow] 3 2 9 18 4" xfId="43654"/>
    <cellStyle name="Input [yellow] 3 2 9 18 5" xfId="54847"/>
    <cellStyle name="Input [yellow] 3 2 9 19" xfId="11071"/>
    <cellStyle name="Input [yellow] 3 2 9 19 2" xfId="22268"/>
    <cellStyle name="Input [yellow] 3 2 9 19 3" xfId="33436"/>
    <cellStyle name="Input [yellow] 3 2 9 19 4" xfId="44601"/>
    <cellStyle name="Input [yellow] 3 2 9 19 5" xfId="55794"/>
    <cellStyle name="Input [yellow] 3 2 9 2" xfId="1167"/>
    <cellStyle name="Input [yellow] 3 2 9 2 2" xfId="12364"/>
    <cellStyle name="Input [yellow] 3 2 9 2 3" xfId="23532"/>
    <cellStyle name="Input [yellow] 3 2 9 2 4" xfId="34697"/>
    <cellStyle name="Input [yellow] 3 2 9 2 5" xfId="45890"/>
    <cellStyle name="Input [yellow] 3 2 9 20" xfId="11718"/>
    <cellStyle name="Input [yellow] 3 2 9 21" xfId="22888"/>
    <cellStyle name="Input [yellow] 3 2 9 22" xfId="34055"/>
    <cellStyle name="Input [yellow] 3 2 9 23" xfId="45241"/>
    <cellStyle name="Input [yellow] 3 2 9 3" xfId="1421"/>
    <cellStyle name="Input [yellow] 3 2 9 3 2" xfId="12618"/>
    <cellStyle name="Input [yellow] 3 2 9 3 3" xfId="23786"/>
    <cellStyle name="Input [yellow] 3 2 9 3 4" xfId="34951"/>
    <cellStyle name="Input [yellow] 3 2 9 3 5" xfId="46144"/>
    <cellStyle name="Input [yellow] 3 2 9 4" xfId="2443"/>
    <cellStyle name="Input [yellow] 3 2 9 4 2" xfId="13640"/>
    <cellStyle name="Input [yellow] 3 2 9 4 3" xfId="24808"/>
    <cellStyle name="Input [yellow] 3 2 9 4 4" xfId="35973"/>
    <cellStyle name="Input [yellow] 3 2 9 4 5" xfId="47166"/>
    <cellStyle name="Input [yellow] 3 2 9 5" xfId="2868"/>
    <cellStyle name="Input [yellow] 3 2 9 5 2" xfId="14065"/>
    <cellStyle name="Input [yellow] 3 2 9 5 3" xfId="25233"/>
    <cellStyle name="Input [yellow] 3 2 9 5 4" xfId="36398"/>
    <cellStyle name="Input [yellow] 3 2 9 5 5" xfId="47591"/>
    <cellStyle name="Input [yellow] 3 2 9 6" xfId="3502"/>
    <cellStyle name="Input [yellow] 3 2 9 6 2" xfId="14699"/>
    <cellStyle name="Input [yellow] 3 2 9 6 3" xfId="25867"/>
    <cellStyle name="Input [yellow] 3 2 9 6 4" xfId="37032"/>
    <cellStyle name="Input [yellow] 3 2 9 6 5" xfId="48225"/>
    <cellStyle name="Input [yellow] 3 2 9 7" xfId="4136"/>
    <cellStyle name="Input [yellow] 3 2 9 7 2" xfId="15333"/>
    <cellStyle name="Input [yellow] 3 2 9 7 3" xfId="26501"/>
    <cellStyle name="Input [yellow] 3 2 9 7 4" xfId="37666"/>
    <cellStyle name="Input [yellow] 3 2 9 7 5" xfId="48859"/>
    <cellStyle name="Input [yellow] 3 2 9 8" xfId="4769"/>
    <cellStyle name="Input [yellow] 3 2 9 8 2" xfId="15966"/>
    <cellStyle name="Input [yellow] 3 2 9 8 3" xfId="27134"/>
    <cellStyle name="Input [yellow] 3 2 9 8 4" xfId="38299"/>
    <cellStyle name="Input [yellow] 3 2 9 8 5" xfId="49492"/>
    <cellStyle name="Input [yellow] 3 2 9 9" xfId="5400"/>
    <cellStyle name="Input [yellow] 3 2 9 9 2" xfId="16597"/>
    <cellStyle name="Input [yellow] 3 2 9 9 3" xfId="27765"/>
    <cellStyle name="Input [yellow] 3 2 9 9 4" xfId="38930"/>
    <cellStyle name="Input [yellow] 3 2 9 9 5" xfId="50123"/>
    <cellStyle name="Input [yellow] 3 20" xfId="38"/>
    <cellStyle name="Input [yellow] 3 20 10" xfId="5992"/>
    <cellStyle name="Input [yellow] 3 20 10 2" xfId="17189"/>
    <cellStyle name="Input [yellow] 3 20 10 3" xfId="28357"/>
    <cellStyle name="Input [yellow] 3 20 10 4" xfId="39522"/>
    <cellStyle name="Input [yellow] 3 20 10 5" xfId="50715"/>
    <cellStyle name="Input [yellow] 3 20 11" xfId="5694"/>
    <cellStyle name="Input [yellow] 3 20 11 2" xfId="16891"/>
    <cellStyle name="Input [yellow] 3 20 11 3" xfId="28059"/>
    <cellStyle name="Input [yellow] 3 20 11 4" xfId="39224"/>
    <cellStyle name="Input [yellow] 3 20 11 5" xfId="50417"/>
    <cellStyle name="Input [yellow] 3 20 12" xfId="6609"/>
    <cellStyle name="Input [yellow] 3 20 12 2" xfId="17806"/>
    <cellStyle name="Input [yellow] 3 20 12 3" xfId="28974"/>
    <cellStyle name="Input [yellow] 3 20 12 4" xfId="40139"/>
    <cellStyle name="Input [yellow] 3 20 12 5" xfId="51332"/>
    <cellStyle name="Input [yellow] 3 20 13" xfId="7242"/>
    <cellStyle name="Input [yellow] 3 20 13 2" xfId="18439"/>
    <cellStyle name="Input [yellow] 3 20 13 3" xfId="29607"/>
    <cellStyle name="Input [yellow] 3 20 13 4" xfId="40772"/>
    <cellStyle name="Input [yellow] 3 20 13 5" xfId="51965"/>
    <cellStyle name="Input [yellow] 3 20 14" xfId="7876"/>
    <cellStyle name="Input [yellow] 3 20 14 2" xfId="19073"/>
    <cellStyle name="Input [yellow] 3 20 14 3" xfId="30241"/>
    <cellStyle name="Input [yellow] 3 20 14 4" xfId="41406"/>
    <cellStyle name="Input [yellow] 3 20 14 5" xfId="52599"/>
    <cellStyle name="Input [yellow] 3 20 15" xfId="7250"/>
    <cellStyle name="Input [yellow] 3 20 15 2" xfId="18447"/>
    <cellStyle name="Input [yellow] 3 20 15 3" xfId="29615"/>
    <cellStyle name="Input [yellow] 3 20 15 4" xfId="40780"/>
    <cellStyle name="Input [yellow] 3 20 15 5" xfId="51973"/>
    <cellStyle name="Input [yellow] 3 20 16" xfId="8765"/>
    <cellStyle name="Input [yellow] 3 20 16 2" xfId="19962"/>
    <cellStyle name="Input [yellow] 3 20 16 3" xfId="31130"/>
    <cellStyle name="Input [yellow] 3 20 16 4" xfId="42295"/>
    <cellStyle name="Input [yellow] 3 20 16 5" xfId="53488"/>
    <cellStyle name="Input [yellow] 3 20 17" xfId="9561"/>
    <cellStyle name="Input [yellow] 3 20 17 2" xfId="20758"/>
    <cellStyle name="Input [yellow] 3 20 17 3" xfId="31926"/>
    <cellStyle name="Input [yellow] 3 20 17 4" xfId="43091"/>
    <cellStyle name="Input [yellow] 3 20 17 5" xfId="54284"/>
    <cellStyle name="Input [yellow] 3 20 18" xfId="10187"/>
    <cellStyle name="Input [yellow] 3 20 18 2" xfId="21384"/>
    <cellStyle name="Input [yellow] 3 20 18 3" xfId="32552"/>
    <cellStyle name="Input [yellow] 3 20 18 4" xfId="43717"/>
    <cellStyle name="Input [yellow] 3 20 18 5" xfId="54910"/>
    <cellStyle name="Input [yellow] 3 20 19" xfId="10602"/>
    <cellStyle name="Input [yellow] 3 20 19 2" xfId="21799"/>
    <cellStyle name="Input [yellow] 3 20 19 3" xfId="32967"/>
    <cellStyle name="Input [yellow] 3 20 19 4" xfId="44132"/>
    <cellStyle name="Input [yellow] 3 20 19 5" xfId="55325"/>
    <cellStyle name="Input [yellow] 3 20 2" xfId="693"/>
    <cellStyle name="Input [yellow] 3 20 2 2" xfId="11892"/>
    <cellStyle name="Input [yellow] 3 20 2 3" xfId="23061"/>
    <cellStyle name="Input [yellow] 3 20 2 4" xfId="34228"/>
    <cellStyle name="Input [yellow] 3 20 2 5" xfId="45416"/>
    <cellStyle name="Input [yellow] 3 20 20" xfId="11240"/>
    <cellStyle name="Input [yellow] 3 20 21" xfId="11230"/>
    <cellStyle name="Input [yellow] 3 20 22" xfId="11881"/>
    <cellStyle name="Input [yellow] 3 20 23" xfId="44767"/>
    <cellStyle name="Input [yellow] 3 20 3" xfId="1484"/>
    <cellStyle name="Input [yellow] 3 20 3 2" xfId="12681"/>
    <cellStyle name="Input [yellow] 3 20 3 3" xfId="23849"/>
    <cellStyle name="Input [yellow] 3 20 3 4" xfId="35014"/>
    <cellStyle name="Input [yellow] 3 20 3 5" xfId="46207"/>
    <cellStyle name="Input [yellow] 3 20 4" xfId="1967"/>
    <cellStyle name="Input [yellow] 3 20 4 2" xfId="13164"/>
    <cellStyle name="Input [yellow] 3 20 4 3" xfId="24332"/>
    <cellStyle name="Input [yellow] 3 20 4 4" xfId="35497"/>
    <cellStyle name="Input [yellow] 3 20 4 5" xfId="46690"/>
    <cellStyle name="Input [yellow] 3 20 5" xfId="2080"/>
    <cellStyle name="Input [yellow] 3 20 5 2" xfId="13277"/>
    <cellStyle name="Input [yellow] 3 20 5 3" xfId="24445"/>
    <cellStyle name="Input [yellow] 3 20 5 4" xfId="35610"/>
    <cellStyle name="Input [yellow] 3 20 5 5" xfId="46803"/>
    <cellStyle name="Input [yellow] 3 20 6" xfId="3023"/>
    <cellStyle name="Input [yellow] 3 20 6 2" xfId="14220"/>
    <cellStyle name="Input [yellow] 3 20 6 3" xfId="25388"/>
    <cellStyle name="Input [yellow] 3 20 6 4" xfId="36553"/>
    <cellStyle name="Input [yellow] 3 20 6 5" xfId="47746"/>
    <cellStyle name="Input [yellow] 3 20 7" xfId="3657"/>
    <cellStyle name="Input [yellow] 3 20 7 2" xfId="14854"/>
    <cellStyle name="Input [yellow] 3 20 7 3" xfId="26022"/>
    <cellStyle name="Input [yellow] 3 20 7 4" xfId="37187"/>
    <cellStyle name="Input [yellow] 3 20 7 5" xfId="48380"/>
    <cellStyle name="Input [yellow] 3 20 8" xfId="3032"/>
    <cellStyle name="Input [yellow] 3 20 8 2" xfId="14229"/>
    <cellStyle name="Input [yellow] 3 20 8 3" xfId="25397"/>
    <cellStyle name="Input [yellow] 3 20 8 4" xfId="36562"/>
    <cellStyle name="Input [yellow] 3 20 8 5" xfId="47755"/>
    <cellStyle name="Input [yellow] 3 20 9" xfId="3024"/>
    <cellStyle name="Input [yellow] 3 20 9 2" xfId="14221"/>
    <cellStyle name="Input [yellow] 3 20 9 3" xfId="25389"/>
    <cellStyle name="Input [yellow] 3 20 9 4" xfId="36554"/>
    <cellStyle name="Input [yellow] 3 20 9 5" xfId="47747"/>
    <cellStyle name="Input [yellow] 3 21" xfId="227"/>
    <cellStyle name="Input [yellow] 3 21 10" xfId="5663"/>
    <cellStyle name="Input [yellow] 3 21 10 2" xfId="16860"/>
    <cellStyle name="Input [yellow] 3 21 10 3" xfId="28028"/>
    <cellStyle name="Input [yellow] 3 21 10 4" xfId="39193"/>
    <cellStyle name="Input [yellow] 3 21 10 5" xfId="50386"/>
    <cellStyle name="Input [yellow] 3 21 11" xfId="5624"/>
    <cellStyle name="Input [yellow] 3 21 11 2" xfId="16821"/>
    <cellStyle name="Input [yellow] 3 21 11 3" xfId="27989"/>
    <cellStyle name="Input [yellow] 3 21 11 4" xfId="39154"/>
    <cellStyle name="Input [yellow] 3 21 11 5" xfId="50347"/>
    <cellStyle name="Input [yellow] 3 21 12" xfId="6796"/>
    <cellStyle name="Input [yellow] 3 21 12 2" xfId="17993"/>
    <cellStyle name="Input [yellow] 3 21 12 3" xfId="29161"/>
    <cellStyle name="Input [yellow] 3 21 12 4" xfId="40326"/>
    <cellStyle name="Input [yellow] 3 21 12 5" xfId="51519"/>
    <cellStyle name="Input [yellow] 3 21 13" xfId="7430"/>
    <cellStyle name="Input [yellow] 3 21 13 2" xfId="18627"/>
    <cellStyle name="Input [yellow] 3 21 13 3" xfId="29795"/>
    <cellStyle name="Input [yellow] 3 21 13 4" xfId="40960"/>
    <cellStyle name="Input [yellow] 3 21 13 5" xfId="52153"/>
    <cellStyle name="Input [yellow] 3 21 14" xfId="8064"/>
    <cellStyle name="Input [yellow] 3 21 14 2" xfId="19261"/>
    <cellStyle name="Input [yellow] 3 21 14 3" xfId="30429"/>
    <cellStyle name="Input [yellow] 3 21 14 4" xfId="41594"/>
    <cellStyle name="Input [yellow] 3 21 14 5" xfId="52787"/>
    <cellStyle name="Input [yellow] 3 21 15" xfId="8695"/>
    <cellStyle name="Input [yellow] 3 21 15 2" xfId="19892"/>
    <cellStyle name="Input [yellow] 3 21 15 3" xfId="31060"/>
    <cellStyle name="Input [yellow] 3 21 15 4" xfId="42225"/>
    <cellStyle name="Input [yellow] 3 21 15 5" xfId="53418"/>
    <cellStyle name="Input [yellow] 3 21 16" xfId="8740"/>
    <cellStyle name="Input [yellow] 3 21 16 2" xfId="19937"/>
    <cellStyle name="Input [yellow] 3 21 16 3" xfId="31105"/>
    <cellStyle name="Input [yellow] 3 21 16 4" xfId="42270"/>
    <cellStyle name="Input [yellow] 3 21 16 5" xfId="53463"/>
    <cellStyle name="Input [yellow] 3 21 17" xfId="9746"/>
    <cellStyle name="Input [yellow] 3 21 17 2" xfId="20943"/>
    <cellStyle name="Input [yellow] 3 21 17 3" xfId="32111"/>
    <cellStyle name="Input [yellow] 3 21 17 4" xfId="43276"/>
    <cellStyle name="Input [yellow] 3 21 17 5" xfId="54469"/>
    <cellStyle name="Input [yellow] 3 21 18" xfId="10579"/>
    <cellStyle name="Input [yellow] 3 21 18 2" xfId="21776"/>
    <cellStyle name="Input [yellow] 3 21 18 3" xfId="32944"/>
    <cellStyle name="Input [yellow] 3 21 18 4" xfId="44109"/>
    <cellStyle name="Input [yellow] 3 21 18 5" xfId="55302"/>
    <cellStyle name="Input [yellow] 3 21 19" xfId="10780"/>
    <cellStyle name="Input [yellow] 3 21 19 2" xfId="21977"/>
    <cellStyle name="Input [yellow] 3 21 19 3" xfId="33145"/>
    <cellStyle name="Input [yellow] 3 21 19 4" xfId="44310"/>
    <cellStyle name="Input [yellow] 3 21 19 5" xfId="55503"/>
    <cellStyle name="Input [yellow] 3 21 2" xfId="876"/>
    <cellStyle name="Input [yellow] 3 21 2 2" xfId="12073"/>
    <cellStyle name="Input [yellow] 3 21 2 3" xfId="23241"/>
    <cellStyle name="Input [yellow] 3 21 2 4" xfId="34406"/>
    <cellStyle name="Input [yellow] 3 21 2 5" xfId="45599"/>
    <cellStyle name="Input [yellow] 3 21 20" xfId="11427"/>
    <cellStyle name="Input [yellow] 3 21 21" xfId="22597"/>
    <cellStyle name="Input [yellow] 3 21 22" xfId="33764"/>
    <cellStyle name="Input [yellow] 3 21 23" xfId="44950"/>
    <cellStyle name="Input [yellow] 3 21 3" xfId="1861"/>
    <cellStyle name="Input [yellow] 3 21 3 2" xfId="13058"/>
    <cellStyle name="Input [yellow] 3 21 3 3" xfId="24226"/>
    <cellStyle name="Input [yellow] 3 21 3 4" xfId="35391"/>
    <cellStyle name="Input [yellow] 3 21 3 5" xfId="46584"/>
    <cellStyle name="Input [yellow] 3 21 4" xfId="2153"/>
    <cellStyle name="Input [yellow] 3 21 4 2" xfId="13350"/>
    <cellStyle name="Input [yellow] 3 21 4 3" xfId="24518"/>
    <cellStyle name="Input [yellow] 3 21 4 4" xfId="35683"/>
    <cellStyle name="Input [yellow] 3 21 4 5" xfId="46876"/>
    <cellStyle name="Input [yellow] 3 21 5" xfId="2384"/>
    <cellStyle name="Input [yellow] 3 21 5 2" xfId="13581"/>
    <cellStyle name="Input [yellow] 3 21 5 3" xfId="24749"/>
    <cellStyle name="Input [yellow] 3 21 5 4" xfId="35914"/>
    <cellStyle name="Input [yellow] 3 21 5 5" xfId="47107"/>
    <cellStyle name="Input [yellow] 3 21 6" xfId="3211"/>
    <cellStyle name="Input [yellow] 3 21 6 2" xfId="14408"/>
    <cellStyle name="Input [yellow] 3 21 6 3" xfId="25576"/>
    <cellStyle name="Input [yellow] 3 21 6 4" xfId="36741"/>
    <cellStyle name="Input [yellow] 3 21 6 5" xfId="47934"/>
    <cellStyle name="Input [yellow] 3 21 7" xfId="3845"/>
    <cellStyle name="Input [yellow] 3 21 7 2" xfId="15042"/>
    <cellStyle name="Input [yellow] 3 21 7 3" xfId="26210"/>
    <cellStyle name="Input [yellow] 3 21 7 4" xfId="37375"/>
    <cellStyle name="Input [yellow] 3 21 7 5" xfId="48568"/>
    <cellStyle name="Input [yellow] 3 21 8" xfId="4478"/>
    <cellStyle name="Input [yellow] 3 21 8 2" xfId="15675"/>
    <cellStyle name="Input [yellow] 3 21 8 3" xfId="26843"/>
    <cellStyle name="Input [yellow] 3 21 8 4" xfId="38008"/>
    <cellStyle name="Input [yellow] 3 21 8 5" xfId="49201"/>
    <cellStyle name="Input [yellow] 3 21 9" xfId="5109"/>
    <cellStyle name="Input [yellow] 3 21 9 2" xfId="16306"/>
    <cellStyle name="Input [yellow] 3 21 9 3" xfId="27474"/>
    <cellStyle name="Input [yellow] 3 21 9 4" xfId="38639"/>
    <cellStyle name="Input [yellow] 3 21 9 5" xfId="49832"/>
    <cellStyle name="Input [yellow] 3 22" xfId="261"/>
    <cellStyle name="Input [yellow] 3 22 10" xfId="5965"/>
    <cellStyle name="Input [yellow] 3 22 10 2" xfId="17162"/>
    <cellStyle name="Input [yellow] 3 22 10 3" xfId="28330"/>
    <cellStyle name="Input [yellow] 3 22 10 4" xfId="39495"/>
    <cellStyle name="Input [yellow] 3 22 10 5" xfId="50688"/>
    <cellStyle name="Input [yellow] 3 22 11" xfId="6197"/>
    <cellStyle name="Input [yellow] 3 22 11 2" xfId="17394"/>
    <cellStyle name="Input [yellow] 3 22 11 3" xfId="28562"/>
    <cellStyle name="Input [yellow] 3 22 11 4" xfId="39727"/>
    <cellStyle name="Input [yellow] 3 22 11 5" xfId="50920"/>
    <cellStyle name="Input [yellow] 3 22 12" xfId="6830"/>
    <cellStyle name="Input [yellow] 3 22 12 2" xfId="18027"/>
    <cellStyle name="Input [yellow] 3 22 12 3" xfId="29195"/>
    <cellStyle name="Input [yellow] 3 22 12 4" xfId="40360"/>
    <cellStyle name="Input [yellow] 3 22 12 5" xfId="51553"/>
    <cellStyle name="Input [yellow] 3 22 13" xfId="7464"/>
    <cellStyle name="Input [yellow] 3 22 13 2" xfId="18661"/>
    <cellStyle name="Input [yellow] 3 22 13 3" xfId="29829"/>
    <cellStyle name="Input [yellow] 3 22 13 4" xfId="40994"/>
    <cellStyle name="Input [yellow] 3 22 13 5" xfId="52187"/>
    <cellStyle name="Input [yellow] 3 22 14" xfId="8098"/>
    <cellStyle name="Input [yellow] 3 22 14 2" xfId="19295"/>
    <cellStyle name="Input [yellow] 3 22 14 3" xfId="30463"/>
    <cellStyle name="Input [yellow] 3 22 14 4" xfId="41628"/>
    <cellStyle name="Input [yellow] 3 22 14 5" xfId="52821"/>
    <cellStyle name="Input [yellow] 3 22 15" xfId="8727"/>
    <cellStyle name="Input [yellow] 3 22 15 2" xfId="19924"/>
    <cellStyle name="Input [yellow] 3 22 15 3" xfId="31092"/>
    <cellStyle name="Input [yellow] 3 22 15 4" xfId="42257"/>
    <cellStyle name="Input [yellow] 3 22 15 5" xfId="53450"/>
    <cellStyle name="Input [yellow] 3 22 16" xfId="9149"/>
    <cellStyle name="Input [yellow] 3 22 16 2" xfId="20346"/>
    <cellStyle name="Input [yellow] 3 22 16 3" xfId="31514"/>
    <cellStyle name="Input [yellow] 3 22 16 4" xfId="42679"/>
    <cellStyle name="Input [yellow] 3 22 16 5" xfId="53872"/>
    <cellStyle name="Input [yellow] 3 22 17" xfId="9776"/>
    <cellStyle name="Input [yellow] 3 22 17 2" xfId="20973"/>
    <cellStyle name="Input [yellow] 3 22 17 3" xfId="32141"/>
    <cellStyle name="Input [yellow] 3 22 17 4" xfId="43306"/>
    <cellStyle name="Input [yellow] 3 22 17 5" xfId="54499"/>
    <cellStyle name="Input [yellow] 3 22 18" xfId="10563"/>
    <cellStyle name="Input [yellow] 3 22 18 2" xfId="21760"/>
    <cellStyle name="Input [yellow] 3 22 18 3" xfId="32928"/>
    <cellStyle name="Input [yellow] 3 22 18 4" xfId="44093"/>
    <cellStyle name="Input [yellow] 3 22 18 5" xfId="55286"/>
    <cellStyle name="Input [yellow] 3 22 19" xfId="10814"/>
    <cellStyle name="Input [yellow] 3 22 19 2" xfId="22011"/>
    <cellStyle name="Input [yellow] 3 22 19 3" xfId="33179"/>
    <cellStyle name="Input [yellow] 3 22 19 4" xfId="44344"/>
    <cellStyle name="Input [yellow] 3 22 19 5" xfId="55537"/>
    <cellStyle name="Input [yellow] 3 22 2" xfId="910"/>
    <cellStyle name="Input [yellow] 3 22 2 2" xfId="12107"/>
    <cellStyle name="Input [yellow] 3 22 2 3" xfId="23275"/>
    <cellStyle name="Input [yellow] 3 22 2 4" xfId="34440"/>
    <cellStyle name="Input [yellow] 3 22 2 5" xfId="45633"/>
    <cellStyle name="Input [yellow] 3 22 20" xfId="11461"/>
    <cellStyle name="Input [yellow] 3 22 21" xfId="22631"/>
    <cellStyle name="Input [yellow] 3 22 22" xfId="33798"/>
    <cellStyle name="Input [yellow] 3 22 23" xfId="44984"/>
    <cellStyle name="Input [yellow] 3 22 3" xfId="1872"/>
    <cellStyle name="Input [yellow] 3 22 3 2" xfId="13069"/>
    <cellStyle name="Input [yellow] 3 22 3 3" xfId="24237"/>
    <cellStyle name="Input [yellow] 3 22 3 4" xfId="35402"/>
    <cellStyle name="Input [yellow] 3 22 3 5" xfId="46595"/>
    <cellStyle name="Input [yellow] 3 22 4" xfId="2187"/>
    <cellStyle name="Input [yellow] 3 22 4 2" xfId="13384"/>
    <cellStyle name="Input [yellow] 3 22 4 3" xfId="24552"/>
    <cellStyle name="Input [yellow] 3 22 4 4" xfId="35717"/>
    <cellStyle name="Input [yellow] 3 22 4 5" xfId="46910"/>
    <cellStyle name="Input [yellow] 3 22 5" xfId="2611"/>
    <cellStyle name="Input [yellow] 3 22 5 2" xfId="13808"/>
    <cellStyle name="Input [yellow] 3 22 5 3" xfId="24976"/>
    <cellStyle name="Input [yellow] 3 22 5 4" xfId="36141"/>
    <cellStyle name="Input [yellow] 3 22 5 5" xfId="47334"/>
    <cellStyle name="Input [yellow] 3 22 6" xfId="3245"/>
    <cellStyle name="Input [yellow] 3 22 6 2" xfId="14442"/>
    <cellStyle name="Input [yellow] 3 22 6 3" xfId="25610"/>
    <cellStyle name="Input [yellow] 3 22 6 4" xfId="36775"/>
    <cellStyle name="Input [yellow] 3 22 6 5" xfId="47968"/>
    <cellStyle name="Input [yellow] 3 22 7" xfId="3879"/>
    <cellStyle name="Input [yellow] 3 22 7 2" xfId="15076"/>
    <cellStyle name="Input [yellow] 3 22 7 3" xfId="26244"/>
    <cellStyle name="Input [yellow] 3 22 7 4" xfId="37409"/>
    <cellStyle name="Input [yellow] 3 22 7 5" xfId="48602"/>
    <cellStyle name="Input [yellow] 3 22 8" xfId="4512"/>
    <cellStyle name="Input [yellow] 3 22 8 2" xfId="15709"/>
    <cellStyle name="Input [yellow] 3 22 8 3" xfId="26877"/>
    <cellStyle name="Input [yellow] 3 22 8 4" xfId="38042"/>
    <cellStyle name="Input [yellow] 3 22 8 5" xfId="49235"/>
    <cellStyle name="Input [yellow] 3 22 9" xfId="5143"/>
    <cellStyle name="Input [yellow] 3 22 9 2" xfId="16340"/>
    <cellStyle name="Input [yellow] 3 22 9 3" xfId="27508"/>
    <cellStyle name="Input [yellow] 3 22 9 4" xfId="38673"/>
    <cellStyle name="Input [yellow] 3 22 9 5" xfId="49866"/>
    <cellStyle name="Input [yellow] 3 23" xfId="358"/>
    <cellStyle name="Input [yellow] 3 23 10" xfId="5849"/>
    <cellStyle name="Input [yellow] 3 23 10 2" xfId="17046"/>
    <cellStyle name="Input [yellow] 3 23 10 3" xfId="28214"/>
    <cellStyle name="Input [yellow] 3 23 10 4" xfId="39379"/>
    <cellStyle name="Input [yellow] 3 23 10 5" xfId="50572"/>
    <cellStyle name="Input [yellow] 3 23 11" xfId="6294"/>
    <cellStyle name="Input [yellow] 3 23 11 2" xfId="17491"/>
    <cellStyle name="Input [yellow] 3 23 11 3" xfId="28659"/>
    <cellStyle name="Input [yellow] 3 23 11 4" xfId="39824"/>
    <cellStyle name="Input [yellow] 3 23 11 5" xfId="51017"/>
    <cellStyle name="Input [yellow] 3 23 12" xfId="6927"/>
    <cellStyle name="Input [yellow] 3 23 12 2" xfId="18124"/>
    <cellStyle name="Input [yellow] 3 23 12 3" xfId="29292"/>
    <cellStyle name="Input [yellow] 3 23 12 4" xfId="40457"/>
    <cellStyle name="Input [yellow] 3 23 12 5" xfId="51650"/>
    <cellStyle name="Input [yellow] 3 23 13" xfId="7561"/>
    <cellStyle name="Input [yellow] 3 23 13 2" xfId="18758"/>
    <cellStyle name="Input [yellow] 3 23 13 3" xfId="29926"/>
    <cellStyle name="Input [yellow] 3 23 13 4" xfId="41091"/>
    <cellStyle name="Input [yellow] 3 23 13 5" xfId="52284"/>
    <cellStyle name="Input [yellow] 3 23 14" xfId="8195"/>
    <cellStyle name="Input [yellow] 3 23 14 2" xfId="19392"/>
    <cellStyle name="Input [yellow] 3 23 14 3" xfId="30560"/>
    <cellStyle name="Input [yellow] 3 23 14 4" xfId="41725"/>
    <cellStyle name="Input [yellow] 3 23 14 5" xfId="52918"/>
    <cellStyle name="Input [yellow] 3 23 15" xfId="8824"/>
    <cellStyle name="Input [yellow] 3 23 15 2" xfId="20021"/>
    <cellStyle name="Input [yellow] 3 23 15 3" xfId="31189"/>
    <cellStyle name="Input [yellow] 3 23 15 4" xfId="42354"/>
    <cellStyle name="Input [yellow] 3 23 15 5" xfId="53547"/>
    <cellStyle name="Input [yellow] 3 23 16" xfId="9246"/>
    <cellStyle name="Input [yellow] 3 23 16 2" xfId="20443"/>
    <cellStyle name="Input [yellow] 3 23 16 3" xfId="31611"/>
    <cellStyle name="Input [yellow] 3 23 16 4" xfId="42776"/>
    <cellStyle name="Input [yellow] 3 23 16 5" xfId="53969"/>
    <cellStyle name="Input [yellow] 3 23 17" xfId="9873"/>
    <cellStyle name="Input [yellow] 3 23 17 2" xfId="21070"/>
    <cellStyle name="Input [yellow] 3 23 17 3" xfId="32238"/>
    <cellStyle name="Input [yellow] 3 23 17 4" xfId="43403"/>
    <cellStyle name="Input [yellow] 3 23 17 5" xfId="54596"/>
    <cellStyle name="Input [yellow] 3 23 18" xfId="10060"/>
    <cellStyle name="Input [yellow] 3 23 18 2" xfId="21257"/>
    <cellStyle name="Input [yellow] 3 23 18 3" xfId="32425"/>
    <cellStyle name="Input [yellow] 3 23 18 4" xfId="43590"/>
    <cellStyle name="Input [yellow] 3 23 18 5" xfId="54783"/>
    <cellStyle name="Input [yellow] 3 23 19" xfId="10911"/>
    <cellStyle name="Input [yellow] 3 23 19 2" xfId="22108"/>
    <cellStyle name="Input [yellow] 3 23 19 3" xfId="33276"/>
    <cellStyle name="Input [yellow] 3 23 19 4" xfId="44441"/>
    <cellStyle name="Input [yellow] 3 23 19 5" xfId="55634"/>
    <cellStyle name="Input [yellow] 3 23 2" xfId="1007"/>
    <cellStyle name="Input [yellow] 3 23 2 2" xfId="12204"/>
    <cellStyle name="Input [yellow] 3 23 2 3" xfId="23372"/>
    <cellStyle name="Input [yellow] 3 23 2 4" xfId="34537"/>
    <cellStyle name="Input [yellow] 3 23 2 5" xfId="45730"/>
    <cellStyle name="Input [yellow] 3 23 20" xfId="11558"/>
    <cellStyle name="Input [yellow] 3 23 21" xfId="22728"/>
    <cellStyle name="Input [yellow] 3 23 22" xfId="33895"/>
    <cellStyle name="Input [yellow] 3 23 23" xfId="45081"/>
    <cellStyle name="Input [yellow] 3 23 3" xfId="1510"/>
    <cellStyle name="Input [yellow] 3 23 3 2" xfId="12707"/>
    <cellStyle name="Input [yellow] 3 23 3 3" xfId="23875"/>
    <cellStyle name="Input [yellow] 3 23 3 4" xfId="35040"/>
    <cellStyle name="Input [yellow] 3 23 3 5" xfId="46233"/>
    <cellStyle name="Input [yellow] 3 23 4" xfId="2283"/>
    <cellStyle name="Input [yellow] 3 23 4 2" xfId="13480"/>
    <cellStyle name="Input [yellow] 3 23 4 3" xfId="24648"/>
    <cellStyle name="Input [yellow] 3 23 4 4" xfId="35813"/>
    <cellStyle name="Input [yellow] 3 23 4 5" xfId="47006"/>
    <cellStyle name="Input [yellow] 3 23 5" xfId="2708"/>
    <cellStyle name="Input [yellow] 3 23 5 2" xfId="13905"/>
    <cellStyle name="Input [yellow] 3 23 5 3" xfId="25073"/>
    <cellStyle name="Input [yellow] 3 23 5 4" xfId="36238"/>
    <cellStyle name="Input [yellow] 3 23 5 5" xfId="47431"/>
    <cellStyle name="Input [yellow] 3 23 6" xfId="3342"/>
    <cellStyle name="Input [yellow] 3 23 6 2" xfId="14539"/>
    <cellStyle name="Input [yellow] 3 23 6 3" xfId="25707"/>
    <cellStyle name="Input [yellow] 3 23 6 4" xfId="36872"/>
    <cellStyle name="Input [yellow] 3 23 6 5" xfId="48065"/>
    <cellStyle name="Input [yellow] 3 23 7" xfId="3976"/>
    <cellStyle name="Input [yellow] 3 23 7 2" xfId="15173"/>
    <cellStyle name="Input [yellow] 3 23 7 3" xfId="26341"/>
    <cellStyle name="Input [yellow] 3 23 7 4" xfId="37506"/>
    <cellStyle name="Input [yellow] 3 23 7 5" xfId="48699"/>
    <cellStyle name="Input [yellow] 3 23 8" xfId="4609"/>
    <cellStyle name="Input [yellow] 3 23 8 2" xfId="15806"/>
    <cellStyle name="Input [yellow] 3 23 8 3" xfId="26974"/>
    <cellStyle name="Input [yellow] 3 23 8 4" xfId="38139"/>
    <cellStyle name="Input [yellow] 3 23 8 5" xfId="49332"/>
    <cellStyle name="Input [yellow] 3 23 9" xfId="5240"/>
    <cellStyle name="Input [yellow] 3 23 9 2" xfId="16437"/>
    <cellStyle name="Input [yellow] 3 23 9 3" xfId="27605"/>
    <cellStyle name="Input [yellow] 3 23 9 4" xfId="38770"/>
    <cellStyle name="Input [yellow] 3 23 9 5" xfId="49963"/>
    <cellStyle name="Input [yellow] 3 24" xfId="405"/>
    <cellStyle name="Input [yellow] 3 24 10" xfId="6157"/>
    <cellStyle name="Input [yellow] 3 24 10 2" xfId="17354"/>
    <cellStyle name="Input [yellow] 3 24 10 3" xfId="28522"/>
    <cellStyle name="Input [yellow] 3 24 10 4" xfId="39687"/>
    <cellStyle name="Input [yellow] 3 24 10 5" xfId="50880"/>
    <cellStyle name="Input [yellow] 3 24 11" xfId="6341"/>
    <cellStyle name="Input [yellow] 3 24 11 2" xfId="17538"/>
    <cellStyle name="Input [yellow] 3 24 11 3" xfId="28706"/>
    <cellStyle name="Input [yellow] 3 24 11 4" xfId="39871"/>
    <cellStyle name="Input [yellow] 3 24 11 5" xfId="51064"/>
    <cellStyle name="Input [yellow] 3 24 12" xfId="6974"/>
    <cellStyle name="Input [yellow] 3 24 12 2" xfId="18171"/>
    <cellStyle name="Input [yellow] 3 24 12 3" xfId="29339"/>
    <cellStyle name="Input [yellow] 3 24 12 4" xfId="40504"/>
    <cellStyle name="Input [yellow] 3 24 12 5" xfId="51697"/>
    <cellStyle name="Input [yellow] 3 24 13" xfId="7608"/>
    <cellStyle name="Input [yellow] 3 24 13 2" xfId="18805"/>
    <cellStyle name="Input [yellow] 3 24 13 3" xfId="29973"/>
    <cellStyle name="Input [yellow] 3 24 13 4" xfId="41138"/>
    <cellStyle name="Input [yellow] 3 24 13 5" xfId="52331"/>
    <cellStyle name="Input [yellow] 3 24 14" xfId="8242"/>
    <cellStyle name="Input [yellow] 3 24 14 2" xfId="19439"/>
    <cellStyle name="Input [yellow] 3 24 14 3" xfId="30607"/>
    <cellStyle name="Input [yellow] 3 24 14 4" xfId="41772"/>
    <cellStyle name="Input [yellow] 3 24 14 5" xfId="52965"/>
    <cellStyle name="Input [yellow] 3 24 15" xfId="8870"/>
    <cellStyle name="Input [yellow] 3 24 15 2" xfId="20067"/>
    <cellStyle name="Input [yellow] 3 24 15 3" xfId="31235"/>
    <cellStyle name="Input [yellow] 3 24 15 4" xfId="42400"/>
    <cellStyle name="Input [yellow] 3 24 15 5" xfId="53593"/>
    <cellStyle name="Input [yellow] 3 24 16" xfId="9293"/>
    <cellStyle name="Input [yellow] 3 24 16 2" xfId="20490"/>
    <cellStyle name="Input [yellow] 3 24 16 3" xfId="31658"/>
    <cellStyle name="Input [yellow] 3 24 16 4" xfId="42823"/>
    <cellStyle name="Input [yellow] 3 24 16 5" xfId="54016"/>
    <cellStyle name="Input [yellow] 3 24 17" xfId="9919"/>
    <cellStyle name="Input [yellow] 3 24 17 2" xfId="21116"/>
    <cellStyle name="Input [yellow] 3 24 17 3" xfId="32284"/>
    <cellStyle name="Input [yellow] 3 24 17 4" xfId="43449"/>
    <cellStyle name="Input [yellow] 3 24 17 5" xfId="54642"/>
    <cellStyle name="Input [yellow] 3 24 18" xfId="10569"/>
    <cellStyle name="Input [yellow] 3 24 18 2" xfId="21766"/>
    <cellStyle name="Input [yellow] 3 24 18 3" xfId="32934"/>
    <cellStyle name="Input [yellow] 3 24 18 4" xfId="44099"/>
    <cellStyle name="Input [yellow] 3 24 18 5" xfId="55292"/>
    <cellStyle name="Input [yellow] 3 24 19" xfId="10958"/>
    <cellStyle name="Input [yellow] 3 24 19 2" xfId="22155"/>
    <cellStyle name="Input [yellow] 3 24 19 3" xfId="33323"/>
    <cellStyle name="Input [yellow] 3 24 19 4" xfId="44488"/>
    <cellStyle name="Input [yellow] 3 24 19 5" xfId="55681"/>
    <cellStyle name="Input [yellow] 3 24 2" xfId="1054"/>
    <cellStyle name="Input [yellow] 3 24 2 2" xfId="12251"/>
    <cellStyle name="Input [yellow] 3 24 2 3" xfId="23419"/>
    <cellStyle name="Input [yellow] 3 24 2 4" xfId="34584"/>
    <cellStyle name="Input [yellow] 3 24 2 5" xfId="45777"/>
    <cellStyle name="Input [yellow] 3 24 20" xfId="11605"/>
    <cellStyle name="Input [yellow] 3 24 21" xfId="22775"/>
    <cellStyle name="Input [yellow] 3 24 22" xfId="33942"/>
    <cellStyle name="Input [yellow] 3 24 23" xfId="45128"/>
    <cellStyle name="Input [yellow] 3 24 3" xfId="1888"/>
    <cellStyle name="Input [yellow] 3 24 3 2" xfId="13085"/>
    <cellStyle name="Input [yellow] 3 24 3 3" xfId="24253"/>
    <cellStyle name="Input [yellow] 3 24 3 4" xfId="35418"/>
    <cellStyle name="Input [yellow] 3 24 3 5" xfId="46611"/>
    <cellStyle name="Input [yellow] 3 24 4" xfId="2330"/>
    <cellStyle name="Input [yellow] 3 24 4 2" xfId="13527"/>
    <cellStyle name="Input [yellow] 3 24 4 3" xfId="24695"/>
    <cellStyle name="Input [yellow] 3 24 4 4" xfId="35860"/>
    <cellStyle name="Input [yellow] 3 24 4 5" xfId="47053"/>
    <cellStyle name="Input [yellow] 3 24 5" xfId="2755"/>
    <cellStyle name="Input [yellow] 3 24 5 2" xfId="13952"/>
    <cellStyle name="Input [yellow] 3 24 5 3" xfId="25120"/>
    <cellStyle name="Input [yellow] 3 24 5 4" xfId="36285"/>
    <cellStyle name="Input [yellow] 3 24 5 5" xfId="47478"/>
    <cellStyle name="Input [yellow] 3 24 6" xfId="3389"/>
    <cellStyle name="Input [yellow] 3 24 6 2" xfId="14586"/>
    <cellStyle name="Input [yellow] 3 24 6 3" xfId="25754"/>
    <cellStyle name="Input [yellow] 3 24 6 4" xfId="36919"/>
    <cellStyle name="Input [yellow] 3 24 6 5" xfId="48112"/>
    <cellStyle name="Input [yellow] 3 24 7" xfId="4023"/>
    <cellStyle name="Input [yellow] 3 24 7 2" xfId="15220"/>
    <cellStyle name="Input [yellow] 3 24 7 3" xfId="26388"/>
    <cellStyle name="Input [yellow] 3 24 7 4" xfId="37553"/>
    <cellStyle name="Input [yellow] 3 24 7 5" xfId="48746"/>
    <cellStyle name="Input [yellow] 3 24 8" xfId="4656"/>
    <cellStyle name="Input [yellow] 3 24 8 2" xfId="15853"/>
    <cellStyle name="Input [yellow] 3 24 8 3" xfId="27021"/>
    <cellStyle name="Input [yellow] 3 24 8 4" xfId="38186"/>
    <cellStyle name="Input [yellow] 3 24 8 5" xfId="49379"/>
    <cellStyle name="Input [yellow] 3 24 9" xfId="5287"/>
    <cellStyle name="Input [yellow] 3 24 9 2" xfId="16484"/>
    <cellStyle name="Input [yellow] 3 24 9 3" xfId="27652"/>
    <cellStyle name="Input [yellow] 3 24 9 4" xfId="38817"/>
    <cellStyle name="Input [yellow] 3 24 9 5" xfId="50010"/>
    <cellStyle name="Input [yellow] 3 25" xfId="411"/>
    <cellStyle name="Input [yellow] 3 25 10" xfId="6139"/>
    <cellStyle name="Input [yellow] 3 25 10 2" xfId="17336"/>
    <cellStyle name="Input [yellow] 3 25 10 3" xfId="28504"/>
    <cellStyle name="Input [yellow] 3 25 10 4" xfId="39669"/>
    <cellStyle name="Input [yellow] 3 25 10 5" xfId="50862"/>
    <cellStyle name="Input [yellow] 3 25 11" xfId="6347"/>
    <cellStyle name="Input [yellow] 3 25 11 2" xfId="17544"/>
    <cellStyle name="Input [yellow] 3 25 11 3" xfId="28712"/>
    <cellStyle name="Input [yellow] 3 25 11 4" xfId="39877"/>
    <cellStyle name="Input [yellow] 3 25 11 5" xfId="51070"/>
    <cellStyle name="Input [yellow] 3 25 12" xfId="6980"/>
    <cellStyle name="Input [yellow] 3 25 12 2" xfId="18177"/>
    <cellStyle name="Input [yellow] 3 25 12 3" xfId="29345"/>
    <cellStyle name="Input [yellow] 3 25 12 4" xfId="40510"/>
    <cellStyle name="Input [yellow] 3 25 12 5" xfId="51703"/>
    <cellStyle name="Input [yellow] 3 25 13" xfId="7614"/>
    <cellStyle name="Input [yellow] 3 25 13 2" xfId="18811"/>
    <cellStyle name="Input [yellow] 3 25 13 3" xfId="29979"/>
    <cellStyle name="Input [yellow] 3 25 13 4" xfId="41144"/>
    <cellStyle name="Input [yellow] 3 25 13 5" xfId="52337"/>
    <cellStyle name="Input [yellow] 3 25 14" xfId="8248"/>
    <cellStyle name="Input [yellow] 3 25 14 2" xfId="19445"/>
    <cellStyle name="Input [yellow] 3 25 14 3" xfId="30613"/>
    <cellStyle name="Input [yellow] 3 25 14 4" xfId="41778"/>
    <cellStyle name="Input [yellow] 3 25 14 5" xfId="52971"/>
    <cellStyle name="Input [yellow] 3 25 15" xfId="8876"/>
    <cellStyle name="Input [yellow] 3 25 15 2" xfId="20073"/>
    <cellStyle name="Input [yellow] 3 25 15 3" xfId="31241"/>
    <cellStyle name="Input [yellow] 3 25 15 4" xfId="42406"/>
    <cellStyle name="Input [yellow] 3 25 15 5" xfId="53599"/>
    <cellStyle name="Input [yellow] 3 25 16" xfId="9299"/>
    <cellStyle name="Input [yellow] 3 25 16 2" xfId="20496"/>
    <cellStyle name="Input [yellow] 3 25 16 3" xfId="31664"/>
    <cellStyle name="Input [yellow] 3 25 16 4" xfId="42829"/>
    <cellStyle name="Input [yellow] 3 25 16 5" xfId="54022"/>
    <cellStyle name="Input [yellow] 3 25 17" xfId="9925"/>
    <cellStyle name="Input [yellow] 3 25 17 2" xfId="21122"/>
    <cellStyle name="Input [yellow] 3 25 17 3" xfId="32290"/>
    <cellStyle name="Input [yellow] 3 25 17 4" xfId="43455"/>
    <cellStyle name="Input [yellow] 3 25 17 5" xfId="54648"/>
    <cellStyle name="Input [yellow] 3 25 18" xfId="10292"/>
    <cellStyle name="Input [yellow] 3 25 18 2" xfId="21489"/>
    <cellStyle name="Input [yellow] 3 25 18 3" xfId="32657"/>
    <cellStyle name="Input [yellow] 3 25 18 4" xfId="43822"/>
    <cellStyle name="Input [yellow] 3 25 18 5" xfId="55015"/>
    <cellStyle name="Input [yellow] 3 25 19" xfId="10964"/>
    <cellStyle name="Input [yellow] 3 25 19 2" xfId="22161"/>
    <cellStyle name="Input [yellow] 3 25 19 3" xfId="33329"/>
    <cellStyle name="Input [yellow] 3 25 19 4" xfId="44494"/>
    <cellStyle name="Input [yellow] 3 25 19 5" xfId="55687"/>
    <cellStyle name="Input [yellow] 3 25 2" xfId="1060"/>
    <cellStyle name="Input [yellow] 3 25 2 2" xfId="12257"/>
    <cellStyle name="Input [yellow] 3 25 2 3" xfId="23425"/>
    <cellStyle name="Input [yellow] 3 25 2 4" xfId="34590"/>
    <cellStyle name="Input [yellow] 3 25 2 5" xfId="45783"/>
    <cellStyle name="Input [yellow] 3 25 20" xfId="11611"/>
    <cellStyle name="Input [yellow] 3 25 21" xfId="22781"/>
    <cellStyle name="Input [yellow] 3 25 22" xfId="33948"/>
    <cellStyle name="Input [yellow] 3 25 23" xfId="45134"/>
    <cellStyle name="Input [yellow] 3 25 3" xfId="1619"/>
    <cellStyle name="Input [yellow] 3 25 3 2" xfId="12816"/>
    <cellStyle name="Input [yellow] 3 25 3 3" xfId="23984"/>
    <cellStyle name="Input [yellow] 3 25 3 4" xfId="35149"/>
    <cellStyle name="Input [yellow] 3 25 3 5" xfId="46342"/>
    <cellStyle name="Input [yellow] 3 25 4" xfId="2336"/>
    <cellStyle name="Input [yellow] 3 25 4 2" xfId="13533"/>
    <cellStyle name="Input [yellow] 3 25 4 3" xfId="24701"/>
    <cellStyle name="Input [yellow] 3 25 4 4" xfId="35866"/>
    <cellStyle name="Input [yellow] 3 25 4 5" xfId="47059"/>
    <cellStyle name="Input [yellow] 3 25 5" xfId="2761"/>
    <cellStyle name="Input [yellow] 3 25 5 2" xfId="13958"/>
    <cellStyle name="Input [yellow] 3 25 5 3" xfId="25126"/>
    <cellStyle name="Input [yellow] 3 25 5 4" xfId="36291"/>
    <cellStyle name="Input [yellow] 3 25 5 5" xfId="47484"/>
    <cellStyle name="Input [yellow] 3 25 6" xfId="3395"/>
    <cellStyle name="Input [yellow] 3 25 6 2" xfId="14592"/>
    <cellStyle name="Input [yellow] 3 25 6 3" xfId="25760"/>
    <cellStyle name="Input [yellow] 3 25 6 4" xfId="36925"/>
    <cellStyle name="Input [yellow] 3 25 6 5" xfId="48118"/>
    <cellStyle name="Input [yellow] 3 25 7" xfId="4029"/>
    <cellStyle name="Input [yellow] 3 25 7 2" xfId="15226"/>
    <cellStyle name="Input [yellow] 3 25 7 3" xfId="26394"/>
    <cellStyle name="Input [yellow] 3 25 7 4" xfId="37559"/>
    <cellStyle name="Input [yellow] 3 25 7 5" xfId="48752"/>
    <cellStyle name="Input [yellow] 3 25 8" xfId="4662"/>
    <cellStyle name="Input [yellow] 3 25 8 2" xfId="15859"/>
    <cellStyle name="Input [yellow] 3 25 8 3" xfId="27027"/>
    <cellStyle name="Input [yellow] 3 25 8 4" xfId="38192"/>
    <cellStyle name="Input [yellow] 3 25 8 5" xfId="49385"/>
    <cellStyle name="Input [yellow] 3 25 9" xfId="5293"/>
    <cellStyle name="Input [yellow] 3 25 9 2" xfId="16490"/>
    <cellStyle name="Input [yellow] 3 25 9 3" xfId="27658"/>
    <cellStyle name="Input [yellow] 3 25 9 4" xfId="38823"/>
    <cellStyle name="Input [yellow] 3 25 9 5" xfId="50016"/>
    <cellStyle name="Input [yellow] 3 26" xfId="428"/>
    <cellStyle name="Input [yellow] 3 26 10" xfId="5827"/>
    <cellStyle name="Input [yellow] 3 26 10 2" xfId="17024"/>
    <cellStyle name="Input [yellow] 3 26 10 3" xfId="28192"/>
    <cellStyle name="Input [yellow] 3 26 10 4" xfId="39357"/>
    <cellStyle name="Input [yellow] 3 26 10 5" xfId="50550"/>
    <cellStyle name="Input [yellow] 3 26 11" xfId="6364"/>
    <cellStyle name="Input [yellow] 3 26 11 2" xfId="17561"/>
    <cellStyle name="Input [yellow] 3 26 11 3" xfId="28729"/>
    <cellStyle name="Input [yellow] 3 26 11 4" xfId="39894"/>
    <cellStyle name="Input [yellow] 3 26 11 5" xfId="51087"/>
    <cellStyle name="Input [yellow] 3 26 12" xfId="6997"/>
    <cellStyle name="Input [yellow] 3 26 12 2" xfId="18194"/>
    <cellStyle name="Input [yellow] 3 26 12 3" xfId="29362"/>
    <cellStyle name="Input [yellow] 3 26 12 4" xfId="40527"/>
    <cellStyle name="Input [yellow] 3 26 12 5" xfId="51720"/>
    <cellStyle name="Input [yellow] 3 26 13" xfId="7631"/>
    <cellStyle name="Input [yellow] 3 26 13 2" xfId="18828"/>
    <cellStyle name="Input [yellow] 3 26 13 3" xfId="29996"/>
    <cellStyle name="Input [yellow] 3 26 13 4" xfId="41161"/>
    <cellStyle name="Input [yellow] 3 26 13 5" xfId="52354"/>
    <cellStyle name="Input [yellow] 3 26 14" xfId="8265"/>
    <cellStyle name="Input [yellow] 3 26 14 2" xfId="19462"/>
    <cellStyle name="Input [yellow] 3 26 14 3" xfId="30630"/>
    <cellStyle name="Input [yellow] 3 26 14 4" xfId="41795"/>
    <cellStyle name="Input [yellow] 3 26 14 5" xfId="52988"/>
    <cellStyle name="Input [yellow] 3 26 15" xfId="8893"/>
    <cellStyle name="Input [yellow] 3 26 15 2" xfId="20090"/>
    <cellStyle name="Input [yellow] 3 26 15 3" xfId="31258"/>
    <cellStyle name="Input [yellow] 3 26 15 4" xfId="42423"/>
    <cellStyle name="Input [yellow] 3 26 15 5" xfId="53616"/>
    <cellStyle name="Input [yellow] 3 26 16" xfId="9316"/>
    <cellStyle name="Input [yellow] 3 26 16 2" xfId="20513"/>
    <cellStyle name="Input [yellow] 3 26 16 3" xfId="31681"/>
    <cellStyle name="Input [yellow] 3 26 16 4" xfId="42846"/>
    <cellStyle name="Input [yellow] 3 26 16 5" xfId="54039"/>
    <cellStyle name="Input [yellow] 3 26 17" xfId="9942"/>
    <cellStyle name="Input [yellow] 3 26 17 2" xfId="21139"/>
    <cellStyle name="Input [yellow] 3 26 17 3" xfId="32307"/>
    <cellStyle name="Input [yellow] 3 26 17 4" xfId="43472"/>
    <cellStyle name="Input [yellow] 3 26 17 5" xfId="54665"/>
    <cellStyle name="Input [yellow] 3 26 18" xfId="10373"/>
    <cellStyle name="Input [yellow] 3 26 18 2" xfId="21570"/>
    <cellStyle name="Input [yellow] 3 26 18 3" xfId="32738"/>
    <cellStyle name="Input [yellow] 3 26 18 4" xfId="43903"/>
    <cellStyle name="Input [yellow] 3 26 18 5" xfId="55096"/>
    <cellStyle name="Input [yellow] 3 26 19" xfId="10981"/>
    <cellStyle name="Input [yellow] 3 26 19 2" xfId="22178"/>
    <cellStyle name="Input [yellow] 3 26 19 3" xfId="33346"/>
    <cellStyle name="Input [yellow] 3 26 19 4" xfId="44511"/>
    <cellStyle name="Input [yellow] 3 26 19 5" xfId="55704"/>
    <cellStyle name="Input [yellow] 3 26 2" xfId="1077"/>
    <cellStyle name="Input [yellow] 3 26 2 2" xfId="12274"/>
    <cellStyle name="Input [yellow] 3 26 2 3" xfId="23442"/>
    <cellStyle name="Input [yellow] 3 26 2 4" xfId="34607"/>
    <cellStyle name="Input [yellow] 3 26 2 5" xfId="45800"/>
    <cellStyle name="Input [yellow] 3 26 20" xfId="11628"/>
    <cellStyle name="Input [yellow] 3 26 21" xfId="22798"/>
    <cellStyle name="Input [yellow] 3 26 22" xfId="33965"/>
    <cellStyle name="Input [yellow] 3 26 23" xfId="45151"/>
    <cellStyle name="Input [yellow] 3 26 3" xfId="1375"/>
    <cellStyle name="Input [yellow] 3 26 3 2" xfId="12572"/>
    <cellStyle name="Input [yellow] 3 26 3 3" xfId="23740"/>
    <cellStyle name="Input [yellow] 3 26 3 4" xfId="34905"/>
    <cellStyle name="Input [yellow] 3 26 3 5" xfId="46098"/>
    <cellStyle name="Input [yellow] 3 26 4" xfId="2353"/>
    <cellStyle name="Input [yellow] 3 26 4 2" xfId="13550"/>
    <cellStyle name="Input [yellow] 3 26 4 3" xfId="24718"/>
    <cellStyle name="Input [yellow] 3 26 4 4" xfId="35883"/>
    <cellStyle name="Input [yellow] 3 26 4 5" xfId="47076"/>
    <cellStyle name="Input [yellow] 3 26 5" xfId="2778"/>
    <cellStyle name="Input [yellow] 3 26 5 2" xfId="13975"/>
    <cellStyle name="Input [yellow] 3 26 5 3" xfId="25143"/>
    <cellStyle name="Input [yellow] 3 26 5 4" xfId="36308"/>
    <cellStyle name="Input [yellow] 3 26 5 5" xfId="47501"/>
    <cellStyle name="Input [yellow] 3 26 6" xfId="3412"/>
    <cellStyle name="Input [yellow] 3 26 6 2" xfId="14609"/>
    <cellStyle name="Input [yellow] 3 26 6 3" xfId="25777"/>
    <cellStyle name="Input [yellow] 3 26 6 4" xfId="36942"/>
    <cellStyle name="Input [yellow] 3 26 6 5" xfId="48135"/>
    <cellStyle name="Input [yellow] 3 26 7" xfId="4046"/>
    <cellStyle name="Input [yellow] 3 26 7 2" xfId="15243"/>
    <cellStyle name="Input [yellow] 3 26 7 3" xfId="26411"/>
    <cellStyle name="Input [yellow] 3 26 7 4" xfId="37576"/>
    <cellStyle name="Input [yellow] 3 26 7 5" xfId="48769"/>
    <cellStyle name="Input [yellow] 3 26 8" xfId="4679"/>
    <cellStyle name="Input [yellow] 3 26 8 2" xfId="15876"/>
    <cellStyle name="Input [yellow] 3 26 8 3" xfId="27044"/>
    <cellStyle name="Input [yellow] 3 26 8 4" xfId="38209"/>
    <cellStyle name="Input [yellow] 3 26 8 5" xfId="49402"/>
    <cellStyle name="Input [yellow] 3 26 9" xfId="5310"/>
    <cellStyle name="Input [yellow] 3 26 9 2" xfId="16507"/>
    <cellStyle name="Input [yellow] 3 26 9 3" xfId="27675"/>
    <cellStyle name="Input [yellow] 3 26 9 4" xfId="38840"/>
    <cellStyle name="Input [yellow] 3 26 9 5" xfId="50033"/>
    <cellStyle name="Input [yellow] 3 27" xfId="586"/>
    <cellStyle name="Input [yellow] 3 27 10" xfId="5674"/>
    <cellStyle name="Input [yellow] 3 27 10 2" xfId="16871"/>
    <cellStyle name="Input [yellow] 3 27 10 3" xfId="28039"/>
    <cellStyle name="Input [yellow] 3 27 10 4" xfId="39204"/>
    <cellStyle name="Input [yellow] 3 27 10 5" xfId="50397"/>
    <cellStyle name="Input [yellow] 3 27 11" xfId="6522"/>
    <cellStyle name="Input [yellow] 3 27 11 2" xfId="17719"/>
    <cellStyle name="Input [yellow] 3 27 11 3" xfId="28887"/>
    <cellStyle name="Input [yellow] 3 27 11 4" xfId="40052"/>
    <cellStyle name="Input [yellow] 3 27 11 5" xfId="51245"/>
    <cellStyle name="Input [yellow] 3 27 12" xfId="7155"/>
    <cellStyle name="Input [yellow] 3 27 12 2" xfId="18352"/>
    <cellStyle name="Input [yellow] 3 27 12 3" xfId="29520"/>
    <cellStyle name="Input [yellow] 3 27 12 4" xfId="40685"/>
    <cellStyle name="Input [yellow] 3 27 12 5" xfId="51878"/>
    <cellStyle name="Input [yellow] 3 27 13" xfId="7789"/>
    <cellStyle name="Input [yellow] 3 27 13 2" xfId="18986"/>
    <cellStyle name="Input [yellow] 3 27 13 3" xfId="30154"/>
    <cellStyle name="Input [yellow] 3 27 13 4" xfId="41319"/>
    <cellStyle name="Input [yellow] 3 27 13 5" xfId="52512"/>
    <cellStyle name="Input [yellow] 3 27 14" xfId="8423"/>
    <cellStyle name="Input [yellow] 3 27 14 2" xfId="19620"/>
    <cellStyle name="Input [yellow] 3 27 14 3" xfId="30788"/>
    <cellStyle name="Input [yellow] 3 27 14 4" xfId="41953"/>
    <cellStyle name="Input [yellow] 3 27 14 5" xfId="53146"/>
    <cellStyle name="Input [yellow] 3 27 15" xfId="9051"/>
    <cellStyle name="Input [yellow] 3 27 15 2" xfId="20248"/>
    <cellStyle name="Input [yellow] 3 27 15 3" xfId="31416"/>
    <cellStyle name="Input [yellow] 3 27 15 4" xfId="42581"/>
    <cellStyle name="Input [yellow] 3 27 15 5" xfId="53774"/>
    <cellStyle name="Input [yellow] 3 27 16" xfId="9474"/>
    <cellStyle name="Input [yellow] 3 27 16 2" xfId="20671"/>
    <cellStyle name="Input [yellow] 3 27 16 3" xfId="31839"/>
    <cellStyle name="Input [yellow] 3 27 16 4" xfId="43004"/>
    <cellStyle name="Input [yellow] 3 27 16 5" xfId="54197"/>
    <cellStyle name="Input [yellow] 3 27 17" xfId="10099"/>
    <cellStyle name="Input [yellow] 3 27 17 2" xfId="21296"/>
    <cellStyle name="Input [yellow] 3 27 17 3" xfId="32464"/>
    <cellStyle name="Input [yellow] 3 27 17 4" xfId="43629"/>
    <cellStyle name="Input [yellow] 3 27 17 5" xfId="54822"/>
    <cellStyle name="Input [yellow] 3 27 18" xfId="9901"/>
    <cellStyle name="Input [yellow] 3 27 18 2" xfId="21098"/>
    <cellStyle name="Input [yellow] 3 27 18 3" xfId="32266"/>
    <cellStyle name="Input [yellow] 3 27 18 4" xfId="43431"/>
    <cellStyle name="Input [yellow] 3 27 18 5" xfId="54624"/>
    <cellStyle name="Input [yellow] 3 27 19" xfId="11139"/>
    <cellStyle name="Input [yellow] 3 27 19 2" xfId="22336"/>
    <cellStyle name="Input [yellow] 3 27 19 3" xfId="33504"/>
    <cellStyle name="Input [yellow] 3 27 19 4" xfId="44669"/>
    <cellStyle name="Input [yellow] 3 27 19 5" xfId="55862"/>
    <cellStyle name="Input [yellow] 3 27 2" xfId="1235"/>
    <cellStyle name="Input [yellow] 3 27 2 2" xfId="12432"/>
    <cellStyle name="Input [yellow] 3 27 2 3" xfId="23600"/>
    <cellStyle name="Input [yellow] 3 27 2 4" xfId="34765"/>
    <cellStyle name="Input [yellow] 3 27 2 5" xfId="45958"/>
    <cellStyle name="Input [yellow] 3 27 20" xfId="11786"/>
    <cellStyle name="Input [yellow] 3 27 21" xfId="22956"/>
    <cellStyle name="Input [yellow] 3 27 22" xfId="34123"/>
    <cellStyle name="Input [yellow] 3 27 23" xfId="45309"/>
    <cellStyle name="Input [yellow] 3 27 3" xfId="1877"/>
    <cellStyle name="Input [yellow] 3 27 3 2" xfId="13074"/>
    <cellStyle name="Input [yellow] 3 27 3 3" xfId="24242"/>
    <cellStyle name="Input [yellow] 3 27 3 4" xfId="35407"/>
    <cellStyle name="Input [yellow] 3 27 3 5" xfId="46600"/>
    <cellStyle name="Input [yellow] 3 27 4" xfId="2511"/>
    <cellStyle name="Input [yellow] 3 27 4 2" xfId="13708"/>
    <cellStyle name="Input [yellow] 3 27 4 3" xfId="24876"/>
    <cellStyle name="Input [yellow] 3 27 4 4" xfId="36041"/>
    <cellStyle name="Input [yellow] 3 27 4 5" xfId="47234"/>
    <cellStyle name="Input [yellow] 3 27 5" xfId="2936"/>
    <cellStyle name="Input [yellow] 3 27 5 2" xfId="14133"/>
    <cellStyle name="Input [yellow] 3 27 5 3" xfId="25301"/>
    <cellStyle name="Input [yellow] 3 27 5 4" xfId="36466"/>
    <cellStyle name="Input [yellow] 3 27 5 5" xfId="47659"/>
    <cellStyle name="Input [yellow] 3 27 6" xfId="3570"/>
    <cellStyle name="Input [yellow] 3 27 6 2" xfId="14767"/>
    <cellStyle name="Input [yellow] 3 27 6 3" xfId="25935"/>
    <cellStyle name="Input [yellow] 3 27 6 4" xfId="37100"/>
    <cellStyle name="Input [yellow] 3 27 6 5" xfId="48293"/>
    <cellStyle name="Input [yellow] 3 27 7" xfId="4204"/>
    <cellStyle name="Input [yellow] 3 27 7 2" xfId="15401"/>
    <cellStyle name="Input [yellow] 3 27 7 3" xfId="26569"/>
    <cellStyle name="Input [yellow] 3 27 7 4" xfId="37734"/>
    <cellStyle name="Input [yellow] 3 27 7 5" xfId="48927"/>
    <cellStyle name="Input [yellow] 3 27 8" xfId="4837"/>
    <cellStyle name="Input [yellow] 3 27 8 2" xfId="16034"/>
    <cellStyle name="Input [yellow] 3 27 8 3" xfId="27202"/>
    <cellStyle name="Input [yellow] 3 27 8 4" xfId="38367"/>
    <cellStyle name="Input [yellow] 3 27 8 5" xfId="49560"/>
    <cellStyle name="Input [yellow] 3 27 9" xfId="5468"/>
    <cellStyle name="Input [yellow] 3 27 9 2" xfId="16665"/>
    <cellStyle name="Input [yellow] 3 27 9 3" xfId="27833"/>
    <cellStyle name="Input [yellow] 3 27 9 4" xfId="38998"/>
    <cellStyle name="Input [yellow] 3 27 9 5" xfId="50191"/>
    <cellStyle name="Input [yellow] 3 28" xfId="617"/>
    <cellStyle name="Input [yellow] 3 28 10" xfId="5828"/>
    <cellStyle name="Input [yellow] 3 28 10 2" xfId="17025"/>
    <cellStyle name="Input [yellow] 3 28 10 3" xfId="28193"/>
    <cellStyle name="Input [yellow] 3 28 10 4" xfId="39358"/>
    <cellStyle name="Input [yellow] 3 28 10 5" xfId="50551"/>
    <cellStyle name="Input [yellow] 3 28 11" xfId="6553"/>
    <cellStyle name="Input [yellow] 3 28 11 2" xfId="17750"/>
    <cellStyle name="Input [yellow] 3 28 11 3" xfId="28918"/>
    <cellStyle name="Input [yellow] 3 28 11 4" xfId="40083"/>
    <cellStyle name="Input [yellow] 3 28 11 5" xfId="51276"/>
    <cellStyle name="Input [yellow] 3 28 12" xfId="7186"/>
    <cellStyle name="Input [yellow] 3 28 12 2" xfId="18383"/>
    <cellStyle name="Input [yellow] 3 28 12 3" xfId="29551"/>
    <cellStyle name="Input [yellow] 3 28 12 4" xfId="40716"/>
    <cellStyle name="Input [yellow] 3 28 12 5" xfId="51909"/>
    <cellStyle name="Input [yellow] 3 28 13" xfId="7820"/>
    <cellStyle name="Input [yellow] 3 28 13 2" xfId="19017"/>
    <cellStyle name="Input [yellow] 3 28 13 3" xfId="30185"/>
    <cellStyle name="Input [yellow] 3 28 13 4" xfId="41350"/>
    <cellStyle name="Input [yellow] 3 28 13 5" xfId="52543"/>
    <cellStyle name="Input [yellow] 3 28 14" xfId="8454"/>
    <cellStyle name="Input [yellow] 3 28 14 2" xfId="19651"/>
    <cellStyle name="Input [yellow] 3 28 14 3" xfId="30819"/>
    <cellStyle name="Input [yellow] 3 28 14 4" xfId="41984"/>
    <cellStyle name="Input [yellow] 3 28 14 5" xfId="53177"/>
    <cellStyle name="Input [yellow] 3 28 15" xfId="9082"/>
    <cellStyle name="Input [yellow] 3 28 15 2" xfId="20279"/>
    <cellStyle name="Input [yellow] 3 28 15 3" xfId="31447"/>
    <cellStyle name="Input [yellow] 3 28 15 4" xfId="42612"/>
    <cellStyle name="Input [yellow] 3 28 15 5" xfId="53805"/>
    <cellStyle name="Input [yellow] 3 28 16" xfId="9505"/>
    <cellStyle name="Input [yellow] 3 28 16 2" xfId="20702"/>
    <cellStyle name="Input [yellow] 3 28 16 3" xfId="31870"/>
    <cellStyle name="Input [yellow] 3 28 16 4" xfId="43035"/>
    <cellStyle name="Input [yellow] 3 28 16 5" xfId="54228"/>
    <cellStyle name="Input [yellow] 3 28 17" xfId="10130"/>
    <cellStyle name="Input [yellow] 3 28 17 2" xfId="21327"/>
    <cellStyle name="Input [yellow] 3 28 17 3" xfId="32495"/>
    <cellStyle name="Input [yellow] 3 28 17 4" xfId="43660"/>
    <cellStyle name="Input [yellow] 3 28 17 5" xfId="54853"/>
    <cellStyle name="Input [yellow] 3 28 18" xfId="10209"/>
    <cellStyle name="Input [yellow] 3 28 18 2" xfId="21406"/>
    <cellStyle name="Input [yellow] 3 28 18 3" xfId="32574"/>
    <cellStyle name="Input [yellow] 3 28 18 4" xfId="43739"/>
    <cellStyle name="Input [yellow] 3 28 18 5" xfId="54932"/>
    <cellStyle name="Input [yellow] 3 28 19" xfId="11170"/>
    <cellStyle name="Input [yellow] 3 28 19 2" xfId="22367"/>
    <cellStyle name="Input [yellow] 3 28 19 3" xfId="33535"/>
    <cellStyle name="Input [yellow] 3 28 19 4" xfId="44700"/>
    <cellStyle name="Input [yellow] 3 28 19 5" xfId="55893"/>
    <cellStyle name="Input [yellow] 3 28 2" xfId="1266"/>
    <cellStyle name="Input [yellow] 3 28 2 2" xfId="12463"/>
    <cellStyle name="Input [yellow] 3 28 2 3" xfId="23631"/>
    <cellStyle name="Input [yellow] 3 28 2 4" xfId="34796"/>
    <cellStyle name="Input [yellow] 3 28 2 5" xfId="45989"/>
    <cellStyle name="Input [yellow] 3 28 20" xfId="11817"/>
    <cellStyle name="Input [yellow] 3 28 21" xfId="22987"/>
    <cellStyle name="Input [yellow] 3 28 22" xfId="34154"/>
    <cellStyle name="Input [yellow] 3 28 23" xfId="45340"/>
    <cellStyle name="Input [yellow] 3 28 3" xfId="1503"/>
    <cellStyle name="Input [yellow] 3 28 3 2" xfId="12700"/>
    <cellStyle name="Input [yellow] 3 28 3 3" xfId="23868"/>
    <cellStyle name="Input [yellow] 3 28 3 4" xfId="35033"/>
    <cellStyle name="Input [yellow] 3 28 3 5" xfId="46226"/>
    <cellStyle name="Input [yellow] 3 28 4" xfId="2542"/>
    <cellStyle name="Input [yellow] 3 28 4 2" xfId="13739"/>
    <cellStyle name="Input [yellow] 3 28 4 3" xfId="24907"/>
    <cellStyle name="Input [yellow] 3 28 4 4" xfId="36072"/>
    <cellStyle name="Input [yellow] 3 28 4 5" xfId="47265"/>
    <cellStyle name="Input [yellow] 3 28 5" xfId="2967"/>
    <cellStyle name="Input [yellow] 3 28 5 2" xfId="14164"/>
    <cellStyle name="Input [yellow] 3 28 5 3" xfId="25332"/>
    <cellStyle name="Input [yellow] 3 28 5 4" xfId="36497"/>
    <cellStyle name="Input [yellow] 3 28 5 5" xfId="47690"/>
    <cellStyle name="Input [yellow] 3 28 6" xfId="3601"/>
    <cellStyle name="Input [yellow] 3 28 6 2" xfId="14798"/>
    <cellStyle name="Input [yellow] 3 28 6 3" xfId="25966"/>
    <cellStyle name="Input [yellow] 3 28 6 4" xfId="37131"/>
    <cellStyle name="Input [yellow] 3 28 6 5" xfId="48324"/>
    <cellStyle name="Input [yellow] 3 28 7" xfId="4235"/>
    <cellStyle name="Input [yellow] 3 28 7 2" xfId="15432"/>
    <cellStyle name="Input [yellow] 3 28 7 3" xfId="26600"/>
    <cellStyle name="Input [yellow] 3 28 7 4" xfId="37765"/>
    <cellStyle name="Input [yellow] 3 28 7 5" xfId="48958"/>
    <cellStyle name="Input [yellow] 3 28 8" xfId="4868"/>
    <cellStyle name="Input [yellow] 3 28 8 2" xfId="16065"/>
    <cellStyle name="Input [yellow] 3 28 8 3" xfId="27233"/>
    <cellStyle name="Input [yellow] 3 28 8 4" xfId="38398"/>
    <cellStyle name="Input [yellow] 3 28 8 5" xfId="49591"/>
    <cellStyle name="Input [yellow] 3 28 9" xfId="5499"/>
    <cellStyle name="Input [yellow] 3 28 9 2" xfId="16696"/>
    <cellStyle name="Input [yellow] 3 28 9 3" xfId="27864"/>
    <cellStyle name="Input [yellow] 3 28 9 4" xfId="39029"/>
    <cellStyle name="Input [yellow] 3 28 9 5" xfId="50222"/>
    <cellStyle name="Input [yellow] 3 29" xfId="696"/>
    <cellStyle name="Input [yellow] 3 29 2" xfId="11894"/>
    <cellStyle name="Input [yellow] 3 29 3" xfId="23063"/>
    <cellStyle name="Input [yellow] 3 29 4" xfId="34230"/>
    <cellStyle name="Input [yellow] 3 29 5" xfId="45419"/>
    <cellStyle name="Input [yellow] 3 3" xfId="55"/>
    <cellStyle name="Input [yellow] 3 3 10" xfId="418"/>
    <cellStyle name="Input [yellow] 3 3 10 10" xfId="5579"/>
    <cellStyle name="Input [yellow] 3 3 10 10 2" xfId="16776"/>
    <cellStyle name="Input [yellow] 3 3 10 10 3" xfId="27944"/>
    <cellStyle name="Input [yellow] 3 3 10 10 4" xfId="39109"/>
    <cellStyle name="Input [yellow] 3 3 10 10 5" xfId="50302"/>
    <cellStyle name="Input [yellow] 3 3 10 11" xfId="6354"/>
    <cellStyle name="Input [yellow] 3 3 10 11 2" xfId="17551"/>
    <cellStyle name="Input [yellow] 3 3 10 11 3" xfId="28719"/>
    <cellStyle name="Input [yellow] 3 3 10 11 4" xfId="39884"/>
    <cellStyle name="Input [yellow] 3 3 10 11 5" xfId="51077"/>
    <cellStyle name="Input [yellow] 3 3 10 12" xfId="6987"/>
    <cellStyle name="Input [yellow] 3 3 10 12 2" xfId="18184"/>
    <cellStyle name="Input [yellow] 3 3 10 12 3" xfId="29352"/>
    <cellStyle name="Input [yellow] 3 3 10 12 4" xfId="40517"/>
    <cellStyle name="Input [yellow] 3 3 10 12 5" xfId="51710"/>
    <cellStyle name="Input [yellow] 3 3 10 13" xfId="7621"/>
    <cellStyle name="Input [yellow] 3 3 10 13 2" xfId="18818"/>
    <cellStyle name="Input [yellow] 3 3 10 13 3" xfId="29986"/>
    <cellStyle name="Input [yellow] 3 3 10 13 4" xfId="41151"/>
    <cellStyle name="Input [yellow] 3 3 10 13 5" xfId="52344"/>
    <cellStyle name="Input [yellow] 3 3 10 14" xfId="8255"/>
    <cellStyle name="Input [yellow] 3 3 10 14 2" xfId="19452"/>
    <cellStyle name="Input [yellow] 3 3 10 14 3" xfId="30620"/>
    <cellStyle name="Input [yellow] 3 3 10 14 4" xfId="41785"/>
    <cellStyle name="Input [yellow] 3 3 10 14 5" xfId="52978"/>
    <cellStyle name="Input [yellow] 3 3 10 15" xfId="8883"/>
    <cellStyle name="Input [yellow] 3 3 10 15 2" xfId="20080"/>
    <cellStyle name="Input [yellow] 3 3 10 15 3" xfId="31248"/>
    <cellStyle name="Input [yellow] 3 3 10 15 4" xfId="42413"/>
    <cellStyle name="Input [yellow] 3 3 10 15 5" xfId="53606"/>
    <cellStyle name="Input [yellow] 3 3 10 16" xfId="9306"/>
    <cellStyle name="Input [yellow] 3 3 10 16 2" xfId="20503"/>
    <cellStyle name="Input [yellow] 3 3 10 16 3" xfId="31671"/>
    <cellStyle name="Input [yellow] 3 3 10 16 4" xfId="42836"/>
    <cellStyle name="Input [yellow] 3 3 10 16 5" xfId="54029"/>
    <cellStyle name="Input [yellow] 3 3 10 17" xfId="9932"/>
    <cellStyle name="Input [yellow] 3 3 10 17 2" xfId="21129"/>
    <cellStyle name="Input [yellow] 3 3 10 17 3" xfId="32297"/>
    <cellStyle name="Input [yellow] 3 3 10 17 4" xfId="43462"/>
    <cellStyle name="Input [yellow] 3 3 10 17 5" xfId="54655"/>
    <cellStyle name="Input [yellow] 3 3 10 18" xfId="9655"/>
    <cellStyle name="Input [yellow] 3 3 10 18 2" xfId="20852"/>
    <cellStyle name="Input [yellow] 3 3 10 18 3" xfId="32020"/>
    <cellStyle name="Input [yellow] 3 3 10 18 4" xfId="43185"/>
    <cellStyle name="Input [yellow] 3 3 10 18 5" xfId="54378"/>
    <cellStyle name="Input [yellow] 3 3 10 19" xfId="10971"/>
    <cellStyle name="Input [yellow] 3 3 10 19 2" xfId="22168"/>
    <cellStyle name="Input [yellow] 3 3 10 19 3" xfId="33336"/>
    <cellStyle name="Input [yellow] 3 3 10 19 4" xfId="44501"/>
    <cellStyle name="Input [yellow] 3 3 10 19 5" xfId="55694"/>
    <cellStyle name="Input [yellow] 3 3 10 2" xfId="1067"/>
    <cellStyle name="Input [yellow] 3 3 10 2 2" xfId="12264"/>
    <cellStyle name="Input [yellow] 3 3 10 2 3" xfId="23432"/>
    <cellStyle name="Input [yellow] 3 3 10 2 4" xfId="34597"/>
    <cellStyle name="Input [yellow] 3 3 10 2 5" xfId="45790"/>
    <cellStyle name="Input [yellow] 3 3 10 20" xfId="11618"/>
    <cellStyle name="Input [yellow] 3 3 10 21" xfId="22788"/>
    <cellStyle name="Input [yellow] 3 3 10 22" xfId="33955"/>
    <cellStyle name="Input [yellow] 3 3 10 23" xfId="45141"/>
    <cellStyle name="Input [yellow] 3 3 10 3" xfId="1834"/>
    <cellStyle name="Input [yellow] 3 3 10 3 2" xfId="13031"/>
    <cellStyle name="Input [yellow] 3 3 10 3 3" xfId="24199"/>
    <cellStyle name="Input [yellow] 3 3 10 3 4" xfId="35364"/>
    <cellStyle name="Input [yellow] 3 3 10 3 5" xfId="46557"/>
    <cellStyle name="Input [yellow] 3 3 10 4" xfId="2343"/>
    <cellStyle name="Input [yellow] 3 3 10 4 2" xfId="13540"/>
    <cellStyle name="Input [yellow] 3 3 10 4 3" xfId="24708"/>
    <cellStyle name="Input [yellow] 3 3 10 4 4" xfId="35873"/>
    <cellStyle name="Input [yellow] 3 3 10 4 5" xfId="47066"/>
    <cellStyle name="Input [yellow] 3 3 10 5" xfId="2768"/>
    <cellStyle name="Input [yellow] 3 3 10 5 2" xfId="13965"/>
    <cellStyle name="Input [yellow] 3 3 10 5 3" xfId="25133"/>
    <cellStyle name="Input [yellow] 3 3 10 5 4" xfId="36298"/>
    <cellStyle name="Input [yellow] 3 3 10 5 5" xfId="47491"/>
    <cellStyle name="Input [yellow] 3 3 10 6" xfId="3402"/>
    <cellStyle name="Input [yellow] 3 3 10 6 2" xfId="14599"/>
    <cellStyle name="Input [yellow] 3 3 10 6 3" xfId="25767"/>
    <cellStyle name="Input [yellow] 3 3 10 6 4" xfId="36932"/>
    <cellStyle name="Input [yellow] 3 3 10 6 5" xfId="48125"/>
    <cellStyle name="Input [yellow] 3 3 10 7" xfId="4036"/>
    <cellStyle name="Input [yellow] 3 3 10 7 2" xfId="15233"/>
    <cellStyle name="Input [yellow] 3 3 10 7 3" xfId="26401"/>
    <cellStyle name="Input [yellow] 3 3 10 7 4" xfId="37566"/>
    <cellStyle name="Input [yellow] 3 3 10 7 5" xfId="48759"/>
    <cellStyle name="Input [yellow] 3 3 10 8" xfId="4669"/>
    <cellStyle name="Input [yellow] 3 3 10 8 2" xfId="15866"/>
    <cellStyle name="Input [yellow] 3 3 10 8 3" xfId="27034"/>
    <cellStyle name="Input [yellow] 3 3 10 8 4" xfId="38199"/>
    <cellStyle name="Input [yellow] 3 3 10 8 5" xfId="49392"/>
    <cellStyle name="Input [yellow] 3 3 10 9" xfId="5300"/>
    <cellStyle name="Input [yellow] 3 3 10 9 2" xfId="16497"/>
    <cellStyle name="Input [yellow] 3 3 10 9 3" xfId="27665"/>
    <cellStyle name="Input [yellow] 3 3 10 9 4" xfId="38830"/>
    <cellStyle name="Input [yellow] 3 3 10 9 5" xfId="50023"/>
    <cellStyle name="Input [yellow] 3 3 11" xfId="662"/>
    <cellStyle name="Input [yellow] 3 3 11 10" xfId="5795"/>
    <cellStyle name="Input [yellow] 3 3 11 10 2" xfId="16992"/>
    <cellStyle name="Input [yellow] 3 3 11 10 3" xfId="28160"/>
    <cellStyle name="Input [yellow] 3 3 11 10 4" xfId="39325"/>
    <cellStyle name="Input [yellow] 3 3 11 10 5" xfId="50518"/>
    <cellStyle name="Input [yellow] 3 3 11 11" xfId="6598"/>
    <cellStyle name="Input [yellow] 3 3 11 11 2" xfId="17795"/>
    <cellStyle name="Input [yellow] 3 3 11 11 3" xfId="28963"/>
    <cellStyle name="Input [yellow] 3 3 11 11 4" xfId="40128"/>
    <cellStyle name="Input [yellow] 3 3 11 11 5" xfId="51321"/>
    <cellStyle name="Input [yellow] 3 3 11 12" xfId="7231"/>
    <cellStyle name="Input [yellow] 3 3 11 12 2" xfId="18428"/>
    <cellStyle name="Input [yellow] 3 3 11 12 3" xfId="29596"/>
    <cellStyle name="Input [yellow] 3 3 11 12 4" xfId="40761"/>
    <cellStyle name="Input [yellow] 3 3 11 12 5" xfId="51954"/>
    <cellStyle name="Input [yellow] 3 3 11 13" xfId="7865"/>
    <cellStyle name="Input [yellow] 3 3 11 13 2" xfId="19062"/>
    <cellStyle name="Input [yellow] 3 3 11 13 3" xfId="30230"/>
    <cellStyle name="Input [yellow] 3 3 11 13 4" xfId="41395"/>
    <cellStyle name="Input [yellow] 3 3 11 13 5" xfId="52588"/>
    <cellStyle name="Input [yellow] 3 3 11 14" xfId="8499"/>
    <cellStyle name="Input [yellow] 3 3 11 14 2" xfId="19696"/>
    <cellStyle name="Input [yellow] 3 3 11 14 3" xfId="30864"/>
    <cellStyle name="Input [yellow] 3 3 11 14 4" xfId="42029"/>
    <cellStyle name="Input [yellow] 3 3 11 14 5" xfId="53222"/>
    <cellStyle name="Input [yellow] 3 3 11 15" xfId="9127"/>
    <cellStyle name="Input [yellow] 3 3 11 15 2" xfId="20324"/>
    <cellStyle name="Input [yellow] 3 3 11 15 3" xfId="31492"/>
    <cellStyle name="Input [yellow] 3 3 11 15 4" xfId="42657"/>
    <cellStyle name="Input [yellow] 3 3 11 15 5" xfId="53850"/>
    <cellStyle name="Input [yellow] 3 3 11 16" xfId="9550"/>
    <cellStyle name="Input [yellow] 3 3 11 16 2" xfId="20747"/>
    <cellStyle name="Input [yellow] 3 3 11 16 3" xfId="31915"/>
    <cellStyle name="Input [yellow] 3 3 11 16 4" xfId="43080"/>
    <cellStyle name="Input [yellow] 3 3 11 16 5" xfId="54273"/>
    <cellStyle name="Input [yellow] 3 3 11 17" xfId="10174"/>
    <cellStyle name="Input [yellow] 3 3 11 17 2" xfId="21371"/>
    <cellStyle name="Input [yellow] 3 3 11 17 3" xfId="32539"/>
    <cellStyle name="Input [yellow] 3 3 11 17 4" xfId="43704"/>
    <cellStyle name="Input [yellow] 3 3 11 17 5" xfId="54897"/>
    <cellStyle name="Input [yellow] 3 3 11 18" xfId="10073"/>
    <cellStyle name="Input [yellow] 3 3 11 18 2" xfId="21270"/>
    <cellStyle name="Input [yellow] 3 3 11 18 3" xfId="32438"/>
    <cellStyle name="Input [yellow] 3 3 11 18 4" xfId="43603"/>
    <cellStyle name="Input [yellow] 3 3 11 18 5" xfId="54796"/>
    <cellStyle name="Input [yellow] 3 3 11 19" xfId="11215"/>
    <cellStyle name="Input [yellow] 3 3 11 19 2" xfId="22412"/>
    <cellStyle name="Input [yellow] 3 3 11 19 3" xfId="33580"/>
    <cellStyle name="Input [yellow] 3 3 11 19 4" xfId="44745"/>
    <cellStyle name="Input [yellow] 3 3 11 19 5" xfId="55938"/>
    <cellStyle name="Input [yellow] 3 3 11 2" xfId="1311"/>
    <cellStyle name="Input [yellow] 3 3 11 2 2" xfId="12508"/>
    <cellStyle name="Input [yellow] 3 3 11 2 3" xfId="23676"/>
    <cellStyle name="Input [yellow] 3 3 11 2 4" xfId="34841"/>
    <cellStyle name="Input [yellow] 3 3 11 2 5" xfId="46034"/>
    <cellStyle name="Input [yellow] 3 3 11 20" xfId="11862"/>
    <cellStyle name="Input [yellow] 3 3 11 21" xfId="23032"/>
    <cellStyle name="Input [yellow] 3 3 11 22" xfId="34199"/>
    <cellStyle name="Input [yellow] 3 3 11 23" xfId="45385"/>
    <cellStyle name="Input [yellow] 3 3 11 3" xfId="1432"/>
    <cellStyle name="Input [yellow] 3 3 11 3 2" xfId="12629"/>
    <cellStyle name="Input [yellow] 3 3 11 3 3" xfId="23797"/>
    <cellStyle name="Input [yellow] 3 3 11 3 4" xfId="34962"/>
    <cellStyle name="Input [yellow] 3 3 11 3 5" xfId="46155"/>
    <cellStyle name="Input [yellow] 3 3 11 4" xfId="2587"/>
    <cellStyle name="Input [yellow] 3 3 11 4 2" xfId="13784"/>
    <cellStyle name="Input [yellow] 3 3 11 4 3" xfId="24952"/>
    <cellStyle name="Input [yellow] 3 3 11 4 4" xfId="36117"/>
    <cellStyle name="Input [yellow] 3 3 11 4 5" xfId="47310"/>
    <cellStyle name="Input [yellow] 3 3 11 5" xfId="3012"/>
    <cellStyle name="Input [yellow] 3 3 11 5 2" xfId="14209"/>
    <cellStyle name="Input [yellow] 3 3 11 5 3" xfId="25377"/>
    <cellStyle name="Input [yellow] 3 3 11 5 4" xfId="36542"/>
    <cellStyle name="Input [yellow] 3 3 11 5 5" xfId="47735"/>
    <cellStyle name="Input [yellow] 3 3 11 6" xfId="3646"/>
    <cellStyle name="Input [yellow] 3 3 11 6 2" xfId="14843"/>
    <cellStyle name="Input [yellow] 3 3 11 6 3" xfId="26011"/>
    <cellStyle name="Input [yellow] 3 3 11 6 4" xfId="37176"/>
    <cellStyle name="Input [yellow] 3 3 11 6 5" xfId="48369"/>
    <cellStyle name="Input [yellow] 3 3 11 7" xfId="4280"/>
    <cellStyle name="Input [yellow] 3 3 11 7 2" xfId="15477"/>
    <cellStyle name="Input [yellow] 3 3 11 7 3" xfId="26645"/>
    <cellStyle name="Input [yellow] 3 3 11 7 4" xfId="37810"/>
    <cellStyle name="Input [yellow] 3 3 11 7 5" xfId="49003"/>
    <cellStyle name="Input [yellow] 3 3 11 8" xfId="4913"/>
    <cellStyle name="Input [yellow] 3 3 11 8 2" xfId="16110"/>
    <cellStyle name="Input [yellow] 3 3 11 8 3" xfId="27278"/>
    <cellStyle name="Input [yellow] 3 3 11 8 4" xfId="38443"/>
    <cellStyle name="Input [yellow] 3 3 11 8 5" xfId="49636"/>
    <cellStyle name="Input [yellow] 3 3 11 9" xfId="5544"/>
    <cellStyle name="Input [yellow] 3 3 11 9 2" xfId="16741"/>
    <cellStyle name="Input [yellow] 3 3 11 9 3" xfId="27909"/>
    <cellStyle name="Input [yellow] 3 3 11 9 4" xfId="39074"/>
    <cellStyle name="Input [yellow] 3 3 11 9 5" xfId="50267"/>
    <cellStyle name="Input [yellow] 3 3 12" xfId="705"/>
    <cellStyle name="Input [yellow] 3 3 12 2" xfId="11903"/>
    <cellStyle name="Input [yellow] 3 3 12 3" xfId="23072"/>
    <cellStyle name="Input [yellow] 3 3 12 4" xfId="34237"/>
    <cellStyle name="Input [yellow] 3 3 12 5" xfId="45428"/>
    <cellStyle name="Input [yellow] 3 3 13" xfId="1761"/>
    <cellStyle name="Input [yellow] 3 3 13 2" xfId="12958"/>
    <cellStyle name="Input [yellow] 3 3 13 3" xfId="24126"/>
    <cellStyle name="Input [yellow] 3 3 13 4" xfId="35291"/>
    <cellStyle name="Input [yellow] 3 3 13 5" xfId="46484"/>
    <cellStyle name="Input [yellow] 3 3 14" xfId="1981"/>
    <cellStyle name="Input [yellow] 3 3 14 2" xfId="13178"/>
    <cellStyle name="Input [yellow] 3 3 14 3" xfId="24346"/>
    <cellStyle name="Input [yellow] 3 3 14 4" xfId="35511"/>
    <cellStyle name="Input [yellow] 3 3 14 5" xfId="46704"/>
    <cellStyle name="Input [yellow] 3 3 15" xfId="2349"/>
    <cellStyle name="Input [yellow] 3 3 15 2" xfId="13546"/>
    <cellStyle name="Input [yellow] 3 3 15 3" xfId="24714"/>
    <cellStyle name="Input [yellow] 3 3 15 4" xfId="35879"/>
    <cellStyle name="Input [yellow] 3 3 15 5" xfId="47072"/>
    <cellStyle name="Input [yellow] 3 3 16" xfId="3039"/>
    <cellStyle name="Input [yellow] 3 3 16 2" xfId="14236"/>
    <cellStyle name="Input [yellow] 3 3 16 3" xfId="25404"/>
    <cellStyle name="Input [yellow] 3 3 16 4" xfId="36569"/>
    <cellStyle name="Input [yellow] 3 3 16 5" xfId="47762"/>
    <cellStyle name="Input [yellow] 3 3 17" xfId="3674"/>
    <cellStyle name="Input [yellow] 3 3 17 2" xfId="14871"/>
    <cellStyle name="Input [yellow] 3 3 17 3" xfId="26039"/>
    <cellStyle name="Input [yellow] 3 3 17 4" xfId="37204"/>
    <cellStyle name="Input [yellow] 3 3 17 5" xfId="48397"/>
    <cellStyle name="Input [yellow] 3 3 18" xfId="4306"/>
    <cellStyle name="Input [yellow] 3 3 18 2" xfId="15503"/>
    <cellStyle name="Input [yellow] 3 3 18 3" xfId="26671"/>
    <cellStyle name="Input [yellow] 3 3 18 4" xfId="37836"/>
    <cellStyle name="Input [yellow] 3 3 18 5" xfId="49029"/>
    <cellStyle name="Input [yellow] 3 3 19" xfId="4939"/>
    <cellStyle name="Input [yellow] 3 3 19 2" xfId="16136"/>
    <cellStyle name="Input [yellow] 3 3 19 3" xfId="27304"/>
    <cellStyle name="Input [yellow] 3 3 19 4" xfId="38469"/>
    <cellStyle name="Input [yellow] 3 3 19 5" xfId="49662"/>
    <cellStyle name="Input [yellow] 3 3 2" xfId="120"/>
    <cellStyle name="Input [yellow] 3 3 2 10" xfId="5776"/>
    <cellStyle name="Input [yellow] 3 3 2 10 2" xfId="16973"/>
    <cellStyle name="Input [yellow] 3 3 2 10 3" xfId="28141"/>
    <cellStyle name="Input [yellow] 3 3 2 10 4" xfId="39306"/>
    <cellStyle name="Input [yellow] 3 3 2 10 5" xfId="50499"/>
    <cellStyle name="Input [yellow] 3 3 2 11" xfId="5611"/>
    <cellStyle name="Input [yellow] 3 3 2 11 2" xfId="16808"/>
    <cellStyle name="Input [yellow] 3 3 2 11 3" xfId="27976"/>
    <cellStyle name="Input [yellow] 3 3 2 11 4" xfId="39141"/>
    <cellStyle name="Input [yellow] 3 3 2 11 5" xfId="50334"/>
    <cellStyle name="Input [yellow] 3 3 2 12" xfId="6689"/>
    <cellStyle name="Input [yellow] 3 3 2 12 2" xfId="17886"/>
    <cellStyle name="Input [yellow] 3 3 2 12 3" xfId="29054"/>
    <cellStyle name="Input [yellow] 3 3 2 12 4" xfId="40219"/>
    <cellStyle name="Input [yellow] 3 3 2 12 5" xfId="51412"/>
    <cellStyle name="Input [yellow] 3 3 2 13" xfId="7323"/>
    <cellStyle name="Input [yellow] 3 3 2 13 2" xfId="18520"/>
    <cellStyle name="Input [yellow] 3 3 2 13 3" xfId="29688"/>
    <cellStyle name="Input [yellow] 3 3 2 13 4" xfId="40853"/>
    <cellStyle name="Input [yellow] 3 3 2 13 5" xfId="52046"/>
    <cellStyle name="Input [yellow] 3 3 2 14" xfId="7957"/>
    <cellStyle name="Input [yellow] 3 3 2 14 2" xfId="19154"/>
    <cellStyle name="Input [yellow] 3 3 2 14 3" xfId="30322"/>
    <cellStyle name="Input [yellow] 3 3 2 14 4" xfId="41487"/>
    <cellStyle name="Input [yellow] 3 3 2 14 5" xfId="52680"/>
    <cellStyle name="Input [yellow] 3 3 2 15" xfId="8588"/>
    <cellStyle name="Input [yellow] 3 3 2 15 2" xfId="19785"/>
    <cellStyle name="Input [yellow] 3 3 2 15 3" xfId="30953"/>
    <cellStyle name="Input [yellow] 3 3 2 15 4" xfId="42118"/>
    <cellStyle name="Input [yellow] 3 3 2 15 5" xfId="53311"/>
    <cellStyle name="Input [yellow] 3 3 2 16" xfId="9048"/>
    <cellStyle name="Input [yellow] 3 3 2 16 2" xfId="20245"/>
    <cellStyle name="Input [yellow] 3 3 2 16 3" xfId="31413"/>
    <cellStyle name="Input [yellow] 3 3 2 16 4" xfId="42578"/>
    <cellStyle name="Input [yellow] 3 3 2 16 5" xfId="53771"/>
    <cellStyle name="Input [yellow] 3 3 2 17" xfId="9641"/>
    <cellStyle name="Input [yellow] 3 3 2 17 2" xfId="20838"/>
    <cellStyle name="Input [yellow] 3 3 2 17 3" xfId="32006"/>
    <cellStyle name="Input [yellow] 3 3 2 17 4" xfId="43171"/>
    <cellStyle name="Input [yellow] 3 3 2 17 5" xfId="54364"/>
    <cellStyle name="Input [yellow] 3 3 2 18" xfId="10390"/>
    <cellStyle name="Input [yellow] 3 3 2 18 2" xfId="21587"/>
    <cellStyle name="Input [yellow] 3 3 2 18 3" xfId="32755"/>
    <cellStyle name="Input [yellow] 3 3 2 18 4" xfId="43920"/>
    <cellStyle name="Input [yellow] 3 3 2 18 5" xfId="55113"/>
    <cellStyle name="Input [yellow] 3 3 2 19" xfId="10673"/>
    <cellStyle name="Input [yellow] 3 3 2 19 2" xfId="21870"/>
    <cellStyle name="Input [yellow] 3 3 2 19 3" xfId="33038"/>
    <cellStyle name="Input [yellow] 3 3 2 19 4" xfId="44203"/>
    <cellStyle name="Input [yellow] 3 3 2 19 5" xfId="55396"/>
    <cellStyle name="Input [yellow] 3 3 2 2" xfId="769"/>
    <cellStyle name="Input [yellow] 3 3 2 2 2" xfId="11966"/>
    <cellStyle name="Input [yellow] 3 3 2 2 3" xfId="23134"/>
    <cellStyle name="Input [yellow] 3 3 2 2 4" xfId="34299"/>
    <cellStyle name="Input [yellow] 3 3 2 2 5" xfId="45492"/>
    <cellStyle name="Input [yellow] 3 3 2 20" xfId="11320"/>
    <cellStyle name="Input [yellow] 3 3 2 21" xfId="22490"/>
    <cellStyle name="Input [yellow] 3 3 2 22" xfId="33657"/>
    <cellStyle name="Input [yellow] 3 3 2 23" xfId="44843"/>
    <cellStyle name="Input [yellow] 3 3 2 3" xfId="1691"/>
    <cellStyle name="Input [yellow] 3 3 2 3 2" xfId="12888"/>
    <cellStyle name="Input [yellow] 3 3 2 3 3" xfId="24056"/>
    <cellStyle name="Input [yellow] 3 3 2 3 4" xfId="35221"/>
    <cellStyle name="Input [yellow] 3 3 2 3 5" xfId="46414"/>
    <cellStyle name="Input [yellow] 3 3 2 4" xfId="2046"/>
    <cellStyle name="Input [yellow] 3 3 2 4 2" xfId="13243"/>
    <cellStyle name="Input [yellow] 3 3 2 4 3" xfId="24411"/>
    <cellStyle name="Input [yellow] 3 3 2 4 4" xfId="35576"/>
    <cellStyle name="Input [yellow] 3 3 2 4 5" xfId="46769"/>
    <cellStyle name="Input [yellow] 3 3 2 5" xfId="2390"/>
    <cellStyle name="Input [yellow] 3 3 2 5 2" xfId="13587"/>
    <cellStyle name="Input [yellow] 3 3 2 5 3" xfId="24755"/>
    <cellStyle name="Input [yellow] 3 3 2 5 4" xfId="35920"/>
    <cellStyle name="Input [yellow] 3 3 2 5 5" xfId="47113"/>
    <cellStyle name="Input [yellow] 3 3 2 6" xfId="3104"/>
    <cellStyle name="Input [yellow] 3 3 2 6 2" xfId="14301"/>
    <cellStyle name="Input [yellow] 3 3 2 6 3" xfId="25469"/>
    <cellStyle name="Input [yellow] 3 3 2 6 4" xfId="36634"/>
    <cellStyle name="Input [yellow] 3 3 2 6 5" xfId="47827"/>
    <cellStyle name="Input [yellow] 3 3 2 7" xfId="3738"/>
    <cellStyle name="Input [yellow] 3 3 2 7 2" xfId="14935"/>
    <cellStyle name="Input [yellow] 3 3 2 7 3" xfId="26103"/>
    <cellStyle name="Input [yellow] 3 3 2 7 4" xfId="37268"/>
    <cellStyle name="Input [yellow] 3 3 2 7 5" xfId="48461"/>
    <cellStyle name="Input [yellow] 3 3 2 8" xfId="4371"/>
    <cellStyle name="Input [yellow] 3 3 2 8 2" xfId="15568"/>
    <cellStyle name="Input [yellow] 3 3 2 8 3" xfId="26736"/>
    <cellStyle name="Input [yellow] 3 3 2 8 4" xfId="37901"/>
    <cellStyle name="Input [yellow] 3 3 2 8 5" xfId="49094"/>
    <cellStyle name="Input [yellow] 3 3 2 9" xfId="5002"/>
    <cellStyle name="Input [yellow] 3 3 2 9 2" xfId="16199"/>
    <cellStyle name="Input [yellow] 3 3 2 9 3" xfId="27367"/>
    <cellStyle name="Input [yellow] 3 3 2 9 4" xfId="38532"/>
    <cellStyle name="Input [yellow] 3 3 2 9 5" xfId="49725"/>
    <cellStyle name="Input [yellow] 3 3 20" xfId="5867"/>
    <cellStyle name="Input [yellow] 3 3 20 2" xfId="17064"/>
    <cellStyle name="Input [yellow] 3 3 20 3" xfId="28232"/>
    <cellStyle name="Input [yellow] 3 3 20 4" xfId="39397"/>
    <cellStyle name="Input [yellow] 3 3 20 5" xfId="50590"/>
    <cellStyle name="Input [yellow] 3 3 21" xfId="5571"/>
    <cellStyle name="Input [yellow] 3 3 21 2" xfId="16768"/>
    <cellStyle name="Input [yellow] 3 3 21 3" xfId="27936"/>
    <cellStyle name="Input [yellow] 3 3 21 4" xfId="39101"/>
    <cellStyle name="Input [yellow] 3 3 21 5" xfId="50294"/>
    <cellStyle name="Input [yellow] 3 3 22" xfId="6626"/>
    <cellStyle name="Input [yellow] 3 3 22 2" xfId="17823"/>
    <cellStyle name="Input [yellow] 3 3 22 3" xfId="28991"/>
    <cellStyle name="Input [yellow] 3 3 22 4" xfId="40156"/>
    <cellStyle name="Input [yellow] 3 3 22 5" xfId="51349"/>
    <cellStyle name="Input [yellow] 3 3 23" xfId="7258"/>
    <cellStyle name="Input [yellow] 3 3 23 2" xfId="18455"/>
    <cellStyle name="Input [yellow] 3 3 23 3" xfId="29623"/>
    <cellStyle name="Input [yellow] 3 3 23 4" xfId="40788"/>
    <cellStyle name="Input [yellow] 3 3 23 5" xfId="51981"/>
    <cellStyle name="Input [yellow] 3 3 24" xfId="7892"/>
    <cellStyle name="Input [yellow] 3 3 24 2" xfId="19089"/>
    <cellStyle name="Input [yellow] 3 3 24 3" xfId="30257"/>
    <cellStyle name="Input [yellow] 3 3 24 4" xfId="41422"/>
    <cellStyle name="Input [yellow] 3 3 24 5" xfId="52615"/>
    <cellStyle name="Input [yellow] 3 3 25" xfId="8525"/>
    <cellStyle name="Input [yellow] 3 3 25 2" xfId="19722"/>
    <cellStyle name="Input [yellow] 3 3 25 3" xfId="30890"/>
    <cellStyle name="Input [yellow] 3 3 25 4" xfId="42055"/>
    <cellStyle name="Input [yellow] 3 3 25 5" xfId="53248"/>
    <cellStyle name="Input [yellow] 3 3 26" xfId="8541"/>
    <cellStyle name="Input [yellow] 3 3 26 2" xfId="19738"/>
    <cellStyle name="Input [yellow] 3 3 26 3" xfId="30906"/>
    <cellStyle name="Input [yellow] 3 3 26 4" xfId="42071"/>
    <cellStyle name="Input [yellow] 3 3 26 5" xfId="53264"/>
    <cellStyle name="Input [yellow] 3 3 27" xfId="9577"/>
    <cellStyle name="Input [yellow] 3 3 27 2" xfId="20774"/>
    <cellStyle name="Input [yellow] 3 3 27 3" xfId="31942"/>
    <cellStyle name="Input [yellow] 3 3 27 4" xfId="43107"/>
    <cellStyle name="Input [yellow] 3 3 27 5" xfId="54300"/>
    <cellStyle name="Input [yellow] 3 3 28" xfId="10465"/>
    <cellStyle name="Input [yellow] 3 3 28 2" xfId="21662"/>
    <cellStyle name="Input [yellow] 3 3 28 3" xfId="32830"/>
    <cellStyle name="Input [yellow] 3 3 28 4" xfId="43995"/>
    <cellStyle name="Input [yellow] 3 3 28 5" xfId="55188"/>
    <cellStyle name="Input [yellow] 3 3 29" xfId="10611"/>
    <cellStyle name="Input [yellow] 3 3 29 2" xfId="21808"/>
    <cellStyle name="Input [yellow] 3 3 29 3" xfId="32976"/>
    <cellStyle name="Input [yellow] 3 3 29 4" xfId="44141"/>
    <cellStyle name="Input [yellow] 3 3 29 5" xfId="55334"/>
    <cellStyle name="Input [yellow] 3 3 3" xfId="176"/>
    <cellStyle name="Input [yellow] 3 3 3 10" xfId="5914"/>
    <cellStyle name="Input [yellow] 3 3 3 10 2" xfId="17111"/>
    <cellStyle name="Input [yellow] 3 3 3 10 3" xfId="28279"/>
    <cellStyle name="Input [yellow] 3 3 3 10 4" xfId="39444"/>
    <cellStyle name="Input [yellow] 3 3 3 10 5" xfId="50637"/>
    <cellStyle name="Input [yellow] 3 3 3 11" xfId="2062"/>
    <cellStyle name="Input [yellow] 3 3 3 11 2" xfId="13259"/>
    <cellStyle name="Input [yellow] 3 3 3 11 3" xfId="24427"/>
    <cellStyle name="Input [yellow] 3 3 3 11 4" xfId="35592"/>
    <cellStyle name="Input [yellow] 3 3 3 11 5" xfId="46785"/>
    <cellStyle name="Input [yellow] 3 3 3 12" xfId="6745"/>
    <cellStyle name="Input [yellow] 3 3 3 12 2" xfId="17942"/>
    <cellStyle name="Input [yellow] 3 3 3 12 3" xfId="29110"/>
    <cellStyle name="Input [yellow] 3 3 3 12 4" xfId="40275"/>
    <cellStyle name="Input [yellow] 3 3 3 12 5" xfId="51468"/>
    <cellStyle name="Input [yellow] 3 3 3 13" xfId="7379"/>
    <cellStyle name="Input [yellow] 3 3 3 13 2" xfId="18576"/>
    <cellStyle name="Input [yellow] 3 3 3 13 3" xfId="29744"/>
    <cellStyle name="Input [yellow] 3 3 3 13 4" xfId="40909"/>
    <cellStyle name="Input [yellow] 3 3 3 13 5" xfId="52102"/>
    <cellStyle name="Input [yellow] 3 3 3 14" xfId="8013"/>
    <cellStyle name="Input [yellow] 3 3 3 14 2" xfId="19210"/>
    <cellStyle name="Input [yellow] 3 3 3 14 3" xfId="30378"/>
    <cellStyle name="Input [yellow] 3 3 3 14 4" xfId="41543"/>
    <cellStyle name="Input [yellow] 3 3 3 14 5" xfId="52736"/>
    <cellStyle name="Input [yellow] 3 3 3 15" xfId="8644"/>
    <cellStyle name="Input [yellow] 3 3 3 15 2" xfId="19841"/>
    <cellStyle name="Input [yellow] 3 3 3 15 3" xfId="31009"/>
    <cellStyle name="Input [yellow] 3 3 3 15 4" xfId="42174"/>
    <cellStyle name="Input [yellow] 3 3 3 15 5" xfId="53367"/>
    <cellStyle name="Input [yellow] 3 3 3 16" xfId="9062"/>
    <cellStyle name="Input [yellow] 3 3 3 16 2" xfId="20259"/>
    <cellStyle name="Input [yellow] 3 3 3 16 3" xfId="31427"/>
    <cellStyle name="Input [yellow] 3 3 3 16 4" xfId="42592"/>
    <cellStyle name="Input [yellow] 3 3 3 16 5" xfId="53785"/>
    <cellStyle name="Input [yellow] 3 3 3 17" xfId="9696"/>
    <cellStyle name="Input [yellow] 3 3 3 17 2" xfId="20893"/>
    <cellStyle name="Input [yellow] 3 3 3 17 3" xfId="32061"/>
    <cellStyle name="Input [yellow] 3 3 3 17 4" xfId="43226"/>
    <cellStyle name="Input [yellow] 3 3 3 17 5" xfId="54419"/>
    <cellStyle name="Input [yellow] 3 3 3 18" xfId="10431"/>
    <cellStyle name="Input [yellow] 3 3 3 18 2" xfId="21628"/>
    <cellStyle name="Input [yellow] 3 3 3 18 3" xfId="32796"/>
    <cellStyle name="Input [yellow] 3 3 3 18 4" xfId="43961"/>
    <cellStyle name="Input [yellow] 3 3 3 18 5" xfId="55154"/>
    <cellStyle name="Input [yellow] 3 3 3 19" xfId="10729"/>
    <cellStyle name="Input [yellow] 3 3 3 19 2" xfId="21926"/>
    <cellStyle name="Input [yellow] 3 3 3 19 3" xfId="33094"/>
    <cellStyle name="Input [yellow] 3 3 3 19 4" xfId="44259"/>
    <cellStyle name="Input [yellow] 3 3 3 19 5" xfId="55452"/>
    <cellStyle name="Input [yellow] 3 3 3 2" xfId="825"/>
    <cellStyle name="Input [yellow] 3 3 3 2 2" xfId="12022"/>
    <cellStyle name="Input [yellow] 3 3 3 2 3" xfId="23190"/>
    <cellStyle name="Input [yellow] 3 3 3 2 4" xfId="34355"/>
    <cellStyle name="Input [yellow] 3 3 3 2 5" xfId="45548"/>
    <cellStyle name="Input [yellow] 3 3 3 20" xfId="11376"/>
    <cellStyle name="Input [yellow] 3 3 3 21" xfId="22546"/>
    <cellStyle name="Input [yellow] 3 3 3 22" xfId="33713"/>
    <cellStyle name="Input [yellow] 3 3 3 23" xfId="44899"/>
    <cellStyle name="Input [yellow] 3 3 3 3" xfId="1728"/>
    <cellStyle name="Input [yellow] 3 3 3 3 2" xfId="12925"/>
    <cellStyle name="Input [yellow] 3 3 3 3 3" xfId="24093"/>
    <cellStyle name="Input [yellow] 3 3 3 3 4" xfId="35258"/>
    <cellStyle name="Input [yellow] 3 3 3 3 5" xfId="46451"/>
    <cellStyle name="Input [yellow] 3 3 3 4" xfId="2102"/>
    <cellStyle name="Input [yellow] 3 3 3 4 2" xfId="13299"/>
    <cellStyle name="Input [yellow] 3 3 3 4 3" xfId="24467"/>
    <cellStyle name="Input [yellow] 3 3 3 4 4" xfId="35632"/>
    <cellStyle name="Input [yellow] 3 3 3 4 5" xfId="46825"/>
    <cellStyle name="Input [yellow] 3 3 3 5" xfId="2433"/>
    <cellStyle name="Input [yellow] 3 3 3 5 2" xfId="13630"/>
    <cellStyle name="Input [yellow] 3 3 3 5 3" xfId="24798"/>
    <cellStyle name="Input [yellow] 3 3 3 5 4" xfId="35963"/>
    <cellStyle name="Input [yellow] 3 3 3 5 5" xfId="47156"/>
    <cellStyle name="Input [yellow] 3 3 3 6" xfId="3160"/>
    <cellStyle name="Input [yellow] 3 3 3 6 2" xfId="14357"/>
    <cellStyle name="Input [yellow] 3 3 3 6 3" xfId="25525"/>
    <cellStyle name="Input [yellow] 3 3 3 6 4" xfId="36690"/>
    <cellStyle name="Input [yellow] 3 3 3 6 5" xfId="47883"/>
    <cellStyle name="Input [yellow] 3 3 3 7" xfId="3794"/>
    <cellStyle name="Input [yellow] 3 3 3 7 2" xfId="14991"/>
    <cellStyle name="Input [yellow] 3 3 3 7 3" xfId="26159"/>
    <cellStyle name="Input [yellow] 3 3 3 7 4" xfId="37324"/>
    <cellStyle name="Input [yellow] 3 3 3 7 5" xfId="48517"/>
    <cellStyle name="Input [yellow] 3 3 3 8" xfId="4427"/>
    <cellStyle name="Input [yellow] 3 3 3 8 2" xfId="15624"/>
    <cellStyle name="Input [yellow] 3 3 3 8 3" xfId="26792"/>
    <cellStyle name="Input [yellow] 3 3 3 8 4" xfId="37957"/>
    <cellStyle name="Input [yellow] 3 3 3 8 5" xfId="49150"/>
    <cellStyle name="Input [yellow] 3 3 3 9" xfId="5058"/>
    <cellStyle name="Input [yellow] 3 3 3 9 2" xfId="16255"/>
    <cellStyle name="Input [yellow] 3 3 3 9 3" xfId="27423"/>
    <cellStyle name="Input [yellow] 3 3 3 9 4" xfId="38588"/>
    <cellStyle name="Input [yellow] 3 3 3 9 5" xfId="49781"/>
    <cellStyle name="Input [yellow] 3 3 30" xfId="11256"/>
    <cellStyle name="Input [yellow] 3 3 31" xfId="22428"/>
    <cellStyle name="Input [yellow] 3 3 32" xfId="33595"/>
    <cellStyle name="Input [yellow] 3 3 33" xfId="44779"/>
    <cellStyle name="Input [yellow] 3 3 4" xfId="235"/>
    <cellStyle name="Input [yellow] 3 3 4 10" xfId="5841"/>
    <cellStyle name="Input [yellow] 3 3 4 10 2" xfId="17038"/>
    <cellStyle name="Input [yellow] 3 3 4 10 3" xfId="28206"/>
    <cellStyle name="Input [yellow] 3 3 4 10 4" xfId="39371"/>
    <cellStyle name="Input [yellow] 3 3 4 10 5" xfId="50564"/>
    <cellStyle name="Input [yellow] 3 3 4 11" xfId="5721"/>
    <cellStyle name="Input [yellow] 3 3 4 11 2" xfId="16918"/>
    <cellStyle name="Input [yellow] 3 3 4 11 3" xfId="28086"/>
    <cellStyle name="Input [yellow] 3 3 4 11 4" xfId="39251"/>
    <cellStyle name="Input [yellow] 3 3 4 11 5" xfId="50444"/>
    <cellStyle name="Input [yellow] 3 3 4 12" xfId="6804"/>
    <cellStyle name="Input [yellow] 3 3 4 12 2" xfId="18001"/>
    <cellStyle name="Input [yellow] 3 3 4 12 3" xfId="29169"/>
    <cellStyle name="Input [yellow] 3 3 4 12 4" xfId="40334"/>
    <cellStyle name="Input [yellow] 3 3 4 12 5" xfId="51527"/>
    <cellStyle name="Input [yellow] 3 3 4 13" xfId="7438"/>
    <cellStyle name="Input [yellow] 3 3 4 13 2" xfId="18635"/>
    <cellStyle name="Input [yellow] 3 3 4 13 3" xfId="29803"/>
    <cellStyle name="Input [yellow] 3 3 4 13 4" xfId="40968"/>
    <cellStyle name="Input [yellow] 3 3 4 13 5" xfId="52161"/>
    <cellStyle name="Input [yellow] 3 3 4 14" xfId="8072"/>
    <cellStyle name="Input [yellow] 3 3 4 14 2" xfId="19269"/>
    <cellStyle name="Input [yellow] 3 3 4 14 3" xfId="30437"/>
    <cellStyle name="Input [yellow] 3 3 4 14 4" xfId="41602"/>
    <cellStyle name="Input [yellow] 3 3 4 14 5" xfId="52795"/>
    <cellStyle name="Input [yellow] 3 3 4 15" xfId="8703"/>
    <cellStyle name="Input [yellow] 3 3 4 15 2" xfId="19900"/>
    <cellStyle name="Input [yellow] 3 3 4 15 3" xfId="31068"/>
    <cellStyle name="Input [yellow] 3 3 4 15 4" xfId="42233"/>
    <cellStyle name="Input [yellow] 3 3 4 15 5" xfId="53426"/>
    <cellStyle name="Input [yellow] 3 3 4 16" xfId="8902"/>
    <cellStyle name="Input [yellow] 3 3 4 16 2" xfId="20099"/>
    <cellStyle name="Input [yellow] 3 3 4 16 3" xfId="31267"/>
    <cellStyle name="Input [yellow] 3 3 4 16 4" xfId="42432"/>
    <cellStyle name="Input [yellow] 3 3 4 16 5" xfId="53625"/>
    <cellStyle name="Input [yellow] 3 3 4 17" xfId="9754"/>
    <cellStyle name="Input [yellow] 3 3 4 17 2" xfId="20951"/>
    <cellStyle name="Input [yellow] 3 3 4 17 3" xfId="32119"/>
    <cellStyle name="Input [yellow] 3 3 4 17 4" xfId="43284"/>
    <cellStyle name="Input [yellow] 3 3 4 17 5" xfId="54477"/>
    <cellStyle name="Input [yellow] 3 3 4 18" xfId="10267"/>
    <cellStyle name="Input [yellow] 3 3 4 18 2" xfId="21464"/>
    <cellStyle name="Input [yellow] 3 3 4 18 3" xfId="32632"/>
    <cellStyle name="Input [yellow] 3 3 4 18 4" xfId="43797"/>
    <cellStyle name="Input [yellow] 3 3 4 18 5" xfId="54990"/>
    <cellStyle name="Input [yellow] 3 3 4 19" xfId="10788"/>
    <cellStyle name="Input [yellow] 3 3 4 19 2" xfId="21985"/>
    <cellStyle name="Input [yellow] 3 3 4 19 3" xfId="33153"/>
    <cellStyle name="Input [yellow] 3 3 4 19 4" xfId="44318"/>
    <cellStyle name="Input [yellow] 3 3 4 19 5" xfId="55511"/>
    <cellStyle name="Input [yellow] 3 3 4 2" xfId="884"/>
    <cellStyle name="Input [yellow] 3 3 4 2 2" xfId="12081"/>
    <cellStyle name="Input [yellow] 3 3 4 2 3" xfId="23249"/>
    <cellStyle name="Input [yellow] 3 3 4 2 4" xfId="34414"/>
    <cellStyle name="Input [yellow] 3 3 4 2 5" xfId="45607"/>
    <cellStyle name="Input [yellow] 3 3 4 20" xfId="11435"/>
    <cellStyle name="Input [yellow] 3 3 4 21" xfId="22605"/>
    <cellStyle name="Input [yellow] 3 3 4 22" xfId="33772"/>
    <cellStyle name="Input [yellow] 3 3 4 23" xfId="44958"/>
    <cellStyle name="Input [yellow] 3 3 4 3" xfId="1534"/>
    <cellStyle name="Input [yellow] 3 3 4 3 2" xfId="12731"/>
    <cellStyle name="Input [yellow] 3 3 4 3 3" xfId="23899"/>
    <cellStyle name="Input [yellow] 3 3 4 3 4" xfId="35064"/>
    <cellStyle name="Input [yellow] 3 3 4 3 5" xfId="46257"/>
    <cellStyle name="Input [yellow] 3 3 4 4" xfId="2161"/>
    <cellStyle name="Input [yellow] 3 3 4 4 2" xfId="13358"/>
    <cellStyle name="Input [yellow] 3 3 4 4 3" xfId="24526"/>
    <cellStyle name="Input [yellow] 3 3 4 4 4" xfId="35691"/>
    <cellStyle name="Input [yellow] 3 3 4 4 5" xfId="46884"/>
    <cellStyle name="Input [yellow] 3 3 4 5" xfId="2195"/>
    <cellStyle name="Input [yellow] 3 3 4 5 2" xfId="13392"/>
    <cellStyle name="Input [yellow] 3 3 4 5 3" xfId="24560"/>
    <cellStyle name="Input [yellow] 3 3 4 5 4" xfId="35725"/>
    <cellStyle name="Input [yellow] 3 3 4 5 5" xfId="46918"/>
    <cellStyle name="Input [yellow] 3 3 4 6" xfId="3219"/>
    <cellStyle name="Input [yellow] 3 3 4 6 2" xfId="14416"/>
    <cellStyle name="Input [yellow] 3 3 4 6 3" xfId="25584"/>
    <cellStyle name="Input [yellow] 3 3 4 6 4" xfId="36749"/>
    <cellStyle name="Input [yellow] 3 3 4 6 5" xfId="47942"/>
    <cellStyle name="Input [yellow] 3 3 4 7" xfId="3853"/>
    <cellStyle name="Input [yellow] 3 3 4 7 2" xfId="15050"/>
    <cellStyle name="Input [yellow] 3 3 4 7 3" xfId="26218"/>
    <cellStyle name="Input [yellow] 3 3 4 7 4" xfId="37383"/>
    <cellStyle name="Input [yellow] 3 3 4 7 5" xfId="48576"/>
    <cellStyle name="Input [yellow] 3 3 4 8" xfId="4486"/>
    <cellStyle name="Input [yellow] 3 3 4 8 2" xfId="15683"/>
    <cellStyle name="Input [yellow] 3 3 4 8 3" xfId="26851"/>
    <cellStyle name="Input [yellow] 3 3 4 8 4" xfId="38016"/>
    <cellStyle name="Input [yellow] 3 3 4 8 5" xfId="49209"/>
    <cellStyle name="Input [yellow] 3 3 4 9" xfId="5117"/>
    <cellStyle name="Input [yellow] 3 3 4 9 2" xfId="16314"/>
    <cellStyle name="Input [yellow] 3 3 4 9 3" xfId="27482"/>
    <cellStyle name="Input [yellow] 3 3 4 9 4" xfId="38647"/>
    <cellStyle name="Input [yellow] 3 3 4 9 5" xfId="49840"/>
    <cellStyle name="Input [yellow] 3 3 5" xfId="330"/>
    <cellStyle name="Input [yellow] 3 3 5 10" xfId="5572"/>
    <cellStyle name="Input [yellow] 3 3 5 10 2" xfId="16769"/>
    <cellStyle name="Input [yellow] 3 3 5 10 3" xfId="27937"/>
    <cellStyle name="Input [yellow] 3 3 5 10 4" xfId="39102"/>
    <cellStyle name="Input [yellow] 3 3 5 10 5" xfId="50295"/>
    <cellStyle name="Input [yellow] 3 3 5 11" xfId="6266"/>
    <cellStyle name="Input [yellow] 3 3 5 11 2" xfId="17463"/>
    <cellStyle name="Input [yellow] 3 3 5 11 3" xfId="28631"/>
    <cellStyle name="Input [yellow] 3 3 5 11 4" xfId="39796"/>
    <cellStyle name="Input [yellow] 3 3 5 11 5" xfId="50989"/>
    <cellStyle name="Input [yellow] 3 3 5 12" xfId="6899"/>
    <cellStyle name="Input [yellow] 3 3 5 12 2" xfId="18096"/>
    <cellStyle name="Input [yellow] 3 3 5 12 3" xfId="29264"/>
    <cellStyle name="Input [yellow] 3 3 5 12 4" xfId="40429"/>
    <cellStyle name="Input [yellow] 3 3 5 12 5" xfId="51622"/>
    <cellStyle name="Input [yellow] 3 3 5 13" xfId="7533"/>
    <cellStyle name="Input [yellow] 3 3 5 13 2" xfId="18730"/>
    <cellStyle name="Input [yellow] 3 3 5 13 3" xfId="29898"/>
    <cellStyle name="Input [yellow] 3 3 5 13 4" xfId="41063"/>
    <cellStyle name="Input [yellow] 3 3 5 13 5" xfId="52256"/>
    <cellStyle name="Input [yellow] 3 3 5 14" xfId="8167"/>
    <cellStyle name="Input [yellow] 3 3 5 14 2" xfId="19364"/>
    <cellStyle name="Input [yellow] 3 3 5 14 3" xfId="30532"/>
    <cellStyle name="Input [yellow] 3 3 5 14 4" xfId="41697"/>
    <cellStyle name="Input [yellow] 3 3 5 14 5" xfId="52890"/>
    <cellStyle name="Input [yellow] 3 3 5 15" xfId="8796"/>
    <cellStyle name="Input [yellow] 3 3 5 15 2" xfId="19993"/>
    <cellStyle name="Input [yellow] 3 3 5 15 3" xfId="31161"/>
    <cellStyle name="Input [yellow] 3 3 5 15 4" xfId="42326"/>
    <cellStyle name="Input [yellow] 3 3 5 15 5" xfId="53519"/>
    <cellStyle name="Input [yellow] 3 3 5 16" xfId="9218"/>
    <cellStyle name="Input [yellow] 3 3 5 16 2" xfId="20415"/>
    <cellStyle name="Input [yellow] 3 3 5 16 3" xfId="31583"/>
    <cellStyle name="Input [yellow] 3 3 5 16 4" xfId="42748"/>
    <cellStyle name="Input [yellow] 3 3 5 16 5" xfId="53941"/>
    <cellStyle name="Input [yellow] 3 3 5 17" xfId="9845"/>
    <cellStyle name="Input [yellow] 3 3 5 17 2" xfId="21042"/>
    <cellStyle name="Input [yellow] 3 3 5 17 3" xfId="32210"/>
    <cellStyle name="Input [yellow] 3 3 5 17 4" xfId="43375"/>
    <cellStyle name="Input [yellow] 3 3 5 17 5" xfId="54568"/>
    <cellStyle name="Input [yellow] 3 3 5 18" xfId="9649"/>
    <cellStyle name="Input [yellow] 3 3 5 18 2" xfId="20846"/>
    <cellStyle name="Input [yellow] 3 3 5 18 3" xfId="32014"/>
    <cellStyle name="Input [yellow] 3 3 5 18 4" xfId="43179"/>
    <cellStyle name="Input [yellow] 3 3 5 18 5" xfId="54372"/>
    <cellStyle name="Input [yellow] 3 3 5 19" xfId="10883"/>
    <cellStyle name="Input [yellow] 3 3 5 19 2" xfId="22080"/>
    <cellStyle name="Input [yellow] 3 3 5 19 3" xfId="33248"/>
    <cellStyle name="Input [yellow] 3 3 5 19 4" xfId="44413"/>
    <cellStyle name="Input [yellow] 3 3 5 19 5" xfId="55606"/>
    <cellStyle name="Input [yellow] 3 3 5 2" xfId="979"/>
    <cellStyle name="Input [yellow] 3 3 5 2 2" xfId="12176"/>
    <cellStyle name="Input [yellow] 3 3 5 2 3" xfId="23344"/>
    <cellStyle name="Input [yellow] 3 3 5 2 4" xfId="34509"/>
    <cellStyle name="Input [yellow] 3 3 5 2 5" xfId="45702"/>
    <cellStyle name="Input [yellow] 3 3 5 20" xfId="11530"/>
    <cellStyle name="Input [yellow] 3 3 5 21" xfId="22700"/>
    <cellStyle name="Input [yellow] 3 3 5 22" xfId="33867"/>
    <cellStyle name="Input [yellow] 3 3 5 23" xfId="45053"/>
    <cellStyle name="Input [yellow] 3 3 5 3" xfId="1731"/>
    <cellStyle name="Input [yellow] 3 3 5 3 2" xfId="12928"/>
    <cellStyle name="Input [yellow] 3 3 5 3 3" xfId="24096"/>
    <cellStyle name="Input [yellow] 3 3 5 3 4" xfId="35261"/>
    <cellStyle name="Input [yellow] 3 3 5 3 5" xfId="46454"/>
    <cellStyle name="Input [yellow] 3 3 5 4" xfId="2255"/>
    <cellStyle name="Input [yellow] 3 3 5 4 2" xfId="13452"/>
    <cellStyle name="Input [yellow] 3 3 5 4 3" xfId="24620"/>
    <cellStyle name="Input [yellow] 3 3 5 4 4" xfId="35785"/>
    <cellStyle name="Input [yellow] 3 3 5 4 5" xfId="46978"/>
    <cellStyle name="Input [yellow] 3 3 5 5" xfId="2680"/>
    <cellStyle name="Input [yellow] 3 3 5 5 2" xfId="13877"/>
    <cellStyle name="Input [yellow] 3 3 5 5 3" xfId="25045"/>
    <cellStyle name="Input [yellow] 3 3 5 5 4" xfId="36210"/>
    <cellStyle name="Input [yellow] 3 3 5 5 5" xfId="47403"/>
    <cellStyle name="Input [yellow] 3 3 5 6" xfId="3314"/>
    <cellStyle name="Input [yellow] 3 3 5 6 2" xfId="14511"/>
    <cellStyle name="Input [yellow] 3 3 5 6 3" xfId="25679"/>
    <cellStyle name="Input [yellow] 3 3 5 6 4" xfId="36844"/>
    <cellStyle name="Input [yellow] 3 3 5 6 5" xfId="48037"/>
    <cellStyle name="Input [yellow] 3 3 5 7" xfId="3948"/>
    <cellStyle name="Input [yellow] 3 3 5 7 2" xfId="15145"/>
    <cellStyle name="Input [yellow] 3 3 5 7 3" xfId="26313"/>
    <cellStyle name="Input [yellow] 3 3 5 7 4" xfId="37478"/>
    <cellStyle name="Input [yellow] 3 3 5 7 5" xfId="48671"/>
    <cellStyle name="Input [yellow] 3 3 5 8" xfId="4581"/>
    <cellStyle name="Input [yellow] 3 3 5 8 2" xfId="15778"/>
    <cellStyle name="Input [yellow] 3 3 5 8 3" xfId="26946"/>
    <cellStyle name="Input [yellow] 3 3 5 8 4" xfId="38111"/>
    <cellStyle name="Input [yellow] 3 3 5 8 5" xfId="49304"/>
    <cellStyle name="Input [yellow] 3 3 5 9" xfId="5212"/>
    <cellStyle name="Input [yellow] 3 3 5 9 2" xfId="16409"/>
    <cellStyle name="Input [yellow] 3 3 5 9 3" xfId="27577"/>
    <cellStyle name="Input [yellow] 3 3 5 9 4" xfId="38742"/>
    <cellStyle name="Input [yellow] 3 3 5 9 5" xfId="49935"/>
    <cellStyle name="Input [yellow] 3 3 6" xfId="371"/>
    <cellStyle name="Input [yellow] 3 3 6 10" xfId="6019"/>
    <cellStyle name="Input [yellow] 3 3 6 10 2" xfId="17216"/>
    <cellStyle name="Input [yellow] 3 3 6 10 3" xfId="28384"/>
    <cellStyle name="Input [yellow] 3 3 6 10 4" xfId="39549"/>
    <cellStyle name="Input [yellow] 3 3 6 10 5" xfId="50742"/>
    <cellStyle name="Input [yellow] 3 3 6 11" xfId="6307"/>
    <cellStyle name="Input [yellow] 3 3 6 11 2" xfId="17504"/>
    <cellStyle name="Input [yellow] 3 3 6 11 3" xfId="28672"/>
    <cellStyle name="Input [yellow] 3 3 6 11 4" xfId="39837"/>
    <cellStyle name="Input [yellow] 3 3 6 11 5" xfId="51030"/>
    <cellStyle name="Input [yellow] 3 3 6 12" xfId="6940"/>
    <cellStyle name="Input [yellow] 3 3 6 12 2" xfId="18137"/>
    <cellStyle name="Input [yellow] 3 3 6 12 3" xfId="29305"/>
    <cellStyle name="Input [yellow] 3 3 6 12 4" xfId="40470"/>
    <cellStyle name="Input [yellow] 3 3 6 12 5" xfId="51663"/>
    <cellStyle name="Input [yellow] 3 3 6 13" xfId="7574"/>
    <cellStyle name="Input [yellow] 3 3 6 13 2" xfId="18771"/>
    <cellStyle name="Input [yellow] 3 3 6 13 3" xfId="29939"/>
    <cellStyle name="Input [yellow] 3 3 6 13 4" xfId="41104"/>
    <cellStyle name="Input [yellow] 3 3 6 13 5" xfId="52297"/>
    <cellStyle name="Input [yellow] 3 3 6 14" xfId="8208"/>
    <cellStyle name="Input [yellow] 3 3 6 14 2" xfId="19405"/>
    <cellStyle name="Input [yellow] 3 3 6 14 3" xfId="30573"/>
    <cellStyle name="Input [yellow] 3 3 6 14 4" xfId="41738"/>
    <cellStyle name="Input [yellow] 3 3 6 14 5" xfId="52931"/>
    <cellStyle name="Input [yellow] 3 3 6 15" xfId="8836"/>
    <cellStyle name="Input [yellow] 3 3 6 15 2" xfId="20033"/>
    <cellStyle name="Input [yellow] 3 3 6 15 3" xfId="31201"/>
    <cellStyle name="Input [yellow] 3 3 6 15 4" xfId="42366"/>
    <cellStyle name="Input [yellow] 3 3 6 15 5" xfId="53559"/>
    <cellStyle name="Input [yellow] 3 3 6 16" xfId="9259"/>
    <cellStyle name="Input [yellow] 3 3 6 16 2" xfId="20456"/>
    <cellStyle name="Input [yellow] 3 3 6 16 3" xfId="31624"/>
    <cellStyle name="Input [yellow] 3 3 6 16 4" xfId="42789"/>
    <cellStyle name="Input [yellow] 3 3 6 16 5" xfId="53982"/>
    <cellStyle name="Input [yellow] 3 3 6 17" xfId="9885"/>
    <cellStyle name="Input [yellow] 3 3 6 17 2" xfId="21082"/>
    <cellStyle name="Input [yellow] 3 3 6 17 3" xfId="32250"/>
    <cellStyle name="Input [yellow] 3 3 6 17 4" xfId="43415"/>
    <cellStyle name="Input [yellow] 3 3 6 17 5" xfId="54608"/>
    <cellStyle name="Input [yellow] 3 3 6 18" xfId="9689"/>
    <cellStyle name="Input [yellow] 3 3 6 18 2" xfId="20886"/>
    <cellStyle name="Input [yellow] 3 3 6 18 3" xfId="32054"/>
    <cellStyle name="Input [yellow] 3 3 6 18 4" xfId="43219"/>
    <cellStyle name="Input [yellow] 3 3 6 18 5" xfId="54412"/>
    <cellStyle name="Input [yellow] 3 3 6 19" xfId="10924"/>
    <cellStyle name="Input [yellow] 3 3 6 19 2" xfId="22121"/>
    <cellStyle name="Input [yellow] 3 3 6 19 3" xfId="33289"/>
    <cellStyle name="Input [yellow] 3 3 6 19 4" xfId="44454"/>
    <cellStyle name="Input [yellow] 3 3 6 19 5" xfId="55647"/>
    <cellStyle name="Input [yellow] 3 3 6 2" xfId="1020"/>
    <cellStyle name="Input [yellow] 3 3 6 2 2" xfId="12217"/>
    <cellStyle name="Input [yellow] 3 3 6 2 3" xfId="23385"/>
    <cellStyle name="Input [yellow] 3 3 6 2 4" xfId="34550"/>
    <cellStyle name="Input [yellow] 3 3 6 2 5" xfId="45743"/>
    <cellStyle name="Input [yellow] 3 3 6 20" xfId="11571"/>
    <cellStyle name="Input [yellow] 3 3 6 21" xfId="22741"/>
    <cellStyle name="Input [yellow] 3 3 6 22" xfId="33908"/>
    <cellStyle name="Input [yellow] 3 3 6 23" xfId="45094"/>
    <cellStyle name="Input [yellow] 3 3 6 3" xfId="1935"/>
    <cellStyle name="Input [yellow] 3 3 6 3 2" xfId="13132"/>
    <cellStyle name="Input [yellow] 3 3 6 3 3" xfId="24300"/>
    <cellStyle name="Input [yellow] 3 3 6 3 4" xfId="35465"/>
    <cellStyle name="Input [yellow] 3 3 6 3 5" xfId="46658"/>
    <cellStyle name="Input [yellow] 3 3 6 4" xfId="2296"/>
    <cellStyle name="Input [yellow] 3 3 6 4 2" xfId="13493"/>
    <cellStyle name="Input [yellow] 3 3 6 4 3" xfId="24661"/>
    <cellStyle name="Input [yellow] 3 3 6 4 4" xfId="35826"/>
    <cellStyle name="Input [yellow] 3 3 6 4 5" xfId="47019"/>
    <cellStyle name="Input [yellow] 3 3 6 5" xfId="2721"/>
    <cellStyle name="Input [yellow] 3 3 6 5 2" xfId="13918"/>
    <cellStyle name="Input [yellow] 3 3 6 5 3" xfId="25086"/>
    <cellStyle name="Input [yellow] 3 3 6 5 4" xfId="36251"/>
    <cellStyle name="Input [yellow] 3 3 6 5 5" xfId="47444"/>
    <cellStyle name="Input [yellow] 3 3 6 6" xfId="3355"/>
    <cellStyle name="Input [yellow] 3 3 6 6 2" xfId="14552"/>
    <cellStyle name="Input [yellow] 3 3 6 6 3" xfId="25720"/>
    <cellStyle name="Input [yellow] 3 3 6 6 4" xfId="36885"/>
    <cellStyle name="Input [yellow] 3 3 6 6 5" xfId="48078"/>
    <cellStyle name="Input [yellow] 3 3 6 7" xfId="3989"/>
    <cellStyle name="Input [yellow] 3 3 6 7 2" xfId="15186"/>
    <cellStyle name="Input [yellow] 3 3 6 7 3" xfId="26354"/>
    <cellStyle name="Input [yellow] 3 3 6 7 4" xfId="37519"/>
    <cellStyle name="Input [yellow] 3 3 6 7 5" xfId="48712"/>
    <cellStyle name="Input [yellow] 3 3 6 8" xfId="4622"/>
    <cellStyle name="Input [yellow] 3 3 6 8 2" xfId="15819"/>
    <cellStyle name="Input [yellow] 3 3 6 8 3" xfId="26987"/>
    <cellStyle name="Input [yellow] 3 3 6 8 4" xfId="38152"/>
    <cellStyle name="Input [yellow] 3 3 6 8 5" xfId="49345"/>
    <cellStyle name="Input [yellow] 3 3 6 9" xfId="5253"/>
    <cellStyle name="Input [yellow] 3 3 6 9 2" xfId="16450"/>
    <cellStyle name="Input [yellow] 3 3 6 9 3" xfId="27618"/>
    <cellStyle name="Input [yellow] 3 3 6 9 4" xfId="38783"/>
    <cellStyle name="Input [yellow] 3 3 6 9 5" xfId="49976"/>
    <cellStyle name="Input [yellow] 3 3 7" xfId="454"/>
    <cellStyle name="Input [yellow] 3 3 7 10" xfId="4323"/>
    <cellStyle name="Input [yellow] 3 3 7 10 2" xfId="15520"/>
    <cellStyle name="Input [yellow] 3 3 7 10 3" xfId="26688"/>
    <cellStyle name="Input [yellow] 3 3 7 10 4" xfId="37853"/>
    <cellStyle name="Input [yellow] 3 3 7 10 5" xfId="49046"/>
    <cellStyle name="Input [yellow] 3 3 7 11" xfId="6390"/>
    <cellStyle name="Input [yellow] 3 3 7 11 2" xfId="17587"/>
    <cellStyle name="Input [yellow] 3 3 7 11 3" xfId="28755"/>
    <cellStyle name="Input [yellow] 3 3 7 11 4" xfId="39920"/>
    <cellStyle name="Input [yellow] 3 3 7 11 5" xfId="51113"/>
    <cellStyle name="Input [yellow] 3 3 7 12" xfId="7023"/>
    <cellStyle name="Input [yellow] 3 3 7 12 2" xfId="18220"/>
    <cellStyle name="Input [yellow] 3 3 7 12 3" xfId="29388"/>
    <cellStyle name="Input [yellow] 3 3 7 12 4" xfId="40553"/>
    <cellStyle name="Input [yellow] 3 3 7 12 5" xfId="51746"/>
    <cellStyle name="Input [yellow] 3 3 7 13" xfId="7657"/>
    <cellStyle name="Input [yellow] 3 3 7 13 2" xfId="18854"/>
    <cellStyle name="Input [yellow] 3 3 7 13 3" xfId="30022"/>
    <cellStyle name="Input [yellow] 3 3 7 13 4" xfId="41187"/>
    <cellStyle name="Input [yellow] 3 3 7 13 5" xfId="52380"/>
    <cellStyle name="Input [yellow] 3 3 7 14" xfId="8291"/>
    <cellStyle name="Input [yellow] 3 3 7 14 2" xfId="19488"/>
    <cellStyle name="Input [yellow] 3 3 7 14 3" xfId="30656"/>
    <cellStyle name="Input [yellow] 3 3 7 14 4" xfId="41821"/>
    <cellStyle name="Input [yellow] 3 3 7 14 5" xfId="53014"/>
    <cellStyle name="Input [yellow] 3 3 7 15" xfId="8919"/>
    <cellStyle name="Input [yellow] 3 3 7 15 2" xfId="20116"/>
    <cellStyle name="Input [yellow] 3 3 7 15 3" xfId="31284"/>
    <cellStyle name="Input [yellow] 3 3 7 15 4" xfId="42449"/>
    <cellStyle name="Input [yellow] 3 3 7 15 5" xfId="53642"/>
    <cellStyle name="Input [yellow] 3 3 7 16" xfId="9342"/>
    <cellStyle name="Input [yellow] 3 3 7 16 2" xfId="20539"/>
    <cellStyle name="Input [yellow] 3 3 7 16 3" xfId="31707"/>
    <cellStyle name="Input [yellow] 3 3 7 16 4" xfId="42872"/>
    <cellStyle name="Input [yellow] 3 3 7 16 5" xfId="54065"/>
    <cellStyle name="Input [yellow] 3 3 7 17" xfId="9968"/>
    <cellStyle name="Input [yellow] 3 3 7 17 2" xfId="21165"/>
    <cellStyle name="Input [yellow] 3 3 7 17 3" xfId="32333"/>
    <cellStyle name="Input [yellow] 3 3 7 17 4" xfId="43498"/>
    <cellStyle name="Input [yellow] 3 3 7 17 5" xfId="54691"/>
    <cellStyle name="Input [yellow] 3 3 7 18" xfId="8514"/>
    <cellStyle name="Input [yellow] 3 3 7 18 2" xfId="19711"/>
    <cellStyle name="Input [yellow] 3 3 7 18 3" xfId="30879"/>
    <cellStyle name="Input [yellow] 3 3 7 18 4" xfId="42044"/>
    <cellStyle name="Input [yellow] 3 3 7 18 5" xfId="53237"/>
    <cellStyle name="Input [yellow] 3 3 7 19" xfId="11007"/>
    <cellStyle name="Input [yellow] 3 3 7 19 2" xfId="22204"/>
    <cellStyle name="Input [yellow] 3 3 7 19 3" xfId="33372"/>
    <cellStyle name="Input [yellow] 3 3 7 19 4" xfId="44537"/>
    <cellStyle name="Input [yellow] 3 3 7 19 5" xfId="55730"/>
    <cellStyle name="Input [yellow] 3 3 7 2" xfId="1103"/>
    <cellStyle name="Input [yellow] 3 3 7 2 2" xfId="12300"/>
    <cellStyle name="Input [yellow] 3 3 7 2 3" xfId="23468"/>
    <cellStyle name="Input [yellow] 3 3 7 2 4" xfId="34633"/>
    <cellStyle name="Input [yellow] 3 3 7 2 5" xfId="45826"/>
    <cellStyle name="Input [yellow] 3 3 7 20" xfId="11654"/>
    <cellStyle name="Input [yellow] 3 3 7 21" xfId="22824"/>
    <cellStyle name="Input [yellow] 3 3 7 22" xfId="33991"/>
    <cellStyle name="Input [yellow] 3 3 7 23" xfId="45177"/>
    <cellStyle name="Input [yellow] 3 3 7 3" xfId="676"/>
    <cellStyle name="Input [yellow] 3 3 7 3 2" xfId="11876"/>
    <cellStyle name="Input [yellow] 3 3 7 3 3" xfId="23046"/>
    <cellStyle name="Input [yellow] 3 3 7 3 4" xfId="34213"/>
    <cellStyle name="Input [yellow] 3 3 7 3 5" xfId="45399"/>
    <cellStyle name="Input [yellow] 3 3 7 4" xfId="2379"/>
    <cellStyle name="Input [yellow] 3 3 7 4 2" xfId="13576"/>
    <cellStyle name="Input [yellow] 3 3 7 4 3" xfId="24744"/>
    <cellStyle name="Input [yellow] 3 3 7 4 4" xfId="35909"/>
    <cellStyle name="Input [yellow] 3 3 7 4 5" xfId="47102"/>
    <cellStyle name="Input [yellow] 3 3 7 5" xfId="2804"/>
    <cellStyle name="Input [yellow] 3 3 7 5 2" xfId="14001"/>
    <cellStyle name="Input [yellow] 3 3 7 5 3" xfId="25169"/>
    <cellStyle name="Input [yellow] 3 3 7 5 4" xfId="36334"/>
    <cellStyle name="Input [yellow] 3 3 7 5 5" xfId="47527"/>
    <cellStyle name="Input [yellow] 3 3 7 6" xfId="3438"/>
    <cellStyle name="Input [yellow] 3 3 7 6 2" xfId="14635"/>
    <cellStyle name="Input [yellow] 3 3 7 6 3" xfId="25803"/>
    <cellStyle name="Input [yellow] 3 3 7 6 4" xfId="36968"/>
    <cellStyle name="Input [yellow] 3 3 7 6 5" xfId="48161"/>
    <cellStyle name="Input [yellow] 3 3 7 7" xfId="4072"/>
    <cellStyle name="Input [yellow] 3 3 7 7 2" xfId="15269"/>
    <cellStyle name="Input [yellow] 3 3 7 7 3" xfId="26437"/>
    <cellStyle name="Input [yellow] 3 3 7 7 4" xfId="37602"/>
    <cellStyle name="Input [yellow] 3 3 7 7 5" xfId="48795"/>
    <cellStyle name="Input [yellow] 3 3 7 8" xfId="4705"/>
    <cellStyle name="Input [yellow] 3 3 7 8 2" xfId="15902"/>
    <cellStyle name="Input [yellow] 3 3 7 8 3" xfId="27070"/>
    <cellStyle name="Input [yellow] 3 3 7 8 4" xfId="38235"/>
    <cellStyle name="Input [yellow] 3 3 7 8 5" xfId="49428"/>
    <cellStyle name="Input [yellow] 3 3 7 9" xfId="5336"/>
    <cellStyle name="Input [yellow] 3 3 7 9 2" xfId="16533"/>
    <cellStyle name="Input [yellow] 3 3 7 9 3" xfId="27701"/>
    <cellStyle name="Input [yellow] 3 3 7 9 4" xfId="38866"/>
    <cellStyle name="Input [yellow] 3 3 7 9 5" xfId="50059"/>
    <cellStyle name="Input [yellow] 3 3 8" xfId="464"/>
    <cellStyle name="Input [yellow] 3 3 8 10" xfId="5884"/>
    <cellStyle name="Input [yellow] 3 3 8 10 2" xfId="17081"/>
    <cellStyle name="Input [yellow] 3 3 8 10 3" xfId="28249"/>
    <cellStyle name="Input [yellow] 3 3 8 10 4" xfId="39414"/>
    <cellStyle name="Input [yellow] 3 3 8 10 5" xfId="50607"/>
    <cellStyle name="Input [yellow] 3 3 8 11" xfId="6400"/>
    <cellStyle name="Input [yellow] 3 3 8 11 2" xfId="17597"/>
    <cellStyle name="Input [yellow] 3 3 8 11 3" xfId="28765"/>
    <cellStyle name="Input [yellow] 3 3 8 11 4" xfId="39930"/>
    <cellStyle name="Input [yellow] 3 3 8 11 5" xfId="51123"/>
    <cellStyle name="Input [yellow] 3 3 8 12" xfId="7033"/>
    <cellStyle name="Input [yellow] 3 3 8 12 2" xfId="18230"/>
    <cellStyle name="Input [yellow] 3 3 8 12 3" xfId="29398"/>
    <cellStyle name="Input [yellow] 3 3 8 12 4" xfId="40563"/>
    <cellStyle name="Input [yellow] 3 3 8 12 5" xfId="51756"/>
    <cellStyle name="Input [yellow] 3 3 8 13" xfId="7667"/>
    <cellStyle name="Input [yellow] 3 3 8 13 2" xfId="18864"/>
    <cellStyle name="Input [yellow] 3 3 8 13 3" xfId="30032"/>
    <cellStyle name="Input [yellow] 3 3 8 13 4" xfId="41197"/>
    <cellStyle name="Input [yellow] 3 3 8 13 5" xfId="52390"/>
    <cellStyle name="Input [yellow] 3 3 8 14" xfId="8301"/>
    <cellStyle name="Input [yellow] 3 3 8 14 2" xfId="19498"/>
    <cellStyle name="Input [yellow] 3 3 8 14 3" xfId="30666"/>
    <cellStyle name="Input [yellow] 3 3 8 14 4" xfId="41831"/>
    <cellStyle name="Input [yellow] 3 3 8 14 5" xfId="53024"/>
    <cellStyle name="Input [yellow] 3 3 8 15" xfId="8929"/>
    <cellStyle name="Input [yellow] 3 3 8 15 2" xfId="20126"/>
    <cellStyle name="Input [yellow] 3 3 8 15 3" xfId="31294"/>
    <cellStyle name="Input [yellow] 3 3 8 15 4" xfId="42459"/>
    <cellStyle name="Input [yellow] 3 3 8 15 5" xfId="53652"/>
    <cellStyle name="Input [yellow] 3 3 8 16" xfId="9352"/>
    <cellStyle name="Input [yellow] 3 3 8 16 2" xfId="20549"/>
    <cellStyle name="Input [yellow] 3 3 8 16 3" xfId="31717"/>
    <cellStyle name="Input [yellow] 3 3 8 16 4" xfId="42882"/>
    <cellStyle name="Input [yellow] 3 3 8 16 5" xfId="54075"/>
    <cellStyle name="Input [yellow] 3 3 8 17" xfId="9978"/>
    <cellStyle name="Input [yellow] 3 3 8 17 2" xfId="21175"/>
    <cellStyle name="Input [yellow] 3 3 8 17 3" xfId="32343"/>
    <cellStyle name="Input [yellow] 3 3 8 17 4" xfId="43508"/>
    <cellStyle name="Input [yellow] 3 3 8 17 5" xfId="54701"/>
    <cellStyle name="Input [yellow] 3 3 8 18" xfId="7883"/>
    <cellStyle name="Input [yellow] 3 3 8 18 2" xfId="19080"/>
    <cellStyle name="Input [yellow] 3 3 8 18 3" xfId="30248"/>
    <cellStyle name="Input [yellow] 3 3 8 18 4" xfId="41413"/>
    <cellStyle name="Input [yellow] 3 3 8 18 5" xfId="52606"/>
    <cellStyle name="Input [yellow] 3 3 8 19" xfId="11017"/>
    <cellStyle name="Input [yellow] 3 3 8 19 2" xfId="22214"/>
    <cellStyle name="Input [yellow] 3 3 8 19 3" xfId="33382"/>
    <cellStyle name="Input [yellow] 3 3 8 19 4" xfId="44547"/>
    <cellStyle name="Input [yellow] 3 3 8 19 5" xfId="55740"/>
    <cellStyle name="Input [yellow] 3 3 8 2" xfId="1113"/>
    <cellStyle name="Input [yellow] 3 3 8 2 2" xfId="12310"/>
    <cellStyle name="Input [yellow] 3 3 8 2 3" xfId="23478"/>
    <cellStyle name="Input [yellow] 3 3 8 2 4" xfId="34643"/>
    <cellStyle name="Input [yellow] 3 3 8 2 5" xfId="45836"/>
    <cellStyle name="Input [yellow] 3 3 8 20" xfId="11664"/>
    <cellStyle name="Input [yellow] 3 3 8 21" xfId="22834"/>
    <cellStyle name="Input [yellow] 3 3 8 22" xfId="34001"/>
    <cellStyle name="Input [yellow] 3 3 8 23" xfId="45187"/>
    <cellStyle name="Input [yellow] 3 3 8 3" xfId="1919"/>
    <cellStyle name="Input [yellow] 3 3 8 3 2" xfId="13116"/>
    <cellStyle name="Input [yellow] 3 3 8 3 3" xfId="24284"/>
    <cellStyle name="Input [yellow] 3 3 8 3 4" xfId="35449"/>
    <cellStyle name="Input [yellow] 3 3 8 3 5" xfId="46642"/>
    <cellStyle name="Input [yellow] 3 3 8 4" xfId="2389"/>
    <cellStyle name="Input [yellow] 3 3 8 4 2" xfId="13586"/>
    <cellStyle name="Input [yellow] 3 3 8 4 3" xfId="24754"/>
    <cellStyle name="Input [yellow] 3 3 8 4 4" xfId="35919"/>
    <cellStyle name="Input [yellow] 3 3 8 4 5" xfId="47112"/>
    <cellStyle name="Input [yellow] 3 3 8 5" xfId="2814"/>
    <cellStyle name="Input [yellow] 3 3 8 5 2" xfId="14011"/>
    <cellStyle name="Input [yellow] 3 3 8 5 3" xfId="25179"/>
    <cellStyle name="Input [yellow] 3 3 8 5 4" xfId="36344"/>
    <cellStyle name="Input [yellow] 3 3 8 5 5" xfId="47537"/>
    <cellStyle name="Input [yellow] 3 3 8 6" xfId="3448"/>
    <cellStyle name="Input [yellow] 3 3 8 6 2" xfId="14645"/>
    <cellStyle name="Input [yellow] 3 3 8 6 3" xfId="25813"/>
    <cellStyle name="Input [yellow] 3 3 8 6 4" xfId="36978"/>
    <cellStyle name="Input [yellow] 3 3 8 6 5" xfId="48171"/>
    <cellStyle name="Input [yellow] 3 3 8 7" xfId="4082"/>
    <cellStyle name="Input [yellow] 3 3 8 7 2" xfId="15279"/>
    <cellStyle name="Input [yellow] 3 3 8 7 3" xfId="26447"/>
    <cellStyle name="Input [yellow] 3 3 8 7 4" xfId="37612"/>
    <cellStyle name="Input [yellow] 3 3 8 7 5" xfId="48805"/>
    <cellStyle name="Input [yellow] 3 3 8 8" xfId="4715"/>
    <cellStyle name="Input [yellow] 3 3 8 8 2" xfId="15912"/>
    <cellStyle name="Input [yellow] 3 3 8 8 3" xfId="27080"/>
    <cellStyle name="Input [yellow] 3 3 8 8 4" xfId="38245"/>
    <cellStyle name="Input [yellow] 3 3 8 8 5" xfId="49438"/>
    <cellStyle name="Input [yellow] 3 3 8 9" xfId="5346"/>
    <cellStyle name="Input [yellow] 3 3 8 9 2" xfId="16543"/>
    <cellStyle name="Input [yellow] 3 3 8 9 3" xfId="27711"/>
    <cellStyle name="Input [yellow] 3 3 8 9 4" xfId="38876"/>
    <cellStyle name="Input [yellow] 3 3 8 9 5" xfId="50069"/>
    <cellStyle name="Input [yellow] 3 3 9" xfId="522"/>
    <cellStyle name="Input [yellow] 3 3 9 10" xfId="5936"/>
    <cellStyle name="Input [yellow] 3 3 9 10 2" xfId="17133"/>
    <cellStyle name="Input [yellow] 3 3 9 10 3" xfId="28301"/>
    <cellStyle name="Input [yellow] 3 3 9 10 4" xfId="39466"/>
    <cellStyle name="Input [yellow] 3 3 9 10 5" xfId="50659"/>
    <cellStyle name="Input [yellow] 3 3 9 11" xfId="6458"/>
    <cellStyle name="Input [yellow] 3 3 9 11 2" xfId="17655"/>
    <cellStyle name="Input [yellow] 3 3 9 11 3" xfId="28823"/>
    <cellStyle name="Input [yellow] 3 3 9 11 4" xfId="39988"/>
    <cellStyle name="Input [yellow] 3 3 9 11 5" xfId="51181"/>
    <cellStyle name="Input [yellow] 3 3 9 12" xfId="7091"/>
    <cellStyle name="Input [yellow] 3 3 9 12 2" xfId="18288"/>
    <cellStyle name="Input [yellow] 3 3 9 12 3" xfId="29456"/>
    <cellStyle name="Input [yellow] 3 3 9 12 4" xfId="40621"/>
    <cellStyle name="Input [yellow] 3 3 9 12 5" xfId="51814"/>
    <cellStyle name="Input [yellow] 3 3 9 13" xfId="7725"/>
    <cellStyle name="Input [yellow] 3 3 9 13 2" xfId="18922"/>
    <cellStyle name="Input [yellow] 3 3 9 13 3" xfId="30090"/>
    <cellStyle name="Input [yellow] 3 3 9 13 4" xfId="41255"/>
    <cellStyle name="Input [yellow] 3 3 9 13 5" xfId="52448"/>
    <cellStyle name="Input [yellow] 3 3 9 14" xfId="8359"/>
    <cellStyle name="Input [yellow] 3 3 9 14 2" xfId="19556"/>
    <cellStyle name="Input [yellow] 3 3 9 14 3" xfId="30724"/>
    <cellStyle name="Input [yellow] 3 3 9 14 4" xfId="41889"/>
    <cellStyle name="Input [yellow] 3 3 9 14 5" xfId="53082"/>
    <cellStyle name="Input [yellow] 3 3 9 15" xfId="8987"/>
    <cellStyle name="Input [yellow] 3 3 9 15 2" xfId="20184"/>
    <cellStyle name="Input [yellow] 3 3 9 15 3" xfId="31352"/>
    <cellStyle name="Input [yellow] 3 3 9 15 4" xfId="42517"/>
    <cellStyle name="Input [yellow] 3 3 9 15 5" xfId="53710"/>
    <cellStyle name="Input [yellow] 3 3 9 16" xfId="9410"/>
    <cellStyle name="Input [yellow] 3 3 9 16 2" xfId="20607"/>
    <cellStyle name="Input [yellow] 3 3 9 16 3" xfId="31775"/>
    <cellStyle name="Input [yellow] 3 3 9 16 4" xfId="42940"/>
    <cellStyle name="Input [yellow] 3 3 9 16 5" xfId="54133"/>
    <cellStyle name="Input [yellow] 3 3 9 17" xfId="10035"/>
    <cellStyle name="Input [yellow] 3 3 9 17 2" xfId="21232"/>
    <cellStyle name="Input [yellow] 3 3 9 17 3" xfId="32400"/>
    <cellStyle name="Input [yellow] 3 3 9 17 4" xfId="43565"/>
    <cellStyle name="Input [yellow] 3 3 9 17 5" xfId="54758"/>
    <cellStyle name="Input [yellow] 3 3 9 18" xfId="9599"/>
    <cellStyle name="Input [yellow] 3 3 9 18 2" xfId="20796"/>
    <cellStyle name="Input [yellow] 3 3 9 18 3" xfId="31964"/>
    <cellStyle name="Input [yellow] 3 3 9 18 4" xfId="43129"/>
    <cellStyle name="Input [yellow] 3 3 9 18 5" xfId="54322"/>
    <cellStyle name="Input [yellow] 3 3 9 19" xfId="11075"/>
    <cellStyle name="Input [yellow] 3 3 9 19 2" xfId="22272"/>
    <cellStyle name="Input [yellow] 3 3 9 19 3" xfId="33440"/>
    <cellStyle name="Input [yellow] 3 3 9 19 4" xfId="44605"/>
    <cellStyle name="Input [yellow] 3 3 9 19 5" xfId="55798"/>
    <cellStyle name="Input [yellow] 3 3 9 2" xfId="1171"/>
    <cellStyle name="Input [yellow] 3 3 9 2 2" xfId="12368"/>
    <cellStyle name="Input [yellow] 3 3 9 2 3" xfId="23536"/>
    <cellStyle name="Input [yellow] 3 3 9 2 4" xfId="34701"/>
    <cellStyle name="Input [yellow] 3 3 9 2 5" xfId="45894"/>
    <cellStyle name="Input [yellow] 3 3 9 20" xfId="11722"/>
    <cellStyle name="Input [yellow] 3 3 9 21" xfId="22892"/>
    <cellStyle name="Input [yellow] 3 3 9 22" xfId="34059"/>
    <cellStyle name="Input [yellow] 3 3 9 23" xfId="45245"/>
    <cellStyle name="Input [yellow] 3 3 9 3" xfId="1814"/>
    <cellStyle name="Input [yellow] 3 3 9 3 2" xfId="13011"/>
    <cellStyle name="Input [yellow] 3 3 9 3 3" xfId="24179"/>
    <cellStyle name="Input [yellow] 3 3 9 3 4" xfId="35344"/>
    <cellStyle name="Input [yellow] 3 3 9 3 5" xfId="46537"/>
    <cellStyle name="Input [yellow] 3 3 9 4" xfId="2447"/>
    <cellStyle name="Input [yellow] 3 3 9 4 2" xfId="13644"/>
    <cellStyle name="Input [yellow] 3 3 9 4 3" xfId="24812"/>
    <cellStyle name="Input [yellow] 3 3 9 4 4" xfId="35977"/>
    <cellStyle name="Input [yellow] 3 3 9 4 5" xfId="47170"/>
    <cellStyle name="Input [yellow] 3 3 9 5" xfId="2872"/>
    <cellStyle name="Input [yellow] 3 3 9 5 2" xfId="14069"/>
    <cellStyle name="Input [yellow] 3 3 9 5 3" xfId="25237"/>
    <cellStyle name="Input [yellow] 3 3 9 5 4" xfId="36402"/>
    <cellStyle name="Input [yellow] 3 3 9 5 5" xfId="47595"/>
    <cellStyle name="Input [yellow] 3 3 9 6" xfId="3506"/>
    <cellStyle name="Input [yellow] 3 3 9 6 2" xfId="14703"/>
    <cellStyle name="Input [yellow] 3 3 9 6 3" xfId="25871"/>
    <cellStyle name="Input [yellow] 3 3 9 6 4" xfId="37036"/>
    <cellStyle name="Input [yellow] 3 3 9 6 5" xfId="48229"/>
    <cellStyle name="Input [yellow] 3 3 9 7" xfId="4140"/>
    <cellStyle name="Input [yellow] 3 3 9 7 2" xfId="15337"/>
    <cellStyle name="Input [yellow] 3 3 9 7 3" xfId="26505"/>
    <cellStyle name="Input [yellow] 3 3 9 7 4" xfId="37670"/>
    <cellStyle name="Input [yellow] 3 3 9 7 5" xfId="48863"/>
    <cellStyle name="Input [yellow] 3 3 9 8" xfId="4773"/>
    <cellStyle name="Input [yellow] 3 3 9 8 2" xfId="15970"/>
    <cellStyle name="Input [yellow] 3 3 9 8 3" xfId="27138"/>
    <cellStyle name="Input [yellow] 3 3 9 8 4" xfId="38303"/>
    <cellStyle name="Input [yellow] 3 3 9 8 5" xfId="49496"/>
    <cellStyle name="Input [yellow] 3 3 9 9" xfId="5404"/>
    <cellStyle name="Input [yellow] 3 3 9 9 2" xfId="16601"/>
    <cellStyle name="Input [yellow] 3 3 9 9 3" xfId="27769"/>
    <cellStyle name="Input [yellow] 3 3 9 9 4" xfId="38934"/>
    <cellStyle name="Input [yellow] 3 3 9 9 5" xfId="50127"/>
    <cellStyle name="Input [yellow] 3 30" xfId="1899"/>
    <cellStyle name="Input [yellow] 3 30 2" xfId="13096"/>
    <cellStyle name="Input [yellow] 3 30 3" xfId="24264"/>
    <cellStyle name="Input [yellow] 3 30 4" xfId="35429"/>
    <cellStyle name="Input [yellow] 3 30 5" xfId="46622"/>
    <cellStyle name="Input [yellow] 3 31" xfId="1970"/>
    <cellStyle name="Input [yellow] 3 31 2" xfId="13167"/>
    <cellStyle name="Input [yellow] 3 31 3" xfId="24335"/>
    <cellStyle name="Input [yellow] 3 31 4" xfId="35500"/>
    <cellStyle name="Input [yellow] 3 31 5" xfId="46693"/>
    <cellStyle name="Input [yellow] 3 32" xfId="2016"/>
    <cellStyle name="Input [yellow] 3 32 2" xfId="13213"/>
    <cellStyle name="Input [yellow] 3 32 3" xfId="24381"/>
    <cellStyle name="Input [yellow] 3 32 4" xfId="35546"/>
    <cellStyle name="Input [yellow] 3 32 5" xfId="46739"/>
    <cellStyle name="Input [yellow] 3 33" xfId="3026"/>
    <cellStyle name="Input [yellow] 3 33 2" xfId="14223"/>
    <cellStyle name="Input [yellow] 3 33 3" xfId="25391"/>
    <cellStyle name="Input [yellow] 3 33 4" xfId="36556"/>
    <cellStyle name="Input [yellow] 3 33 5" xfId="47749"/>
    <cellStyle name="Input [yellow] 3 34" xfId="3660"/>
    <cellStyle name="Input [yellow] 3 34 2" xfId="14857"/>
    <cellStyle name="Input [yellow] 3 34 3" xfId="26025"/>
    <cellStyle name="Input [yellow] 3 34 4" xfId="37190"/>
    <cellStyle name="Input [yellow] 3 34 5" xfId="48383"/>
    <cellStyle name="Input [yellow] 3 35" xfId="4292"/>
    <cellStyle name="Input [yellow] 3 35 2" xfId="15489"/>
    <cellStyle name="Input [yellow] 3 35 3" xfId="26657"/>
    <cellStyle name="Input [yellow] 3 35 4" xfId="37822"/>
    <cellStyle name="Input [yellow] 3 35 5" xfId="49015"/>
    <cellStyle name="Input [yellow] 3 36" xfId="4925"/>
    <cellStyle name="Input [yellow] 3 36 2" xfId="16122"/>
    <cellStyle name="Input [yellow] 3 36 3" xfId="27290"/>
    <cellStyle name="Input [yellow] 3 36 4" xfId="38455"/>
    <cellStyle name="Input [yellow] 3 36 5" xfId="49648"/>
    <cellStyle name="Input [yellow] 3 37" xfId="5953"/>
    <cellStyle name="Input [yellow] 3 37 2" xfId="17150"/>
    <cellStyle name="Input [yellow] 3 37 3" xfId="28318"/>
    <cellStyle name="Input [yellow] 3 37 4" xfId="39483"/>
    <cellStyle name="Input [yellow] 3 37 5" xfId="50676"/>
    <cellStyle name="Input [yellow] 3 38" xfId="5918"/>
    <cellStyle name="Input [yellow] 3 38 2" xfId="17115"/>
    <cellStyle name="Input [yellow] 3 38 3" xfId="28283"/>
    <cellStyle name="Input [yellow] 3 38 4" xfId="39448"/>
    <cellStyle name="Input [yellow] 3 38 5" xfId="50641"/>
    <cellStyle name="Input [yellow] 3 39" xfId="6612"/>
    <cellStyle name="Input [yellow] 3 39 2" xfId="17809"/>
    <cellStyle name="Input [yellow] 3 39 3" xfId="28977"/>
    <cellStyle name="Input [yellow] 3 39 4" xfId="40142"/>
    <cellStyle name="Input [yellow] 3 39 5" xfId="51335"/>
    <cellStyle name="Input [yellow] 3 4" xfId="59"/>
    <cellStyle name="Input [yellow] 3 4 10" xfId="619"/>
    <cellStyle name="Input [yellow] 3 4 10 10" xfId="6173"/>
    <cellStyle name="Input [yellow] 3 4 10 10 2" xfId="17370"/>
    <cellStyle name="Input [yellow] 3 4 10 10 3" xfId="28538"/>
    <cellStyle name="Input [yellow] 3 4 10 10 4" xfId="39703"/>
    <cellStyle name="Input [yellow] 3 4 10 10 5" xfId="50896"/>
    <cellStyle name="Input [yellow] 3 4 10 11" xfId="6555"/>
    <cellStyle name="Input [yellow] 3 4 10 11 2" xfId="17752"/>
    <cellStyle name="Input [yellow] 3 4 10 11 3" xfId="28920"/>
    <cellStyle name="Input [yellow] 3 4 10 11 4" xfId="40085"/>
    <cellStyle name="Input [yellow] 3 4 10 11 5" xfId="51278"/>
    <cellStyle name="Input [yellow] 3 4 10 12" xfId="7188"/>
    <cellStyle name="Input [yellow] 3 4 10 12 2" xfId="18385"/>
    <cellStyle name="Input [yellow] 3 4 10 12 3" xfId="29553"/>
    <cellStyle name="Input [yellow] 3 4 10 12 4" xfId="40718"/>
    <cellStyle name="Input [yellow] 3 4 10 12 5" xfId="51911"/>
    <cellStyle name="Input [yellow] 3 4 10 13" xfId="7822"/>
    <cellStyle name="Input [yellow] 3 4 10 13 2" xfId="19019"/>
    <cellStyle name="Input [yellow] 3 4 10 13 3" xfId="30187"/>
    <cellStyle name="Input [yellow] 3 4 10 13 4" xfId="41352"/>
    <cellStyle name="Input [yellow] 3 4 10 13 5" xfId="52545"/>
    <cellStyle name="Input [yellow] 3 4 10 14" xfId="8456"/>
    <cellStyle name="Input [yellow] 3 4 10 14 2" xfId="19653"/>
    <cellStyle name="Input [yellow] 3 4 10 14 3" xfId="30821"/>
    <cellStyle name="Input [yellow] 3 4 10 14 4" xfId="41986"/>
    <cellStyle name="Input [yellow] 3 4 10 14 5" xfId="53179"/>
    <cellStyle name="Input [yellow] 3 4 10 15" xfId="9084"/>
    <cellStyle name="Input [yellow] 3 4 10 15 2" xfId="20281"/>
    <cellStyle name="Input [yellow] 3 4 10 15 3" xfId="31449"/>
    <cellStyle name="Input [yellow] 3 4 10 15 4" xfId="42614"/>
    <cellStyle name="Input [yellow] 3 4 10 15 5" xfId="53807"/>
    <cellStyle name="Input [yellow] 3 4 10 16" xfId="9507"/>
    <cellStyle name="Input [yellow] 3 4 10 16 2" xfId="20704"/>
    <cellStyle name="Input [yellow] 3 4 10 16 3" xfId="31872"/>
    <cellStyle name="Input [yellow] 3 4 10 16 4" xfId="43037"/>
    <cellStyle name="Input [yellow] 3 4 10 16 5" xfId="54230"/>
    <cellStyle name="Input [yellow] 3 4 10 17" xfId="10132"/>
    <cellStyle name="Input [yellow] 3 4 10 17 2" xfId="21329"/>
    <cellStyle name="Input [yellow] 3 4 10 17 3" xfId="32497"/>
    <cellStyle name="Input [yellow] 3 4 10 17 4" xfId="43662"/>
    <cellStyle name="Input [yellow] 3 4 10 17 5" xfId="54855"/>
    <cellStyle name="Input [yellow] 3 4 10 18" xfId="9917"/>
    <cellStyle name="Input [yellow] 3 4 10 18 2" xfId="21114"/>
    <cellStyle name="Input [yellow] 3 4 10 18 3" xfId="32282"/>
    <cellStyle name="Input [yellow] 3 4 10 18 4" xfId="43447"/>
    <cellStyle name="Input [yellow] 3 4 10 18 5" xfId="54640"/>
    <cellStyle name="Input [yellow] 3 4 10 19" xfId="11172"/>
    <cellStyle name="Input [yellow] 3 4 10 19 2" xfId="22369"/>
    <cellStyle name="Input [yellow] 3 4 10 19 3" xfId="33537"/>
    <cellStyle name="Input [yellow] 3 4 10 19 4" xfId="44702"/>
    <cellStyle name="Input [yellow] 3 4 10 19 5" xfId="55895"/>
    <cellStyle name="Input [yellow] 3 4 10 2" xfId="1268"/>
    <cellStyle name="Input [yellow] 3 4 10 2 2" xfId="12465"/>
    <cellStyle name="Input [yellow] 3 4 10 2 3" xfId="23633"/>
    <cellStyle name="Input [yellow] 3 4 10 2 4" xfId="34798"/>
    <cellStyle name="Input [yellow] 3 4 10 2 5" xfId="45991"/>
    <cellStyle name="Input [yellow] 3 4 10 20" xfId="11819"/>
    <cellStyle name="Input [yellow] 3 4 10 21" xfId="22989"/>
    <cellStyle name="Input [yellow] 3 4 10 22" xfId="34156"/>
    <cellStyle name="Input [yellow] 3 4 10 23" xfId="45342"/>
    <cellStyle name="Input [yellow] 3 4 10 3" xfId="1948"/>
    <cellStyle name="Input [yellow] 3 4 10 3 2" xfId="13145"/>
    <cellStyle name="Input [yellow] 3 4 10 3 3" xfId="24313"/>
    <cellStyle name="Input [yellow] 3 4 10 3 4" xfId="35478"/>
    <cellStyle name="Input [yellow] 3 4 10 3 5" xfId="46671"/>
    <cellStyle name="Input [yellow] 3 4 10 4" xfId="2544"/>
    <cellStyle name="Input [yellow] 3 4 10 4 2" xfId="13741"/>
    <cellStyle name="Input [yellow] 3 4 10 4 3" xfId="24909"/>
    <cellStyle name="Input [yellow] 3 4 10 4 4" xfId="36074"/>
    <cellStyle name="Input [yellow] 3 4 10 4 5" xfId="47267"/>
    <cellStyle name="Input [yellow] 3 4 10 5" xfId="2969"/>
    <cellStyle name="Input [yellow] 3 4 10 5 2" xfId="14166"/>
    <cellStyle name="Input [yellow] 3 4 10 5 3" xfId="25334"/>
    <cellStyle name="Input [yellow] 3 4 10 5 4" xfId="36499"/>
    <cellStyle name="Input [yellow] 3 4 10 5 5" xfId="47692"/>
    <cellStyle name="Input [yellow] 3 4 10 6" xfId="3603"/>
    <cellStyle name="Input [yellow] 3 4 10 6 2" xfId="14800"/>
    <cellStyle name="Input [yellow] 3 4 10 6 3" xfId="25968"/>
    <cellStyle name="Input [yellow] 3 4 10 6 4" xfId="37133"/>
    <cellStyle name="Input [yellow] 3 4 10 6 5" xfId="48326"/>
    <cellStyle name="Input [yellow] 3 4 10 7" xfId="4237"/>
    <cellStyle name="Input [yellow] 3 4 10 7 2" xfId="15434"/>
    <cellStyle name="Input [yellow] 3 4 10 7 3" xfId="26602"/>
    <cellStyle name="Input [yellow] 3 4 10 7 4" xfId="37767"/>
    <cellStyle name="Input [yellow] 3 4 10 7 5" xfId="48960"/>
    <cellStyle name="Input [yellow] 3 4 10 8" xfId="4870"/>
    <cellStyle name="Input [yellow] 3 4 10 8 2" xfId="16067"/>
    <cellStyle name="Input [yellow] 3 4 10 8 3" xfId="27235"/>
    <cellStyle name="Input [yellow] 3 4 10 8 4" xfId="38400"/>
    <cellStyle name="Input [yellow] 3 4 10 8 5" xfId="49593"/>
    <cellStyle name="Input [yellow] 3 4 10 9" xfId="5501"/>
    <cellStyle name="Input [yellow] 3 4 10 9 2" xfId="16698"/>
    <cellStyle name="Input [yellow] 3 4 10 9 3" xfId="27866"/>
    <cellStyle name="Input [yellow] 3 4 10 9 4" xfId="39031"/>
    <cellStyle name="Input [yellow] 3 4 10 9 5" xfId="50224"/>
    <cellStyle name="Input [yellow] 3 4 11" xfId="651"/>
    <cellStyle name="Input [yellow] 3 4 11 10" xfId="6159"/>
    <cellStyle name="Input [yellow] 3 4 11 10 2" xfId="17356"/>
    <cellStyle name="Input [yellow] 3 4 11 10 3" xfId="28524"/>
    <cellStyle name="Input [yellow] 3 4 11 10 4" xfId="39689"/>
    <cellStyle name="Input [yellow] 3 4 11 10 5" xfId="50882"/>
    <cellStyle name="Input [yellow] 3 4 11 11" xfId="6587"/>
    <cellStyle name="Input [yellow] 3 4 11 11 2" xfId="17784"/>
    <cellStyle name="Input [yellow] 3 4 11 11 3" xfId="28952"/>
    <cellStyle name="Input [yellow] 3 4 11 11 4" xfId="40117"/>
    <cellStyle name="Input [yellow] 3 4 11 11 5" xfId="51310"/>
    <cellStyle name="Input [yellow] 3 4 11 12" xfId="7220"/>
    <cellStyle name="Input [yellow] 3 4 11 12 2" xfId="18417"/>
    <cellStyle name="Input [yellow] 3 4 11 12 3" xfId="29585"/>
    <cellStyle name="Input [yellow] 3 4 11 12 4" xfId="40750"/>
    <cellStyle name="Input [yellow] 3 4 11 12 5" xfId="51943"/>
    <cellStyle name="Input [yellow] 3 4 11 13" xfId="7854"/>
    <cellStyle name="Input [yellow] 3 4 11 13 2" xfId="19051"/>
    <cellStyle name="Input [yellow] 3 4 11 13 3" xfId="30219"/>
    <cellStyle name="Input [yellow] 3 4 11 13 4" xfId="41384"/>
    <cellStyle name="Input [yellow] 3 4 11 13 5" xfId="52577"/>
    <cellStyle name="Input [yellow] 3 4 11 14" xfId="8488"/>
    <cellStyle name="Input [yellow] 3 4 11 14 2" xfId="19685"/>
    <cellStyle name="Input [yellow] 3 4 11 14 3" xfId="30853"/>
    <cellStyle name="Input [yellow] 3 4 11 14 4" xfId="42018"/>
    <cellStyle name="Input [yellow] 3 4 11 14 5" xfId="53211"/>
    <cellStyle name="Input [yellow] 3 4 11 15" xfId="9116"/>
    <cellStyle name="Input [yellow] 3 4 11 15 2" xfId="20313"/>
    <cellStyle name="Input [yellow] 3 4 11 15 3" xfId="31481"/>
    <cellStyle name="Input [yellow] 3 4 11 15 4" xfId="42646"/>
    <cellStyle name="Input [yellow] 3 4 11 15 5" xfId="53839"/>
    <cellStyle name="Input [yellow] 3 4 11 16" xfId="9539"/>
    <cellStyle name="Input [yellow] 3 4 11 16 2" xfId="20736"/>
    <cellStyle name="Input [yellow] 3 4 11 16 3" xfId="31904"/>
    <cellStyle name="Input [yellow] 3 4 11 16 4" xfId="43069"/>
    <cellStyle name="Input [yellow] 3 4 11 16 5" xfId="54262"/>
    <cellStyle name="Input [yellow] 3 4 11 17" xfId="10164"/>
    <cellStyle name="Input [yellow] 3 4 11 17 2" xfId="21361"/>
    <cellStyle name="Input [yellow] 3 4 11 17 3" xfId="32529"/>
    <cellStyle name="Input [yellow] 3 4 11 17 4" xfId="43694"/>
    <cellStyle name="Input [yellow] 3 4 11 17 5" xfId="54887"/>
    <cellStyle name="Input [yellow] 3 4 11 18" xfId="9812"/>
    <cellStyle name="Input [yellow] 3 4 11 18 2" xfId="21009"/>
    <cellStyle name="Input [yellow] 3 4 11 18 3" xfId="32177"/>
    <cellStyle name="Input [yellow] 3 4 11 18 4" xfId="43342"/>
    <cellStyle name="Input [yellow] 3 4 11 18 5" xfId="54535"/>
    <cellStyle name="Input [yellow] 3 4 11 19" xfId="11204"/>
    <cellStyle name="Input [yellow] 3 4 11 19 2" xfId="22401"/>
    <cellStyle name="Input [yellow] 3 4 11 19 3" xfId="33569"/>
    <cellStyle name="Input [yellow] 3 4 11 19 4" xfId="44734"/>
    <cellStyle name="Input [yellow] 3 4 11 19 5" xfId="55927"/>
    <cellStyle name="Input [yellow] 3 4 11 2" xfId="1300"/>
    <cellStyle name="Input [yellow] 3 4 11 2 2" xfId="12497"/>
    <cellStyle name="Input [yellow] 3 4 11 2 3" xfId="23665"/>
    <cellStyle name="Input [yellow] 3 4 11 2 4" xfId="34830"/>
    <cellStyle name="Input [yellow] 3 4 11 2 5" xfId="46023"/>
    <cellStyle name="Input [yellow] 3 4 11 20" xfId="11851"/>
    <cellStyle name="Input [yellow] 3 4 11 21" xfId="23021"/>
    <cellStyle name="Input [yellow] 3 4 11 22" xfId="34188"/>
    <cellStyle name="Input [yellow] 3 4 11 23" xfId="45374"/>
    <cellStyle name="Input [yellow] 3 4 11 3" xfId="1435"/>
    <cellStyle name="Input [yellow] 3 4 11 3 2" xfId="12632"/>
    <cellStyle name="Input [yellow] 3 4 11 3 3" xfId="23800"/>
    <cellStyle name="Input [yellow] 3 4 11 3 4" xfId="34965"/>
    <cellStyle name="Input [yellow] 3 4 11 3 5" xfId="46158"/>
    <cellStyle name="Input [yellow] 3 4 11 4" xfId="2576"/>
    <cellStyle name="Input [yellow] 3 4 11 4 2" xfId="13773"/>
    <cellStyle name="Input [yellow] 3 4 11 4 3" xfId="24941"/>
    <cellStyle name="Input [yellow] 3 4 11 4 4" xfId="36106"/>
    <cellStyle name="Input [yellow] 3 4 11 4 5" xfId="47299"/>
    <cellStyle name="Input [yellow] 3 4 11 5" xfId="3001"/>
    <cellStyle name="Input [yellow] 3 4 11 5 2" xfId="14198"/>
    <cellStyle name="Input [yellow] 3 4 11 5 3" xfId="25366"/>
    <cellStyle name="Input [yellow] 3 4 11 5 4" xfId="36531"/>
    <cellStyle name="Input [yellow] 3 4 11 5 5" xfId="47724"/>
    <cellStyle name="Input [yellow] 3 4 11 6" xfId="3635"/>
    <cellStyle name="Input [yellow] 3 4 11 6 2" xfId="14832"/>
    <cellStyle name="Input [yellow] 3 4 11 6 3" xfId="26000"/>
    <cellStyle name="Input [yellow] 3 4 11 6 4" xfId="37165"/>
    <cellStyle name="Input [yellow] 3 4 11 6 5" xfId="48358"/>
    <cellStyle name="Input [yellow] 3 4 11 7" xfId="4269"/>
    <cellStyle name="Input [yellow] 3 4 11 7 2" xfId="15466"/>
    <cellStyle name="Input [yellow] 3 4 11 7 3" xfId="26634"/>
    <cellStyle name="Input [yellow] 3 4 11 7 4" xfId="37799"/>
    <cellStyle name="Input [yellow] 3 4 11 7 5" xfId="48992"/>
    <cellStyle name="Input [yellow] 3 4 11 8" xfId="4902"/>
    <cellStyle name="Input [yellow] 3 4 11 8 2" xfId="16099"/>
    <cellStyle name="Input [yellow] 3 4 11 8 3" xfId="27267"/>
    <cellStyle name="Input [yellow] 3 4 11 8 4" xfId="38432"/>
    <cellStyle name="Input [yellow] 3 4 11 8 5" xfId="49625"/>
    <cellStyle name="Input [yellow] 3 4 11 9" xfId="5533"/>
    <cellStyle name="Input [yellow] 3 4 11 9 2" xfId="16730"/>
    <cellStyle name="Input [yellow] 3 4 11 9 3" xfId="27898"/>
    <cellStyle name="Input [yellow] 3 4 11 9 4" xfId="39063"/>
    <cellStyle name="Input [yellow] 3 4 11 9 5" xfId="50256"/>
    <cellStyle name="Input [yellow] 3 4 12" xfId="708"/>
    <cellStyle name="Input [yellow] 3 4 12 2" xfId="11906"/>
    <cellStyle name="Input [yellow] 3 4 12 3" xfId="23075"/>
    <cellStyle name="Input [yellow] 3 4 12 4" xfId="34240"/>
    <cellStyle name="Input [yellow] 3 4 12 5" xfId="45431"/>
    <cellStyle name="Input [yellow] 3 4 13" xfId="1529"/>
    <cellStyle name="Input [yellow] 3 4 13 2" xfId="12726"/>
    <cellStyle name="Input [yellow] 3 4 13 3" xfId="23894"/>
    <cellStyle name="Input [yellow] 3 4 13 4" xfId="35059"/>
    <cellStyle name="Input [yellow] 3 4 13 5" xfId="46252"/>
    <cellStyle name="Input [yellow] 3 4 14" xfId="1985"/>
    <cellStyle name="Input [yellow] 3 4 14 2" xfId="13182"/>
    <cellStyle name="Input [yellow] 3 4 14 3" xfId="24350"/>
    <cellStyle name="Input [yellow] 3 4 14 4" xfId="35515"/>
    <cellStyle name="Input [yellow] 3 4 14 5" xfId="46708"/>
    <cellStyle name="Input [yellow] 3 4 15" xfId="2123"/>
    <cellStyle name="Input [yellow] 3 4 15 2" xfId="13320"/>
    <cellStyle name="Input [yellow] 3 4 15 3" xfId="24488"/>
    <cellStyle name="Input [yellow] 3 4 15 4" xfId="35653"/>
    <cellStyle name="Input [yellow] 3 4 15 5" xfId="46846"/>
    <cellStyle name="Input [yellow] 3 4 16" xfId="3043"/>
    <cellStyle name="Input [yellow] 3 4 16 2" xfId="14240"/>
    <cellStyle name="Input [yellow] 3 4 16 3" xfId="25408"/>
    <cellStyle name="Input [yellow] 3 4 16 4" xfId="36573"/>
    <cellStyle name="Input [yellow] 3 4 16 5" xfId="47766"/>
    <cellStyle name="Input [yellow] 3 4 17" xfId="3678"/>
    <cellStyle name="Input [yellow] 3 4 17 2" xfId="14875"/>
    <cellStyle name="Input [yellow] 3 4 17 3" xfId="26043"/>
    <cellStyle name="Input [yellow] 3 4 17 4" xfId="37208"/>
    <cellStyle name="Input [yellow] 3 4 17 5" xfId="48401"/>
    <cellStyle name="Input [yellow] 3 4 18" xfId="4310"/>
    <cellStyle name="Input [yellow] 3 4 18 2" xfId="15507"/>
    <cellStyle name="Input [yellow] 3 4 18 3" xfId="26675"/>
    <cellStyle name="Input [yellow] 3 4 18 4" xfId="37840"/>
    <cellStyle name="Input [yellow] 3 4 18 5" xfId="49033"/>
    <cellStyle name="Input [yellow] 3 4 19" xfId="4943"/>
    <cellStyle name="Input [yellow] 3 4 19 2" xfId="16140"/>
    <cellStyle name="Input [yellow] 3 4 19 3" xfId="27308"/>
    <cellStyle name="Input [yellow] 3 4 19 4" xfId="38473"/>
    <cellStyle name="Input [yellow] 3 4 19 5" xfId="49666"/>
    <cellStyle name="Input [yellow] 3 4 2" xfId="124"/>
    <cellStyle name="Input [yellow] 3 4 2 10" xfId="5951"/>
    <cellStyle name="Input [yellow] 3 4 2 10 2" xfId="17148"/>
    <cellStyle name="Input [yellow] 3 4 2 10 3" xfId="28316"/>
    <cellStyle name="Input [yellow] 3 4 2 10 4" xfId="39481"/>
    <cellStyle name="Input [yellow] 3 4 2 10 5" xfId="50674"/>
    <cellStyle name="Input [yellow] 3 4 2 11" xfId="6110"/>
    <cellStyle name="Input [yellow] 3 4 2 11 2" xfId="17307"/>
    <cellStyle name="Input [yellow] 3 4 2 11 3" xfId="28475"/>
    <cellStyle name="Input [yellow] 3 4 2 11 4" xfId="39640"/>
    <cellStyle name="Input [yellow] 3 4 2 11 5" xfId="50833"/>
    <cellStyle name="Input [yellow] 3 4 2 12" xfId="6693"/>
    <cellStyle name="Input [yellow] 3 4 2 12 2" xfId="17890"/>
    <cellStyle name="Input [yellow] 3 4 2 12 3" xfId="29058"/>
    <cellStyle name="Input [yellow] 3 4 2 12 4" xfId="40223"/>
    <cellStyle name="Input [yellow] 3 4 2 12 5" xfId="51416"/>
    <cellStyle name="Input [yellow] 3 4 2 13" xfId="7327"/>
    <cellStyle name="Input [yellow] 3 4 2 13 2" xfId="18524"/>
    <cellStyle name="Input [yellow] 3 4 2 13 3" xfId="29692"/>
    <cellStyle name="Input [yellow] 3 4 2 13 4" xfId="40857"/>
    <cellStyle name="Input [yellow] 3 4 2 13 5" xfId="52050"/>
    <cellStyle name="Input [yellow] 3 4 2 14" xfId="7961"/>
    <cellStyle name="Input [yellow] 3 4 2 14 2" xfId="19158"/>
    <cellStyle name="Input [yellow] 3 4 2 14 3" xfId="30326"/>
    <cellStyle name="Input [yellow] 3 4 2 14 4" xfId="41491"/>
    <cellStyle name="Input [yellow] 3 4 2 14 5" xfId="52684"/>
    <cellStyle name="Input [yellow] 3 4 2 15" xfId="8592"/>
    <cellStyle name="Input [yellow] 3 4 2 15 2" xfId="19789"/>
    <cellStyle name="Input [yellow] 3 4 2 15 3" xfId="30957"/>
    <cellStyle name="Input [yellow] 3 4 2 15 4" xfId="42122"/>
    <cellStyle name="Input [yellow] 3 4 2 15 5" xfId="53315"/>
    <cellStyle name="Input [yellow] 3 4 2 16" xfId="8877"/>
    <cellStyle name="Input [yellow] 3 4 2 16 2" xfId="20074"/>
    <cellStyle name="Input [yellow] 3 4 2 16 3" xfId="31242"/>
    <cellStyle name="Input [yellow] 3 4 2 16 4" xfId="42407"/>
    <cellStyle name="Input [yellow] 3 4 2 16 5" xfId="53600"/>
    <cellStyle name="Input [yellow] 3 4 2 17" xfId="9645"/>
    <cellStyle name="Input [yellow] 3 4 2 17 2" xfId="20842"/>
    <cellStyle name="Input [yellow] 3 4 2 17 3" xfId="32010"/>
    <cellStyle name="Input [yellow] 3 4 2 17 4" xfId="43175"/>
    <cellStyle name="Input [yellow] 3 4 2 17 5" xfId="54368"/>
    <cellStyle name="Input [yellow] 3 4 2 18" xfId="9825"/>
    <cellStyle name="Input [yellow] 3 4 2 18 2" xfId="21022"/>
    <cellStyle name="Input [yellow] 3 4 2 18 3" xfId="32190"/>
    <cellStyle name="Input [yellow] 3 4 2 18 4" xfId="43355"/>
    <cellStyle name="Input [yellow] 3 4 2 18 5" xfId="54548"/>
    <cellStyle name="Input [yellow] 3 4 2 19" xfId="10677"/>
    <cellStyle name="Input [yellow] 3 4 2 19 2" xfId="21874"/>
    <cellStyle name="Input [yellow] 3 4 2 19 3" xfId="33042"/>
    <cellStyle name="Input [yellow] 3 4 2 19 4" xfId="44207"/>
    <cellStyle name="Input [yellow] 3 4 2 19 5" xfId="55400"/>
    <cellStyle name="Input [yellow] 3 4 2 2" xfId="773"/>
    <cellStyle name="Input [yellow] 3 4 2 2 2" xfId="11970"/>
    <cellStyle name="Input [yellow] 3 4 2 2 3" xfId="23138"/>
    <cellStyle name="Input [yellow] 3 4 2 2 4" xfId="34303"/>
    <cellStyle name="Input [yellow] 3 4 2 2 5" xfId="45496"/>
    <cellStyle name="Input [yellow] 3 4 2 20" xfId="11324"/>
    <cellStyle name="Input [yellow] 3 4 2 21" xfId="22494"/>
    <cellStyle name="Input [yellow] 3 4 2 22" xfId="33661"/>
    <cellStyle name="Input [yellow] 3 4 2 23" xfId="44847"/>
    <cellStyle name="Input [yellow] 3 4 2 3" xfId="1460"/>
    <cellStyle name="Input [yellow] 3 4 2 3 2" xfId="12657"/>
    <cellStyle name="Input [yellow] 3 4 2 3 3" xfId="23825"/>
    <cellStyle name="Input [yellow] 3 4 2 3 4" xfId="34990"/>
    <cellStyle name="Input [yellow] 3 4 2 3 5" xfId="46183"/>
    <cellStyle name="Input [yellow] 3 4 2 4" xfId="2050"/>
    <cellStyle name="Input [yellow] 3 4 2 4 2" xfId="13247"/>
    <cellStyle name="Input [yellow] 3 4 2 4 3" xfId="24415"/>
    <cellStyle name="Input [yellow] 3 4 2 4 4" xfId="35580"/>
    <cellStyle name="Input [yellow] 3 4 2 4 5" xfId="46773"/>
    <cellStyle name="Input [yellow] 3 4 2 5" xfId="2170"/>
    <cellStyle name="Input [yellow] 3 4 2 5 2" xfId="13367"/>
    <cellStyle name="Input [yellow] 3 4 2 5 3" xfId="24535"/>
    <cellStyle name="Input [yellow] 3 4 2 5 4" xfId="35700"/>
    <cellStyle name="Input [yellow] 3 4 2 5 5" xfId="46893"/>
    <cellStyle name="Input [yellow] 3 4 2 6" xfId="3108"/>
    <cellStyle name="Input [yellow] 3 4 2 6 2" xfId="14305"/>
    <cellStyle name="Input [yellow] 3 4 2 6 3" xfId="25473"/>
    <cellStyle name="Input [yellow] 3 4 2 6 4" xfId="36638"/>
    <cellStyle name="Input [yellow] 3 4 2 6 5" xfId="47831"/>
    <cellStyle name="Input [yellow] 3 4 2 7" xfId="3742"/>
    <cellStyle name="Input [yellow] 3 4 2 7 2" xfId="14939"/>
    <cellStyle name="Input [yellow] 3 4 2 7 3" xfId="26107"/>
    <cellStyle name="Input [yellow] 3 4 2 7 4" xfId="37272"/>
    <cellStyle name="Input [yellow] 3 4 2 7 5" xfId="48465"/>
    <cellStyle name="Input [yellow] 3 4 2 8" xfId="4375"/>
    <cellStyle name="Input [yellow] 3 4 2 8 2" xfId="15572"/>
    <cellStyle name="Input [yellow] 3 4 2 8 3" xfId="26740"/>
    <cellStyle name="Input [yellow] 3 4 2 8 4" xfId="37905"/>
    <cellStyle name="Input [yellow] 3 4 2 8 5" xfId="49098"/>
    <cellStyle name="Input [yellow] 3 4 2 9" xfId="5006"/>
    <cellStyle name="Input [yellow] 3 4 2 9 2" xfId="16203"/>
    <cellStyle name="Input [yellow] 3 4 2 9 3" xfId="27371"/>
    <cellStyle name="Input [yellow] 3 4 2 9 4" xfId="38536"/>
    <cellStyle name="Input [yellow] 3 4 2 9 5" xfId="49729"/>
    <cellStyle name="Input [yellow] 3 4 20" xfId="5963"/>
    <cellStyle name="Input [yellow] 3 4 20 2" xfId="17160"/>
    <cellStyle name="Input [yellow] 3 4 20 3" xfId="28328"/>
    <cellStyle name="Input [yellow] 3 4 20 4" xfId="39493"/>
    <cellStyle name="Input [yellow] 3 4 20 5" xfId="50686"/>
    <cellStyle name="Input [yellow] 3 4 21" xfId="6025"/>
    <cellStyle name="Input [yellow] 3 4 21 2" xfId="17222"/>
    <cellStyle name="Input [yellow] 3 4 21 3" xfId="28390"/>
    <cellStyle name="Input [yellow] 3 4 21 4" xfId="39555"/>
    <cellStyle name="Input [yellow] 3 4 21 5" xfId="50748"/>
    <cellStyle name="Input [yellow] 3 4 22" xfId="6630"/>
    <cellStyle name="Input [yellow] 3 4 22 2" xfId="17827"/>
    <cellStyle name="Input [yellow] 3 4 22 3" xfId="28995"/>
    <cellStyle name="Input [yellow] 3 4 22 4" xfId="40160"/>
    <cellStyle name="Input [yellow] 3 4 22 5" xfId="51353"/>
    <cellStyle name="Input [yellow] 3 4 23" xfId="7262"/>
    <cellStyle name="Input [yellow] 3 4 23 2" xfId="18459"/>
    <cellStyle name="Input [yellow] 3 4 23 3" xfId="29627"/>
    <cellStyle name="Input [yellow] 3 4 23 4" xfId="40792"/>
    <cellStyle name="Input [yellow] 3 4 23 5" xfId="51985"/>
    <cellStyle name="Input [yellow] 3 4 24" xfId="7896"/>
    <cellStyle name="Input [yellow] 3 4 24 2" xfId="19093"/>
    <cellStyle name="Input [yellow] 3 4 24 3" xfId="30261"/>
    <cellStyle name="Input [yellow] 3 4 24 4" xfId="41426"/>
    <cellStyle name="Input [yellow] 3 4 24 5" xfId="52619"/>
    <cellStyle name="Input [yellow] 3 4 25" xfId="8529"/>
    <cellStyle name="Input [yellow] 3 4 25 2" xfId="19726"/>
    <cellStyle name="Input [yellow] 3 4 25 3" xfId="30894"/>
    <cellStyle name="Input [yellow] 3 4 25 4" xfId="42059"/>
    <cellStyle name="Input [yellow] 3 4 25 5" xfId="53252"/>
    <cellStyle name="Input [yellow] 3 4 26" xfId="8823"/>
    <cellStyle name="Input [yellow] 3 4 26 2" xfId="20020"/>
    <cellStyle name="Input [yellow] 3 4 26 3" xfId="31188"/>
    <cellStyle name="Input [yellow] 3 4 26 4" xfId="42353"/>
    <cellStyle name="Input [yellow] 3 4 26 5" xfId="53546"/>
    <cellStyle name="Input [yellow] 3 4 27" xfId="9581"/>
    <cellStyle name="Input [yellow] 3 4 27 2" xfId="20778"/>
    <cellStyle name="Input [yellow] 3 4 27 3" xfId="31946"/>
    <cellStyle name="Input [yellow] 3 4 27 4" xfId="43111"/>
    <cellStyle name="Input [yellow] 3 4 27 5" xfId="54304"/>
    <cellStyle name="Input [yellow] 3 4 28" xfId="10263"/>
    <cellStyle name="Input [yellow] 3 4 28 2" xfId="21460"/>
    <cellStyle name="Input [yellow] 3 4 28 3" xfId="32628"/>
    <cellStyle name="Input [yellow] 3 4 28 4" xfId="43793"/>
    <cellStyle name="Input [yellow] 3 4 28 5" xfId="54986"/>
    <cellStyle name="Input [yellow] 3 4 29" xfId="10614"/>
    <cellStyle name="Input [yellow] 3 4 29 2" xfId="21811"/>
    <cellStyle name="Input [yellow] 3 4 29 3" xfId="32979"/>
    <cellStyle name="Input [yellow] 3 4 29 4" xfId="44144"/>
    <cellStyle name="Input [yellow] 3 4 29 5" xfId="55337"/>
    <cellStyle name="Input [yellow] 3 4 3" xfId="180"/>
    <cellStyle name="Input [yellow] 3 4 3 10" xfId="5578"/>
    <cellStyle name="Input [yellow] 3 4 3 10 2" xfId="16775"/>
    <cellStyle name="Input [yellow] 3 4 3 10 3" xfId="27943"/>
    <cellStyle name="Input [yellow] 3 4 3 10 4" xfId="39108"/>
    <cellStyle name="Input [yellow] 3 4 3 10 5" xfId="50301"/>
    <cellStyle name="Input [yellow] 3 4 3 11" xfId="6138"/>
    <cellStyle name="Input [yellow] 3 4 3 11 2" xfId="17335"/>
    <cellStyle name="Input [yellow] 3 4 3 11 3" xfId="28503"/>
    <cellStyle name="Input [yellow] 3 4 3 11 4" xfId="39668"/>
    <cellStyle name="Input [yellow] 3 4 3 11 5" xfId="50861"/>
    <cellStyle name="Input [yellow] 3 4 3 12" xfId="6749"/>
    <cellStyle name="Input [yellow] 3 4 3 12 2" xfId="17946"/>
    <cellStyle name="Input [yellow] 3 4 3 12 3" xfId="29114"/>
    <cellStyle name="Input [yellow] 3 4 3 12 4" xfId="40279"/>
    <cellStyle name="Input [yellow] 3 4 3 12 5" xfId="51472"/>
    <cellStyle name="Input [yellow] 3 4 3 13" xfId="7383"/>
    <cellStyle name="Input [yellow] 3 4 3 13 2" xfId="18580"/>
    <cellStyle name="Input [yellow] 3 4 3 13 3" xfId="29748"/>
    <cellStyle name="Input [yellow] 3 4 3 13 4" xfId="40913"/>
    <cellStyle name="Input [yellow] 3 4 3 13 5" xfId="52106"/>
    <cellStyle name="Input [yellow] 3 4 3 14" xfId="8017"/>
    <cellStyle name="Input [yellow] 3 4 3 14 2" xfId="19214"/>
    <cellStyle name="Input [yellow] 3 4 3 14 3" xfId="30382"/>
    <cellStyle name="Input [yellow] 3 4 3 14 4" xfId="41547"/>
    <cellStyle name="Input [yellow] 3 4 3 14 5" xfId="52740"/>
    <cellStyle name="Input [yellow] 3 4 3 15" xfId="8648"/>
    <cellStyle name="Input [yellow] 3 4 3 15 2" xfId="19845"/>
    <cellStyle name="Input [yellow] 3 4 3 15 3" xfId="31013"/>
    <cellStyle name="Input [yellow] 3 4 3 15 4" xfId="42178"/>
    <cellStyle name="Input [yellow] 3 4 3 15 5" xfId="53371"/>
    <cellStyle name="Input [yellow] 3 4 3 16" xfId="8892"/>
    <cellStyle name="Input [yellow] 3 4 3 16 2" xfId="20089"/>
    <cellStyle name="Input [yellow] 3 4 3 16 3" xfId="31257"/>
    <cellStyle name="Input [yellow] 3 4 3 16 4" xfId="42422"/>
    <cellStyle name="Input [yellow] 3 4 3 16 5" xfId="53615"/>
    <cellStyle name="Input [yellow] 3 4 3 17" xfId="9700"/>
    <cellStyle name="Input [yellow] 3 4 3 17 2" xfId="20897"/>
    <cellStyle name="Input [yellow] 3 4 3 17 3" xfId="32065"/>
    <cellStyle name="Input [yellow] 3 4 3 17 4" xfId="43230"/>
    <cellStyle name="Input [yellow] 3 4 3 17 5" xfId="54423"/>
    <cellStyle name="Input [yellow] 3 4 3 18" xfId="10217"/>
    <cellStyle name="Input [yellow] 3 4 3 18 2" xfId="21414"/>
    <cellStyle name="Input [yellow] 3 4 3 18 3" xfId="32582"/>
    <cellStyle name="Input [yellow] 3 4 3 18 4" xfId="43747"/>
    <cellStyle name="Input [yellow] 3 4 3 18 5" xfId="54940"/>
    <cellStyle name="Input [yellow] 3 4 3 19" xfId="10733"/>
    <cellStyle name="Input [yellow] 3 4 3 19 2" xfId="21930"/>
    <cellStyle name="Input [yellow] 3 4 3 19 3" xfId="33098"/>
    <cellStyle name="Input [yellow] 3 4 3 19 4" xfId="44263"/>
    <cellStyle name="Input [yellow] 3 4 3 19 5" xfId="55456"/>
    <cellStyle name="Input [yellow] 3 4 3 2" xfId="829"/>
    <cellStyle name="Input [yellow] 3 4 3 2 2" xfId="12026"/>
    <cellStyle name="Input [yellow] 3 4 3 2 3" xfId="23194"/>
    <cellStyle name="Input [yellow] 3 4 3 2 4" xfId="34359"/>
    <cellStyle name="Input [yellow] 3 4 3 2 5" xfId="45552"/>
    <cellStyle name="Input [yellow] 3 4 3 20" xfId="11380"/>
    <cellStyle name="Input [yellow] 3 4 3 21" xfId="22550"/>
    <cellStyle name="Input [yellow] 3 4 3 22" xfId="33717"/>
    <cellStyle name="Input [yellow] 3 4 3 23" xfId="44903"/>
    <cellStyle name="Input [yellow] 3 4 3 3" xfId="1499"/>
    <cellStyle name="Input [yellow] 3 4 3 3 2" xfId="12696"/>
    <cellStyle name="Input [yellow] 3 4 3 3 3" xfId="23864"/>
    <cellStyle name="Input [yellow] 3 4 3 3 4" xfId="35029"/>
    <cellStyle name="Input [yellow] 3 4 3 3 5" xfId="46222"/>
    <cellStyle name="Input [yellow] 3 4 3 4" xfId="2106"/>
    <cellStyle name="Input [yellow] 3 4 3 4 2" xfId="13303"/>
    <cellStyle name="Input [yellow] 3 4 3 4 3" xfId="24471"/>
    <cellStyle name="Input [yellow] 3 4 3 4 4" xfId="35636"/>
    <cellStyle name="Input [yellow] 3 4 3 4 5" xfId="46829"/>
    <cellStyle name="Input [yellow] 3 4 3 5" xfId="1959"/>
    <cellStyle name="Input [yellow] 3 4 3 5 2" xfId="13156"/>
    <cellStyle name="Input [yellow] 3 4 3 5 3" xfId="24324"/>
    <cellStyle name="Input [yellow] 3 4 3 5 4" xfId="35489"/>
    <cellStyle name="Input [yellow] 3 4 3 5 5" xfId="46682"/>
    <cellStyle name="Input [yellow] 3 4 3 6" xfId="3164"/>
    <cellStyle name="Input [yellow] 3 4 3 6 2" xfId="14361"/>
    <cellStyle name="Input [yellow] 3 4 3 6 3" xfId="25529"/>
    <cellStyle name="Input [yellow] 3 4 3 6 4" xfId="36694"/>
    <cellStyle name="Input [yellow] 3 4 3 6 5" xfId="47887"/>
    <cellStyle name="Input [yellow] 3 4 3 7" xfId="3798"/>
    <cellStyle name="Input [yellow] 3 4 3 7 2" xfId="14995"/>
    <cellStyle name="Input [yellow] 3 4 3 7 3" xfId="26163"/>
    <cellStyle name="Input [yellow] 3 4 3 7 4" xfId="37328"/>
    <cellStyle name="Input [yellow] 3 4 3 7 5" xfId="48521"/>
    <cellStyle name="Input [yellow] 3 4 3 8" xfId="4431"/>
    <cellStyle name="Input [yellow] 3 4 3 8 2" xfId="15628"/>
    <cellStyle name="Input [yellow] 3 4 3 8 3" xfId="26796"/>
    <cellStyle name="Input [yellow] 3 4 3 8 4" xfId="37961"/>
    <cellStyle name="Input [yellow] 3 4 3 8 5" xfId="49154"/>
    <cellStyle name="Input [yellow] 3 4 3 9" xfId="5062"/>
    <cellStyle name="Input [yellow] 3 4 3 9 2" xfId="16259"/>
    <cellStyle name="Input [yellow] 3 4 3 9 3" xfId="27427"/>
    <cellStyle name="Input [yellow] 3 4 3 9 4" xfId="38592"/>
    <cellStyle name="Input [yellow] 3 4 3 9 5" xfId="49785"/>
    <cellStyle name="Input [yellow] 3 4 30" xfId="11260"/>
    <cellStyle name="Input [yellow] 3 4 31" xfId="22431"/>
    <cellStyle name="Input [yellow] 3 4 32" xfId="33598"/>
    <cellStyle name="Input [yellow] 3 4 33" xfId="44782"/>
    <cellStyle name="Input [yellow] 3 4 4" xfId="254"/>
    <cellStyle name="Input [yellow] 3 4 4 10" xfId="5587"/>
    <cellStyle name="Input [yellow] 3 4 4 10 2" xfId="16784"/>
    <cellStyle name="Input [yellow] 3 4 4 10 3" xfId="27952"/>
    <cellStyle name="Input [yellow] 3 4 4 10 4" xfId="39117"/>
    <cellStyle name="Input [yellow] 3 4 4 10 5" xfId="50310"/>
    <cellStyle name="Input [yellow] 3 4 4 11" xfId="6190"/>
    <cellStyle name="Input [yellow] 3 4 4 11 2" xfId="17387"/>
    <cellStyle name="Input [yellow] 3 4 4 11 3" xfId="28555"/>
    <cellStyle name="Input [yellow] 3 4 4 11 4" xfId="39720"/>
    <cellStyle name="Input [yellow] 3 4 4 11 5" xfId="50913"/>
    <cellStyle name="Input [yellow] 3 4 4 12" xfId="6823"/>
    <cellStyle name="Input [yellow] 3 4 4 12 2" xfId="18020"/>
    <cellStyle name="Input [yellow] 3 4 4 12 3" xfId="29188"/>
    <cellStyle name="Input [yellow] 3 4 4 12 4" xfId="40353"/>
    <cellStyle name="Input [yellow] 3 4 4 12 5" xfId="51546"/>
    <cellStyle name="Input [yellow] 3 4 4 13" xfId="7457"/>
    <cellStyle name="Input [yellow] 3 4 4 13 2" xfId="18654"/>
    <cellStyle name="Input [yellow] 3 4 4 13 3" xfId="29822"/>
    <cellStyle name="Input [yellow] 3 4 4 13 4" xfId="40987"/>
    <cellStyle name="Input [yellow] 3 4 4 13 5" xfId="52180"/>
    <cellStyle name="Input [yellow] 3 4 4 14" xfId="8091"/>
    <cellStyle name="Input [yellow] 3 4 4 14 2" xfId="19288"/>
    <cellStyle name="Input [yellow] 3 4 4 14 3" xfId="30456"/>
    <cellStyle name="Input [yellow] 3 4 4 14 4" xfId="41621"/>
    <cellStyle name="Input [yellow] 3 4 4 14 5" xfId="52814"/>
    <cellStyle name="Input [yellow] 3 4 4 15" xfId="8720"/>
    <cellStyle name="Input [yellow] 3 4 4 15 2" xfId="19917"/>
    <cellStyle name="Input [yellow] 3 4 4 15 3" xfId="31085"/>
    <cellStyle name="Input [yellow] 3 4 4 15 4" xfId="42250"/>
    <cellStyle name="Input [yellow] 3 4 4 15 5" xfId="53443"/>
    <cellStyle name="Input [yellow] 3 4 4 16" xfId="9142"/>
    <cellStyle name="Input [yellow] 3 4 4 16 2" xfId="20339"/>
    <cellStyle name="Input [yellow] 3 4 4 16 3" xfId="31507"/>
    <cellStyle name="Input [yellow] 3 4 4 16 4" xfId="42672"/>
    <cellStyle name="Input [yellow] 3 4 4 16 5" xfId="53865"/>
    <cellStyle name="Input [yellow] 3 4 4 17" xfId="9770"/>
    <cellStyle name="Input [yellow] 3 4 4 17 2" xfId="20967"/>
    <cellStyle name="Input [yellow] 3 4 4 17 3" xfId="32135"/>
    <cellStyle name="Input [yellow] 3 4 4 17 4" xfId="43300"/>
    <cellStyle name="Input [yellow] 3 4 4 17 5" xfId="54493"/>
    <cellStyle name="Input [yellow] 3 4 4 18" xfId="10406"/>
    <cellStyle name="Input [yellow] 3 4 4 18 2" xfId="21603"/>
    <cellStyle name="Input [yellow] 3 4 4 18 3" xfId="32771"/>
    <cellStyle name="Input [yellow] 3 4 4 18 4" xfId="43936"/>
    <cellStyle name="Input [yellow] 3 4 4 18 5" xfId="55129"/>
    <cellStyle name="Input [yellow] 3 4 4 19" xfId="10807"/>
    <cellStyle name="Input [yellow] 3 4 4 19 2" xfId="22004"/>
    <cellStyle name="Input [yellow] 3 4 4 19 3" xfId="33172"/>
    <cellStyle name="Input [yellow] 3 4 4 19 4" xfId="44337"/>
    <cellStyle name="Input [yellow] 3 4 4 19 5" xfId="55530"/>
    <cellStyle name="Input [yellow] 3 4 4 2" xfId="903"/>
    <cellStyle name="Input [yellow] 3 4 4 2 2" xfId="12100"/>
    <cellStyle name="Input [yellow] 3 4 4 2 3" xfId="23268"/>
    <cellStyle name="Input [yellow] 3 4 4 2 4" xfId="34433"/>
    <cellStyle name="Input [yellow] 3 4 4 2 5" xfId="45626"/>
    <cellStyle name="Input [yellow] 3 4 4 20" xfId="11454"/>
    <cellStyle name="Input [yellow] 3 4 4 21" xfId="22624"/>
    <cellStyle name="Input [yellow] 3 4 4 22" xfId="33791"/>
    <cellStyle name="Input [yellow] 3 4 4 23" xfId="44977"/>
    <cellStyle name="Input [yellow] 3 4 4 3" xfId="1725"/>
    <cellStyle name="Input [yellow] 3 4 4 3 2" xfId="12922"/>
    <cellStyle name="Input [yellow] 3 4 4 3 3" xfId="24090"/>
    <cellStyle name="Input [yellow] 3 4 4 3 4" xfId="35255"/>
    <cellStyle name="Input [yellow] 3 4 4 3 5" xfId="46448"/>
    <cellStyle name="Input [yellow] 3 4 4 4" xfId="2180"/>
    <cellStyle name="Input [yellow] 3 4 4 4 2" xfId="13377"/>
    <cellStyle name="Input [yellow] 3 4 4 4 3" xfId="24545"/>
    <cellStyle name="Input [yellow] 3 4 4 4 4" xfId="35710"/>
    <cellStyle name="Input [yellow] 3 4 4 4 5" xfId="46903"/>
    <cellStyle name="Input [yellow] 3 4 4 5" xfId="2604"/>
    <cellStyle name="Input [yellow] 3 4 4 5 2" xfId="13801"/>
    <cellStyle name="Input [yellow] 3 4 4 5 3" xfId="24969"/>
    <cellStyle name="Input [yellow] 3 4 4 5 4" xfId="36134"/>
    <cellStyle name="Input [yellow] 3 4 4 5 5" xfId="47327"/>
    <cellStyle name="Input [yellow] 3 4 4 6" xfId="3238"/>
    <cellStyle name="Input [yellow] 3 4 4 6 2" xfId="14435"/>
    <cellStyle name="Input [yellow] 3 4 4 6 3" xfId="25603"/>
    <cellStyle name="Input [yellow] 3 4 4 6 4" xfId="36768"/>
    <cellStyle name="Input [yellow] 3 4 4 6 5" xfId="47961"/>
    <cellStyle name="Input [yellow] 3 4 4 7" xfId="3872"/>
    <cellStyle name="Input [yellow] 3 4 4 7 2" xfId="15069"/>
    <cellStyle name="Input [yellow] 3 4 4 7 3" xfId="26237"/>
    <cellStyle name="Input [yellow] 3 4 4 7 4" xfId="37402"/>
    <cellStyle name="Input [yellow] 3 4 4 7 5" xfId="48595"/>
    <cellStyle name="Input [yellow] 3 4 4 8" xfId="4505"/>
    <cellStyle name="Input [yellow] 3 4 4 8 2" xfId="15702"/>
    <cellStyle name="Input [yellow] 3 4 4 8 3" xfId="26870"/>
    <cellStyle name="Input [yellow] 3 4 4 8 4" xfId="38035"/>
    <cellStyle name="Input [yellow] 3 4 4 8 5" xfId="49228"/>
    <cellStyle name="Input [yellow] 3 4 4 9" xfId="5136"/>
    <cellStyle name="Input [yellow] 3 4 4 9 2" xfId="16333"/>
    <cellStyle name="Input [yellow] 3 4 4 9 3" xfId="27501"/>
    <cellStyle name="Input [yellow] 3 4 4 9 4" xfId="38666"/>
    <cellStyle name="Input [yellow] 3 4 4 9 5" xfId="49859"/>
    <cellStyle name="Input [yellow] 3 4 5" xfId="308"/>
    <cellStyle name="Input [yellow] 3 4 5 10" xfId="4938"/>
    <cellStyle name="Input [yellow] 3 4 5 10 2" xfId="16135"/>
    <cellStyle name="Input [yellow] 3 4 5 10 3" xfId="27303"/>
    <cellStyle name="Input [yellow] 3 4 5 10 4" xfId="38468"/>
    <cellStyle name="Input [yellow] 3 4 5 10 5" xfId="49661"/>
    <cellStyle name="Input [yellow] 3 4 5 11" xfId="6244"/>
    <cellStyle name="Input [yellow] 3 4 5 11 2" xfId="17441"/>
    <cellStyle name="Input [yellow] 3 4 5 11 3" xfId="28609"/>
    <cellStyle name="Input [yellow] 3 4 5 11 4" xfId="39774"/>
    <cellStyle name="Input [yellow] 3 4 5 11 5" xfId="50967"/>
    <cellStyle name="Input [yellow] 3 4 5 12" xfId="6877"/>
    <cellStyle name="Input [yellow] 3 4 5 12 2" xfId="18074"/>
    <cellStyle name="Input [yellow] 3 4 5 12 3" xfId="29242"/>
    <cellStyle name="Input [yellow] 3 4 5 12 4" xfId="40407"/>
    <cellStyle name="Input [yellow] 3 4 5 12 5" xfId="51600"/>
    <cellStyle name="Input [yellow] 3 4 5 13" xfId="7511"/>
    <cellStyle name="Input [yellow] 3 4 5 13 2" xfId="18708"/>
    <cellStyle name="Input [yellow] 3 4 5 13 3" xfId="29876"/>
    <cellStyle name="Input [yellow] 3 4 5 13 4" xfId="41041"/>
    <cellStyle name="Input [yellow] 3 4 5 13 5" xfId="52234"/>
    <cellStyle name="Input [yellow] 3 4 5 14" xfId="8145"/>
    <cellStyle name="Input [yellow] 3 4 5 14 2" xfId="19342"/>
    <cellStyle name="Input [yellow] 3 4 5 14 3" xfId="30510"/>
    <cellStyle name="Input [yellow] 3 4 5 14 4" xfId="41675"/>
    <cellStyle name="Input [yellow] 3 4 5 14 5" xfId="52868"/>
    <cellStyle name="Input [yellow] 3 4 5 15" xfId="8774"/>
    <cellStyle name="Input [yellow] 3 4 5 15 2" xfId="19971"/>
    <cellStyle name="Input [yellow] 3 4 5 15 3" xfId="31139"/>
    <cellStyle name="Input [yellow] 3 4 5 15 4" xfId="42304"/>
    <cellStyle name="Input [yellow] 3 4 5 15 5" xfId="53497"/>
    <cellStyle name="Input [yellow] 3 4 5 16" xfId="9196"/>
    <cellStyle name="Input [yellow] 3 4 5 16 2" xfId="20393"/>
    <cellStyle name="Input [yellow] 3 4 5 16 3" xfId="31561"/>
    <cellStyle name="Input [yellow] 3 4 5 16 4" xfId="42726"/>
    <cellStyle name="Input [yellow] 3 4 5 16 5" xfId="53919"/>
    <cellStyle name="Input [yellow] 3 4 5 17" xfId="9823"/>
    <cellStyle name="Input [yellow] 3 4 5 17 2" xfId="21020"/>
    <cellStyle name="Input [yellow] 3 4 5 17 3" xfId="32188"/>
    <cellStyle name="Input [yellow] 3 4 5 17 4" xfId="43353"/>
    <cellStyle name="Input [yellow] 3 4 5 17 5" xfId="54546"/>
    <cellStyle name="Input [yellow] 3 4 5 18" xfId="10596"/>
    <cellStyle name="Input [yellow] 3 4 5 18 2" xfId="21793"/>
    <cellStyle name="Input [yellow] 3 4 5 18 3" xfId="32961"/>
    <cellStyle name="Input [yellow] 3 4 5 18 4" xfId="44126"/>
    <cellStyle name="Input [yellow] 3 4 5 18 5" xfId="55319"/>
    <cellStyle name="Input [yellow] 3 4 5 19" xfId="10861"/>
    <cellStyle name="Input [yellow] 3 4 5 19 2" xfId="22058"/>
    <cellStyle name="Input [yellow] 3 4 5 19 3" xfId="33226"/>
    <cellStyle name="Input [yellow] 3 4 5 19 4" xfId="44391"/>
    <cellStyle name="Input [yellow] 3 4 5 19 5" xfId="55584"/>
    <cellStyle name="Input [yellow] 3 4 5 2" xfId="957"/>
    <cellStyle name="Input [yellow] 3 4 5 2 2" xfId="12154"/>
    <cellStyle name="Input [yellow] 3 4 5 2 3" xfId="23322"/>
    <cellStyle name="Input [yellow] 3 4 5 2 4" xfId="34487"/>
    <cellStyle name="Input [yellow] 3 4 5 2 5" xfId="45680"/>
    <cellStyle name="Input [yellow] 3 4 5 20" xfId="11508"/>
    <cellStyle name="Input [yellow] 3 4 5 21" xfId="22678"/>
    <cellStyle name="Input [yellow] 3 4 5 22" xfId="33845"/>
    <cellStyle name="Input [yellow] 3 4 5 23" xfId="45031"/>
    <cellStyle name="Input [yellow] 3 4 5 3" xfId="1822"/>
    <cellStyle name="Input [yellow] 3 4 5 3 2" xfId="13019"/>
    <cellStyle name="Input [yellow] 3 4 5 3 3" xfId="24187"/>
    <cellStyle name="Input [yellow] 3 4 5 3 4" xfId="35352"/>
    <cellStyle name="Input [yellow] 3 4 5 3 5" xfId="46545"/>
    <cellStyle name="Input [yellow] 3 4 5 4" xfId="2233"/>
    <cellStyle name="Input [yellow] 3 4 5 4 2" xfId="13430"/>
    <cellStyle name="Input [yellow] 3 4 5 4 3" xfId="24598"/>
    <cellStyle name="Input [yellow] 3 4 5 4 4" xfId="35763"/>
    <cellStyle name="Input [yellow] 3 4 5 4 5" xfId="46956"/>
    <cellStyle name="Input [yellow] 3 4 5 5" xfId="2658"/>
    <cellStyle name="Input [yellow] 3 4 5 5 2" xfId="13855"/>
    <cellStyle name="Input [yellow] 3 4 5 5 3" xfId="25023"/>
    <cellStyle name="Input [yellow] 3 4 5 5 4" xfId="36188"/>
    <cellStyle name="Input [yellow] 3 4 5 5 5" xfId="47381"/>
    <cellStyle name="Input [yellow] 3 4 5 6" xfId="3292"/>
    <cellStyle name="Input [yellow] 3 4 5 6 2" xfId="14489"/>
    <cellStyle name="Input [yellow] 3 4 5 6 3" xfId="25657"/>
    <cellStyle name="Input [yellow] 3 4 5 6 4" xfId="36822"/>
    <cellStyle name="Input [yellow] 3 4 5 6 5" xfId="48015"/>
    <cellStyle name="Input [yellow] 3 4 5 7" xfId="3926"/>
    <cellStyle name="Input [yellow] 3 4 5 7 2" xfId="15123"/>
    <cellStyle name="Input [yellow] 3 4 5 7 3" xfId="26291"/>
    <cellStyle name="Input [yellow] 3 4 5 7 4" xfId="37456"/>
    <cellStyle name="Input [yellow] 3 4 5 7 5" xfId="48649"/>
    <cellStyle name="Input [yellow] 3 4 5 8" xfId="4559"/>
    <cellStyle name="Input [yellow] 3 4 5 8 2" xfId="15756"/>
    <cellStyle name="Input [yellow] 3 4 5 8 3" xfId="26924"/>
    <cellStyle name="Input [yellow] 3 4 5 8 4" xfId="38089"/>
    <cellStyle name="Input [yellow] 3 4 5 8 5" xfId="49282"/>
    <cellStyle name="Input [yellow] 3 4 5 9" xfId="5190"/>
    <cellStyle name="Input [yellow] 3 4 5 9 2" xfId="16387"/>
    <cellStyle name="Input [yellow] 3 4 5 9 3" xfId="27555"/>
    <cellStyle name="Input [yellow] 3 4 5 9 4" xfId="38720"/>
    <cellStyle name="Input [yellow] 3 4 5 9 5" xfId="49913"/>
    <cellStyle name="Input [yellow] 3 4 6" xfId="356"/>
    <cellStyle name="Input [yellow] 3 4 6 10" xfId="5968"/>
    <cellStyle name="Input [yellow] 3 4 6 10 2" xfId="17165"/>
    <cellStyle name="Input [yellow] 3 4 6 10 3" xfId="28333"/>
    <cellStyle name="Input [yellow] 3 4 6 10 4" xfId="39498"/>
    <cellStyle name="Input [yellow] 3 4 6 10 5" xfId="50691"/>
    <cellStyle name="Input [yellow] 3 4 6 11" xfId="6292"/>
    <cellStyle name="Input [yellow] 3 4 6 11 2" xfId="17489"/>
    <cellStyle name="Input [yellow] 3 4 6 11 3" xfId="28657"/>
    <cellStyle name="Input [yellow] 3 4 6 11 4" xfId="39822"/>
    <cellStyle name="Input [yellow] 3 4 6 11 5" xfId="51015"/>
    <cellStyle name="Input [yellow] 3 4 6 12" xfId="6925"/>
    <cellStyle name="Input [yellow] 3 4 6 12 2" xfId="18122"/>
    <cellStyle name="Input [yellow] 3 4 6 12 3" xfId="29290"/>
    <cellStyle name="Input [yellow] 3 4 6 12 4" xfId="40455"/>
    <cellStyle name="Input [yellow] 3 4 6 12 5" xfId="51648"/>
    <cellStyle name="Input [yellow] 3 4 6 13" xfId="7559"/>
    <cellStyle name="Input [yellow] 3 4 6 13 2" xfId="18756"/>
    <cellStyle name="Input [yellow] 3 4 6 13 3" xfId="29924"/>
    <cellStyle name="Input [yellow] 3 4 6 13 4" xfId="41089"/>
    <cellStyle name="Input [yellow] 3 4 6 13 5" xfId="52282"/>
    <cellStyle name="Input [yellow] 3 4 6 14" xfId="8193"/>
    <cellStyle name="Input [yellow] 3 4 6 14 2" xfId="19390"/>
    <cellStyle name="Input [yellow] 3 4 6 14 3" xfId="30558"/>
    <cellStyle name="Input [yellow] 3 4 6 14 4" xfId="41723"/>
    <cellStyle name="Input [yellow] 3 4 6 14 5" xfId="52916"/>
    <cellStyle name="Input [yellow] 3 4 6 15" xfId="8822"/>
    <cellStyle name="Input [yellow] 3 4 6 15 2" xfId="20019"/>
    <cellStyle name="Input [yellow] 3 4 6 15 3" xfId="31187"/>
    <cellStyle name="Input [yellow] 3 4 6 15 4" xfId="42352"/>
    <cellStyle name="Input [yellow] 3 4 6 15 5" xfId="53545"/>
    <cellStyle name="Input [yellow] 3 4 6 16" xfId="9244"/>
    <cellStyle name="Input [yellow] 3 4 6 16 2" xfId="20441"/>
    <cellStyle name="Input [yellow] 3 4 6 16 3" xfId="31609"/>
    <cellStyle name="Input [yellow] 3 4 6 16 4" xfId="42774"/>
    <cellStyle name="Input [yellow] 3 4 6 16 5" xfId="53967"/>
    <cellStyle name="Input [yellow] 3 4 6 17" xfId="9871"/>
    <cellStyle name="Input [yellow] 3 4 6 17 2" xfId="21068"/>
    <cellStyle name="Input [yellow] 3 4 6 17 3" xfId="32236"/>
    <cellStyle name="Input [yellow] 3 4 6 17 4" xfId="43401"/>
    <cellStyle name="Input [yellow] 3 4 6 17 5" xfId="54594"/>
    <cellStyle name="Input [yellow] 3 4 6 18" xfId="10265"/>
    <cellStyle name="Input [yellow] 3 4 6 18 2" xfId="21462"/>
    <cellStyle name="Input [yellow] 3 4 6 18 3" xfId="32630"/>
    <cellStyle name="Input [yellow] 3 4 6 18 4" xfId="43795"/>
    <cellStyle name="Input [yellow] 3 4 6 18 5" xfId="54988"/>
    <cellStyle name="Input [yellow] 3 4 6 19" xfId="10909"/>
    <cellStyle name="Input [yellow] 3 4 6 19 2" xfId="22106"/>
    <cellStyle name="Input [yellow] 3 4 6 19 3" xfId="33274"/>
    <cellStyle name="Input [yellow] 3 4 6 19 4" xfId="44439"/>
    <cellStyle name="Input [yellow] 3 4 6 19 5" xfId="55632"/>
    <cellStyle name="Input [yellow] 3 4 6 2" xfId="1005"/>
    <cellStyle name="Input [yellow] 3 4 6 2 2" xfId="12202"/>
    <cellStyle name="Input [yellow] 3 4 6 2 3" xfId="23370"/>
    <cellStyle name="Input [yellow] 3 4 6 2 4" xfId="34535"/>
    <cellStyle name="Input [yellow] 3 4 6 2 5" xfId="45728"/>
    <cellStyle name="Input [yellow] 3 4 6 20" xfId="11556"/>
    <cellStyle name="Input [yellow] 3 4 6 21" xfId="22726"/>
    <cellStyle name="Input [yellow] 3 4 6 22" xfId="33893"/>
    <cellStyle name="Input [yellow] 3 4 6 23" xfId="45079"/>
    <cellStyle name="Input [yellow] 3 4 6 3" xfId="1522"/>
    <cellStyle name="Input [yellow] 3 4 6 3 2" xfId="12719"/>
    <cellStyle name="Input [yellow] 3 4 6 3 3" xfId="23887"/>
    <cellStyle name="Input [yellow] 3 4 6 3 4" xfId="35052"/>
    <cellStyle name="Input [yellow] 3 4 6 3 5" xfId="46245"/>
    <cellStyle name="Input [yellow] 3 4 6 4" xfId="2281"/>
    <cellStyle name="Input [yellow] 3 4 6 4 2" xfId="13478"/>
    <cellStyle name="Input [yellow] 3 4 6 4 3" xfId="24646"/>
    <cellStyle name="Input [yellow] 3 4 6 4 4" xfId="35811"/>
    <cellStyle name="Input [yellow] 3 4 6 4 5" xfId="47004"/>
    <cellStyle name="Input [yellow] 3 4 6 5" xfId="2706"/>
    <cellStyle name="Input [yellow] 3 4 6 5 2" xfId="13903"/>
    <cellStyle name="Input [yellow] 3 4 6 5 3" xfId="25071"/>
    <cellStyle name="Input [yellow] 3 4 6 5 4" xfId="36236"/>
    <cellStyle name="Input [yellow] 3 4 6 5 5" xfId="47429"/>
    <cellStyle name="Input [yellow] 3 4 6 6" xfId="3340"/>
    <cellStyle name="Input [yellow] 3 4 6 6 2" xfId="14537"/>
    <cellStyle name="Input [yellow] 3 4 6 6 3" xfId="25705"/>
    <cellStyle name="Input [yellow] 3 4 6 6 4" xfId="36870"/>
    <cellStyle name="Input [yellow] 3 4 6 6 5" xfId="48063"/>
    <cellStyle name="Input [yellow] 3 4 6 7" xfId="3974"/>
    <cellStyle name="Input [yellow] 3 4 6 7 2" xfId="15171"/>
    <cellStyle name="Input [yellow] 3 4 6 7 3" xfId="26339"/>
    <cellStyle name="Input [yellow] 3 4 6 7 4" xfId="37504"/>
    <cellStyle name="Input [yellow] 3 4 6 7 5" xfId="48697"/>
    <cellStyle name="Input [yellow] 3 4 6 8" xfId="4607"/>
    <cellStyle name="Input [yellow] 3 4 6 8 2" xfId="15804"/>
    <cellStyle name="Input [yellow] 3 4 6 8 3" xfId="26972"/>
    <cellStyle name="Input [yellow] 3 4 6 8 4" xfId="38137"/>
    <cellStyle name="Input [yellow] 3 4 6 8 5" xfId="49330"/>
    <cellStyle name="Input [yellow] 3 4 6 9" xfId="5238"/>
    <cellStyle name="Input [yellow] 3 4 6 9 2" xfId="16435"/>
    <cellStyle name="Input [yellow] 3 4 6 9 3" xfId="27603"/>
    <cellStyle name="Input [yellow] 3 4 6 9 4" xfId="38768"/>
    <cellStyle name="Input [yellow] 3 4 6 9 5" xfId="49961"/>
    <cellStyle name="Input [yellow] 3 4 7" xfId="377"/>
    <cellStyle name="Input [yellow] 3 4 7 10" xfId="4300"/>
    <cellStyle name="Input [yellow] 3 4 7 10 2" xfId="15497"/>
    <cellStyle name="Input [yellow] 3 4 7 10 3" xfId="26665"/>
    <cellStyle name="Input [yellow] 3 4 7 10 4" xfId="37830"/>
    <cellStyle name="Input [yellow] 3 4 7 10 5" xfId="49023"/>
    <cellStyle name="Input [yellow] 3 4 7 11" xfId="6313"/>
    <cellStyle name="Input [yellow] 3 4 7 11 2" xfId="17510"/>
    <cellStyle name="Input [yellow] 3 4 7 11 3" xfId="28678"/>
    <cellStyle name="Input [yellow] 3 4 7 11 4" xfId="39843"/>
    <cellStyle name="Input [yellow] 3 4 7 11 5" xfId="51036"/>
    <cellStyle name="Input [yellow] 3 4 7 12" xfId="6946"/>
    <cellStyle name="Input [yellow] 3 4 7 12 2" xfId="18143"/>
    <cellStyle name="Input [yellow] 3 4 7 12 3" xfId="29311"/>
    <cellStyle name="Input [yellow] 3 4 7 12 4" xfId="40476"/>
    <cellStyle name="Input [yellow] 3 4 7 12 5" xfId="51669"/>
    <cellStyle name="Input [yellow] 3 4 7 13" xfId="7580"/>
    <cellStyle name="Input [yellow] 3 4 7 13 2" xfId="18777"/>
    <cellStyle name="Input [yellow] 3 4 7 13 3" xfId="29945"/>
    <cellStyle name="Input [yellow] 3 4 7 13 4" xfId="41110"/>
    <cellStyle name="Input [yellow] 3 4 7 13 5" xfId="52303"/>
    <cellStyle name="Input [yellow] 3 4 7 14" xfId="8214"/>
    <cellStyle name="Input [yellow] 3 4 7 14 2" xfId="19411"/>
    <cellStyle name="Input [yellow] 3 4 7 14 3" xfId="30579"/>
    <cellStyle name="Input [yellow] 3 4 7 14 4" xfId="41744"/>
    <cellStyle name="Input [yellow] 3 4 7 14 5" xfId="52937"/>
    <cellStyle name="Input [yellow] 3 4 7 15" xfId="8842"/>
    <cellStyle name="Input [yellow] 3 4 7 15 2" xfId="20039"/>
    <cellStyle name="Input [yellow] 3 4 7 15 3" xfId="31207"/>
    <cellStyle name="Input [yellow] 3 4 7 15 4" xfId="42372"/>
    <cellStyle name="Input [yellow] 3 4 7 15 5" xfId="53565"/>
    <cellStyle name="Input [yellow] 3 4 7 16" xfId="9265"/>
    <cellStyle name="Input [yellow] 3 4 7 16 2" xfId="20462"/>
    <cellStyle name="Input [yellow] 3 4 7 16 3" xfId="31630"/>
    <cellStyle name="Input [yellow] 3 4 7 16 4" xfId="42795"/>
    <cellStyle name="Input [yellow] 3 4 7 16 5" xfId="53988"/>
    <cellStyle name="Input [yellow] 3 4 7 17" xfId="9891"/>
    <cellStyle name="Input [yellow] 3 4 7 17 2" xfId="21088"/>
    <cellStyle name="Input [yellow] 3 4 7 17 3" xfId="32256"/>
    <cellStyle name="Input [yellow] 3 4 7 17 4" xfId="43421"/>
    <cellStyle name="Input [yellow] 3 4 7 17 5" xfId="54614"/>
    <cellStyle name="Input [yellow] 3 4 7 18" xfId="10381"/>
    <cellStyle name="Input [yellow] 3 4 7 18 2" xfId="21578"/>
    <cellStyle name="Input [yellow] 3 4 7 18 3" xfId="32746"/>
    <cellStyle name="Input [yellow] 3 4 7 18 4" xfId="43911"/>
    <cellStyle name="Input [yellow] 3 4 7 18 5" xfId="55104"/>
    <cellStyle name="Input [yellow] 3 4 7 19" xfId="10930"/>
    <cellStyle name="Input [yellow] 3 4 7 19 2" xfId="22127"/>
    <cellStyle name="Input [yellow] 3 4 7 19 3" xfId="33295"/>
    <cellStyle name="Input [yellow] 3 4 7 19 4" xfId="44460"/>
    <cellStyle name="Input [yellow] 3 4 7 19 5" xfId="55653"/>
    <cellStyle name="Input [yellow] 3 4 7 2" xfId="1026"/>
    <cellStyle name="Input [yellow] 3 4 7 2 2" xfId="12223"/>
    <cellStyle name="Input [yellow] 3 4 7 2 3" xfId="23391"/>
    <cellStyle name="Input [yellow] 3 4 7 2 4" xfId="34556"/>
    <cellStyle name="Input [yellow] 3 4 7 2 5" xfId="45749"/>
    <cellStyle name="Input [yellow] 3 4 7 20" xfId="11577"/>
    <cellStyle name="Input [yellow] 3 4 7 21" xfId="22747"/>
    <cellStyle name="Input [yellow] 3 4 7 22" xfId="33914"/>
    <cellStyle name="Input [yellow] 3 4 7 23" xfId="45100"/>
    <cellStyle name="Input [yellow] 3 4 7 3" xfId="1647"/>
    <cellStyle name="Input [yellow] 3 4 7 3 2" xfId="12844"/>
    <cellStyle name="Input [yellow] 3 4 7 3 3" xfId="24012"/>
    <cellStyle name="Input [yellow] 3 4 7 3 4" xfId="35177"/>
    <cellStyle name="Input [yellow] 3 4 7 3 5" xfId="46370"/>
    <cellStyle name="Input [yellow] 3 4 7 4" xfId="2302"/>
    <cellStyle name="Input [yellow] 3 4 7 4 2" xfId="13499"/>
    <cellStyle name="Input [yellow] 3 4 7 4 3" xfId="24667"/>
    <cellStyle name="Input [yellow] 3 4 7 4 4" xfId="35832"/>
    <cellStyle name="Input [yellow] 3 4 7 4 5" xfId="47025"/>
    <cellStyle name="Input [yellow] 3 4 7 5" xfId="2727"/>
    <cellStyle name="Input [yellow] 3 4 7 5 2" xfId="13924"/>
    <cellStyle name="Input [yellow] 3 4 7 5 3" xfId="25092"/>
    <cellStyle name="Input [yellow] 3 4 7 5 4" xfId="36257"/>
    <cellStyle name="Input [yellow] 3 4 7 5 5" xfId="47450"/>
    <cellStyle name="Input [yellow] 3 4 7 6" xfId="3361"/>
    <cellStyle name="Input [yellow] 3 4 7 6 2" xfId="14558"/>
    <cellStyle name="Input [yellow] 3 4 7 6 3" xfId="25726"/>
    <cellStyle name="Input [yellow] 3 4 7 6 4" xfId="36891"/>
    <cellStyle name="Input [yellow] 3 4 7 6 5" xfId="48084"/>
    <cellStyle name="Input [yellow] 3 4 7 7" xfId="3995"/>
    <cellStyle name="Input [yellow] 3 4 7 7 2" xfId="15192"/>
    <cellStyle name="Input [yellow] 3 4 7 7 3" xfId="26360"/>
    <cellStyle name="Input [yellow] 3 4 7 7 4" xfId="37525"/>
    <cellStyle name="Input [yellow] 3 4 7 7 5" xfId="48718"/>
    <cellStyle name="Input [yellow] 3 4 7 8" xfId="4628"/>
    <cellStyle name="Input [yellow] 3 4 7 8 2" xfId="15825"/>
    <cellStyle name="Input [yellow] 3 4 7 8 3" xfId="26993"/>
    <cellStyle name="Input [yellow] 3 4 7 8 4" xfId="38158"/>
    <cellStyle name="Input [yellow] 3 4 7 8 5" xfId="49351"/>
    <cellStyle name="Input [yellow] 3 4 7 9" xfId="5259"/>
    <cellStyle name="Input [yellow] 3 4 7 9 2" xfId="16456"/>
    <cellStyle name="Input [yellow] 3 4 7 9 3" xfId="27624"/>
    <cellStyle name="Input [yellow] 3 4 7 9 4" xfId="38789"/>
    <cellStyle name="Input [yellow] 3 4 7 9 5" xfId="49982"/>
    <cellStyle name="Input [yellow] 3 4 8" xfId="468"/>
    <cellStyle name="Input [yellow] 3 4 8 10" xfId="5697"/>
    <cellStyle name="Input [yellow] 3 4 8 10 2" xfId="16894"/>
    <cellStyle name="Input [yellow] 3 4 8 10 3" xfId="28062"/>
    <cellStyle name="Input [yellow] 3 4 8 10 4" xfId="39227"/>
    <cellStyle name="Input [yellow] 3 4 8 10 5" xfId="50420"/>
    <cellStyle name="Input [yellow] 3 4 8 11" xfId="6404"/>
    <cellStyle name="Input [yellow] 3 4 8 11 2" xfId="17601"/>
    <cellStyle name="Input [yellow] 3 4 8 11 3" xfId="28769"/>
    <cellStyle name="Input [yellow] 3 4 8 11 4" xfId="39934"/>
    <cellStyle name="Input [yellow] 3 4 8 11 5" xfId="51127"/>
    <cellStyle name="Input [yellow] 3 4 8 12" xfId="7037"/>
    <cellStyle name="Input [yellow] 3 4 8 12 2" xfId="18234"/>
    <cellStyle name="Input [yellow] 3 4 8 12 3" xfId="29402"/>
    <cellStyle name="Input [yellow] 3 4 8 12 4" xfId="40567"/>
    <cellStyle name="Input [yellow] 3 4 8 12 5" xfId="51760"/>
    <cellStyle name="Input [yellow] 3 4 8 13" xfId="7671"/>
    <cellStyle name="Input [yellow] 3 4 8 13 2" xfId="18868"/>
    <cellStyle name="Input [yellow] 3 4 8 13 3" xfId="30036"/>
    <cellStyle name="Input [yellow] 3 4 8 13 4" xfId="41201"/>
    <cellStyle name="Input [yellow] 3 4 8 13 5" xfId="52394"/>
    <cellStyle name="Input [yellow] 3 4 8 14" xfId="8305"/>
    <cellStyle name="Input [yellow] 3 4 8 14 2" xfId="19502"/>
    <cellStyle name="Input [yellow] 3 4 8 14 3" xfId="30670"/>
    <cellStyle name="Input [yellow] 3 4 8 14 4" xfId="41835"/>
    <cellStyle name="Input [yellow] 3 4 8 14 5" xfId="53028"/>
    <cellStyle name="Input [yellow] 3 4 8 15" xfId="8933"/>
    <cellStyle name="Input [yellow] 3 4 8 15 2" xfId="20130"/>
    <cellStyle name="Input [yellow] 3 4 8 15 3" xfId="31298"/>
    <cellStyle name="Input [yellow] 3 4 8 15 4" xfId="42463"/>
    <cellStyle name="Input [yellow] 3 4 8 15 5" xfId="53656"/>
    <cellStyle name="Input [yellow] 3 4 8 16" xfId="9356"/>
    <cellStyle name="Input [yellow] 3 4 8 16 2" xfId="20553"/>
    <cellStyle name="Input [yellow] 3 4 8 16 3" xfId="31721"/>
    <cellStyle name="Input [yellow] 3 4 8 16 4" xfId="42886"/>
    <cellStyle name="Input [yellow] 3 4 8 16 5" xfId="54079"/>
    <cellStyle name="Input [yellow] 3 4 8 17" xfId="9982"/>
    <cellStyle name="Input [yellow] 3 4 8 17 2" xfId="21179"/>
    <cellStyle name="Input [yellow] 3 4 8 17 3" xfId="32347"/>
    <cellStyle name="Input [yellow] 3 4 8 17 4" xfId="43512"/>
    <cellStyle name="Input [yellow] 3 4 8 17 5" xfId="54705"/>
    <cellStyle name="Input [yellow] 3 4 8 18" xfId="10468"/>
    <cellStyle name="Input [yellow] 3 4 8 18 2" xfId="21665"/>
    <cellStyle name="Input [yellow] 3 4 8 18 3" xfId="32833"/>
    <cellStyle name="Input [yellow] 3 4 8 18 4" xfId="43998"/>
    <cellStyle name="Input [yellow] 3 4 8 18 5" xfId="55191"/>
    <cellStyle name="Input [yellow] 3 4 8 19" xfId="11021"/>
    <cellStyle name="Input [yellow] 3 4 8 19 2" xfId="22218"/>
    <cellStyle name="Input [yellow] 3 4 8 19 3" xfId="33386"/>
    <cellStyle name="Input [yellow] 3 4 8 19 4" xfId="44551"/>
    <cellStyle name="Input [yellow] 3 4 8 19 5" xfId="55744"/>
    <cellStyle name="Input [yellow] 3 4 8 2" xfId="1117"/>
    <cellStyle name="Input [yellow] 3 4 8 2 2" xfId="12314"/>
    <cellStyle name="Input [yellow] 3 4 8 2 3" xfId="23482"/>
    <cellStyle name="Input [yellow] 3 4 8 2 4" xfId="34647"/>
    <cellStyle name="Input [yellow] 3 4 8 2 5" xfId="45840"/>
    <cellStyle name="Input [yellow] 3 4 8 20" xfId="11668"/>
    <cellStyle name="Input [yellow] 3 4 8 21" xfId="22838"/>
    <cellStyle name="Input [yellow] 3 4 8 22" xfId="34005"/>
    <cellStyle name="Input [yellow] 3 4 8 23" xfId="45191"/>
    <cellStyle name="Input [yellow] 3 4 8 3" xfId="1764"/>
    <cellStyle name="Input [yellow] 3 4 8 3 2" xfId="12961"/>
    <cellStyle name="Input [yellow] 3 4 8 3 3" xfId="24129"/>
    <cellStyle name="Input [yellow] 3 4 8 3 4" xfId="35294"/>
    <cellStyle name="Input [yellow] 3 4 8 3 5" xfId="46487"/>
    <cellStyle name="Input [yellow] 3 4 8 4" xfId="2393"/>
    <cellStyle name="Input [yellow] 3 4 8 4 2" xfId="13590"/>
    <cellStyle name="Input [yellow] 3 4 8 4 3" xfId="24758"/>
    <cellStyle name="Input [yellow] 3 4 8 4 4" xfId="35923"/>
    <cellStyle name="Input [yellow] 3 4 8 4 5" xfId="47116"/>
    <cellStyle name="Input [yellow] 3 4 8 5" xfId="2818"/>
    <cellStyle name="Input [yellow] 3 4 8 5 2" xfId="14015"/>
    <cellStyle name="Input [yellow] 3 4 8 5 3" xfId="25183"/>
    <cellStyle name="Input [yellow] 3 4 8 5 4" xfId="36348"/>
    <cellStyle name="Input [yellow] 3 4 8 5 5" xfId="47541"/>
    <cellStyle name="Input [yellow] 3 4 8 6" xfId="3452"/>
    <cellStyle name="Input [yellow] 3 4 8 6 2" xfId="14649"/>
    <cellStyle name="Input [yellow] 3 4 8 6 3" xfId="25817"/>
    <cellStyle name="Input [yellow] 3 4 8 6 4" xfId="36982"/>
    <cellStyle name="Input [yellow] 3 4 8 6 5" xfId="48175"/>
    <cellStyle name="Input [yellow] 3 4 8 7" xfId="4086"/>
    <cellStyle name="Input [yellow] 3 4 8 7 2" xfId="15283"/>
    <cellStyle name="Input [yellow] 3 4 8 7 3" xfId="26451"/>
    <cellStyle name="Input [yellow] 3 4 8 7 4" xfId="37616"/>
    <cellStyle name="Input [yellow] 3 4 8 7 5" xfId="48809"/>
    <cellStyle name="Input [yellow] 3 4 8 8" xfId="4719"/>
    <cellStyle name="Input [yellow] 3 4 8 8 2" xfId="15916"/>
    <cellStyle name="Input [yellow] 3 4 8 8 3" xfId="27084"/>
    <cellStyle name="Input [yellow] 3 4 8 8 4" xfId="38249"/>
    <cellStyle name="Input [yellow] 3 4 8 8 5" xfId="49442"/>
    <cellStyle name="Input [yellow] 3 4 8 9" xfId="5350"/>
    <cellStyle name="Input [yellow] 3 4 8 9 2" xfId="16547"/>
    <cellStyle name="Input [yellow] 3 4 8 9 3" xfId="27715"/>
    <cellStyle name="Input [yellow] 3 4 8 9 4" xfId="38880"/>
    <cellStyle name="Input [yellow] 3 4 8 9 5" xfId="50073"/>
    <cellStyle name="Input [yellow] 3 4 9" xfId="526"/>
    <cellStyle name="Input [yellow] 3 4 9 10" xfId="6090"/>
    <cellStyle name="Input [yellow] 3 4 9 10 2" xfId="17287"/>
    <cellStyle name="Input [yellow] 3 4 9 10 3" xfId="28455"/>
    <cellStyle name="Input [yellow] 3 4 9 10 4" xfId="39620"/>
    <cellStyle name="Input [yellow] 3 4 9 10 5" xfId="50813"/>
    <cellStyle name="Input [yellow] 3 4 9 11" xfId="6462"/>
    <cellStyle name="Input [yellow] 3 4 9 11 2" xfId="17659"/>
    <cellStyle name="Input [yellow] 3 4 9 11 3" xfId="28827"/>
    <cellStyle name="Input [yellow] 3 4 9 11 4" xfId="39992"/>
    <cellStyle name="Input [yellow] 3 4 9 11 5" xfId="51185"/>
    <cellStyle name="Input [yellow] 3 4 9 12" xfId="7095"/>
    <cellStyle name="Input [yellow] 3 4 9 12 2" xfId="18292"/>
    <cellStyle name="Input [yellow] 3 4 9 12 3" xfId="29460"/>
    <cellStyle name="Input [yellow] 3 4 9 12 4" xfId="40625"/>
    <cellStyle name="Input [yellow] 3 4 9 12 5" xfId="51818"/>
    <cellStyle name="Input [yellow] 3 4 9 13" xfId="7729"/>
    <cellStyle name="Input [yellow] 3 4 9 13 2" xfId="18926"/>
    <cellStyle name="Input [yellow] 3 4 9 13 3" xfId="30094"/>
    <cellStyle name="Input [yellow] 3 4 9 13 4" xfId="41259"/>
    <cellStyle name="Input [yellow] 3 4 9 13 5" xfId="52452"/>
    <cellStyle name="Input [yellow] 3 4 9 14" xfId="8363"/>
    <cellStyle name="Input [yellow] 3 4 9 14 2" xfId="19560"/>
    <cellStyle name="Input [yellow] 3 4 9 14 3" xfId="30728"/>
    <cellStyle name="Input [yellow] 3 4 9 14 4" xfId="41893"/>
    <cellStyle name="Input [yellow] 3 4 9 14 5" xfId="53086"/>
    <cellStyle name="Input [yellow] 3 4 9 15" xfId="8991"/>
    <cellStyle name="Input [yellow] 3 4 9 15 2" xfId="20188"/>
    <cellStyle name="Input [yellow] 3 4 9 15 3" xfId="31356"/>
    <cellStyle name="Input [yellow] 3 4 9 15 4" xfId="42521"/>
    <cellStyle name="Input [yellow] 3 4 9 15 5" xfId="53714"/>
    <cellStyle name="Input [yellow] 3 4 9 16" xfId="9414"/>
    <cellStyle name="Input [yellow] 3 4 9 16 2" xfId="20611"/>
    <cellStyle name="Input [yellow] 3 4 9 16 3" xfId="31779"/>
    <cellStyle name="Input [yellow] 3 4 9 16 4" xfId="42944"/>
    <cellStyle name="Input [yellow] 3 4 9 16 5" xfId="54137"/>
    <cellStyle name="Input [yellow] 3 4 9 17" xfId="10039"/>
    <cellStyle name="Input [yellow] 3 4 9 17 2" xfId="21236"/>
    <cellStyle name="Input [yellow] 3 4 9 17 3" xfId="32404"/>
    <cellStyle name="Input [yellow] 3 4 9 17 4" xfId="43569"/>
    <cellStyle name="Input [yellow] 3 4 9 17 5" xfId="54762"/>
    <cellStyle name="Input [yellow] 3 4 9 18" xfId="10291"/>
    <cellStyle name="Input [yellow] 3 4 9 18 2" xfId="21488"/>
    <cellStyle name="Input [yellow] 3 4 9 18 3" xfId="32656"/>
    <cellStyle name="Input [yellow] 3 4 9 18 4" xfId="43821"/>
    <cellStyle name="Input [yellow] 3 4 9 18 5" xfId="55014"/>
    <cellStyle name="Input [yellow] 3 4 9 19" xfId="11079"/>
    <cellStyle name="Input [yellow] 3 4 9 19 2" xfId="22276"/>
    <cellStyle name="Input [yellow] 3 4 9 19 3" xfId="33444"/>
    <cellStyle name="Input [yellow] 3 4 9 19 4" xfId="44609"/>
    <cellStyle name="Input [yellow] 3 4 9 19 5" xfId="55802"/>
    <cellStyle name="Input [yellow] 3 4 9 2" xfId="1175"/>
    <cellStyle name="Input [yellow] 3 4 9 2 2" xfId="12372"/>
    <cellStyle name="Input [yellow] 3 4 9 2 3" xfId="23540"/>
    <cellStyle name="Input [yellow] 3 4 9 2 4" xfId="34705"/>
    <cellStyle name="Input [yellow] 3 4 9 2 5" xfId="45898"/>
    <cellStyle name="Input [yellow] 3 4 9 20" xfId="11726"/>
    <cellStyle name="Input [yellow] 3 4 9 21" xfId="22896"/>
    <cellStyle name="Input [yellow] 3 4 9 22" xfId="34063"/>
    <cellStyle name="Input [yellow] 3 4 9 23" xfId="45249"/>
    <cellStyle name="Input [yellow] 3 4 9 3" xfId="1622"/>
    <cellStyle name="Input [yellow] 3 4 9 3 2" xfId="12819"/>
    <cellStyle name="Input [yellow] 3 4 9 3 3" xfId="23987"/>
    <cellStyle name="Input [yellow] 3 4 9 3 4" xfId="35152"/>
    <cellStyle name="Input [yellow] 3 4 9 3 5" xfId="46345"/>
    <cellStyle name="Input [yellow] 3 4 9 4" xfId="2451"/>
    <cellStyle name="Input [yellow] 3 4 9 4 2" xfId="13648"/>
    <cellStyle name="Input [yellow] 3 4 9 4 3" xfId="24816"/>
    <cellStyle name="Input [yellow] 3 4 9 4 4" xfId="35981"/>
    <cellStyle name="Input [yellow] 3 4 9 4 5" xfId="47174"/>
    <cellStyle name="Input [yellow] 3 4 9 5" xfId="2876"/>
    <cellStyle name="Input [yellow] 3 4 9 5 2" xfId="14073"/>
    <cellStyle name="Input [yellow] 3 4 9 5 3" xfId="25241"/>
    <cellStyle name="Input [yellow] 3 4 9 5 4" xfId="36406"/>
    <cellStyle name="Input [yellow] 3 4 9 5 5" xfId="47599"/>
    <cellStyle name="Input [yellow] 3 4 9 6" xfId="3510"/>
    <cellStyle name="Input [yellow] 3 4 9 6 2" xfId="14707"/>
    <cellStyle name="Input [yellow] 3 4 9 6 3" xfId="25875"/>
    <cellStyle name="Input [yellow] 3 4 9 6 4" xfId="37040"/>
    <cellStyle name="Input [yellow] 3 4 9 6 5" xfId="48233"/>
    <cellStyle name="Input [yellow] 3 4 9 7" xfId="4144"/>
    <cellStyle name="Input [yellow] 3 4 9 7 2" xfId="15341"/>
    <cellStyle name="Input [yellow] 3 4 9 7 3" xfId="26509"/>
    <cellStyle name="Input [yellow] 3 4 9 7 4" xfId="37674"/>
    <cellStyle name="Input [yellow] 3 4 9 7 5" xfId="48867"/>
    <cellStyle name="Input [yellow] 3 4 9 8" xfId="4777"/>
    <cellStyle name="Input [yellow] 3 4 9 8 2" xfId="15974"/>
    <cellStyle name="Input [yellow] 3 4 9 8 3" xfId="27142"/>
    <cellStyle name="Input [yellow] 3 4 9 8 4" xfId="38307"/>
    <cellStyle name="Input [yellow] 3 4 9 8 5" xfId="49500"/>
    <cellStyle name="Input [yellow] 3 4 9 9" xfId="5408"/>
    <cellStyle name="Input [yellow] 3 4 9 9 2" xfId="16605"/>
    <cellStyle name="Input [yellow] 3 4 9 9 3" xfId="27773"/>
    <cellStyle name="Input [yellow] 3 4 9 9 4" xfId="38938"/>
    <cellStyle name="Input [yellow] 3 4 9 9 5" xfId="50131"/>
    <cellStyle name="Input [yellow] 3 40" xfId="7245"/>
    <cellStyle name="Input [yellow] 3 40 2" xfId="18442"/>
    <cellStyle name="Input [yellow] 3 40 3" xfId="29610"/>
    <cellStyle name="Input [yellow] 3 40 4" xfId="40775"/>
    <cellStyle name="Input [yellow] 3 40 5" xfId="51968"/>
    <cellStyle name="Input [yellow] 3 41" xfId="7878"/>
    <cellStyle name="Input [yellow] 3 41 2" xfId="19075"/>
    <cellStyle name="Input [yellow] 3 41 3" xfId="30243"/>
    <cellStyle name="Input [yellow] 3 41 4" xfId="41408"/>
    <cellStyle name="Input [yellow] 3 41 5" xfId="52601"/>
    <cellStyle name="Input [yellow] 3 42" xfId="8511"/>
    <cellStyle name="Input [yellow] 3 42 2" xfId="19708"/>
    <cellStyle name="Input [yellow] 3 42 3" xfId="30876"/>
    <cellStyle name="Input [yellow] 3 42 4" xfId="42041"/>
    <cellStyle name="Input [yellow] 3 42 5" xfId="53234"/>
    <cellStyle name="Input [yellow] 3 43" xfId="8622"/>
    <cellStyle name="Input [yellow] 3 43 2" xfId="19819"/>
    <cellStyle name="Input [yellow] 3 43 3" xfId="30987"/>
    <cellStyle name="Input [yellow] 3 43 4" xfId="42152"/>
    <cellStyle name="Input [yellow] 3 43 5" xfId="53345"/>
    <cellStyle name="Input [yellow] 3 44" xfId="9564"/>
    <cellStyle name="Input [yellow] 3 44 2" xfId="20761"/>
    <cellStyle name="Input [yellow] 3 44 3" xfId="31929"/>
    <cellStyle name="Input [yellow] 3 44 4" xfId="43094"/>
    <cellStyle name="Input [yellow] 3 44 5" xfId="54287"/>
    <cellStyle name="Input [yellow] 3 45" xfId="10585"/>
    <cellStyle name="Input [yellow] 3 45 2" xfId="21782"/>
    <cellStyle name="Input [yellow] 3 45 3" xfId="32950"/>
    <cellStyle name="Input [yellow] 3 45 4" xfId="44115"/>
    <cellStyle name="Input [yellow] 3 45 5" xfId="55308"/>
    <cellStyle name="Input [yellow] 3 46" xfId="10604"/>
    <cellStyle name="Input [yellow] 3 46 2" xfId="21801"/>
    <cellStyle name="Input [yellow] 3 46 3" xfId="32969"/>
    <cellStyle name="Input [yellow] 3 46 4" xfId="44134"/>
    <cellStyle name="Input [yellow] 3 46 5" xfId="55327"/>
    <cellStyle name="Input [yellow] 3 47" xfId="11243"/>
    <cellStyle name="Input [yellow] 3 48" xfId="20"/>
    <cellStyle name="Input [yellow] 3 49" xfId="11259"/>
    <cellStyle name="Input [yellow] 3 5" xfId="62"/>
    <cellStyle name="Input [yellow] 3 5 10" xfId="421"/>
    <cellStyle name="Input [yellow] 3 5 10 10" xfId="6066"/>
    <cellStyle name="Input [yellow] 3 5 10 10 2" xfId="17263"/>
    <cellStyle name="Input [yellow] 3 5 10 10 3" xfId="28431"/>
    <cellStyle name="Input [yellow] 3 5 10 10 4" xfId="39596"/>
    <cellStyle name="Input [yellow] 3 5 10 10 5" xfId="50789"/>
    <cellStyle name="Input [yellow] 3 5 10 11" xfId="6357"/>
    <cellStyle name="Input [yellow] 3 5 10 11 2" xfId="17554"/>
    <cellStyle name="Input [yellow] 3 5 10 11 3" xfId="28722"/>
    <cellStyle name="Input [yellow] 3 5 10 11 4" xfId="39887"/>
    <cellStyle name="Input [yellow] 3 5 10 11 5" xfId="51080"/>
    <cellStyle name="Input [yellow] 3 5 10 12" xfId="6990"/>
    <cellStyle name="Input [yellow] 3 5 10 12 2" xfId="18187"/>
    <cellStyle name="Input [yellow] 3 5 10 12 3" xfId="29355"/>
    <cellStyle name="Input [yellow] 3 5 10 12 4" xfId="40520"/>
    <cellStyle name="Input [yellow] 3 5 10 12 5" xfId="51713"/>
    <cellStyle name="Input [yellow] 3 5 10 13" xfId="7624"/>
    <cellStyle name="Input [yellow] 3 5 10 13 2" xfId="18821"/>
    <cellStyle name="Input [yellow] 3 5 10 13 3" xfId="29989"/>
    <cellStyle name="Input [yellow] 3 5 10 13 4" xfId="41154"/>
    <cellStyle name="Input [yellow] 3 5 10 13 5" xfId="52347"/>
    <cellStyle name="Input [yellow] 3 5 10 14" xfId="8258"/>
    <cellStyle name="Input [yellow] 3 5 10 14 2" xfId="19455"/>
    <cellStyle name="Input [yellow] 3 5 10 14 3" xfId="30623"/>
    <cellStyle name="Input [yellow] 3 5 10 14 4" xfId="41788"/>
    <cellStyle name="Input [yellow] 3 5 10 14 5" xfId="52981"/>
    <cellStyle name="Input [yellow] 3 5 10 15" xfId="8886"/>
    <cellStyle name="Input [yellow] 3 5 10 15 2" xfId="20083"/>
    <cellStyle name="Input [yellow] 3 5 10 15 3" xfId="31251"/>
    <cellStyle name="Input [yellow] 3 5 10 15 4" xfId="42416"/>
    <cellStyle name="Input [yellow] 3 5 10 15 5" xfId="53609"/>
    <cellStyle name="Input [yellow] 3 5 10 16" xfId="9309"/>
    <cellStyle name="Input [yellow] 3 5 10 16 2" xfId="20506"/>
    <cellStyle name="Input [yellow] 3 5 10 16 3" xfId="31674"/>
    <cellStyle name="Input [yellow] 3 5 10 16 4" xfId="42839"/>
    <cellStyle name="Input [yellow] 3 5 10 16 5" xfId="54032"/>
    <cellStyle name="Input [yellow] 3 5 10 17" xfId="9935"/>
    <cellStyle name="Input [yellow] 3 5 10 17 2" xfId="21132"/>
    <cellStyle name="Input [yellow] 3 5 10 17 3" xfId="32300"/>
    <cellStyle name="Input [yellow] 3 5 10 17 4" xfId="43465"/>
    <cellStyle name="Input [yellow] 3 5 10 17 5" xfId="54658"/>
    <cellStyle name="Input [yellow] 3 5 10 18" xfId="10348"/>
    <cellStyle name="Input [yellow] 3 5 10 18 2" xfId="21545"/>
    <cellStyle name="Input [yellow] 3 5 10 18 3" xfId="32713"/>
    <cellStyle name="Input [yellow] 3 5 10 18 4" xfId="43878"/>
    <cellStyle name="Input [yellow] 3 5 10 18 5" xfId="55071"/>
    <cellStyle name="Input [yellow] 3 5 10 19" xfId="10974"/>
    <cellStyle name="Input [yellow] 3 5 10 19 2" xfId="22171"/>
    <cellStyle name="Input [yellow] 3 5 10 19 3" xfId="33339"/>
    <cellStyle name="Input [yellow] 3 5 10 19 4" xfId="44504"/>
    <cellStyle name="Input [yellow] 3 5 10 19 5" xfId="55697"/>
    <cellStyle name="Input [yellow] 3 5 10 2" xfId="1070"/>
    <cellStyle name="Input [yellow] 3 5 10 2 2" xfId="12267"/>
    <cellStyle name="Input [yellow] 3 5 10 2 3" xfId="23435"/>
    <cellStyle name="Input [yellow] 3 5 10 2 4" xfId="34600"/>
    <cellStyle name="Input [yellow] 3 5 10 2 5" xfId="45793"/>
    <cellStyle name="Input [yellow] 3 5 10 20" xfId="11621"/>
    <cellStyle name="Input [yellow] 3 5 10 21" xfId="22791"/>
    <cellStyle name="Input [yellow] 3 5 10 22" xfId="33958"/>
    <cellStyle name="Input [yellow] 3 5 10 23" xfId="45144"/>
    <cellStyle name="Input [yellow] 3 5 10 3" xfId="1609"/>
    <cellStyle name="Input [yellow] 3 5 10 3 2" xfId="12806"/>
    <cellStyle name="Input [yellow] 3 5 10 3 3" xfId="23974"/>
    <cellStyle name="Input [yellow] 3 5 10 3 4" xfId="35139"/>
    <cellStyle name="Input [yellow] 3 5 10 3 5" xfId="46332"/>
    <cellStyle name="Input [yellow] 3 5 10 4" xfId="2346"/>
    <cellStyle name="Input [yellow] 3 5 10 4 2" xfId="13543"/>
    <cellStyle name="Input [yellow] 3 5 10 4 3" xfId="24711"/>
    <cellStyle name="Input [yellow] 3 5 10 4 4" xfId="35876"/>
    <cellStyle name="Input [yellow] 3 5 10 4 5" xfId="47069"/>
    <cellStyle name="Input [yellow] 3 5 10 5" xfId="2771"/>
    <cellStyle name="Input [yellow] 3 5 10 5 2" xfId="13968"/>
    <cellStyle name="Input [yellow] 3 5 10 5 3" xfId="25136"/>
    <cellStyle name="Input [yellow] 3 5 10 5 4" xfId="36301"/>
    <cellStyle name="Input [yellow] 3 5 10 5 5" xfId="47494"/>
    <cellStyle name="Input [yellow] 3 5 10 6" xfId="3405"/>
    <cellStyle name="Input [yellow] 3 5 10 6 2" xfId="14602"/>
    <cellStyle name="Input [yellow] 3 5 10 6 3" xfId="25770"/>
    <cellStyle name="Input [yellow] 3 5 10 6 4" xfId="36935"/>
    <cellStyle name="Input [yellow] 3 5 10 6 5" xfId="48128"/>
    <cellStyle name="Input [yellow] 3 5 10 7" xfId="4039"/>
    <cellStyle name="Input [yellow] 3 5 10 7 2" xfId="15236"/>
    <cellStyle name="Input [yellow] 3 5 10 7 3" xfId="26404"/>
    <cellStyle name="Input [yellow] 3 5 10 7 4" xfId="37569"/>
    <cellStyle name="Input [yellow] 3 5 10 7 5" xfId="48762"/>
    <cellStyle name="Input [yellow] 3 5 10 8" xfId="4672"/>
    <cellStyle name="Input [yellow] 3 5 10 8 2" xfId="15869"/>
    <cellStyle name="Input [yellow] 3 5 10 8 3" xfId="27037"/>
    <cellStyle name="Input [yellow] 3 5 10 8 4" xfId="38202"/>
    <cellStyle name="Input [yellow] 3 5 10 8 5" xfId="49395"/>
    <cellStyle name="Input [yellow] 3 5 10 9" xfId="5303"/>
    <cellStyle name="Input [yellow] 3 5 10 9 2" xfId="16500"/>
    <cellStyle name="Input [yellow] 3 5 10 9 3" xfId="27668"/>
    <cellStyle name="Input [yellow] 3 5 10 9 4" xfId="38833"/>
    <cellStyle name="Input [yellow] 3 5 10 9 5" xfId="50026"/>
    <cellStyle name="Input [yellow] 3 5 11" xfId="645"/>
    <cellStyle name="Input [yellow] 3 5 11 10" xfId="5637"/>
    <cellStyle name="Input [yellow] 3 5 11 10 2" xfId="16834"/>
    <cellStyle name="Input [yellow] 3 5 11 10 3" xfId="28002"/>
    <cellStyle name="Input [yellow] 3 5 11 10 4" xfId="39167"/>
    <cellStyle name="Input [yellow] 3 5 11 10 5" xfId="50360"/>
    <cellStyle name="Input [yellow] 3 5 11 11" xfId="6581"/>
    <cellStyle name="Input [yellow] 3 5 11 11 2" xfId="17778"/>
    <cellStyle name="Input [yellow] 3 5 11 11 3" xfId="28946"/>
    <cellStyle name="Input [yellow] 3 5 11 11 4" xfId="40111"/>
    <cellStyle name="Input [yellow] 3 5 11 11 5" xfId="51304"/>
    <cellStyle name="Input [yellow] 3 5 11 12" xfId="7214"/>
    <cellStyle name="Input [yellow] 3 5 11 12 2" xfId="18411"/>
    <cellStyle name="Input [yellow] 3 5 11 12 3" xfId="29579"/>
    <cellStyle name="Input [yellow] 3 5 11 12 4" xfId="40744"/>
    <cellStyle name="Input [yellow] 3 5 11 12 5" xfId="51937"/>
    <cellStyle name="Input [yellow] 3 5 11 13" xfId="7848"/>
    <cellStyle name="Input [yellow] 3 5 11 13 2" xfId="19045"/>
    <cellStyle name="Input [yellow] 3 5 11 13 3" xfId="30213"/>
    <cellStyle name="Input [yellow] 3 5 11 13 4" xfId="41378"/>
    <cellStyle name="Input [yellow] 3 5 11 13 5" xfId="52571"/>
    <cellStyle name="Input [yellow] 3 5 11 14" xfId="8482"/>
    <cellStyle name="Input [yellow] 3 5 11 14 2" xfId="19679"/>
    <cellStyle name="Input [yellow] 3 5 11 14 3" xfId="30847"/>
    <cellStyle name="Input [yellow] 3 5 11 14 4" xfId="42012"/>
    <cellStyle name="Input [yellow] 3 5 11 14 5" xfId="53205"/>
    <cellStyle name="Input [yellow] 3 5 11 15" xfId="9110"/>
    <cellStyle name="Input [yellow] 3 5 11 15 2" xfId="20307"/>
    <cellStyle name="Input [yellow] 3 5 11 15 3" xfId="31475"/>
    <cellStyle name="Input [yellow] 3 5 11 15 4" xfId="42640"/>
    <cellStyle name="Input [yellow] 3 5 11 15 5" xfId="53833"/>
    <cellStyle name="Input [yellow] 3 5 11 16" xfId="9533"/>
    <cellStyle name="Input [yellow] 3 5 11 16 2" xfId="20730"/>
    <cellStyle name="Input [yellow] 3 5 11 16 3" xfId="31898"/>
    <cellStyle name="Input [yellow] 3 5 11 16 4" xfId="43063"/>
    <cellStyle name="Input [yellow] 3 5 11 16 5" xfId="54256"/>
    <cellStyle name="Input [yellow] 3 5 11 17" xfId="10158"/>
    <cellStyle name="Input [yellow] 3 5 11 17 2" xfId="21355"/>
    <cellStyle name="Input [yellow] 3 5 11 17 3" xfId="32523"/>
    <cellStyle name="Input [yellow] 3 5 11 17 4" xfId="43688"/>
    <cellStyle name="Input [yellow] 3 5 11 17 5" xfId="54881"/>
    <cellStyle name="Input [yellow] 3 5 11 18" xfId="10479"/>
    <cellStyle name="Input [yellow] 3 5 11 18 2" xfId="21676"/>
    <cellStyle name="Input [yellow] 3 5 11 18 3" xfId="32844"/>
    <cellStyle name="Input [yellow] 3 5 11 18 4" xfId="44009"/>
    <cellStyle name="Input [yellow] 3 5 11 18 5" xfId="55202"/>
    <cellStyle name="Input [yellow] 3 5 11 19" xfId="11198"/>
    <cellStyle name="Input [yellow] 3 5 11 19 2" xfId="22395"/>
    <cellStyle name="Input [yellow] 3 5 11 19 3" xfId="33563"/>
    <cellStyle name="Input [yellow] 3 5 11 19 4" xfId="44728"/>
    <cellStyle name="Input [yellow] 3 5 11 19 5" xfId="55921"/>
    <cellStyle name="Input [yellow] 3 5 11 2" xfId="1294"/>
    <cellStyle name="Input [yellow] 3 5 11 2 2" xfId="12491"/>
    <cellStyle name="Input [yellow] 3 5 11 2 3" xfId="23659"/>
    <cellStyle name="Input [yellow] 3 5 11 2 4" xfId="34824"/>
    <cellStyle name="Input [yellow] 3 5 11 2 5" xfId="46017"/>
    <cellStyle name="Input [yellow] 3 5 11 20" xfId="11845"/>
    <cellStyle name="Input [yellow] 3 5 11 21" xfId="23015"/>
    <cellStyle name="Input [yellow] 3 5 11 22" xfId="34182"/>
    <cellStyle name="Input [yellow] 3 5 11 23" xfId="45368"/>
    <cellStyle name="Input [yellow] 3 5 11 3" xfId="1776"/>
    <cellStyle name="Input [yellow] 3 5 11 3 2" xfId="12973"/>
    <cellStyle name="Input [yellow] 3 5 11 3 3" xfId="24141"/>
    <cellStyle name="Input [yellow] 3 5 11 3 4" xfId="35306"/>
    <cellStyle name="Input [yellow] 3 5 11 3 5" xfId="46499"/>
    <cellStyle name="Input [yellow] 3 5 11 4" xfId="2570"/>
    <cellStyle name="Input [yellow] 3 5 11 4 2" xfId="13767"/>
    <cellStyle name="Input [yellow] 3 5 11 4 3" xfId="24935"/>
    <cellStyle name="Input [yellow] 3 5 11 4 4" xfId="36100"/>
    <cellStyle name="Input [yellow] 3 5 11 4 5" xfId="47293"/>
    <cellStyle name="Input [yellow] 3 5 11 5" xfId="2995"/>
    <cellStyle name="Input [yellow] 3 5 11 5 2" xfId="14192"/>
    <cellStyle name="Input [yellow] 3 5 11 5 3" xfId="25360"/>
    <cellStyle name="Input [yellow] 3 5 11 5 4" xfId="36525"/>
    <cellStyle name="Input [yellow] 3 5 11 5 5" xfId="47718"/>
    <cellStyle name="Input [yellow] 3 5 11 6" xfId="3629"/>
    <cellStyle name="Input [yellow] 3 5 11 6 2" xfId="14826"/>
    <cellStyle name="Input [yellow] 3 5 11 6 3" xfId="25994"/>
    <cellStyle name="Input [yellow] 3 5 11 6 4" xfId="37159"/>
    <cellStyle name="Input [yellow] 3 5 11 6 5" xfId="48352"/>
    <cellStyle name="Input [yellow] 3 5 11 7" xfId="4263"/>
    <cellStyle name="Input [yellow] 3 5 11 7 2" xfId="15460"/>
    <cellStyle name="Input [yellow] 3 5 11 7 3" xfId="26628"/>
    <cellStyle name="Input [yellow] 3 5 11 7 4" xfId="37793"/>
    <cellStyle name="Input [yellow] 3 5 11 7 5" xfId="48986"/>
    <cellStyle name="Input [yellow] 3 5 11 8" xfId="4896"/>
    <cellStyle name="Input [yellow] 3 5 11 8 2" xfId="16093"/>
    <cellStyle name="Input [yellow] 3 5 11 8 3" xfId="27261"/>
    <cellStyle name="Input [yellow] 3 5 11 8 4" xfId="38426"/>
    <cellStyle name="Input [yellow] 3 5 11 8 5" xfId="49619"/>
    <cellStyle name="Input [yellow] 3 5 11 9" xfId="5527"/>
    <cellStyle name="Input [yellow] 3 5 11 9 2" xfId="16724"/>
    <cellStyle name="Input [yellow] 3 5 11 9 3" xfId="27892"/>
    <cellStyle name="Input [yellow] 3 5 11 9 4" xfId="39057"/>
    <cellStyle name="Input [yellow] 3 5 11 9 5" xfId="50250"/>
    <cellStyle name="Input [yellow] 3 5 12" xfId="711"/>
    <cellStyle name="Input [yellow] 3 5 12 2" xfId="11909"/>
    <cellStyle name="Input [yellow] 3 5 12 3" xfId="23078"/>
    <cellStyle name="Input [yellow] 3 5 12 4" xfId="34243"/>
    <cellStyle name="Input [yellow] 3 5 12 5" xfId="45434"/>
    <cellStyle name="Input [yellow] 3 5 13" xfId="1915"/>
    <cellStyle name="Input [yellow] 3 5 13 2" xfId="13112"/>
    <cellStyle name="Input [yellow] 3 5 13 3" xfId="24280"/>
    <cellStyle name="Input [yellow] 3 5 13 4" xfId="35445"/>
    <cellStyle name="Input [yellow] 3 5 13 5" xfId="46638"/>
    <cellStyle name="Input [yellow] 3 5 14" xfId="1988"/>
    <cellStyle name="Input [yellow] 3 5 14 2" xfId="13185"/>
    <cellStyle name="Input [yellow] 3 5 14 3" xfId="24353"/>
    <cellStyle name="Input [yellow] 3 5 14 4" xfId="35518"/>
    <cellStyle name="Input [yellow] 3 5 14 5" xfId="46711"/>
    <cellStyle name="Input [yellow] 3 5 15" xfId="2534"/>
    <cellStyle name="Input [yellow] 3 5 15 2" xfId="13731"/>
    <cellStyle name="Input [yellow] 3 5 15 3" xfId="24899"/>
    <cellStyle name="Input [yellow] 3 5 15 4" xfId="36064"/>
    <cellStyle name="Input [yellow] 3 5 15 5" xfId="47257"/>
    <cellStyle name="Input [yellow] 3 5 16" xfId="3046"/>
    <cellStyle name="Input [yellow] 3 5 16 2" xfId="14243"/>
    <cellStyle name="Input [yellow] 3 5 16 3" xfId="25411"/>
    <cellStyle name="Input [yellow] 3 5 16 4" xfId="36576"/>
    <cellStyle name="Input [yellow] 3 5 16 5" xfId="47769"/>
    <cellStyle name="Input [yellow] 3 5 17" xfId="3681"/>
    <cellStyle name="Input [yellow] 3 5 17 2" xfId="14878"/>
    <cellStyle name="Input [yellow] 3 5 17 3" xfId="26046"/>
    <cellStyle name="Input [yellow] 3 5 17 4" xfId="37211"/>
    <cellStyle name="Input [yellow] 3 5 17 5" xfId="48404"/>
    <cellStyle name="Input [yellow] 3 5 18" xfId="4313"/>
    <cellStyle name="Input [yellow] 3 5 18 2" xfId="15510"/>
    <cellStyle name="Input [yellow] 3 5 18 3" xfId="26678"/>
    <cellStyle name="Input [yellow] 3 5 18 4" xfId="37843"/>
    <cellStyle name="Input [yellow] 3 5 18 5" xfId="49036"/>
    <cellStyle name="Input [yellow] 3 5 19" xfId="4946"/>
    <cellStyle name="Input [yellow] 3 5 19 2" xfId="16143"/>
    <cellStyle name="Input [yellow] 3 5 19 3" xfId="27311"/>
    <cellStyle name="Input [yellow] 3 5 19 4" xfId="38476"/>
    <cellStyle name="Input [yellow] 3 5 19 5" xfId="49669"/>
    <cellStyle name="Input [yellow] 3 5 2" xfId="127"/>
    <cellStyle name="Input [yellow] 3 5 2 10" xfId="6135"/>
    <cellStyle name="Input [yellow] 3 5 2 10 2" xfId="17332"/>
    <cellStyle name="Input [yellow] 3 5 2 10 3" xfId="28500"/>
    <cellStyle name="Input [yellow] 3 5 2 10 4" xfId="39665"/>
    <cellStyle name="Input [yellow] 3 5 2 10 5" xfId="50858"/>
    <cellStyle name="Input [yellow] 3 5 2 11" xfId="5634"/>
    <cellStyle name="Input [yellow] 3 5 2 11 2" xfId="16831"/>
    <cellStyle name="Input [yellow] 3 5 2 11 3" xfId="27999"/>
    <cellStyle name="Input [yellow] 3 5 2 11 4" xfId="39164"/>
    <cellStyle name="Input [yellow] 3 5 2 11 5" xfId="50357"/>
    <cellStyle name="Input [yellow] 3 5 2 12" xfId="6696"/>
    <cellStyle name="Input [yellow] 3 5 2 12 2" xfId="17893"/>
    <cellStyle name="Input [yellow] 3 5 2 12 3" xfId="29061"/>
    <cellStyle name="Input [yellow] 3 5 2 12 4" xfId="40226"/>
    <cellStyle name="Input [yellow] 3 5 2 12 5" xfId="51419"/>
    <cellStyle name="Input [yellow] 3 5 2 13" xfId="7330"/>
    <cellStyle name="Input [yellow] 3 5 2 13 2" xfId="18527"/>
    <cellStyle name="Input [yellow] 3 5 2 13 3" xfId="29695"/>
    <cellStyle name="Input [yellow] 3 5 2 13 4" xfId="40860"/>
    <cellStyle name="Input [yellow] 3 5 2 13 5" xfId="52053"/>
    <cellStyle name="Input [yellow] 3 5 2 14" xfId="7964"/>
    <cellStyle name="Input [yellow] 3 5 2 14 2" xfId="19161"/>
    <cellStyle name="Input [yellow] 3 5 2 14 3" xfId="30329"/>
    <cellStyle name="Input [yellow] 3 5 2 14 4" xfId="41494"/>
    <cellStyle name="Input [yellow] 3 5 2 14 5" xfId="52687"/>
    <cellStyle name="Input [yellow] 3 5 2 15" xfId="8595"/>
    <cellStyle name="Input [yellow] 3 5 2 15 2" xfId="19792"/>
    <cellStyle name="Input [yellow] 3 5 2 15 3" xfId="30960"/>
    <cellStyle name="Input [yellow] 3 5 2 15 4" xfId="42125"/>
    <cellStyle name="Input [yellow] 3 5 2 15 5" xfId="53318"/>
    <cellStyle name="Input [yellow] 3 5 2 16" xfId="8711"/>
    <cellStyle name="Input [yellow] 3 5 2 16 2" xfId="19908"/>
    <cellStyle name="Input [yellow] 3 5 2 16 3" xfId="31076"/>
    <cellStyle name="Input [yellow] 3 5 2 16 4" xfId="42241"/>
    <cellStyle name="Input [yellow] 3 5 2 16 5" xfId="53434"/>
    <cellStyle name="Input [yellow] 3 5 2 17" xfId="9648"/>
    <cellStyle name="Input [yellow] 3 5 2 17 2" xfId="20845"/>
    <cellStyle name="Input [yellow] 3 5 2 17 3" xfId="32013"/>
    <cellStyle name="Input [yellow] 3 5 2 17 4" xfId="43178"/>
    <cellStyle name="Input [yellow] 3 5 2 17 5" xfId="54371"/>
    <cellStyle name="Input [yellow] 3 5 2 18" xfId="10559"/>
    <cellStyle name="Input [yellow] 3 5 2 18 2" xfId="21756"/>
    <cellStyle name="Input [yellow] 3 5 2 18 3" xfId="32924"/>
    <cellStyle name="Input [yellow] 3 5 2 18 4" xfId="44089"/>
    <cellStyle name="Input [yellow] 3 5 2 18 5" xfId="55282"/>
    <cellStyle name="Input [yellow] 3 5 2 19" xfId="10680"/>
    <cellStyle name="Input [yellow] 3 5 2 19 2" xfId="21877"/>
    <cellStyle name="Input [yellow] 3 5 2 19 3" xfId="33045"/>
    <cellStyle name="Input [yellow] 3 5 2 19 4" xfId="44210"/>
    <cellStyle name="Input [yellow] 3 5 2 19 5" xfId="55403"/>
    <cellStyle name="Input [yellow] 3 5 2 2" xfId="776"/>
    <cellStyle name="Input [yellow] 3 5 2 2 2" xfId="11973"/>
    <cellStyle name="Input [yellow] 3 5 2 2 3" xfId="23141"/>
    <cellStyle name="Input [yellow] 3 5 2 2 4" xfId="34306"/>
    <cellStyle name="Input [yellow] 3 5 2 2 5" xfId="45499"/>
    <cellStyle name="Input [yellow] 3 5 2 20" xfId="11327"/>
    <cellStyle name="Input [yellow] 3 5 2 21" xfId="22497"/>
    <cellStyle name="Input [yellow] 3 5 2 22" xfId="33664"/>
    <cellStyle name="Input [yellow] 3 5 2 23" xfId="44850"/>
    <cellStyle name="Input [yellow] 3 5 2 3" xfId="1862"/>
    <cellStyle name="Input [yellow] 3 5 2 3 2" xfId="13059"/>
    <cellStyle name="Input [yellow] 3 5 2 3 3" xfId="24227"/>
    <cellStyle name="Input [yellow] 3 5 2 3 4" xfId="35392"/>
    <cellStyle name="Input [yellow] 3 5 2 3 5" xfId="46585"/>
    <cellStyle name="Input [yellow] 3 5 2 4" xfId="2053"/>
    <cellStyle name="Input [yellow] 3 5 2 4 2" xfId="13250"/>
    <cellStyle name="Input [yellow] 3 5 2 4 3" xfId="24418"/>
    <cellStyle name="Input [yellow] 3 5 2 4 4" xfId="35583"/>
    <cellStyle name="Input [yellow] 3 5 2 4 5" xfId="46776"/>
    <cellStyle name="Input [yellow] 3 5 2 5" xfId="2584"/>
    <cellStyle name="Input [yellow] 3 5 2 5 2" xfId="13781"/>
    <cellStyle name="Input [yellow] 3 5 2 5 3" xfId="24949"/>
    <cellStyle name="Input [yellow] 3 5 2 5 4" xfId="36114"/>
    <cellStyle name="Input [yellow] 3 5 2 5 5" xfId="47307"/>
    <cellStyle name="Input [yellow] 3 5 2 6" xfId="3111"/>
    <cellStyle name="Input [yellow] 3 5 2 6 2" xfId="14308"/>
    <cellStyle name="Input [yellow] 3 5 2 6 3" xfId="25476"/>
    <cellStyle name="Input [yellow] 3 5 2 6 4" xfId="36641"/>
    <cellStyle name="Input [yellow] 3 5 2 6 5" xfId="47834"/>
    <cellStyle name="Input [yellow] 3 5 2 7" xfId="3745"/>
    <cellStyle name="Input [yellow] 3 5 2 7 2" xfId="14942"/>
    <cellStyle name="Input [yellow] 3 5 2 7 3" xfId="26110"/>
    <cellStyle name="Input [yellow] 3 5 2 7 4" xfId="37275"/>
    <cellStyle name="Input [yellow] 3 5 2 7 5" xfId="48468"/>
    <cellStyle name="Input [yellow] 3 5 2 8" xfId="4378"/>
    <cellStyle name="Input [yellow] 3 5 2 8 2" xfId="15575"/>
    <cellStyle name="Input [yellow] 3 5 2 8 3" xfId="26743"/>
    <cellStyle name="Input [yellow] 3 5 2 8 4" xfId="37908"/>
    <cellStyle name="Input [yellow] 3 5 2 8 5" xfId="49101"/>
    <cellStyle name="Input [yellow] 3 5 2 9" xfId="5009"/>
    <cellStyle name="Input [yellow] 3 5 2 9 2" xfId="16206"/>
    <cellStyle name="Input [yellow] 3 5 2 9 3" xfId="27374"/>
    <cellStyle name="Input [yellow] 3 5 2 9 4" xfId="38539"/>
    <cellStyle name="Input [yellow] 3 5 2 9 5" xfId="49732"/>
    <cellStyle name="Input [yellow] 3 5 20" xfId="5808"/>
    <cellStyle name="Input [yellow] 3 5 20 2" xfId="17005"/>
    <cellStyle name="Input [yellow] 3 5 20 3" xfId="28173"/>
    <cellStyle name="Input [yellow] 3 5 20 4" xfId="39338"/>
    <cellStyle name="Input [yellow] 3 5 20 5" xfId="50531"/>
    <cellStyle name="Input [yellow] 3 5 21" xfId="5923"/>
    <cellStyle name="Input [yellow] 3 5 21 2" xfId="17120"/>
    <cellStyle name="Input [yellow] 3 5 21 3" xfId="28288"/>
    <cellStyle name="Input [yellow] 3 5 21 4" xfId="39453"/>
    <cellStyle name="Input [yellow] 3 5 21 5" xfId="50646"/>
    <cellStyle name="Input [yellow] 3 5 22" xfId="6633"/>
    <cellStyle name="Input [yellow] 3 5 22 2" xfId="17830"/>
    <cellStyle name="Input [yellow] 3 5 22 3" xfId="28998"/>
    <cellStyle name="Input [yellow] 3 5 22 4" xfId="40163"/>
    <cellStyle name="Input [yellow] 3 5 22 5" xfId="51356"/>
    <cellStyle name="Input [yellow] 3 5 23" xfId="7265"/>
    <cellStyle name="Input [yellow] 3 5 23 2" xfId="18462"/>
    <cellStyle name="Input [yellow] 3 5 23 3" xfId="29630"/>
    <cellStyle name="Input [yellow] 3 5 23 4" xfId="40795"/>
    <cellStyle name="Input [yellow] 3 5 23 5" xfId="51988"/>
    <cellStyle name="Input [yellow] 3 5 24" xfId="7899"/>
    <cellStyle name="Input [yellow] 3 5 24 2" xfId="19096"/>
    <cellStyle name="Input [yellow] 3 5 24 3" xfId="30264"/>
    <cellStyle name="Input [yellow] 3 5 24 4" xfId="41429"/>
    <cellStyle name="Input [yellow] 3 5 24 5" xfId="52622"/>
    <cellStyle name="Input [yellow] 3 5 25" xfId="8532"/>
    <cellStyle name="Input [yellow] 3 5 25 2" xfId="19729"/>
    <cellStyle name="Input [yellow] 3 5 25 3" xfId="30897"/>
    <cellStyle name="Input [yellow] 3 5 25 4" xfId="42062"/>
    <cellStyle name="Input [yellow] 3 5 25 5" xfId="53255"/>
    <cellStyle name="Input [yellow] 3 5 26" xfId="8665"/>
    <cellStyle name="Input [yellow] 3 5 26 2" xfId="19862"/>
    <cellStyle name="Input [yellow] 3 5 26 3" xfId="31030"/>
    <cellStyle name="Input [yellow] 3 5 26 4" xfId="42195"/>
    <cellStyle name="Input [yellow] 3 5 26 5" xfId="53388"/>
    <cellStyle name="Input [yellow] 3 5 27" xfId="9584"/>
    <cellStyle name="Input [yellow] 3 5 27 2" xfId="20781"/>
    <cellStyle name="Input [yellow] 3 5 27 3" xfId="31949"/>
    <cellStyle name="Input [yellow] 3 5 27 4" xfId="43114"/>
    <cellStyle name="Input [yellow] 3 5 27 5" xfId="54307"/>
    <cellStyle name="Input [yellow] 3 5 28" xfId="10109"/>
    <cellStyle name="Input [yellow] 3 5 28 2" xfId="21306"/>
    <cellStyle name="Input [yellow] 3 5 28 3" xfId="32474"/>
    <cellStyle name="Input [yellow] 3 5 28 4" xfId="43639"/>
    <cellStyle name="Input [yellow] 3 5 28 5" xfId="54832"/>
    <cellStyle name="Input [yellow] 3 5 29" xfId="10617"/>
    <cellStyle name="Input [yellow] 3 5 29 2" xfId="21814"/>
    <cellStyle name="Input [yellow] 3 5 29 3" xfId="32982"/>
    <cellStyle name="Input [yellow] 3 5 29 4" xfId="44147"/>
    <cellStyle name="Input [yellow] 3 5 29 5" xfId="55340"/>
    <cellStyle name="Input [yellow] 3 5 3" xfId="183"/>
    <cellStyle name="Input [yellow] 3 5 3 10" xfId="6011"/>
    <cellStyle name="Input [yellow] 3 5 3 10 2" xfId="17208"/>
    <cellStyle name="Input [yellow] 3 5 3 10 3" xfId="28376"/>
    <cellStyle name="Input [yellow] 3 5 3 10 4" xfId="39541"/>
    <cellStyle name="Input [yellow] 3 5 3 10 5" xfId="50734"/>
    <cellStyle name="Input [yellow] 3 5 3 11" xfId="6174"/>
    <cellStyle name="Input [yellow] 3 5 3 11 2" xfId="17371"/>
    <cellStyle name="Input [yellow] 3 5 3 11 3" xfId="28539"/>
    <cellStyle name="Input [yellow] 3 5 3 11 4" xfId="39704"/>
    <cellStyle name="Input [yellow] 3 5 3 11 5" xfId="50897"/>
    <cellStyle name="Input [yellow] 3 5 3 12" xfId="6752"/>
    <cellStyle name="Input [yellow] 3 5 3 12 2" xfId="17949"/>
    <cellStyle name="Input [yellow] 3 5 3 12 3" xfId="29117"/>
    <cellStyle name="Input [yellow] 3 5 3 12 4" xfId="40282"/>
    <cellStyle name="Input [yellow] 3 5 3 12 5" xfId="51475"/>
    <cellStyle name="Input [yellow] 3 5 3 13" xfId="7386"/>
    <cellStyle name="Input [yellow] 3 5 3 13 2" xfId="18583"/>
    <cellStyle name="Input [yellow] 3 5 3 13 3" xfId="29751"/>
    <cellStyle name="Input [yellow] 3 5 3 13 4" xfId="40916"/>
    <cellStyle name="Input [yellow] 3 5 3 13 5" xfId="52109"/>
    <cellStyle name="Input [yellow] 3 5 3 14" xfId="8020"/>
    <cellStyle name="Input [yellow] 3 5 3 14 2" xfId="19217"/>
    <cellStyle name="Input [yellow] 3 5 3 14 3" xfId="30385"/>
    <cellStyle name="Input [yellow] 3 5 3 14 4" xfId="41550"/>
    <cellStyle name="Input [yellow] 3 5 3 14 5" xfId="52743"/>
    <cellStyle name="Input [yellow] 3 5 3 15" xfId="8651"/>
    <cellStyle name="Input [yellow] 3 5 3 15 2" xfId="19848"/>
    <cellStyle name="Input [yellow] 3 5 3 15 3" xfId="31016"/>
    <cellStyle name="Input [yellow] 3 5 3 15 4" xfId="42181"/>
    <cellStyle name="Input [yellow] 3 5 3 15 5" xfId="53374"/>
    <cellStyle name="Input [yellow] 3 5 3 16" xfId="6615"/>
    <cellStyle name="Input [yellow] 3 5 3 16 2" xfId="17812"/>
    <cellStyle name="Input [yellow] 3 5 3 16 3" xfId="28980"/>
    <cellStyle name="Input [yellow] 3 5 3 16 4" xfId="40145"/>
    <cellStyle name="Input [yellow] 3 5 3 16 5" xfId="51338"/>
    <cellStyle name="Input [yellow] 3 5 3 17" xfId="9703"/>
    <cellStyle name="Input [yellow] 3 5 3 17 2" xfId="20900"/>
    <cellStyle name="Input [yellow] 3 5 3 17 3" xfId="32068"/>
    <cellStyle name="Input [yellow] 3 5 3 17 4" xfId="43233"/>
    <cellStyle name="Input [yellow] 3 5 3 17 5" xfId="54426"/>
    <cellStyle name="Input [yellow] 3 5 3 18" xfId="10562"/>
    <cellStyle name="Input [yellow] 3 5 3 18 2" xfId="21759"/>
    <cellStyle name="Input [yellow] 3 5 3 18 3" xfId="32927"/>
    <cellStyle name="Input [yellow] 3 5 3 18 4" xfId="44092"/>
    <cellStyle name="Input [yellow] 3 5 3 18 5" xfId="55285"/>
    <cellStyle name="Input [yellow] 3 5 3 19" xfId="10736"/>
    <cellStyle name="Input [yellow] 3 5 3 19 2" xfId="21933"/>
    <cellStyle name="Input [yellow] 3 5 3 19 3" xfId="33101"/>
    <cellStyle name="Input [yellow] 3 5 3 19 4" xfId="44266"/>
    <cellStyle name="Input [yellow] 3 5 3 19 5" xfId="55459"/>
    <cellStyle name="Input [yellow] 3 5 3 2" xfId="832"/>
    <cellStyle name="Input [yellow] 3 5 3 2 2" xfId="12029"/>
    <cellStyle name="Input [yellow] 3 5 3 2 3" xfId="23197"/>
    <cellStyle name="Input [yellow] 3 5 3 2 4" xfId="34362"/>
    <cellStyle name="Input [yellow] 3 5 3 2 5" xfId="45555"/>
    <cellStyle name="Input [yellow] 3 5 3 20" xfId="11383"/>
    <cellStyle name="Input [yellow] 3 5 3 21" xfId="22553"/>
    <cellStyle name="Input [yellow] 3 5 3 22" xfId="33720"/>
    <cellStyle name="Input [yellow] 3 5 3 23" xfId="44906"/>
    <cellStyle name="Input [yellow] 3 5 3 3" xfId="1887"/>
    <cellStyle name="Input [yellow] 3 5 3 3 2" xfId="13084"/>
    <cellStyle name="Input [yellow] 3 5 3 3 3" xfId="24252"/>
    <cellStyle name="Input [yellow] 3 5 3 3 4" xfId="35417"/>
    <cellStyle name="Input [yellow] 3 5 3 3 5" xfId="46610"/>
    <cellStyle name="Input [yellow] 3 5 3 4" xfId="2109"/>
    <cellStyle name="Input [yellow] 3 5 3 4 2" xfId="13306"/>
    <cellStyle name="Input [yellow] 3 5 3 4 3" xfId="24474"/>
    <cellStyle name="Input [yellow] 3 5 3 4 4" xfId="35639"/>
    <cellStyle name="Input [yellow] 3 5 3 4 5" xfId="46832"/>
    <cellStyle name="Input [yellow] 3 5 3 5" xfId="2580"/>
    <cellStyle name="Input [yellow] 3 5 3 5 2" xfId="13777"/>
    <cellStyle name="Input [yellow] 3 5 3 5 3" xfId="24945"/>
    <cellStyle name="Input [yellow] 3 5 3 5 4" xfId="36110"/>
    <cellStyle name="Input [yellow] 3 5 3 5 5" xfId="47303"/>
    <cellStyle name="Input [yellow] 3 5 3 6" xfId="3167"/>
    <cellStyle name="Input [yellow] 3 5 3 6 2" xfId="14364"/>
    <cellStyle name="Input [yellow] 3 5 3 6 3" xfId="25532"/>
    <cellStyle name="Input [yellow] 3 5 3 6 4" xfId="36697"/>
    <cellStyle name="Input [yellow] 3 5 3 6 5" xfId="47890"/>
    <cellStyle name="Input [yellow] 3 5 3 7" xfId="3801"/>
    <cellStyle name="Input [yellow] 3 5 3 7 2" xfId="14998"/>
    <cellStyle name="Input [yellow] 3 5 3 7 3" xfId="26166"/>
    <cellStyle name="Input [yellow] 3 5 3 7 4" xfId="37331"/>
    <cellStyle name="Input [yellow] 3 5 3 7 5" xfId="48524"/>
    <cellStyle name="Input [yellow] 3 5 3 8" xfId="4434"/>
    <cellStyle name="Input [yellow] 3 5 3 8 2" xfId="15631"/>
    <cellStyle name="Input [yellow] 3 5 3 8 3" xfId="26799"/>
    <cellStyle name="Input [yellow] 3 5 3 8 4" xfId="37964"/>
    <cellStyle name="Input [yellow] 3 5 3 8 5" xfId="49157"/>
    <cellStyle name="Input [yellow] 3 5 3 9" xfId="5065"/>
    <cellStyle name="Input [yellow] 3 5 3 9 2" xfId="16262"/>
    <cellStyle name="Input [yellow] 3 5 3 9 3" xfId="27430"/>
    <cellStyle name="Input [yellow] 3 5 3 9 4" xfId="38595"/>
    <cellStyle name="Input [yellow] 3 5 3 9 5" xfId="49788"/>
    <cellStyle name="Input [yellow] 3 5 30" xfId="11263"/>
    <cellStyle name="Input [yellow] 3 5 31" xfId="22434"/>
    <cellStyle name="Input [yellow] 3 5 32" xfId="33601"/>
    <cellStyle name="Input [yellow] 3 5 33" xfId="44785"/>
    <cellStyle name="Input [yellow] 3 5 4" xfId="123"/>
    <cellStyle name="Input [yellow] 3 5 4 10" xfId="4299"/>
    <cellStyle name="Input [yellow] 3 5 4 10 2" xfId="15496"/>
    <cellStyle name="Input [yellow] 3 5 4 10 3" xfId="26664"/>
    <cellStyle name="Input [yellow] 3 5 4 10 4" xfId="37829"/>
    <cellStyle name="Input [yellow] 3 5 4 10 5" xfId="49022"/>
    <cellStyle name="Input [yellow] 3 5 4 11" xfId="5995"/>
    <cellStyle name="Input [yellow] 3 5 4 11 2" xfId="17192"/>
    <cellStyle name="Input [yellow] 3 5 4 11 3" xfId="28360"/>
    <cellStyle name="Input [yellow] 3 5 4 11 4" xfId="39525"/>
    <cellStyle name="Input [yellow] 3 5 4 11 5" xfId="50718"/>
    <cellStyle name="Input [yellow] 3 5 4 12" xfId="6692"/>
    <cellStyle name="Input [yellow] 3 5 4 12 2" xfId="17889"/>
    <cellStyle name="Input [yellow] 3 5 4 12 3" xfId="29057"/>
    <cellStyle name="Input [yellow] 3 5 4 12 4" xfId="40222"/>
    <cellStyle name="Input [yellow] 3 5 4 12 5" xfId="51415"/>
    <cellStyle name="Input [yellow] 3 5 4 13" xfId="7326"/>
    <cellStyle name="Input [yellow] 3 5 4 13 2" xfId="18523"/>
    <cellStyle name="Input [yellow] 3 5 4 13 3" xfId="29691"/>
    <cellStyle name="Input [yellow] 3 5 4 13 4" xfId="40856"/>
    <cellStyle name="Input [yellow] 3 5 4 13 5" xfId="52049"/>
    <cellStyle name="Input [yellow] 3 5 4 14" xfId="7960"/>
    <cellStyle name="Input [yellow] 3 5 4 14 2" xfId="19157"/>
    <cellStyle name="Input [yellow] 3 5 4 14 3" xfId="30325"/>
    <cellStyle name="Input [yellow] 3 5 4 14 4" xfId="41490"/>
    <cellStyle name="Input [yellow] 3 5 4 14 5" xfId="52683"/>
    <cellStyle name="Input [yellow] 3 5 4 15" xfId="8591"/>
    <cellStyle name="Input [yellow] 3 5 4 15 2" xfId="19788"/>
    <cellStyle name="Input [yellow] 3 5 4 15 3" xfId="30956"/>
    <cellStyle name="Input [yellow] 3 5 4 15 4" xfId="42121"/>
    <cellStyle name="Input [yellow] 3 5 4 15 5" xfId="53314"/>
    <cellStyle name="Input [yellow] 3 5 4 16" xfId="8930"/>
    <cellStyle name="Input [yellow] 3 5 4 16 2" xfId="20127"/>
    <cellStyle name="Input [yellow] 3 5 4 16 3" xfId="31295"/>
    <cellStyle name="Input [yellow] 3 5 4 16 4" xfId="42460"/>
    <cellStyle name="Input [yellow] 3 5 4 16 5" xfId="53653"/>
    <cellStyle name="Input [yellow] 3 5 4 17" xfId="9644"/>
    <cellStyle name="Input [yellow] 3 5 4 17 2" xfId="20841"/>
    <cellStyle name="Input [yellow] 3 5 4 17 3" xfId="32009"/>
    <cellStyle name="Input [yellow] 3 5 4 17 4" xfId="43174"/>
    <cellStyle name="Input [yellow] 3 5 4 17 5" xfId="54367"/>
    <cellStyle name="Input [yellow] 3 5 4 18" xfId="10269"/>
    <cellStyle name="Input [yellow] 3 5 4 18 2" xfId="21466"/>
    <cellStyle name="Input [yellow] 3 5 4 18 3" xfId="32634"/>
    <cellStyle name="Input [yellow] 3 5 4 18 4" xfId="43799"/>
    <cellStyle name="Input [yellow] 3 5 4 18 5" xfId="54992"/>
    <cellStyle name="Input [yellow] 3 5 4 19" xfId="10676"/>
    <cellStyle name="Input [yellow] 3 5 4 19 2" xfId="21873"/>
    <cellStyle name="Input [yellow] 3 5 4 19 3" xfId="33041"/>
    <cellStyle name="Input [yellow] 3 5 4 19 4" xfId="44206"/>
    <cellStyle name="Input [yellow] 3 5 4 19 5" xfId="55399"/>
    <cellStyle name="Input [yellow] 3 5 4 2" xfId="772"/>
    <cellStyle name="Input [yellow] 3 5 4 2 2" xfId="11969"/>
    <cellStyle name="Input [yellow] 3 5 4 2 3" xfId="23137"/>
    <cellStyle name="Input [yellow] 3 5 4 2 4" xfId="34302"/>
    <cellStyle name="Input [yellow] 3 5 4 2 5" xfId="45495"/>
    <cellStyle name="Input [yellow] 3 5 4 20" xfId="11323"/>
    <cellStyle name="Input [yellow] 3 5 4 21" xfId="22493"/>
    <cellStyle name="Input [yellow] 3 5 4 22" xfId="33660"/>
    <cellStyle name="Input [yellow] 3 5 4 23" xfId="44846"/>
    <cellStyle name="Input [yellow] 3 5 4 3" xfId="1459"/>
    <cellStyle name="Input [yellow] 3 5 4 3 2" xfId="12656"/>
    <cellStyle name="Input [yellow] 3 5 4 3 3" xfId="23824"/>
    <cellStyle name="Input [yellow] 3 5 4 3 4" xfId="34989"/>
    <cellStyle name="Input [yellow] 3 5 4 3 5" xfId="46182"/>
    <cellStyle name="Input [yellow] 3 5 4 4" xfId="2049"/>
    <cellStyle name="Input [yellow] 3 5 4 4 2" xfId="13246"/>
    <cellStyle name="Input [yellow] 3 5 4 4 3" xfId="24414"/>
    <cellStyle name="Input [yellow] 3 5 4 4 4" xfId="35579"/>
    <cellStyle name="Input [yellow] 3 5 4 4 5" xfId="46772"/>
    <cellStyle name="Input [yellow] 3 5 4 5" xfId="2263"/>
    <cellStyle name="Input [yellow] 3 5 4 5 2" xfId="13460"/>
    <cellStyle name="Input [yellow] 3 5 4 5 3" xfId="24628"/>
    <cellStyle name="Input [yellow] 3 5 4 5 4" xfId="35793"/>
    <cellStyle name="Input [yellow] 3 5 4 5 5" xfId="46986"/>
    <cellStyle name="Input [yellow] 3 5 4 6" xfId="3107"/>
    <cellStyle name="Input [yellow] 3 5 4 6 2" xfId="14304"/>
    <cellStyle name="Input [yellow] 3 5 4 6 3" xfId="25472"/>
    <cellStyle name="Input [yellow] 3 5 4 6 4" xfId="36637"/>
    <cellStyle name="Input [yellow] 3 5 4 6 5" xfId="47830"/>
    <cellStyle name="Input [yellow] 3 5 4 7" xfId="3741"/>
    <cellStyle name="Input [yellow] 3 5 4 7 2" xfId="14938"/>
    <cellStyle name="Input [yellow] 3 5 4 7 3" xfId="26106"/>
    <cellStyle name="Input [yellow] 3 5 4 7 4" xfId="37271"/>
    <cellStyle name="Input [yellow] 3 5 4 7 5" xfId="48464"/>
    <cellStyle name="Input [yellow] 3 5 4 8" xfId="4374"/>
    <cellStyle name="Input [yellow] 3 5 4 8 2" xfId="15571"/>
    <cellStyle name="Input [yellow] 3 5 4 8 3" xfId="26739"/>
    <cellStyle name="Input [yellow] 3 5 4 8 4" xfId="37904"/>
    <cellStyle name="Input [yellow] 3 5 4 8 5" xfId="49097"/>
    <cellStyle name="Input [yellow] 3 5 4 9" xfId="5005"/>
    <cellStyle name="Input [yellow] 3 5 4 9 2" xfId="16202"/>
    <cellStyle name="Input [yellow] 3 5 4 9 3" xfId="27370"/>
    <cellStyle name="Input [yellow] 3 5 4 9 4" xfId="38535"/>
    <cellStyle name="Input [yellow] 3 5 4 9 5" xfId="49728"/>
    <cellStyle name="Input [yellow] 3 5 5" xfId="321"/>
    <cellStyle name="Input [yellow] 3 5 5 10" xfId="5703"/>
    <cellStyle name="Input [yellow] 3 5 5 10 2" xfId="16900"/>
    <cellStyle name="Input [yellow] 3 5 5 10 3" xfId="28068"/>
    <cellStyle name="Input [yellow] 3 5 5 10 4" xfId="39233"/>
    <cellStyle name="Input [yellow] 3 5 5 10 5" xfId="50426"/>
    <cellStyle name="Input [yellow] 3 5 5 11" xfId="6257"/>
    <cellStyle name="Input [yellow] 3 5 5 11 2" xfId="17454"/>
    <cellStyle name="Input [yellow] 3 5 5 11 3" xfId="28622"/>
    <cellStyle name="Input [yellow] 3 5 5 11 4" xfId="39787"/>
    <cellStyle name="Input [yellow] 3 5 5 11 5" xfId="50980"/>
    <cellStyle name="Input [yellow] 3 5 5 12" xfId="6890"/>
    <cellStyle name="Input [yellow] 3 5 5 12 2" xfId="18087"/>
    <cellStyle name="Input [yellow] 3 5 5 12 3" xfId="29255"/>
    <cellStyle name="Input [yellow] 3 5 5 12 4" xfId="40420"/>
    <cellStyle name="Input [yellow] 3 5 5 12 5" xfId="51613"/>
    <cellStyle name="Input [yellow] 3 5 5 13" xfId="7524"/>
    <cellStyle name="Input [yellow] 3 5 5 13 2" xfId="18721"/>
    <cellStyle name="Input [yellow] 3 5 5 13 3" xfId="29889"/>
    <cellStyle name="Input [yellow] 3 5 5 13 4" xfId="41054"/>
    <cellStyle name="Input [yellow] 3 5 5 13 5" xfId="52247"/>
    <cellStyle name="Input [yellow] 3 5 5 14" xfId="8158"/>
    <cellStyle name="Input [yellow] 3 5 5 14 2" xfId="19355"/>
    <cellStyle name="Input [yellow] 3 5 5 14 3" xfId="30523"/>
    <cellStyle name="Input [yellow] 3 5 5 14 4" xfId="41688"/>
    <cellStyle name="Input [yellow] 3 5 5 14 5" xfId="52881"/>
    <cellStyle name="Input [yellow] 3 5 5 15" xfId="8787"/>
    <cellStyle name="Input [yellow] 3 5 5 15 2" xfId="19984"/>
    <cellStyle name="Input [yellow] 3 5 5 15 3" xfId="31152"/>
    <cellStyle name="Input [yellow] 3 5 5 15 4" xfId="42317"/>
    <cellStyle name="Input [yellow] 3 5 5 15 5" xfId="53510"/>
    <cellStyle name="Input [yellow] 3 5 5 16" xfId="9209"/>
    <cellStyle name="Input [yellow] 3 5 5 16 2" xfId="20406"/>
    <cellStyle name="Input [yellow] 3 5 5 16 3" xfId="31574"/>
    <cellStyle name="Input [yellow] 3 5 5 16 4" xfId="42739"/>
    <cellStyle name="Input [yellow] 3 5 5 16 5" xfId="53932"/>
    <cellStyle name="Input [yellow] 3 5 5 17" xfId="9836"/>
    <cellStyle name="Input [yellow] 3 5 5 17 2" xfId="21033"/>
    <cellStyle name="Input [yellow] 3 5 5 17 3" xfId="32201"/>
    <cellStyle name="Input [yellow] 3 5 5 17 4" xfId="43366"/>
    <cellStyle name="Input [yellow] 3 5 5 17 5" xfId="54559"/>
    <cellStyle name="Input [yellow] 3 5 5 18" xfId="10446"/>
    <cellStyle name="Input [yellow] 3 5 5 18 2" xfId="21643"/>
    <cellStyle name="Input [yellow] 3 5 5 18 3" xfId="32811"/>
    <cellStyle name="Input [yellow] 3 5 5 18 4" xfId="43976"/>
    <cellStyle name="Input [yellow] 3 5 5 18 5" xfId="55169"/>
    <cellStyle name="Input [yellow] 3 5 5 19" xfId="10874"/>
    <cellStyle name="Input [yellow] 3 5 5 19 2" xfId="22071"/>
    <cellStyle name="Input [yellow] 3 5 5 19 3" xfId="33239"/>
    <cellStyle name="Input [yellow] 3 5 5 19 4" xfId="44404"/>
    <cellStyle name="Input [yellow] 3 5 5 19 5" xfId="55597"/>
    <cellStyle name="Input [yellow] 3 5 5 2" xfId="970"/>
    <cellStyle name="Input [yellow] 3 5 5 2 2" xfId="12167"/>
    <cellStyle name="Input [yellow] 3 5 5 2 3" xfId="23335"/>
    <cellStyle name="Input [yellow] 3 5 5 2 4" xfId="34500"/>
    <cellStyle name="Input [yellow] 3 5 5 2 5" xfId="45693"/>
    <cellStyle name="Input [yellow] 3 5 5 20" xfId="11521"/>
    <cellStyle name="Input [yellow] 3 5 5 21" xfId="22691"/>
    <cellStyle name="Input [yellow] 3 5 5 22" xfId="33858"/>
    <cellStyle name="Input [yellow] 3 5 5 23" xfId="45044"/>
    <cellStyle name="Input [yellow] 3 5 5 3" xfId="1664"/>
    <cellStyle name="Input [yellow] 3 5 5 3 2" xfId="12861"/>
    <cellStyle name="Input [yellow] 3 5 5 3 3" xfId="24029"/>
    <cellStyle name="Input [yellow] 3 5 5 3 4" xfId="35194"/>
    <cellStyle name="Input [yellow] 3 5 5 3 5" xfId="46387"/>
    <cellStyle name="Input [yellow] 3 5 5 4" xfId="2246"/>
    <cellStyle name="Input [yellow] 3 5 5 4 2" xfId="13443"/>
    <cellStyle name="Input [yellow] 3 5 5 4 3" xfId="24611"/>
    <cellStyle name="Input [yellow] 3 5 5 4 4" xfId="35776"/>
    <cellStyle name="Input [yellow] 3 5 5 4 5" xfId="46969"/>
    <cellStyle name="Input [yellow] 3 5 5 5" xfId="2671"/>
    <cellStyle name="Input [yellow] 3 5 5 5 2" xfId="13868"/>
    <cellStyle name="Input [yellow] 3 5 5 5 3" xfId="25036"/>
    <cellStyle name="Input [yellow] 3 5 5 5 4" xfId="36201"/>
    <cellStyle name="Input [yellow] 3 5 5 5 5" xfId="47394"/>
    <cellStyle name="Input [yellow] 3 5 5 6" xfId="3305"/>
    <cellStyle name="Input [yellow] 3 5 5 6 2" xfId="14502"/>
    <cellStyle name="Input [yellow] 3 5 5 6 3" xfId="25670"/>
    <cellStyle name="Input [yellow] 3 5 5 6 4" xfId="36835"/>
    <cellStyle name="Input [yellow] 3 5 5 6 5" xfId="48028"/>
    <cellStyle name="Input [yellow] 3 5 5 7" xfId="3939"/>
    <cellStyle name="Input [yellow] 3 5 5 7 2" xfId="15136"/>
    <cellStyle name="Input [yellow] 3 5 5 7 3" xfId="26304"/>
    <cellStyle name="Input [yellow] 3 5 5 7 4" xfId="37469"/>
    <cellStyle name="Input [yellow] 3 5 5 7 5" xfId="48662"/>
    <cellStyle name="Input [yellow] 3 5 5 8" xfId="4572"/>
    <cellStyle name="Input [yellow] 3 5 5 8 2" xfId="15769"/>
    <cellStyle name="Input [yellow] 3 5 5 8 3" xfId="26937"/>
    <cellStyle name="Input [yellow] 3 5 5 8 4" xfId="38102"/>
    <cellStyle name="Input [yellow] 3 5 5 8 5" xfId="49295"/>
    <cellStyle name="Input [yellow] 3 5 5 9" xfId="5203"/>
    <cellStyle name="Input [yellow] 3 5 5 9 2" xfId="16400"/>
    <cellStyle name="Input [yellow] 3 5 5 9 3" xfId="27568"/>
    <cellStyle name="Input [yellow] 3 5 5 9 4" xfId="38733"/>
    <cellStyle name="Input [yellow] 3 5 5 9 5" xfId="49926"/>
    <cellStyle name="Input [yellow] 3 5 6" xfId="363"/>
    <cellStyle name="Input [yellow] 3 5 6 10" xfId="5692"/>
    <cellStyle name="Input [yellow] 3 5 6 10 2" xfId="16889"/>
    <cellStyle name="Input [yellow] 3 5 6 10 3" xfId="28057"/>
    <cellStyle name="Input [yellow] 3 5 6 10 4" xfId="39222"/>
    <cellStyle name="Input [yellow] 3 5 6 10 5" xfId="50415"/>
    <cellStyle name="Input [yellow] 3 5 6 11" xfId="6299"/>
    <cellStyle name="Input [yellow] 3 5 6 11 2" xfId="17496"/>
    <cellStyle name="Input [yellow] 3 5 6 11 3" xfId="28664"/>
    <cellStyle name="Input [yellow] 3 5 6 11 4" xfId="39829"/>
    <cellStyle name="Input [yellow] 3 5 6 11 5" xfId="51022"/>
    <cellStyle name="Input [yellow] 3 5 6 12" xfId="6932"/>
    <cellStyle name="Input [yellow] 3 5 6 12 2" xfId="18129"/>
    <cellStyle name="Input [yellow] 3 5 6 12 3" xfId="29297"/>
    <cellStyle name="Input [yellow] 3 5 6 12 4" xfId="40462"/>
    <cellStyle name="Input [yellow] 3 5 6 12 5" xfId="51655"/>
    <cellStyle name="Input [yellow] 3 5 6 13" xfId="7566"/>
    <cellStyle name="Input [yellow] 3 5 6 13 2" xfId="18763"/>
    <cellStyle name="Input [yellow] 3 5 6 13 3" xfId="29931"/>
    <cellStyle name="Input [yellow] 3 5 6 13 4" xfId="41096"/>
    <cellStyle name="Input [yellow] 3 5 6 13 5" xfId="52289"/>
    <cellStyle name="Input [yellow] 3 5 6 14" xfId="8200"/>
    <cellStyle name="Input [yellow] 3 5 6 14 2" xfId="19397"/>
    <cellStyle name="Input [yellow] 3 5 6 14 3" xfId="30565"/>
    <cellStyle name="Input [yellow] 3 5 6 14 4" xfId="41730"/>
    <cellStyle name="Input [yellow] 3 5 6 14 5" xfId="52923"/>
    <cellStyle name="Input [yellow] 3 5 6 15" xfId="8829"/>
    <cellStyle name="Input [yellow] 3 5 6 15 2" xfId="20026"/>
    <cellStyle name="Input [yellow] 3 5 6 15 3" xfId="31194"/>
    <cellStyle name="Input [yellow] 3 5 6 15 4" xfId="42359"/>
    <cellStyle name="Input [yellow] 3 5 6 15 5" xfId="53552"/>
    <cellStyle name="Input [yellow] 3 5 6 16" xfId="9251"/>
    <cellStyle name="Input [yellow] 3 5 6 16 2" xfId="20448"/>
    <cellStyle name="Input [yellow] 3 5 6 16 3" xfId="31616"/>
    <cellStyle name="Input [yellow] 3 5 6 16 4" xfId="42781"/>
    <cellStyle name="Input [yellow] 3 5 6 16 5" xfId="53974"/>
    <cellStyle name="Input [yellow] 3 5 6 17" xfId="9878"/>
    <cellStyle name="Input [yellow] 3 5 6 17 2" xfId="21075"/>
    <cellStyle name="Input [yellow] 3 5 6 17 3" xfId="32243"/>
    <cellStyle name="Input [yellow] 3 5 6 17 4" xfId="43408"/>
    <cellStyle name="Input [yellow] 3 5 6 17 5" xfId="54601"/>
    <cellStyle name="Input [yellow] 3 5 6 18" xfId="9874"/>
    <cellStyle name="Input [yellow] 3 5 6 18 2" xfId="21071"/>
    <cellStyle name="Input [yellow] 3 5 6 18 3" xfId="32239"/>
    <cellStyle name="Input [yellow] 3 5 6 18 4" xfId="43404"/>
    <cellStyle name="Input [yellow] 3 5 6 18 5" xfId="54597"/>
    <cellStyle name="Input [yellow] 3 5 6 19" xfId="10916"/>
    <cellStyle name="Input [yellow] 3 5 6 19 2" xfId="22113"/>
    <cellStyle name="Input [yellow] 3 5 6 19 3" xfId="33281"/>
    <cellStyle name="Input [yellow] 3 5 6 19 4" xfId="44446"/>
    <cellStyle name="Input [yellow] 3 5 6 19 5" xfId="55639"/>
    <cellStyle name="Input [yellow] 3 5 6 2" xfId="1012"/>
    <cellStyle name="Input [yellow] 3 5 6 2 2" xfId="12209"/>
    <cellStyle name="Input [yellow] 3 5 6 2 3" xfId="23377"/>
    <cellStyle name="Input [yellow] 3 5 6 2 4" xfId="34542"/>
    <cellStyle name="Input [yellow] 3 5 6 2 5" xfId="45735"/>
    <cellStyle name="Input [yellow] 3 5 6 20" xfId="11563"/>
    <cellStyle name="Input [yellow] 3 5 6 21" xfId="22733"/>
    <cellStyle name="Input [yellow] 3 5 6 22" xfId="33900"/>
    <cellStyle name="Input [yellow] 3 5 6 23" xfId="45086"/>
    <cellStyle name="Input [yellow] 3 5 6 3" xfId="1850"/>
    <cellStyle name="Input [yellow] 3 5 6 3 2" xfId="13047"/>
    <cellStyle name="Input [yellow] 3 5 6 3 3" xfId="24215"/>
    <cellStyle name="Input [yellow] 3 5 6 3 4" xfId="35380"/>
    <cellStyle name="Input [yellow] 3 5 6 3 5" xfId="46573"/>
    <cellStyle name="Input [yellow] 3 5 6 4" xfId="2288"/>
    <cellStyle name="Input [yellow] 3 5 6 4 2" xfId="13485"/>
    <cellStyle name="Input [yellow] 3 5 6 4 3" xfId="24653"/>
    <cellStyle name="Input [yellow] 3 5 6 4 4" xfId="35818"/>
    <cellStyle name="Input [yellow] 3 5 6 4 5" xfId="47011"/>
    <cellStyle name="Input [yellow] 3 5 6 5" xfId="2713"/>
    <cellStyle name="Input [yellow] 3 5 6 5 2" xfId="13910"/>
    <cellStyle name="Input [yellow] 3 5 6 5 3" xfId="25078"/>
    <cellStyle name="Input [yellow] 3 5 6 5 4" xfId="36243"/>
    <cellStyle name="Input [yellow] 3 5 6 5 5" xfId="47436"/>
    <cellStyle name="Input [yellow] 3 5 6 6" xfId="3347"/>
    <cellStyle name="Input [yellow] 3 5 6 6 2" xfId="14544"/>
    <cellStyle name="Input [yellow] 3 5 6 6 3" xfId="25712"/>
    <cellStyle name="Input [yellow] 3 5 6 6 4" xfId="36877"/>
    <cellStyle name="Input [yellow] 3 5 6 6 5" xfId="48070"/>
    <cellStyle name="Input [yellow] 3 5 6 7" xfId="3981"/>
    <cellStyle name="Input [yellow] 3 5 6 7 2" xfId="15178"/>
    <cellStyle name="Input [yellow] 3 5 6 7 3" xfId="26346"/>
    <cellStyle name="Input [yellow] 3 5 6 7 4" xfId="37511"/>
    <cellStyle name="Input [yellow] 3 5 6 7 5" xfId="48704"/>
    <cellStyle name="Input [yellow] 3 5 6 8" xfId="4614"/>
    <cellStyle name="Input [yellow] 3 5 6 8 2" xfId="15811"/>
    <cellStyle name="Input [yellow] 3 5 6 8 3" xfId="26979"/>
    <cellStyle name="Input [yellow] 3 5 6 8 4" xfId="38144"/>
    <cellStyle name="Input [yellow] 3 5 6 8 5" xfId="49337"/>
    <cellStyle name="Input [yellow] 3 5 6 9" xfId="5245"/>
    <cellStyle name="Input [yellow] 3 5 6 9 2" xfId="16442"/>
    <cellStyle name="Input [yellow] 3 5 6 9 3" xfId="27610"/>
    <cellStyle name="Input [yellow] 3 5 6 9 4" xfId="38775"/>
    <cellStyle name="Input [yellow] 3 5 6 9 5" xfId="49968"/>
    <cellStyle name="Input [yellow] 3 5 7" xfId="446"/>
    <cellStyle name="Input [yellow] 3 5 7 10" xfId="5555"/>
    <cellStyle name="Input [yellow] 3 5 7 10 2" xfId="16752"/>
    <cellStyle name="Input [yellow] 3 5 7 10 3" xfId="27920"/>
    <cellStyle name="Input [yellow] 3 5 7 10 4" xfId="39085"/>
    <cellStyle name="Input [yellow] 3 5 7 10 5" xfId="50278"/>
    <cellStyle name="Input [yellow] 3 5 7 11" xfId="6382"/>
    <cellStyle name="Input [yellow] 3 5 7 11 2" xfId="17579"/>
    <cellStyle name="Input [yellow] 3 5 7 11 3" xfId="28747"/>
    <cellStyle name="Input [yellow] 3 5 7 11 4" xfId="39912"/>
    <cellStyle name="Input [yellow] 3 5 7 11 5" xfId="51105"/>
    <cellStyle name="Input [yellow] 3 5 7 12" xfId="7015"/>
    <cellStyle name="Input [yellow] 3 5 7 12 2" xfId="18212"/>
    <cellStyle name="Input [yellow] 3 5 7 12 3" xfId="29380"/>
    <cellStyle name="Input [yellow] 3 5 7 12 4" xfId="40545"/>
    <cellStyle name="Input [yellow] 3 5 7 12 5" xfId="51738"/>
    <cellStyle name="Input [yellow] 3 5 7 13" xfId="7649"/>
    <cellStyle name="Input [yellow] 3 5 7 13 2" xfId="18846"/>
    <cellStyle name="Input [yellow] 3 5 7 13 3" xfId="30014"/>
    <cellStyle name="Input [yellow] 3 5 7 13 4" xfId="41179"/>
    <cellStyle name="Input [yellow] 3 5 7 13 5" xfId="52372"/>
    <cellStyle name="Input [yellow] 3 5 7 14" xfId="8283"/>
    <cellStyle name="Input [yellow] 3 5 7 14 2" xfId="19480"/>
    <cellStyle name="Input [yellow] 3 5 7 14 3" xfId="30648"/>
    <cellStyle name="Input [yellow] 3 5 7 14 4" xfId="41813"/>
    <cellStyle name="Input [yellow] 3 5 7 14 5" xfId="53006"/>
    <cellStyle name="Input [yellow] 3 5 7 15" xfId="8911"/>
    <cellStyle name="Input [yellow] 3 5 7 15 2" xfId="20108"/>
    <cellStyle name="Input [yellow] 3 5 7 15 3" xfId="31276"/>
    <cellStyle name="Input [yellow] 3 5 7 15 4" xfId="42441"/>
    <cellStyle name="Input [yellow] 3 5 7 15 5" xfId="53634"/>
    <cellStyle name="Input [yellow] 3 5 7 16" xfId="9334"/>
    <cellStyle name="Input [yellow] 3 5 7 16 2" xfId="20531"/>
    <cellStyle name="Input [yellow] 3 5 7 16 3" xfId="31699"/>
    <cellStyle name="Input [yellow] 3 5 7 16 4" xfId="42864"/>
    <cellStyle name="Input [yellow] 3 5 7 16 5" xfId="54057"/>
    <cellStyle name="Input [yellow] 3 5 7 17" xfId="9960"/>
    <cellStyle name="Input [yellow] 3 5 7 17 2" xfId="21157"/>
    <cellStyle name="Input [yellow] 3 5 7 17 3" xfId="32325"/>
    <cellStyle name="Input [yellow] 3 5 7 17 4" xfId="43490"/>
    <cellStyle name="Input [yellow] 3 5 7 17 5" xfId="54683"/>
    <cellStyle name="Input [yellow] 3 5 7 18" xfId="9777"/>
    <cellStyle name="Input [yellow] 3 5 7 18 2" xfId="20974"/>
    <cellStyle name="Input [yellow] 3 5 7 18 3" xfId="32142"/>
    <cellStyle name="Input [yellow] 3 5 7 18 4" xfId="43307"/>
    <cellStyle name="Input [yellow] 3 5 7 18 5" xfId="54500"/>
    <cellStyle name="Input [yellow] 3 5 7 19" xfId="10999"/>
    <cellStyle name="Input [yellow] 3 5 7 19 2" xfId="22196"/>
    <cellStyle name="Input [yellow] 3 5 7 19 3" xfId="33364"/>
    <cellStyle name="Input [yellow] 3 5 7 19 4" xfId="44529"/>
    <cellStyle name="Input [yellow] 3 5 7 19 5" xfId="55722"/>
    <cellStyle name="Input [yellow] 3 5 7 2" xfId="1095"/>
    <cellStyle name="Input [yellow] 3 5 7 2 2" xfId="12292"/>
    <cellStyle name="Input [yellow] 3 5 7 2 3" xfId="23460"/>
    <cellStyle name="Input [yellow] 3 5 7 2 4" xfId="34625"/>
    <cellStyle name="Input [yellow] 3 5 7 2 5" xfId="45818"/>
    <cellStyle name="Input [yellow] 3 5 7 20" xfId="11646"/>
    <cellStyle name="Input [yellow] 3 5 7 21" xfId="22816"/>
    <cellStyle name="Input [yellow] 3 5 7 22" xfId="33983"/>
    <cellStyle name="Input [yellow] 3 5 7 23" xfId="45169"/>
    <cellStyle name="Input [yellow] 3 5 7 3" xfId="1486"/>
    <cellStyle name="Input [yellow] 3 5 7 3 2" xfId="12683"/>
    <cellStyle name="Input [yellow] 3 5 7 3 3" xfId="23851"/>
    <cellStyle name="Input [yellow] 3 5 7 3 4" xfId="35016"/>
    <cellStyle name="Input [yellow] 3 5 7 3 5" xfId="46209"/>
    <cellStyle name="Input [yellow] 3 5 7 4" xfId="2371"/>
    <cellStyle name="Input [yellow] 3 5 7 4 2" xfId="13568"/>
    <cellStyle name="Input [yellow] 3 5 7 4 3" xfId="24736"/>
    <cellStyle name="Input [yellow] 3 5 7 4 4" xfId="35901"/>
    <cellStyle name="Input [yellow] 3 5 7 4 5" xfId="47094"/>
    <cellStyle name="Input [yellow] 3 5 7 5" xfId="2796"/>
    <cellStyle name="Input [yellow] 3 5 7 5 2" xfId="13993"/>
    <cellStyle name="Input [yellow] 3 5 7 5 3" xfId="25161"/>
    <cellStyle name="Input [yellow] 3 5 7 5 4" xfId="36326"/>
    <cellStyle name="Input [yellow] 3 5 7 5 5" xfId="47519"/>
    <cellStyle name="Input [yellow] 3 5 7 6" xfId="3430"/>
    <cellStyle name="Input [yellow] 3 5 7 6 2" xfId="14627"/>
    <cellStyle name="Input [yellow] 3 5 7 6 3" xfId="25795"/>
    <cellStyle name="Input [yellow] 3 5 7 6 4" xfId="36960"/>
    <cellStyle name="Input [yellow] 3 5 7 6 5" xfId="48153"/>
    <cellStyle name="Input [yellow] 3 5 7 7" xfId="4064"/>
    <cellStyle name="Input [yellow] 3 5 7 7 2" xfId="15261"/>
    <cellStyle name="Input [yellow] 3 5 7 7 3" xfId="26429"/>
    <cellStyle name="Input [yellow] 3 5 7 7 4" xfId="37594"/>
    <cellStyle name="Input [yellow] 3 5 7 7 5" xfId="48787"/>
    <cellStyle name="Input [yellow] 3 5 7 8" xfId="4697"/>
    <cellStyle name="Input [yellow] 3 5 7 8 2" xfId="15894"/>
    <cellStyle name="Input [yellow] 3 5 7 8 3" xfId="27062"/>
    <cellStyle name="Input [yellow] 3 5 7 8 4" xfId="38227"/>
    <cellStyle name="Input [yellow] 3 5 7 8 5" xfId="49420"/>
    <cellStyle name="Input [yellow] 3 5 7 9" xfId="5328"/>
    <cellStyle name="Input [yellow] 3 5 7 9 2" xfId="16525"/>
    <cellStyle name="Input [yellow] 3 5 7 9 3" xfId="27693"/>
    <cellStyle name="Input [yellow] 3 5 7 9 4" xfId="38858"/>
    <cellStyle name="Input [yellow] 3 5 7 9 5" xfId="50051"/>
    <cellStyle name="Input [yellow] 3 5 8" xfId="471"/>
    <cellStyle name="Input [yellow] 3 5 8 10" xfId="5620"/>
    <cellStyle name="Input [yellow] 3 5 8 10 2" xfId="16817"/>
    <cellStyle name="Input [yellow] 3 5 8 10 3" xfId="27985"/>
    <cellStyle name="Input [yellow] 3 5 8 10 4" xfId="39150"/>
    <cellStyle name="Input [yellow] 3 5 8 10 5" xfId="50343"/>
    <cellStyle name="Input [yellow] 3 5 8 11" xfId="6407"/>
    <cellStyle name="Input [yellow] 3 5 8 11 2" xfId="17604"/>
    <cellStyle name="Input [yellow] 3 5 8 11 3" xfId="28772"/>
    <cellStyle name="Input [yellow] 3 5 8 11 4" xfId="39937"/>
    <cellStyle name="Input [yellow] 3 5 8 11 5" xfId="51130"/>
    <cellStyle name="Input [yellow] 3 5 8 12" xfId="7040"/>
    <cellStyle name="Input [yellow] 3 5 8 12 2" xfId="18237"/>
    <cellStyle name="Input [yellow] 3 5 8 12 3" xfId="29405"/>
    <cellStyle name="Input [yellow] 3 5 8 12 4" xfId="40570"/>
    <cellStyle name="Input [yellow] 3 5 8 12 5" xfId="51763"/>
    <cellStyle name="Input [yellow] 3 5 8 13" xfId="7674"/>
    <cellStyle name="Input [yellow] 3 5 8 13 2" xfId="18871"/>
    <cellStyle name="Input [yellow] 3 5 8 13 3" xfId="30039"/>
    <cellStyle name="Input [yellow] 3 5 8 13 4" xfId="41204"/>
    <cellStyle name="Input [yellow] 3 5 8 13 5" xfId="52397"/>
    <cellStyle name="Input [yellow] 3 5 8 14" xfId="8308"/>
    <cellStyle name="Input [yellow] 3 5 8 14 2" xfId="19505"/>
    <cellStyle name="Input [yellow] 3 5 8 14 3" xfId="30673"/>
    <cellStyle name="Input [yellow] 3 5 8 14 4" xfId="41838"/>
    <cellStyle name="Input [yellow] 3 5 8 14 5" xfId="53031"/>
    <cellStyle name="Input [yellow] 3 5 8 15" xfId="8936"/>
    <cellStyle name="Input [yellow] 3 5 8 15 2" xfId="20133"/>
    <cellStyle name="Input [yellow] 3 5 8 15 3" xfId="31301"/>
    <cellStyle name="Input [yellow] 3 5 8 15 4" xfId="42466"/>
    <cellStyle name="Input [yellow] 3 5 8 15 5" xfId="53659"/>
    <cellStyle name="Input [yellow] 3 5 8 16" xfId="9359"/>
    <cellStyle name="Input [yellow] 3 5 8 16 2" xfId="20556"/>
    <cellStyle name="Input [yellow] 3 5 8 16 3" xfId="31724"/>
    <cellStyle name="Input [yellow] 3 5 8 16 4" xfId="42889"/>
    <cellStyle name="Input [yellow] 3 5 8 16 5" xfId="54082"/>
    <cellStyle name="Input [yellow] 3 5 8 17" xfId="9985"/>
    <cellStyle name="Input [yellow] 3 5 8 17 2" xfId="21182"/>
    <cellStyle name="Input [yellow] 3 5 8 17 3" xfId="32350"/>
    <cellStyle name="Input [yellow] 3 5 8 17 4" xfId="43515"/>
    <cellStyle name="Input [yellow] 3 5 8 17 5" xfId="54708"/>
    <cellStyle name="Input [yellow] 3 5 8 18" xfId="10283"/>
    <cellStyle name="Input [yellow] 3 5 8 18 2" xfId="21480"/>
    <cellStyle name="Input [yellow] 3 5 8 18 3" xfId="32648"/>
    <cellStyle name="Input [yellow] 3 5 8 18 4" xfId="43813"/>
    <cellStyle name="Input [yellow] 3 5 8 18 5" xfId="55006"/>
    <cellStyle name="Input [yellow] 3 5 8 19" xfId="11024"/>
    <cellStyle name="Input [yellow] 3 5 8 19 2" xfId="22221"/>
    <cellStyle name="Input [yellow] 3 5 8 19 3" xfId="33389"/>
    <cellStyle name="Input [yellow] 3 5 8 19 4" xfId="44554"/>
    <cellStyle name="Input [yellow] 3 5 8 19 5" xfId="55747"/>
    <cellStyle name="Input [yellow] 3 5 8 2" xfId="1120"/>
    <cellStyle name="Input [yellow] 3 5 8 2 2" xfId="12317"/>
    <cellStyle name="Input [yellow] 3 5 8 2 3" xfId="23485"/>
    <cellStyle name="Input [yellow] 3 5 8 2 4" xfId="34650"/>
    <cellStyle name="Input [yellow] 3 5 8 2 5" xfId="45843"/>
    <cellStyle name="Input [yellow] 3 5 8 20" xfId="11671"/>
    <cellStyle name="Input [yellow] 3 5 8 21" xfId="22841"/>
    <cellStyle name="Input [yellow] 3 5 8 22" xfId="34008"/>
    <cellStyle name="Input [yellow] 3 5 8 23" xfId="45194"/>
    <cellStyle name="Input [yellow] 3 5 8 3" xfId="1540"/>
    <cellStyle name="Input [yellow] 3 5 8 3 2" xfId="12737"/>
    <cellStyle name="Input [yellow] 3 5 8 3 3" xfId="23905"/>
    <cellStyle name="Input [yellow] 3 5 8 3 4" xfId="35070"/>
    <cellStyle name="Input [yellow] 3 5 8 3 5" xfId="46263"/>
    <cellStyle name="Input [yellow] 3 5 8 4" xfId="2396"/>
    <cellStyle name="Input [yellow] 3 5 8 4 2" xfId="13593"/>
    <cellStyle name="Input [yellow] 3 5 8 4 3" xfId="24761"/>
    <cellStyle name="Input [yellow] 3 5 8 4 4" xfId="35926"/>
    <cellStyle name="Input [yellow] 3 5 8 4 5" xfId="47119"/>
    <cellStyle name="Input [yellow] 3 5 8 5" xfId="2821"/>
    <cellStyle name="Input [yellow] 3 5 8 5 2" xfId="14018"/>
    <cellStyle name="Input [yellow] 3 5 8 5 3" xfId="25186"/>
    <cellStyle name="Input [yellow] 3 5 8 5 4" xfId="36351"/>
    <cellStyle name="Input [yellow] 3 5 8 5 5" xfId="47544"/>
    <cellStyle name="Input [yellow] 3 5 8 6" xfId="3455"/>
    <cellStyle name="Input [yellow] 3 5 8 6 2" xfId="14652"/>
    <cellStyle name="Input [yellow] 3 5 8 6 3" xfId="25820"/>
    <cellStyle name="Input [yellow] 3 5 8 6 4" xfId="36985"/>
    <cellStyle name="Input [yellow] 3 5 8 6 5" xfId="48178"/>
    <cellStyle name="Input [yellow] 3 5 8 7" xfId="4089"/>
    <cellStyle name="Input [yellow] 3 5 8 7 2" xfId="15286"/>
    <cellStyle name="Input [yellow] 3 5 8 7 3" xfId="26454"/>
    <cellStyle name="Input [yellow] 3 5 8 7 4" xfId="37619"/>
    <cellStyle name="Input [yellow] 3 5 8 7 5" xfId="48812"/>
    <cellStyle name="Input [yellow] 3 5 8 8" xfId="4722"/>
    <cellStyle name="Input [yellow] 3 5 8 8 2" xfId="15919"/>
    <cellStyle name="Input [yellow] 3 5 8 8 3" xfId="27087"/>
    <cellStyle name="Input [yellow] 3 5 8 8 4" xfId="38252"/>
    <cellStyle name="Input [yellow] 3 5 8 8 5" xfId="49445"/>
    <cellStyle name="Input [yellow] 3 5 8 9" xfId="5353"/>
    <cellStyle name="Input [yellow] 3 5 8 9 2" xfId="16550"/>
    <cellStyle name="Input [yellow] 3 5 8 9 3" xfId="27718"/>
    <cellStyle name="Input [yellow] 3 5 8 9 4" xfId="38883"/>
    <cellStyle name="Input [yellow] 3 5 8 9 5" xfId="50076"/>
    <cellStyle name="Input [yellow] 3 5 9" xfId="529"/>
    <cellStyle name="Input [yellow] 3 5 9 10" xfId="6071"/>
    <cellStyle name="Input [yellow] 3 5 9 10 2" xfId="17268"/>
    <cellStyle name="Input [yellow] 3 5 9 10 3" xfId="28436"/>
    <cellStyle name="Input [yellow] 3 5 9 10 4" xfId="39601"/>
    <cellStyle name="Input [yellow] 3 5 9 10 5" xfId="50794"/>
    <cellStyle name="Input [yellow] 3 5 9 11" xfId="6465"/>
    <cellStyle name="Input [yellow] 3 5 9 11 2" xfId="17662"/>
    <cellStyle name="Input [yellow] 3 5 9 11 3" xfId="28830"/>
    <cellStyle name="Input [yellow] 3 5 9 11 4" xfId="39995"/>
    <cellStyle name="Input [yellow] 3 5 9 11 5" xfId="51188"/>
    <cellStyle name="Input [yellow] 3 5 9 12" xfId="7098"/>
    <cellStyle name="Input [yellow] 3 5 9 12 2" xfId="18295"/>
    <cellStyle name="Input [yellow] 3 5 9 12 3" xfId="29463"/>
    <cellStyle name="Input [yellow] 3 5 9 12 4" xfId="40628"/>
    <cellStyle name="Input [yellow] 3 5 9 12 5" xfId="51821"/>
    <cellStyle name="Input [yellow] 3 5 9 13" xfId="7732"/>
    <cellStyle name="Input [yellow] 3 5 9 13 2" xfId="18929"/>
    <cellStyle name="Input [yellow] 3 5 9 13 3" xfId="30097"/>
    <cellStyle name="Input [yellow] 3 5 9 13 4" xfId="41262"/>
    <cellStyle name="Input [yellow] 3 5 9 13 5" xfId="52455"/>
    <cellStyle name="Input [yellow] 3 5 9 14" xfId="8366"/>
    <cellStyle name="Input [yellow] 3 5 9 14 2" xfId="19563"/>
    <cellStyle name="Input [yellow] 3 5 9 14 3" xfId="30731"/>
    <cellStyle name="Input [yellow] 3 5 9 14 4" xfId="41896"/>
    <cellStyle name="Input [yellow] 3 5 9 14 5" xfId="53089"/>
    <cellStyle name="Input [yellow] 3 5 9 15" xfId="8994"/>
    <cellStyle name="Input [yellow] 3 5 9 15 2" xfId="20191"/>
    <cellStyle name="Input [yellow] 3 5 9 15 3" xfId="31359"/>
    <cellStyle name="Input [yellow] 3 5 9 15 4" xfId="42524"/>
    <cellStyle name="Input [yellow] 3 5 9 15 5" xfId="53717"/>
    <cellStyle name="Input [yellow] 3 5 9 16" xfId="9417"/>
    <cellStyle name="Input [yellow] 3 5 9 16 2" xfId="20614"/>
    <cellStyle name="Input [yellow] 3 5 9 16 3" xfId="31782"/>
    <cellStyle name="Input [yellow] 3 5 9 16 4" xfId="42947"/>
    <cellStyle name="Input [yellow] 3 5 9 16 5" xfId="54140"/>
    <cellStyle name="Input [yellow] 3 5 9 17" xfId="10042"/>
    <cellStyle name="Input [yellow] 3 5 9 17 2" xfId="21239"/>
    <cellStyle name="Input [yellow] 3 5 9 17 3" xfId="32407"/>
    <cellStyle name="Input [yellow] 3 5 9 17 4" xfId="43572"/>
    <cellStyle name="Input [yellow] 3 5 9 17 5" xfId="54765"/>
    <cellStyle name="Input [yellow] 3 5 9 18" xfId="9737"/>
    <cellStyle name="Input [yellow] 3 5 9 18 2" xfId="20934"/>
    <cellStyle name="Input [yellow] 3 5 9 18 3" xfId="32102"/>
    <cellStyle name="Input [yellow] 3 5 9 18 4" xfId="43267"/>
    <cellStyle name="Input [yellow] 3 5 9 18 5" xfId="54460"/>
    <cellStyle name="Input [yellow] 3 5 9 19" xfId="11082"/>
    <cellStyle name="Input [yellow] 3 5 9 19 2" xfId="22279"/>
    <cellStyle name="Input [yellow] 3 5 9 19 3" xfId="33447"/>
    <cellStyle name="Input [yellow] 3 5 9 19 4" xfId="44612"/>
    <cellStyle name="Input [yellow] 3 5 9 19 5" xfId="55805"/>
    <cellStyle name="Input [yellow] 3 5 9 2" xfId="1178"/>
    <cellStyle name="Input [yellow] 3 5 9 2 2" xfId="12375"/>
    <cellStyle name="Input [yellow] 3 5 9 2 3" xfId="23543"/>
    <cellStyle name="Input [yellow] 3 5 9 2 4" xfId="34708"/>
    <cellStyle name="Input [yellow] 3 5 9 2 5" xfId="45901"/>
    <cellStyle name="Input [yellow] 3 5 9 20" xfId="11729"/>
    <cellStyle name="Input [yellow] 3 5 9 21" xfId="22899"/>
    <cellStyle name="Input [yellow] 3 5 9 22" xfId="34066"/>
    <cellStyle name="Input [yellow] 3 5 9 23" xfId="45252"/>
    <cellStyle name="Input [yellow] 3 5 9 3" xfId="1418"/>
    <cellStyle name="Input [yellow] 3 5 9 3 2" xfId="12615"/>
    <cellStyle name="Input [yellow] 3 5 9 3 3" xfId="23783"/>
    <cellStyle name="Input [yellow] 3 5 9 3 4" xfId="34948"/>
    <cellStyle name="Input [yellow] 3 5 9 3 5" xfId="46141"/>
    <cellStyle name="Input [yellow] 3 5 9 4" xfId="2454"/>
    <cellStyle name="Input [yellow] 3 5 9 4 2" xfId="13651"/>
    <cellStyle name="Input [yellow] 3 5 9 4 3" xfId="24819"/>
    <cellStyle name="Input [yellow] 3 5 9 4 4" xfId="35984"/>
    <cellStyle name="Input [yellow] 3 5 9 4 5" xfId="47177"/>
    <cellStyle name="Input [yellow] 3 5 9 5" xfId="2879"/>
    <cellStyle name="Input [yellow] 3 5 9 5 2" xfId="14076"/>
    <cellStyle name="Input [yellow] 3 5 9 5 3" xfId="25244"/>
    <cellStyle name="Input [yellow] 3 5 9 5 4" xfId="36409"/>
    <cellStyle name="Input [yellow] 3 5 9 5 5" xfId="47602"/>
    <cellStyle name="Input [yellow] 3 5 9 6" xfId="3513"/>
    <cellStyle name="Input [yellow] 3 5 9 6 2" xfId="14710"/>
    <cellStyle name="Input [yellow] 3 5 9 6 3" xfId="25878"/>
    <cellStyle name="Input [yellow] 3 5 9 6 4" xfId="37043"/>
    <cellStyle name="Input [yellow] 3 5 9 6 5" xfId="48236"/>
    <cellStyle name="Input [yellow] 3 5 9 7" xfId="4147"/>
    <cellStyle name="Input [yellow] 3 5 9 7 2" xfId="15344"/>
    <cellStyle name="Input [yellow] 3 5 9 7 3" xfId="26512"/>
    <cellStyle name="Input [yellow] 3 5 9 7 4" xfId="37677"/>
    <cellStyle name="Input [yellow] 3 5 9 7 5" xfId="48870"/>
    <cellStyle name="Input [yellow] 3 5 9 8" xfId="4780"/>
    <cellStyle name="Input [yellow] 3 5 9 8 2" xfId="15977"/>
    <cellStyle name="Input [yellow] 3 5 9 8 3" xfId="27145"/>
    <cellStyle name="Input [yellow] 3 5 9 8 4" xfId="38310"/>
    <cellStyle name="Input [yellow] 3 5 9 8 5" xfId="49503"/>
    <cellStyle name="Input [yellow] 3 5 9 9" xfId="5411"/>
    <cellStyle name="Input [yellow] 3 5 9 9 2" xfId="16608"/>
    <cellStyle name="Input [yellow] 3 5 9 9 3" xfId="27776"/>
    <cellStyle name="Input [yellow] 3 5 9 9 4" xfId="38941"/>
    <cellStyle name="Input [yellow] 3 5 9 9 5" xfId="50134"/>
    <cellStyle name="Input [yellow] 3 50" xfId="44770"/>
    <cellStyle name="Input [yellow] 3 6" xfId="65"/>
    <cellStyle name="Input [yellow] 3 6 10" xfId="425"/>
    <cellStyle name="Input [yellow] 3 6 10 10" xfId="6097"/>
    <cellStyle name="Input [yellow] 3 6 10 10 2" xfId="17294"/>
    <cellStyle name="Input [yellow] 3 6 10 10 3" xfId="28462"/>
    <cellStyle name="Input [yellow] 3 6 10 10 4" xfId="39627"/>
    <cellStyle name="Input [yellow] 3 6 10 10 5" xfId="50820"/>
    <cellStyle name="Input [yellow] 3 6 10 11" xfId="6361"/>
    <cellStyle name="Input [yellow] 3 6 10 11 2" xfId="17558"/>
    <cellStyle name="Input [yellow] 3 6 10 11 3" xfId="28726"/>
    <cellStyle name="Input [yellow] 3 6 10 11 4" xfId="39891"/>
    <cellStyle name="Input [yellow] 3 6 10 11 5" xfId="51084"/>
    <cellStyle name="Input [yellow] 3 6 10 12" xfId="6994"/>
    <cellStyle name="Input [yellow] 3 6 10 12 2" xfId="18191"/>
    <cellStyle name="Input [yellow] 3 6 10 12 3" xfId="29359"/>
    <cellStyle name="Input [yellow] 3 6 10 12 4" xfId="40524"/>
    <cellStyle name="Input [yellow] 3 6 10 12 5" xfId="51717"/>
    <cellStyle name="Input [yellow] 3 6 10 13" xfId="7628"/>
    <cellStyle name="Input [yellow] 3 6 10 13 2" xfId="18825"/>
    <cellStyle name="Input [yellow] 3 6 10 13 3" xfId="29993"/>
    <cellStyle name="Input [yellow] 3 6 10 13 4" xfId="41158"/>
    <cellStyle name="Input [yellow] 3 6 10 13 5" xfId="52351"/>
    <cellStyle name="Input [yellow] 3 6 10 14" xfId="8262"/>
    <cellStyle name="Input [yellow] 3 6 10 14 2" xfId="19459"/>
    <cellStyle name="Input [yellow] 3 6 10 14 3" xfId="30627"/>
    <cellStyle name="Input [yellow] 3 6 10 14 4" xfId="41792"/>
    <cellStyle name="Input [yellow] 3 6 10 14 5" xfId="52985"/>
    <cellStyle name="Input [yellow] 3 6 10 15" xfId="8890"/>
    <cellStyle name="Input [yellow] 3 6 10 15 2" xfId="20087"/>
    <cellStyle name="Input [yellow] 3 6 10 15 3" xfId="31255"/>
    <cellStyle name="Input [yellow] 3 6 10 15 4" xfId="42420"/>
    <cellStyle name="Input [yellow] 3 6 10 15 5" xfId="53613"/>
    <cellStyle name="Input [yellow] 3 6 10 16" xfId="9313"/>
    <cellStyle name="Input [yellow] 3 6 10 16 2" xfId="20510"/>
    <cellStyle name="Input [yellow] 3 6 10 16 3" xfId="31678"/>
    <cellStyle name="Input [yellow] 3 6 10 16 4" xfId="42843"/>
    <cellStyle name="Input [yellow] 3 6 10 16 5" xfId="54036"/>
    <cellStyle name="Input [yellow] 3 6 10 17" xfId="9939"/>
    <cellStyle name="Input [yellow] 3 6 10 17 2" xfId="21136"/>
    <cellStyle name="Input [yellow] 3 6 10 17 3" xfId="32304"/>
    <cellStyle name="Input [yellow] 3 6 10 17 4" xfId="43469"/>
    <cellStyle name="Input [yellow] 3 6 10 17 5" xfId="54662"/>
    <cellStyle name="Input [yellow] 3 6 10 18" xfId="9847"/>
    <cellStyle name="Input [yellow] 3 6 10 18 2" xfId="21044"/>
    <cellStyle name="Input [yellow] 3 6 10 18 3" xfId="32212"/>
    <cellStyle name="Input [yellow] 3 6 10 18 4" xfId="43377"/>
    <cellStyle name="Input [yellow] 3 6 10 18 5" xfId="54570"/>
    <cellStyle name="Input [yellow] 3 6 10 19" xfId="10978"/>
    <cellStyle name="Input [yellow] 3 6 10 19 2" xfId="22175"/>
    <cellStyle name="Input [yellow] 3 6 10 19 3" xfId="33343"/>
    <cellStyle name="Input [yellow] 3 6 10 19 4" xfId="44508"/>
    <cellStyle name="Input [yellow] 3 6 10 19 5" xfId="55701"/>
    <cellStyle name="Input [yellow] 3 6 10 2" xfId="1074"/>
    <cellStyle name="Input [yellow] 3 6 10 2 2" xfId="12271"/>
    <cellStyle name="Input [yellow] 3 6 10 2 3" xfId="23439"/>
    <cellStyle name="Input [yellow] 3 6 10 2 4" xfId="34604"/>
    <cellStyle name="Input [yellow] 3 6 10 2 5" xfId="45797"/>
    <cellStyle name="Input [yellow] 3 6 10 20" xfId="11625"/>
    <cellStyle name="Input [yellow] 3 6 10 21" xfId="22795"/>
    <cellStyle name="Input [yellow] 3 6 10 22" xfId="33962"/>
    <cellStyle name="Input [yellow] 3 6 10 23" xfId="45148"/>
    <cellStyle name="Input [yellow] 3 6 10 3" xfId="1436"/>
    <cellStyle name="Input [yellow] 3 6 10 3 2" xfId="12633"/>
    <cellStyle name="Input [yellow] 3 6 10 3 3" xfId="23801"/>
    <cellStyle name="Input [yellow] 3 6 10 3 4" xfId="34966"/>
    <cellStyle name="Input [yellow] 3 6 10 3 5" xfId="46159"/>
    <cellStyle name="Input [yellow] 3 6 10 4" xfId="2350"/>
    <cellStyle name="Input [yellow] 3 6 10 4 2" xfId="13547"/>
    <cellStyle name="Input [yellow] 3 6 10 4 3" xfId="24715"/>
    <cellStyle name="Input [yellow] 3 6 10 4 4" xfId="35880"/>
    <cellStyle name="Input [yellow] 3 6 10 4 5" xfId="47073"/>
    <cellStyle name="Input [yellow] 3 6 10 5" xfId="2775"/>
    <cellStyle name="Input [yellow] 3 6 10 5 2" xfId="13972"/>
    <cellStyle name="Input [yellow] 3 6 10 5 3" xfId="25140"/>
    <cellStyle name="Input [yellow] 3 6 10 5 4" xfId="36305"/>
    <cellStyle name="Input [yellow] 3 6 10 5 5" xfId="47498"/>
    <cellStyle name="Input [yellow] 3 6 10 6" xfId="3409"/>
    <cellStyle name="Input [yellow] 3 6 10 6 2" xfId="14606"/>
    <cellStyle name="Input [yellow] 3 6 10 6 3" xfId="25774"/>
    <cellStyle name="Input [yellow] 3 6 10 6 4" xfId="36939"/>
    <cellStyle name="Input [yellow] 3 6 10 6 5" xfId="48132"/>
    <cellStyle name="Input [yellow] 3 6 10 7" xfId="4043"/>
    <cellStyle name="Input [yellow] 3 6 10 7 2" xfId="15240"/>
    <cellStyle name="Input [yellow] 3 6 10 7 3" xfId="26408"/>
    <cellStyle name="Input [yellow] 3 6 10 7 4" xfId="37573"/>
    <cellStyle name="Input [yellow] 3 6 10 7 5" xfId="48766"/>
    <cellStyle name="Input [yellow] 3 6 10 8" xfId="4676"/>
    <cellStyle name="Input [yellow] 3 6 10 8 2" xfId="15873"/>
    <cellStyle name="Input [yellow] 3 6 10 8 3" xfId="27041"/>
    <cellStyle name="Input [yellow] 3 6 10 8 4" xfId="38206"/>
    <cellStyle name="Input [yellow] 3 6 10 8 5" xfId="49399"/>
    <cellStyle name="Input [yellow] 3 6 10 9" xfId="5307"/>
    <cellStyle name="Input [yellow] 3 6 10 9 2" xfId="16504"/>
    <cellStyle name="Input [yellow] 3 6 10 9 3" xfId="27672"/>
    <cellStyle name="Input [yellow] 3 6 10 9 4" xfId="38837"/>
    <cellStyle name="Input [yellow] 3 6 10 9 5" xfId="50030"/>
    <cellStyle name="Input [yellow] 3 6 11" xfId="637"/>
    <cellStyle name="Input [yellow] 3 6 11 10" xfId="5912"/>
    <cellStyle name="Input [yellow] 3 6 11 10 2" xfId="17109"/>
    <cellStyle name="Input [yellow] 3 6 11 10 3" xfId="28277"/>
    <cellStyle name="Input [yellow] 3 6 11 10 4" xfId="39442"/>
    <cellStyle name="Input [yellow] 3 6 11 10 5" xfId="50635"/>
    <cellStyle name="Input [yellow] 3 6 11 11" xfId="6573"/>
    <cellStyle name="Input [yellow] 3 6 11 11 2" xfId="17770"/>
    <cellStyle name="Input [yellow] 3 6 11 11 3" xfId="28938"/>
    <cellStyle name="Input [yellow] 3 6 11 11 4" xfId="40103"/>
    <cellStyle name="Input [yellow] 3 6 11 11 5" xfId="51296"/>
    <cellStyle name="Input [yellow] 3 6 11 12" xfId="7206"/>
    <cellStyle name="Input [yellow] 3 6 11 12 2" xfId="18403"/>
    <cellStyle name="Input [yellow] 3 6 11 12 3" xfId="29571"/>
    <cellStyle name="Input [yellow] 3 6 11 12 4" xfId="40736"/>
    <cellStyle name="Input [yellow] 3 6 11 12 5" xfId="51929"/>
    <cellStyle name="Input [yellow] 3 6 11 13" xfId="7840"/>
    <cellStyle name="Input [yellow] 3 6 11 13 2" xfId="19037"/>
    <cellStyle name="Input [yellow] 3 6 11 13 3" xfId="30205"/>
    <cellStyle name="Input [yellow] 3 6 11 13 4" xfId="41370"/>
    <cellStyle name="Input [yellow] 3 6 11 13 5" xfId="52563"/>
    <cellStyle name="Input [yellow] 3 6 11 14" xfId="8474"/>
    <cellStyle name="Input [yellow] 3 6 11 14 2" xfId="19671"/>
    <cellStyle name="Input [yellow] 3 6 11 14 3" xfId="30839"/>
    <cellStyle name="Input [yellow] 3 6 11 14 4" xfId="42004"/>
    <cellStyle name="Input [yellow] 3 6 11 14 5" xfId="53197"/>
    <cellStyle name="Input [yellow] 3 6 11 15" xfId="9102"/>
    <cellStyle name="Input [yellow] 3 6 11 15 2" xfId="20299"/>
    <cellStyle name="Input [yellow] 3 6 11 15 3" xfId="31467"/>
    <cellStyle name="Input [yellow] 3 6 11 15 4" xfId="42632"/>
    <cellStyle name="Input [yellow] 3 6 11 15 5" xfId="53825"/>
    <cellStyle name="Input [yellow] 3 6 11 16" xfId="9525"/>
    <cellStyle name="Input [yellow] 3 6 11 16 2" xfId="20722"/>
    <cellStyle name="Input [yellow] 3 6 11 16 3" xfId="31890"/>
    <cellStyle name="Input [yellow] 3 6 11 16 4" xfId="43055"/>
    <cellStyle name="Input [yellow] 3 6 11 16 5" xfId="54248"/>
    <cellStyle name="Input [yellow] 3 6 11 17" xfId="10150"/>
    <cellStyle name="Input [yellow] 3 6 11 17 2" xfId="21347"/>
    <cellStyle name="Input [yellow] 3 6 11 17 3" xfId="32515"/>
    <cellStyle name="Input [yellow] 3 6 11 17 4" xfId="43680"/>
    <cellStyle name="Input [yellow] 3 6 11 17 5" xfId="54873"/>
    <cellStyle name="Input [yellow] 3 6 11 18" xfId="10317"/>
    <cellStyle name="Input [yellow] 3 6 11 18 2" xfId="21514"/>
    <cellStyle name="Input [yellow] 3 6 11 18 3" xfId="32682"/>
    <cellStyle name="Input [yellow] 3 6 11 18 4" xfId="43847"/>
    <cellStyle name="Input [yellow] 3 6 11 18 5" xfId="55040"/>
    <cellStyle name="Input [yellow] 3 6 11 19" xfId="11190"/>
    <cellStyle name="Input [yellow] 3 6 11 19 2" xfId="22387"/>
    <cellStyle name="Input [yellow] 3 6 11 19 3" xfId="33555"/>
    <cellStyle name="Input [yellow] 3 6 11 19 4" xfId="44720"/>
    <cellStyle name="Input [yellow] 3 6 11 19 5" xfId="55913"/>
    <cellStyle name="Input [yellow] 3 6 11 2" xfId="1286"/>
    <cellStyle name="Input [yellow] 3 6 11 2 2" xfId="12483"/>
    <cellStyle name="Input [yellow] 3 6 11 2 3" xfId="23651"/>
    <cellStyle name="Input [yellow] 3 6 11 2 4" xfId="34816"/>
    <cellStyle name="Input [yellow] 3 6 11 2 5" xfId="46009"/>
    <cellStyle name="Input [yellow] 3 6 11 20" xfId="11837"/>
    <cellStyle name="Input [yellow] 3 6 11 21" xfId="23007"/>
    <cellStyle name="Input [yellow] 3 6 11 22" xfId="34174"/>
    <cellStyle name="Input [yellow] 3 6 11 23" xfId="45360"/>
    <cellStyle name="Input [yellow] 3 6 11 3" xfId="1608"/>
    <cellStyle name="Input [yellow] 3 6 11 3 2" xfId="12805"/>
    <cellStyle name="Input [yellow] 3 6 11 3 3" xfId="23973"/>
    <cellStyle name="Input [yellow] 3 6 11 3 4" xfId="35138"/>
    <cellStyle name="Input [yellow] 3 6 11 3 5" xfId="46331"/>
    <cellStyle name="Input [yellow] 3 6 11 4" xfId="2562"/>
    <cellStyle name="Input [yellow] 3 6 11 4 2" xfId="13759"/>
    <cellStyle name="Input [yellow] 3 6 11 4 3" xfId="24927"/>
    <cellStyle name="Input [yellow] 3 6 11 4 4" xfId="36092"/>
    <cellStyle name="Input [yellow] 3 6 11 4 5" xfId="47285"/>
    <cellStyle name="Input [yellow] 3 6 11 5" xfId="2987"/>
    <cellStyle name="Input [yellow] 3 6 11 5 2" xfId="14184"/>
    <cellStyle name="Input [yellow] 3 6 11 5 3" xfId="25352"/>
    <cellStyle name="Input [yellow] 3 6 11 5 4" xfId="36517"/>
    <cellStyle name="Input [yellow] 3 6 11 5 5" xfId="47710"/>
    <cellStyle name="Input [yellow] 3 6 11 6" xfId="3621"/>
    <cellStyle name="Input [yellow] 3 6 11 6 2" xfId="14818"/>
    <cellStyle name="Input [yellow] 3 6 11 6 3" xfId="25986"/>
    <cellStyle name="Input [yellow] 3 6 11 6 4" xfId="37151"/>
    <cellStyle name="Input [yellow] 3 6 11 6 5" xfId="48344"/>
    <cellStyle name="Input [yellow] 3 6 11 7" xfId="4255"/>
    <cellStyle name="Input [yellow] 3 6 11 7 2" xfId="15452"/>
    <cellStyle name="Input [yellow] 3 6 11 7 3" xfId="26620"/>
    <cellStyle name="Input [yellow] 3 6 11 7 4" xfId="37785"/>
    <cellStyle name="Input [yellow] 3 6 11 7 5" xfId="48978"/>
    <cellStyle name="Input [yellow] 3 6 11 8" xfId="4888"/>
    <cellStyle name="Input [yellow] 3 6 11 8 2" xfId="16085"/>
    <cellStyle name="Input [yellow] 3 6 11 8 3" xfId="27253"/>
    <cellStyle name="Input [yellow] 3 6 11 8 4" xfId="38418"/>
    <cellStyle name="Input [yellow] 3 6 11 8 5" xfId="49611"/>
    <cellStyle name="Input [yellow] 3 6 11 9" xfId="5519"/>
    <cellStyle name="Input [yellow] 3 6 11 9 2" xfId="16716"/>
    <cellStyle name="Input [yellow] 3 6 11 9 3" xfId="27884"/>
    <cellStyle name="Input [yellow] 3 6 11 9 4" xfId="39049"/>
    <cellStyle name="Input [yellow] 3 6 11 9 5" xfId="50242"/>
    <cellStyle name="Input [yellow] 3 6 12" xfId="714"/>
    <cellStyle name="Input [yellow] 3 6 12 2" xfId="11912"/>
    <cellStyle name="Input [yellow] 3 6 12 3" xfId="23081"/>
    <cellStyle name="Input [yellow] 3 6 12 4" xfId="34246"/>
    <cellStyle name="Input [yellow] 3 6 12 5" xfId="45437"/>
    <cellStyle name="Input [yellow] 3 6 13" xfId="1816"/>
    <cellStyle name="Input [yellow] 3 6 13 2" xfId="13013"/>
    <cellStyle name="Input [yellow] 3 6 13 3" xfId="24181"/>
    <cellStyle name="Input [yellow] 3 6 13 4" xfId="35346"/>
    <cellStyle name="Input [yellow] 3 6 13 5" xfId="46539"/>
    <cellStyle name="Input [yellow] 3 6 14" xfId="1991"/>
    <cellStyle name="Input [yellow] 3 6 14 2" xfId="13188"/>
    <cellStyle name="Input [yellow] 3 6 14 3" xfId="24356"/>
    <cellStyle name="Input [yellow] 3 6 14 4" xfId="35521"/>
    <cellStyle name="Input [yellow] 3 6 14 5" xfId="46714"/>
    <cellStyle name="Input [yellow] 3 6 15" xfId="2408"/>
    <cellStyle name="Input [yellow] 3 6 15 2" xfId="13605"/>
    <cellStyle name="Input [yellow] 3 6 15 3" xfId="24773"/>
    <cellStyle name="Input [yellow] 3 6 15 4" xfId="35938"/>
    <cellStyle name="Input [yellow] 3 6 15 5" xfId="47131"/>
    <cellStyle name="Input [yellow] 3 6 16" xfId="3049"/>
    <cellStyle name="Input [yellow] 3 6 16 2" xfId="14246"/>
    <cellStyle name="Input [yellow] 3 6 16 3" xfId="25414"/>
    <cellStyle name="Input [yellow] 3 6 16 4" xfId="36579"/>
    <cellStyle name="Input [yellow] 3 6 16 5" xfId="47772"/>
    <cellStyle name="Input [yellow] 3 6 17" xfId="3684"/>
    <cellStyle name="Input [yellow] 3 6 17 2" xfId="14881"/>
    <cellStyle name="Input [yellow] 3 6 17 3" xfId="26049"/>
    <cellStyle name="Input [yellow] 3 6 17 4" xfId="37214"/>
    <cellStyle name="Input [yellow] 3 6 17 5" xfId="48407"/>
    <cellStyle name="Input [yellow] 3 6 18" xfId="4316"/>
    <cellStyle name="Input [yellow] 3 6 18 2" xfId="15513"/>
    <cellStyle name="Input [yellow] 3 6 18 3" xfId="26681"/>
    <cellStyle name="Input [yellow] 3 6 18 4" xfId="37846"/>
    <cellStyle name="Input [yellow] 3 6 18 5" xfId="49039"/>
    <cellStyle name="Input [yellow] 3 6 19" xfId="4949"/>
    <cellStyle name="Input [yellow] 3 6 19 2" xfId="16146"/>
    <cellStyle name="Input [yellow] 3 6 19 3" xfId="27314"/>
    <cellStyle name="Input [yellow] 3 6 19 4" xfId="38479"/>
    <cellStyle name="Input [yellow] 3 6 19 5" xfId="49672"/>
    <cellStyle name="Input [yellow] 3 6 2" xfId="130"/>
    <cellStyle name="Input [yellow] 3 6 2 10" xfId="6101"/>
    <cellStyle name="Input [yellow] 3 6 2 10 2" xfId="17298"/>
    <cellStyle name="Input [yellow] 3 6 2 10 3" xfId="28466"/>
    <cellStyle name="Input [yellow] 3 6 2 10 4" xfId="39631"/>
    <cellStyle name="Input [yellow] 3 6 2 10 5" xfId="50824"/>
    <cellStyle name="Input [yellow] 3 6 2 11" xfId="5632"/>
    <cellStyle name="Input [yellow] 3 6 2 11 2" xfId="16829"/>
    <cellStyle name="Input [yellow] 3 6 2 11 3" xfId="27997"/>
    <cellStyle name="Input [yellow] 3 6 2 11 4" xfId="39162"/>
    <cellStyle name="Input [yellow] 3 6 2 11 5" xfId="50355"/>
    <cellStyle name="Input [yellow] 3 6 2 12" xfId="6699"/>
    <cellStyle name="Input [yellow] 3 6 2 12 2" xfId="17896"/>
    <cellStyle name="Input [yellow] 3 6 2 12 3" xfId="29064"/>
    <cellStyle name="Input [yellow] 3 6 2 12 4" xfId="40229"/>
    <cellStyle name="Input [yellow] 3 6 2 12 5" xfId="51422"/>
    <cellStyle name="Input [yellow] 3 6 2 13" xfId="7333"/>
    <cellStyle name="Input [yellow] 3 6 2 13 2" xfId="18530"/>
    <cellStyle name="Input [yellow] 3 6 2 13 3" xfId="29698"/>
    <cellStyle name="Input [yellow] 3 6 2 13 4" xfId="40863"/>
    <cellStyle name="Input [yellow] 3 6 2 13 5" xfId="52056"/>
    <cellStyle name="Input [yellow] 3 6 2 14" xfId="7967"/>
    <cellStyle name="Input [yellow] 3 6 2 14 2" xfId="19164"/>
    <cellStyle name="Input [yellow] 3 6 2 14 3" xfId="30332"/>
    <cellStyle name="Input [yellow] 3 6 2 14 4" xfId="41497"/>
    <cellStyle name="Input [yellow] 3 6 2 14 5" xfId="52690"/>
    <cellStyle name="Input [yellow] 3 6 2 15" xfId="8598"/>
    <cellStyle name="Input [yellow] 3 6 2 15 2" xfId="19795"/>
    <cellStyle name="Input [yellow] 3 6 2 15 3" xfId="30963"/>
    <cellStyle name="Input [yellow] 3 6 2 15 4" xfId="42128"/>
    <cellStyle name="Input [yellow] 3 6 2 15 5" xfId="53321"/>
    <cellStyle name="Input [yellow] 3 6 2 16" xfId="9124"/>
    <cellStyle name="Input [yellow] 3 6 2 16 2" xfId="20321"/>
    <cellStyle name="Input [yellow] 3 6 2 16 3" xfId="31489"/>
    <cellStyle name="Input [yellow] 3 6 2 16 4" xfId="42654"/>
    <cellStyle name="Input [yellow] 3 6 2 16 5" xfId="53847"/>
    <cellStyle name="Input [yellow] 3 6 2 17" xfId="9651"/>
    <cellStyle name="Input [yellow] 3 6 2 17 2" xfId="20848"/>
    <cellStyle name="Input [yellow] 3 6 2 17 3" xfId="32016"/>
    <cellStyle name="Input [yellow] 3 6 2 17 4" xfId="43181"/>
    <cellStyle name="Input [yellow] 3 6 2 17 5" xfId="54374"/>
    <cellStyle name="Input [yellow] 3 6 2 18" xfId="10108"/>
    <cellStyle name="Input [yellow] 3 6 2 18 2" xfId="21305"/>
    <cellStyle name="Input [yellow] 3 6 2 18 3" xfId="32473"/>
    <cellStyle name="Input [yellow] 3 6 2 18 4" xfId="43638"/>
    <cellStyle name="Input [yellow] 3 6 2 18 5" xfId="54831"/>
    <cellStyle name="Input [yellow] 3 6 2 19" xfId="10683"/>
    <cellStyle name="Input [yellow] 3 6 2 19 2" xfId="21880"/>
    <cellStyle name="Input [yellow] 3 6 2 19 3" xfId="33048"/>
    <cellStyle name="Input [yellow] 3 6 2 19 4" xfId="44213"/>
    <cellStyle name="Input [yellow] 3 6 2 19 5" xfId="55406"/>
    <cellStyle name="Input [yellow] 3 6 2 2" xfId="779"/>
    <cellStyle name="Input [yellow] 3 6 2 2 2" xfId="11976"/>
    <cellStyle name="Input [yellow] 3 6 2 2 3" xfId="23144"/>
    <cellStyle name="Input [yellow] 3 6 2 2 4" xfId="34309"/>
    <cellStyle name="Input [yellow] 3 6 2 2 5" xfId="45502"/>
    <cellStyle name="Input [yellow] 3 6 2 20" xfId="11330"/>
    <cellStyle name="Input [yellow] 3 6 2 21" xfId="22500"/>
    <cellStyle name="Input [yellow] 3 6 2 22" xfId="33667"/>
    <cellStyle name="Input [yellow] 3 6 2 23" xfId="44853"/>
    <cellStyle name="Input [yellow] 3 6 2 3" xfId="1855"/>
    <cellStyle name="Input [yellow] 3 6 2 3 2" xfId="13052"/>
    <cellStyle name="Input [yellow] 3 6 2 3 3" xfId="24220"/>
    <cellStyle name="Input [yellow] 3 6 2 3 4" xfId="35385"/>
    <cellStyle name="Input [yellow] 3 6 2 3 5" xfId="46578"/>
    <cellStyle name="Input [yellow] 3 6 2 4" xfId="2056"/>
    <cellStyle name="Input [yellow] 3 6 2 4 2" xfId="13253"/>
    <cellStyle name="Input [yellow] 3 6 2 4 3" xfId="24421"/>
    <cellStyle name="Input [yellow] 3 6 2 4 4" xfId="35586"/>
    <cellStyle name="Input [yellow] 3 6 2 4 5" xfId="46779"/>
    <cellStyle name="Input [yellow] 3 6 2 5" xfId="2521"/>
    <cellStyle name="Input [yellow] 3 6 2 5 2" xfId="13718"/>
    <cellStyle name="Input [yellow] 3 6 2 5 3" xfId="24886"/>
    <cellStyle name="Input [yellow] 3 6 2 5 4" xfId="36051"/>
    <cellStyle name="Input [yellow] 3 6 2 5 5" xfId="47244"/>
    <cellStyle name="Input [yellow] 3 6 2 6" xfId="3114"/>
    <cellStyle name="Input [yellow] 3 6 2 6 2" xfId="14311"/>
    <cellStyle name="Input [yellow] 3 6 2 6 3" xfId="25479"/>
    <cellStyle name="Input [yellow] 3 6 2 6 4" xfId="36644"/>
    <cellStyle name="Input [yellow] 3 6 2 6 5" xfId="47837"/>
    <cellStyle name="Input [yellow] 3 6 2 7" xfId="3748"/>
    <cellStyle name="Input [yellow] 3 6 2 7 2" xfId="14945"/>
    <cellStyle name="Input [yellow] 3 6 2 7 3" xfId="26113"/>
    <cellStyle name="Input [yellow] 3 6 2 7 4" xfId="37278"/>
    <cellStyle name="Input [yellow] 3 6 2 7 5" xfId="48471"/>
    <cellStyle name="Input [yellow] 3 6 2 8" xfId="4381"/>
    <cellStyle name="Input [yellow] 3 6 2 8 2" xfId="15578"/>
    <cellStyle name="Input [yellow] 3 6 2 8 3" xfId="26746"/>
    <cellStyle name="Input [yellow] 3 6 2 8 4" xfId="37911"/>
    <cellStyle name="Input [yellow] 3 6 2 8 5" xfId="49104"/>
    <cellStyle name="Input [yellow] 3 6 2 9" xfId="5012"/>
    <cellStyle name="Input [yellow] 3 6 2 9 2" xfId="16209"/>
    <cellStyle name="Input [yellow] 3 6 2 9 3" xfId="27377"/>
    <cellStyle name="Input [yellow] 3 6 2 9 4" xfId="38542"/>
    <cellStyle name="Input [yellow] 3 6 2 9 5" xfId="49735"/>
    <cellStyle name="Input [yellow] 3 6 20" xfId="5811"/>
    <cellStyle name="Input [yellow] 3 6 20 2" xfId="17008"/>
    <cellStyle name="Input [yellow] 3 6 20 3" xfId="28176"/>
    <cellStyle name="Input [yellow] 3 6 20 4" xfId="39341"/>
    <cellStyle name="Input [yellow] 3 6 20 5" xfId="50534"/>
    <cellStyle name="Input [yellow] 3 6 21" xfId="6175"/>
    <cellStyle name="Input [yellow] 3 6 21 2" xfId="17372"/>
    <cellStyle name="Input [yellow] 3 6 21 3" xfId="28540"/>
    <cellStyle name="Input [yellow] 3 6 21 4" xfId="39705"/>
    <cellStyle name="Input [yellow] 3 6 21 5" xfId="50898"/>
    <cellStyle name="Input [yellow] 3 6 22" xfId="6636"/>
    <cellStyle name="Input [yellow] 3 6 22 2" xfId="17833"/>
    <cellStyle name="Input [yellow] 3 6 22 3" xfId="29001"/>
    <cellStyle name="Input [yellow] 3 6 22 4" xfId="40166"/>
    <cellStyle name="Input [yellow] 3 6 22 5" xfId="51359"/>
    <cellStyle name="Input [yellow] 3 6 23" xfId="7268"/>
    <cellStyle name="Input [yellow] 3 6 23 2" xfId="18465"/>
    <cellStyle name="Input [yellow] 3 6 23 3" xfId="29633"/>
    <cellStyle name="Input [yellow] 3 6 23 4" xfId="40798"/>
    <cellStyle name="Input [yellow] 3 6 23 5" xfId="51991"/>
    <cellStyle name="Input [yellow] 3 6 24" xfId="7902"/>
    <cellStyle name="Input [yellow] 3 6 24 2" xfId="19099"/>
    <cellStyle name="Input [yellow] 3 6 24 3" xfId="30267"/>
    <cellStyle name="Input [yellow] 3 6 24 4" xfId="41432"/>
    <cellStyle name="Input [yellow] 3 6 24 5" xfId="52625"/>
    <cellStyle name="Input [yellow] 3 6 25" xfId="8535"/>
    <cellStyle name="Input [yellow] 3 6 25 2" xfId="19732"/>
    <cellStyle name="Input [yellow] 3 6 25 3" xfId="30900"/>
    <cellStyle name="Input [yellow] 3 6 25 4" xfId="42065"/>
    <cellStyle name="Input [yellow] 3 6 25 5" xfId="53258"/>
    <cellStyle name="Input [yellow] 3 6 26" xfId="9074"/>
    <cellStyle name="Input [yellow] 3 6 26 2" xfId="20271"/>
    <cellStyle name="Input [yellow] 3 6 26 3" xfId="31439"/>
    <cellStyle name="Input [yellow] 3 6 26 4" xfId="42604"/>
    <cellStyle name="Input [yellow] 3 6 26 5" xfId="53797"/>
    <cellStyle name="Input [yellow] 3 6 27" xfId="9587"/>
    <cellStyle name="Input [yellow] 3 6 27 2" xfId="20784"/>
    <cellStyle name="Input [yellow] 3 6 27 3" xfId="31952"/>
    <cellStyle name="Input [yellow] 3 6 27 4" xfId="43117"/>
    <cellStyle name="Input [yellow] 3 6 27 5" xfId="54310"/>
    <cellStyle name="Input [yellow] 3 6 28" xfId="9996"/>
    <cellStyle name="Input [yellow] 3 6 28 2" xfId="21193"/>
    <cellStyle name="Input [yellow] 3 6 28 3" xfId="32361"/>
    <cellStyle name="Input [yellow] 3 6 28 4" xfId="43526"/>
    <cellStyle name="Input [yellow] 3 6 28 5" xfId="54719"/>
    <cellStyle name="Input [yellow] 3 6 29" xfId="10620"/>
    <cellStyle name="Input [yellow] 3 6 29 2" xfId="21817"/>
    <cellStyle name="Input [yellow] 3 6 29 3" xfId="32985"/>
    <cellStyle name="Input [yellow] 3 6 29 4" xfId="44150"/>
    <cellStyle name="Input [yellow] 3 6 29 5" xfId="55343"/>
    <cellStyle name="Input [yellow] 3 6 3" xfId="186"/>
    <cellStyle name="Input [yellow] 3 6 3 10" xfId="6106"/>
    <cellStyle name="Input [yellow] 3 6 3 10 2" xfId="17303"/>
    <cellStyle name="Input [yellow] 3 6 3 10 3" xfId="28471"/>
    <cellStyle name="Input [yellow] 3 6 3 10 4" xfId="39636"/>
    <cellStyle name="Input [yellow] 3 6 3 10 5" xfId="50829"/>
    <cellStyle name="Input [yellow] 3 6 3 11" xfId="5643"/>
    <cellStyle name="Input [yellow] 3 6 3 11 2" xfId="16840"/>
    <cellStyle name="Input [yellow] 3 6 3 11 3" xfId="28008"/>
    <cellStyle name="Input [yellow] 3 6 3 11 4" xfId="39173"/>
    <cellStyle name="Input [yellow] 3 6 3 11 5" xfId="50366"/>
    <cellStyle name="Input [yellow] 3 6 3 12" xfId="6755"/>
    <cellStyle name="Input [yellow] 3 6 3 12 2" xfId="17952"/>
    <cellStyle name="Input [yellow] 3 6 3 12 3" xfId="29120"/>
    <cellStyle name="Input [yellow] 3 6 3 12 4" xfId="40285"/>
    <cellStyle name="Input [yellow] 3 6 3 12 5" xfId="51478"/>
    <cellStyle name="Input [yellow] 3 6 3 13" xfId="7389"/>
    <cellStyle name="Input [yellow] 3 6 3 13 2" xfId="18586"/>
    <cellStyle name="Input [yellow] 3 6 3 13 3" xfId="29754"/>
    <cellStyle name="Input [yellow] 3 6 3 13 4" xfId="40919"/>
    <cellStyle name="Input [yellow] 3 6 3 13 5" xfId="52112"/>
    <cellStyle name="Input [yellow] 3 6 3 14" xfId="8023"/>
    <cellStyle name="Input [yellow] 3 6 3 14 2" xfId="19220"/>
    <cellStyle name="Input [yellow] 3 6 3 14 3" xfId="30388"/>
    <cellStyle name="Input [yellow] 3 6 3 14 4" xfId="41553"/>
    <cellStyle name="Input [yellow] 3 6 3 14 5" xfId="52746"/>
    <cellStyle name="Input [yellow] 3 6 3 15" xfId="8654"/>
    <cellStyle name="Input [yellow] 3 6 3 15 2" xfId="19851"/>
    <cellStyle name="Input [yellow] 3 6 3 15 3" xfId="31019"/>
    <cellStyle name="Input [yellow] 3 6 3 15 4" xfId="42184"/>
    <cellStyle name="Input [yellow] 3 6 3 15 5" xfId="53377"/>
    <cellStyle name="Input [yellow] 3 6 3 16" xfId="9120"/>
    <cellStyle name="Input [yellow] 3 6 3 16 2" xfId="20317"/>
    <cellStyle name="Input [yellow] 3 6 3 16 3" xfId="31485"/>
    <cellStyle name="Input [yellow] 3 6 3 16 4" xfId="42650"/>
    <cellStyle name="Input [yellow] 3 6 3 16 5" xfId="53843"/>
    <cellStyle name="Input [yellow] 3 6 3 17" xfId="9706"/>
    <cellStyle name="Input [yellow] 3 6 3 17 2" xfId="20903"/>
    <cellStyle name="Input [yellow] 3 6 3 17 3" xfId="32071"/>
    <cellStyle name="Input [yellow] 3 6 3 17 4" xfId="43236"/>
    <cellStyle name="Input [yellow] 3 6 3 17 5" xfId="54429"/>
    <cellStyle name="Input [yellow] 3 6 3 18" xfId="10485"/>
    <cellStyle name="Input [yellow] 3 6 3 18 2" xfId="21682"/>
    <cellStyle name="Input [yellow] 3 6 3 18 3" xfId="32850"/>
    <cellStyle name="Input [yellow] 3 6 3 18 4" xfId="44015"/>
    <cellStyle name="Input [yellow] 3 6 3 18 5" xfId="55208"/>
    <cellStyle name="Input [yellow] 3 6 3 19" xfId="10739"/>
    <cellStyle name="Input [yellow] 3 6 3 19 2" xfId="21936"/>
    <cellStyle name="Input [yellow] 3 6 3 19 3" xfId="33104"/>
    <cellStyle name="Input [yellow] 3 6 3 19 4" xfId="44269"/>
    <cellStyle name="Input [yellow] 3 6 3 19 5" xfId="55462"/>
    <cellStyle name="Input [yellow] 3 6 3 2" xfId="835"/>
    <cellStyle name="Input [yellow] 3 6 3 2 2" xfId="12032"/>
    <cellStyle name="Input [yellow] 3 6 3 2 3" xfId="23200"/>
    <cellStyle name="Input [yellow] 3 6 3 2 4" xfId="34365"/>
    <cellStyle name="Input [yellow] 3 6 3 2 5" xfId="45558"/>
    <cellStyle name="Input [yellow] 3 6 3 20" xfId="11386"/>
    <cellStyle name="Input [yellow] 3 6 3 21" xfId="22556"/>
    <cellStyle name="Input [yellow] 3 6 3 22" xfId="33723"/>
    <cellStyle name="Input [yellow] 3 6 3 23" xfId="44909"/>
    <cellStyle name="Input [yellow] 3 6 3 3" xfId="1782"/>
    <cellStyle name="Input [yellow] 3 6 3 3 2" xfId="12979"/>
    <cellStyle name="Input [yellow] 3 6 3 3 3" xfId="24147"/>
    <cellStyle name="Input [yellow] 3 6 3 3 4" xfId="35312"/>
    <cellStyle name="Input [yellow] 3 6 3 3 5" xfId="46505"/>
    <cellStyle name="Input [yellow] 3 6 3 4" xfId="2112"/>
    <cellStyle name="Input [yellow] 3 6 3 4 2" xfId="13309"/>
    <cellStyle name="Input [yellow] 3 6 3 4 3" xfId="24477"/>
    <cellStyle name="Input [yellow] 3 6 3 4 4" xfId="35642"/>
    <cellStyle name="Input [yellow] 3 6 3 4 5" xfId="46835"/>
    <cellStyle name="Input [yellow] 3 6 3 5" xfId="2488"/>
    <cellStyle name="Input [yellow] 3 6 3 5 2" xfId="13685"/>
    <cellStyle name="Input [yellow] 3 6 3 5 3" xfId="24853"/>
    <cellStyle name="Input [yellow] 3 6 3 5 4" xfId="36018"/>
    <cellStyle name="Input [yellow] 3 6 3 5 5" xfId="47211"/>
    <cellStyle name="Input [yellow] 3 6 3 6" xfId="3170"/>
    <cellStyle name="Input [yellow] 3 6 3 6 2" xfId="14367"/>
    <cellStyle name="Input [yellow] 3 6 3 6 3" xfId="25535"/>
    <cellStyle name="Input [yellow] 3 6 3 6 4" xfId="36700"/>
    <cellStyle name="Input [yellow] 3 6 3 6 5" xfId="47893"/>
    <cellStyle name="Input [yellow] 3 6 3 7" xfId="3804"/>
    <cellStyle name="Input [yellow] 3 6 3 7 2" xfId="15001"/>
    <cellStyle name="Input [yellow] 3 6 3 7 3" xfId="26169"/>
    <cellStyle name="Input [yellow] 3 6 3 7 4" xfId="37334"/>
    <cellStyle name="Input [yellow] 3 6 3 7 5" xfId="48527"/>
    <cellStyle name="Input [yellow] 3 6 3 8" xfId="4437"/>
    <cellStyle name="Input [yellow] 3 6 3 8 2" xfId="15634"/>
    <cellStyle name="Input [yellow] 3 6 3 8 3" xfId="26802"/>
    <cellStyle name="Input [yellow] 3 6 3 8 4" xfId="37967"/>
    <cellStyle name="Input [yellow] 3 6 3 8 5" xfId="49160"/>
    <cellStyle name="Input [yellow] 3 6 3 9" xfId="5068"/>
    <cellStyle name="Input [yellow] 3 6 3 9 2" xfId="16265"/>
    <cellStyle name="Input [yellow] 3 6 3 9 3" xfId="27433"/>
    <cellStyle name="Input [yellow] 3 6 3 9 4" xfId="38598"/>
    <cellStyle name="Input [yellow] 3 6 3 9 5" xfId="49791"/>
    <cellStyle name="Input [yellow] 3 6 30" xfId="11266"/>
    <cellStyle name="Input [yellow] 3 6 31" xfId="22437"/>
    <cellStyle name="Input [yellow] 3 6 32" xfId="33604"/>
    <cellStyle name="Input [yellow] 3 6 33" xfId="44788"/>
    <cellStyle name="Input [yellow] 3 6 4" xfId="257"/>
    <cellStyle name="Input [yellow] 3 6 4 10" xfId="4309"/>
    <cellStyle name="Input [yellow] 3 6 4 10 2" xfId="15506"/>
    <cellStyle name="Input [yellow] 3 6 4 10 3" xfId="26674"/>
    <cellStyle name="Input [yellow] 3 6 4 10 4" xfId="37839"/>
    <cellStyle name="Input [yellow] 3 6 4 10 5" xfId="49032"/>
    <cellStyle name="Input [yellow] 3 6 4 11" xfId="6193"/>
    <cellStyle name="Input [yellow] 3 6 4 11 2" xfId="17390"/>
    <cellStyle name="Input [yellow] 3 6 4 11 3" xfId="28558"/>
    <cellStyle name="Input [yellow] 3 6 4 11 4" xfId="39723"/>
    <cellStyle name="Input [yellow] 3 6 4 11 5" xfId="50916"/>
    <cellStyle name="Input [yellow] 3 6 4 12" xfId="6826"/>
    <cellStyle name="Input [yellow] 3 6 4 12 2" xfId="18023"/>
    <cellStyle name="Input [yellow] 3 6 4 12 3" xfId="29191"/>
    <cellStyle name="Input [yellow] 3 6 4 12 4" xfId="40356"/>
    <cellStyle name="Input [yellow] 3 6 4 12 5" xfId="51549"/>
    <cellStyle name="Input [yellow] 3 6 4 13" xfId="7460"/>
    <cellStyle name="Input [yellow] 3 6 4 13 2" xfId="18657"/>
    <cellStyle name="Input [yellow] 3 6 4 13 3" xfId="29825"/>
    <cellStyle name="Input [yellow] 3 6 4 13 4" xfId="40990"/>
    <cellStyle name="Input [yellow] 3 6 4 13 5" xfId="52183"/>
    <cellStyle name="Input [yellow] 3 6 4 14" xfId="8094"/>
    <cellStyle name="Input [yellow] 3 6 4 14 2" xfId="19291"/>
    <cellStyle name="Input [yellow] 3 6 4 14 3" xfId="30459"/>
    <cellStyle name="Input [yellow] 3 6 4 14 4" xfId="41624"/>
    <cellStyle name="Input [yellow] 3 6 4 14 5" xfId="52817"/>
    <cellStyle name="Input [yellow] 3 6 4 15" xfId="8723"/>
    <cellStyle name="Input [yellow] 3 6 4 15 2" xfId="19920"/>
    <cellStyle name="Input [yellow] 3 6 4 15 3" xfId="31088"/>
    <cellStyle name="Input [yellow] 3 6 4 15 4" xfId="42253"/>
    <cellStyle name="Input [yellow] 3 6 4 15 5" xfId="53446"/>
    <cellStyle name="Input [yellow] 3 6 4 16" xfId="9145"/>
    <cellStyle name="Input [yellow] 3 6 4 16 2" xfId="20342"/>
    <cellStyle name="Input [yellow] 3 6 4 16 3" xfId="31510"/>
    <cellStyle name="Input [yellow] 3 6 4 16 4" xfId="42675"/>
    <cellStyle name="Input [yellow] 3 6 4 16 5" xfId="53868"/>
    <cellStyle name="Input [yellow] 3 6 4 17" xfId="9773"/>
    <cellStyle name="Input [yellow] 3 6 4 17 2" xfId="20970"/>
    <cellStyle name="Input [yellow] 3 6 4 17 3" xfId="32138"/>
    <cellStyle name="Input [yellow] 3 6 4 17 4" xfId="43303"/>
    <cellStyle name="Input [yellow] 3 6 4 17 5" xfId="54496"/>
    <cellStyle name="Input [yellow] 3 6 4 18" xfId="10250"/>
    <cellStyle name="Input [yellow] 3 6 4 18 2" xfId="21447"/>
    <cellStyle name="Input [yellow] 3 6 4 18 3" xfId="32615"/>
    <cellStyle name="Input [yellow] 3 6 4 18 4" xfId="43780"/>
    <cellStyle name="Input [yellow] 3 6 4 18 5" xfId="54973"/>
    <cellStyle name="Input [yellow] 3 6 4 19" xfId="10810"/>
    <cellStyle name="Input [yellow] 3 6 4 19 2" xfId="22007"/>
    <cellStyle name="Input [yellow] 3 6 4 19 3" xfId="33175"/>
    <cellStyle name="Input [yellow] 3 6 4 19 4" xfId="44340"/>
    <cellStyle name="Input [yellow] 3 6 4 19 5" xfId="55533"/>
    <cellStyle name="Input [yellow] 3 6 4 2" xfId="906"/>
    <cellStyle name="Input [yellow] 3 6 4 2 2" xfId="12103"/>
    <cellStyle name="Input [yellow] 3 6 4 2 3" xfId="23271"/>
    <cellStyle name="Input [yellow] 3 6 4 2 4" xfId="34436"/>
    <cellStyle name="Input [yellow] 3 6 4 2 5" xfId="45629"/>
    <cellStyle name="Input [yellow] 3 6 4 20" xfId="11457"/>
    <cellStyle name="Input [yellow] 3 6 4 21" xfId="22627"/>
    <cellStyle name="Input [yellow] 3 6 4 22" xfId="33794"/>
    <cellStyle name="Input [yellow] 3 6 4 23" xfId="44980"/>
    <cellStyle name="Input [yellow] 3 6 4 3" xfId="1570"/>
    <cellStyle name="Input [yellow] 3 6 4 3 2" xfId="12767"/>
    <cellStyle name="Input [yellow] 3 6 4 3 3" xfId="23935"/>
    <cellStyle name="Input [yellow] 3 6 4 3 4" xfId="35100"/>
    <cellStyle name="Input [yellow] 3 6 4 3 5" xfId="46293"/>
    <cellStyle name="Input [yellow] 3 6 4 4" xfId="2183"/>
    <cellStyle name="Input [yellow] 3 6 4 4 2" xfId="13380"/>
    <cellStyle name="Input [yellow] 3 6 4 4 3" xfId="24548"/>
    <cellStyle name="Input [yellow] 3 6 4 4 4" xfId="35713"/>
    <cellStyle name="Input [yellow] 3 6 4 4 5" xfId="46906"/>
    <cellStyle name="Input [yellow] 3 6 4 5" xfId="2607"/>
    <cellStyle name="Input [yellow] 3 6 4 5 2" xfId="13804"/>
    <cellStyle name="Input [yellow] 3 6 4 5 3" xfId="24972"/>
    <cellStyle name="Input [yellow] 3 6 4 5 4" xfId="36137"/>
    <cellStyle name="Input [yellow] 3 6 4 5 5" xfId="47330"/>
    <cellStyle name="Input [yellow] 3 6 4 6" xfId="3241"/>
    <cellStyle name="Input [yellow] 3 6 4 6 2" xfId="14438"/>
    <cellStyle name="Input [yellow] 3 6 4 6 3" xfId="25606"/>
    <cellStyle name="Input [yellow] 3 6 4 6 4" xfId="36771"/>
    <cellStyle name="Input [yellow] 3 6 4 6 5" xfId="47964"/>
    <cellStyle name="Input [yellow] 3 6 4 7" xfId="3875"/>
    <cellStyle name="Input [yellow] 3 6 4 7 2" xfId="15072"/>
    <cellStyle name="Input [yellow] 3 6 4 7 3" xfId="26240"/>
    <cellStyle name="Input [yellow] 3 6 4 7 4" xfId="37405"/>
    <cellStyle name="Input [yellow] 3 6 4 7 5" xfId="48598"/>
    <cellStyle name="Input [yellow] 3 6 4 8" xfId="4508"/>
    <cellStyle name="Input [yellow] 3 6 4 8 2" xfId="15705"/>
    <cellStyle name="Input [yellow] 3 6 4 8 3" xfId="26873"/>
    <cellStyle name="Input [yellow] 3 6 4 8 4" xfId="38038"/>
    <cellStyle name="Input [yellow] 3 6 4 8 5" xfId="49231"/>
    <cellStyle name="Input [yellow] 3 6 4 9" xfId="5139"/>
    <cellStyle name="Input [yellow] 3 6 4 9 2" xfId="16336"/>
    <cellStyle name="Input [yellow] 3 6 4 9 3" xfId="27504"/>
    <cellStyle name="Input [yellow] 3 6 4 9 4" xfId="38669"/>
    <cellStyle name="Input [yellow] 3 6 4 9 5" xfId="49862"/>
    <cellStyle name="Input [yellow] 3 6 5" xfId="295"/>
    <cellStyle name="Input [yellow] 3 6 5 10" xfId="5876"/>
    <cellStyle name="Input [yellow] 3 6 5 10 2" xfId="17073"/>
    <cellStyle name="Input [yellow] 3 6 5 10 3" xfId="28241"/>
    <cellStyle name="Input [yellow] 3 6 5 10 4" xfId="39406"/>
    <cellStyle name="Input [yellow] 3 6 5 10 5" xfId="50599"/>
    <cellStyle name="Input [yellow] 3 6 5 11" xfId="6231"/>
    <cellStyle name="Input [yellow] 3 6 5 11 2" xfId="17428"/>
    <cellStyle name="Input [yellow] 3 6 5 11 3" xfId="28596"/>
    <cellStyle name="Input [yellow] 3 6 5 11 4" xfId="39761"/>
    <cellStyle name="Input [yellow] 3 6 5 11 5" xfId="50954"/>
    <cellStyle name="Input [yellow] 3 6 5 12" xfId="6864"/>
    <cellStyle name="Input [yellow] 3 6 5 12 2" xfId="18061"/>
    <cellStyle name="Input [yellow] 3 6 5 12 3" xfId="29229"/>
    <cellStyle name="Input [yellow] 3 6 5 12 4" xfId="40394"/>
    <cellStyle name="Input [yellow] 3 6 5 12 5" xfId="51587"/>
    <cellStyle name="Input [yellow] 3 6 5 13" xfId="7498"/>
    <cellStyle name="Input [yellow] 3 6 5 13 2" xfId="18695"/>
    <cellStyle name="Input [yellow] 3 6 5 13 3" xfId="29863"/>
    <cellStyle name="Input [yellow] 3 6 5 13 4" xfId="41028"/>
    <cellStyle name="Input [yellow] 3 6 5 13 5" xfId="52221"/>
    <cellStyle name="Input [yellow] 3 6 5 14" xfId="8132"/>
    <cellStyle name="Input [yellow] 3 6 5 14 2" xfId="19329"/>
    <cellStyle name="Input [yellow] 3 6 5 14 3" xfId="30497"/>
    <cellStyle name="Input [yellow] 3 6 5 14 4" xfId="41662"/>
    <cellStyle name="Input [yellow] 3 6 5 14 5" xfId="52855"/>
    <cellStyle name="Input [yellow] 3 6 5 15" xfId="8761"/>
    <cellStyle name="Input [yellow] 3 6 5 15 2" xfId="19958"/>
    <cellStyle name="Input [yellow] 3 6 5 15 3" xfId="31126"/>
    <cellStyle name="Input [yellow] 3 6 5 15 4" xfId="42291"/>
    <cellStyle name="Input [yellow] 3 6 5 15 5" xfId="53484"/>
    <cellStyle name="Input [yellow] 3 6 5 16" xfId="9183"/>
    <cellStyle name="Input [yellow] 3 6 5 16 2" xfId="20380"/>
    <cellStyle name="Input [yellow] 3 6 5 16 3" xfId="31548"/>
    <cellStyle name="Input [yellow] 3 6 5 16 4" xfId="42713"/>
    <cellStyle name="Input [yellow] 3 6 5 16 5" xfId="53906"/>
    <cellStyle name="Input [yellow] 3 6 5 17" xfId="9810"/>
    <cellStyle name="Input [yellow] 3 6 5 17 2" xfId="21007"/>
    <cellStyle name="Input [yellow] 3 6 5 17 3" xfId="32175"/>
    <cellStyle name="Input [yellow] 3 6 5 17 4" xfId="43340"/>
    <cellStyle name="Input [yellow] 3 6 5 17 5" xfId="54533"/>
    <cellStyle name="Input [yellow] 3 6 5 18" xfId="10340"/>
    <cellStyle name="Input [yellow] 3 6 5 18 2" xfId="21537"/>
    <cellStyle name="Input [yellow] 3 6 5 18 3" xfId="32705"/>
    <cellStyle name="Input [yellow] 3 6 5 18 4" xfId="43870"/>
    <cellStyle name="Input [yellow] 3 6 5 18 5" xfId="55063"/>
    <cellStyle name="Input [yellow] 3 6 5 19" xfId="10848"/>
    <cellStyle name="Input [yellow] 3 6 5 19 2" xfId="22045"/>
    <cellStyle name="Input [yellow] 3 6 5 19 3" xfId="33213"/>
    <cellStyle name="Input [yellow] 3 6 5 19 4" xfId="44378"/>
    <cellStyle name="Input [yellow] 3 6 5 19 5" xfId="55571"/>
    <cellStyle name="Input [yellow] 3 6 5 2" xfId="944"/>
    <cellStyle name="Input [yellow] 3 6 5 2 2" xfId="12141"/>
    <cellStyle name="Input [yellow] 3 6 5 2 3" xfId="23309"/>
    <cellStyle name="Input [yellow] 3 6 5 2 4" xfId="34474"/>
    <cellStyle name="Input [yellow] 3 6 5 2 5" xfId="45667"/>
    <cellStyle name="Input [yellow] 3 6 5 20" xfId="11495"/>
    <cellStyle name="Input [yellow] 3 6 5 21" xfId="22665"/>
    <cellStyle name="Input [yellow] 3 6 5 22" xfId="33832"/>
    <cellStyle name="Input [yellow] 3 6 5 23" xfId="45018"/>
    <cellStyle name="Input [yellow] 3 6 5 3" xfId="1349"/>
    <cellStyle name="Input [yellow] 3 6 5 3 2" xfId="12546"/>
    <cellStyle name="Input [yellow] 3 6 5 3 3" xfId="23714"/>
    <cellStyle name="Input [yellow] 3 6 5 3 4" xfId="34879"/>
    <cellStyle name="Input [yellow] 3 6 5 3 5" xfId="46072"/>
    <cellStyle name="Input [yellow] 3 6 5 4" xfId="2220"/>
    <cellStyle name="Input [yellow] 3 6 5 4 2" xfId="13417"/>
    <cellStyle name="Input [yellow] 3 6 5 4 3" xfId="24585"/>
    <cellStyle name="Input [yellow] 3 6 5 4 4" xfId="35750"/>
    <cellStyle name="Input [yellow] 3 6 5 4 5" xfId="46943"/>
    <cellStyle name="Input [yellow] 3 6 5 5" xfId="2645"/>
    <cellStyle name="Input [yellow] 3 6 5 5 2" xfId="13842"/>
    <cellStyle name="Input [yellow] 3 6 5 5 3" xfId="25010"/>
    <cellStyle name="Input [yellow] 3 6 5 5 4" xfId="36175"/>
    <cellStyle name="Input [yellow] 3 6 5 5 5" xfId="47368"/>
    <cellStyle name="Input [yellow] 3 6 5 6" xfId="3279"/>
    <cellStyle name="Input [yellow] 3 6 5 6 2" xfId="14476"/>
    <cellStyle name="Input [yellow] 3 6 5 6 3" xfId="25644"/>
    <cellStyle name="Input [yellow] 3 6 5 6 4" xfId="36809"/>
    <cellStyle name="Input [yellow] 3 6 5 6 5" xfId="48002"/>
    <cellStyle name="Input [yellow] 3 6 5 7" xfId="3913"/>
    <cellStyle name="Input [yellow] 3 6 5 7 2" xfId="15110"/>
    <cellStyle name="Input [yellow] 3 6 5 7 3" xfId="26278"/>
    <cellStyle name="Input [yellow] 3 6 5 7 4" xfId="37443"/>
    <cellStyle name="Input [yellow] 3 6 5 7 5" xfId="48636"/>
    <cellStyle name="Input [yellow] 3 6 5 8" xfId="4546"/>
    <cellStyle name="Input [yellow] 3 6 5 8 2" xfId="15743"/>
    <cellStyle name="Input [yellow] 3 6 5 8 3" xfId="26911"/>
    <cellStyle name="Input [yellow] 3 6 5 8 4" xfId="38076"/>
    <cellStyle name="Input [yellow] 3 6 5 8 5" xfId="49269"/>
    <cellStyle name="Input [yellow] 3 6 5 9" xfId="5177"/>
    <cellStyle name="Input [yellow] 3 6 5 9 2" xfId="16374"/>
    <cellStyle name="Input [yellow] 3 6 5 9 3" xfId="27542"/>
    <cellStyle name="Input [yellow] 3 6 5 9 4" xfId="38707"/>
    <cellStyle name="Input [yellow] 3 6 5 9 5" xfId="49900"/>
    <cellStyle name="Input [yellow] 3 6 6" xfId="389"/>
    <cellStyle name="Input [yellow] 3 6 6 10" xfId="5638"/>
    <cellStyle name="Input [yellow] 3 6 6 10 2" xfId="16835"/>
    <cellStyle name="Input [yellow] 3 6 6 10 3" xfId="28003"/>
    <cellStyle name="Input [yellow] 3 6 6 10 4" xfId="39168"/>
    <cellStyle name="Input [yellow] 3 6 6 10 5" xfId="50361"/>
    <cellStyle name="Input [yellow] 3 6 6 11" xfId="6325"/>
    <cellStyle name="Input [yellow] 3 6 6 11 2" xfId="17522"/>
    <cellStyle name="Input [yellow] 3 6 6 11 3" xfId="28690"/>
    <cellStyle name="Input [yellow] 3 6 6 11 4" xfId="39855"/>
    <cellStyle name="Input [yellow] 3 6 6 11 5" xfId="51048"/>
    <cellStyle name="Input [yellow] 3 6 6 12" xfId="6958"/>
    <cellStyle name="Input [yellow] 3 6 6 12 2" xfId="18155"/>
    <cellStyle name="Input [yellow] 3 6 6 12 3" xfId="29323"/>
    <cellStyle name="Input [yellow] 3 6 6 12 4" xfId="40488"/>
    <cellStyle name="Input [yellow] 3 6 6 12 5" xfId="51681"/>
    <cellStyle name="Input [yellow] 3 6 6 13" xfId="7592"/>
    <cellStyle name="Input [yellow] 3 6 6 13 2" xfId="18789"/>
    <cellStyle name="Input [yellow] 3 6 6 13 3" xfId="29957"/>
    <cellStyle name="Input [yellow] 3 6 6 13 4" xfId="41122"/>
    <cellStyle name="Input [yellow] 3 6 6 13 5" xfId="52315"/>
    <cellStyle name="Input [yellow] 3 6 6 14" xfId="8226"/>
    <cellStyle name="Input [yellow] 3 6 6 14 2" xfId="19423"/>
    <cellStyle name="Input [yellow] 3 6 6 14 3" xfId="30591"/>
    <cellStyle name="Input [yellow] 3 6 6 14 4" xfId="41756"/>
    <cellStyle name="Input [yellow] 3 6 6 14 5" xfId="52949"/>
    <cellStyle name="Input [yellow] 3 6 6 15" xfId="8854"/>
    <cellStyle name="Input [yellow] 3 6 6 15 2" xfId="20051"/>
    <cellStyle name="Input [yellow] 3 6 6 15 3" xfId="31219"/>
    <cellStyle name="Input [yellow] 3 6 6 15 4" xfId="42384"/>
    <cellStyle name="Input [yellow] 3 6 6 15 5" xfId="53577"/>
    <cellStyle name="Input [yellow] 3 6 6 16" xfId="9277"/>
    <cellStyle name="Input [yellow] 3 6 6 16 2" xfId="20474"/>
    <cellStyle name="Input [yellow] 3 6 6 16 3" xfId="31642"/>
    <cellStyle name="Input [yellow] 3 6 6 16 4" xfId="42807"/>
    <cellStyle name="Input [yellow] 3 6 6 16 5" xfId="54000"/>
    <cellStyle name="Input [yellow] 3 6 6 17" xfId="9903"/>
    <cellStyle name="Input [yellow] 3 6 6 17 2" xfId="21100"/>
    <cellStyle name="Input [yellow] 3 6 6 17 3" xfId="32268"/>
    <cellStyle name="Input [yellow] 3 6 6 17 4" xfId="43433"/>
    <cellStyle name="Input [yellow] 3 6 6 17 5" xfId="54626"/>
    <cellStyle name="Input [yellow] 3 6 6 18" xfId="10225"/>
    <cellStyle name="Input [yellow] 3 6 6 18 2" xfId="21422"/>
    <cellStyle name="Input [yellow] 3 6 6 18 3" xfId="32590"/>
    <cellStyle name="Input [yellow] 3 6 6 18 4" xfId="43755"/>
    <cellStyle name="Input [yellow] 3 6 6 18 5" xfId="54948"/>
    <cellStyle name="Input [yellow] 3 6 6 19" xfId="10942"/>
    <cellStyle name="Input [yellow] 3 6 6 19 2" xfId="22139"/>
    <cellStyle name="Input [yellow] 3 6 6 19 3" xfId="33307"/>
    <cellStyle name="Input [yellow] 3 6 6 19 4" xfId="44472"/>
    <cellStyle name="Input [yellow] 3 6 6 19 5" xfId="55665"/>
    <cellStyle name="Input [yellow] 3 6 6 2" xfId="1038"/>
    <cellStyle name="Input [yellow] 3 6 6 2 2" xfId="12235"/>
    <cellStyle name="Input [yellow] 3 6 6 2 3" xfId="23403"/>
    <cellStyle name="Input [yellow] 3 6 6 2 4" xfId="34568"/>
    <cellStyle name="Input [yellow] 3 6 6 2 5" xfId="45761"/>
    <cellStyle name="Input [yellow] 3 6 6 20" xfId="11589"/>
    <cellStyle name="Input [yellow] 3 6 6 21" xfId="22759"/>
    <cellStyle name="Input [yellow] 3 6 6 22" xfId="33926"/>
    <cellStyle name="Input [yellow] 3 6 6 23" xfId="45112"/>
    <cellStyle name="Input [yellow] 3 6 6 3" xfId="1630"/>
    <cellStyle name="Input [yellow] 3 6 6 3 2" xfId="12827"/>
    <cellStyle name="Input [yellow] 3 6 6 3 3" xfId="23995"/>
    <cellStyle name="Input [yellow] 3 6 6 3 4" xfId="35160"/>
    <cellStyle name="Input [yellow] 3 6 6 3 5" xfId="46353"/>
    <cellStyle name="Input [yellow] 3 6 6 4" xfId="2314"/>
    <cellStyle name="Input [yellow] 3 6 6 4 2" xfId="13511"/>
    <cellStyle name="Input [yellow] 3 6 6 4 3" xfId="24679"/>
    <cellStyle name="Input [yellow] 3 6 6 4 4" xfId="35844"/>
    <cellStyle name="Input [yellow] 3 6 6 4 5" xfId="47037"/>
    <cellStyle name="Input [yellow] 3 6 6 5" xfId="2739"/>
    <cellStyle name="Input [yellow] 3 6 6 5 2" xfId="13936"/>
    <cellStyle name="Input [yellow] 3 6 6 5 3" xfId="25104"/>
    <cellStyle name="Input [yellow] 3 6 6 5 4" xfId="36269"/>
    <cellStyle name="Input [yellow] 3 6 6 5 5" xfId="47462"/>
    <cellStyle name="Input [yellow] 3 6 6 6" xfId="3373"/>
    <cellStyle name="Input [yellow] 3 6 6 6 2" xfId="14570"/>
    <cellStyle name="Input [yellow] 3 6 6 6 3" xfId="25738"/>
    <cellStyle name="Input [yellow] 3 6 6 6 4" xfId="36903"/>
    <cellStyle name="Input [yellow] 3 6 6 6 5" xfId="48096"/>
    <cellStyle name="Input [yellow] 3 6 6 7" xfId="4007"/>
    <cellStyle name="Input [yellow] 3 6 6 7 2" xfId="15204"/>
    <cellStyle name="Input [yellow] 3 6 6 7 3" xfId="26372"/>
    <cellStyle name="Input [yellow] 3 6 6 7 4" xfId="37537"/>
    <cellStyle name="Input [yellow] 3 6 6 7 5" xfId="48730"/>
    <cellStyle name="Input [yellow] 3 6 6 8" xfId="4640"/>
    <cellStyle name="Input [yellow] 3 6 6 8 2" xfId="15837"/>
    <cellStyle name="Input [yellow] 3 6 6 8 3" xfId="27005"/>
    <cellStyle name="Input [yellow] 3 6 6 8 4" xfId="38170"/>
    <cellStyle name="Input [yellow] 3 6 6 8 5" xfId="49363"/>
    <cellStyle name="Input [yellow] 3 6 6 9" xfId="5271"/>
    <cellStyle name="Input [yellow] 3 6 6 9 2" xfId="16468"/>
    <cellStyle name="Input [yellow] 3 6 6 9 3" xfId="27636"/>
    <cellStyle name="Input [yellow] 3 6 6 9 4" xfId="38801"/>
    <cellStyle name="Input [yellow] 3 6 6 9 5" xfId="49994"/>
    <cellStyle name="Input [yellow] 3 6 7" xfId="420"/>
    <cellStyle name="Input [yellow] 3 6 7 10" xfId="5755"/>
    <cellStyle name="Input [yellow] 3 6 7 10 2" xfId="16952"/>
    <cellStyle name="Input [yellow] 3 6 7 10 3" xfId="28120"/>
    <cellStyle name="Input [yellow] 3 6 7 10 4" xfId="39285"/>
    <cellStyle name="Input [yellow] 3 6 7 10 5" xfId="50478"/>
    <cellStyle name="Input [yellow] 3 6 7 11" xfId="6356"/>
    <cellStyle name="Input [yellow] 3 6 7 11 2" xfId="17553"/>
    <cellStyle name="Input [yellow] 3 6 7 11 3" xfId="28721"/>
    <cellStyle name="Input [yellow] 3 6 7 11 4" xfId="39886"/>
    <cellStyle name="Input [yellow] 3 6 7 11 5" xfId="51079"/>
    <cellStyle name="Input [yellow] 3 6 7 12" xfId="6989"/>
    <cellStyle name="Input [yellow] 3 6 7 12 2" xfId="18186"/>
    <cellStyle name="Input [yellow] 3 6 7 12 3" xfId="29354"/>
    <cellStyle name="Input [yellow] 3 6 7 12 4" xfId="40519"/>
    <cellStyle name="Input [yellow] 3 6 7 12 5" xfId="51712"/>
    <cellStyle name="Input [yellow] 3 6 7 13" xfId="7623"/>
    <cellStyle name="Input [yellow] 3 6 7 13 2" xfId="18820"/>
    <cellStyle name="Input [yellow] 3 6 7 13 3" xfId="29988"/>
    <cellStyle name="Input [yellow] 3 6 7 13 4" xfId="41153"/>
    <cellStyle name="Input [yellow] 3 6 7 13 5" xfId="52346"/>
    <cellStyle name="Input [yellow] 3 6 7 14" xfId="8257"/>
    <cellStyle name="Input [yellow] 3 6 7 14 2" xfId="19454"/>
    <cellStyle name="Input [yellow] 3 6 7 14 3" xfId="30622"/>
    <cellStyle name="Input [yellow] 3 6 7 14 4" xfId="41787"/>
    <cellStyle name="Input [yellow] 3 6 7 14 5" xfId="52980"/>
    <cellStyle name="Input [yellow] 3 6 7 15" xfId="8885"/>
    <cellStyle name="Input [yellow] 3 6 7 15 2" xfId="20082"/>
    <cellStyle name="Input [yellow] 3 6 7 15 3" xfId="31250"/>
    <cellStyle name="Input [yellow] 3 6 7 15 4" xfId="42415"/>
    <cellStyle name="Input [yellow] 3 6 7 15 5" xfId="53608"/>
    <cellStyle name="Input [yellow] 3 6 7 16" xfId="9308"/>
    <cellStyle name="Input [yellow] 3 6 7 16 2" xfId="20505"/>
    <cellStyle name="Input [yellow] 3 6 7 16 3" xfId="31673"/>
    <cellStyle name="Input [yellow] 3 6 7 16 4" xfId="42838"/>
    <cellStyle name="Input [yellow] 3 6 7 16 5" xfId="54031"/>
    <cellStyle name="Input [yellow] 3 6 7 17" xfId="9934"/>
    <cellStyle name="Input [yellow] 3 6 7 17 2" xfId="21131"/>
    <cellStyle name="Input [yellow] 3 6 7 17 3" xfId="32299"/>
    <cellStyle name="Input [yellow] 3 6 7 17 4" xfId="43464"/>
    <cellStyle name="Input [yellow] 3 6 7 17 5" xfId="54657"/>
    <cellStyle name="Input [yellow] 3 6 7 18" xfId="10423"/>
    <cellStyle name="Input [yellow] 3 6 7 18 2" xfId="21620"/>
    <cellStyle name="Input [yellow] 3 6 7 18 3" xfId="32788"/>
    <cellStyle name="Input [yellow] 3 6 7 18 4" xfId="43953"/>
    <cellStyle name="Input [yellow] 3 6 7 18 5" xfId="55146"/>
    <cellStyle name="Input [yellow] 3 6 7 19" xfId="10973"/>
    <cellStyle name="Input [yellow] 3 6 7 19 2" xfId="22170"/>
    <cellStyle name="Input [yellow] 3 6 7 19 3" xfId="33338"/>
    <cellStyle name="Input [yellow] 3 6 7 19 4" xfId="44503"/>
    <cellStyle name="Input [yellow] 3 6 7 19 5" xfId="55696"/>
    <cellStyle name="Input [yellow] 3 6 7 2" xfId="1069"/>
    <cellStyle name="Input [yellow] 3 6 7 2 2" xfId="12266"/>
    <cellStyle name="Input [yellow] 3 6 7 2 3" xfId="23434"/>
    <cellStyle name="Input [yellow] 3 6 7 2 4" xfId="34599"/>
    <cellStyle name="Input [yellow] 3 6 7 2 5" xfId="45792"/>
    <cellStyle name="Input [yellow] 3 6 7 20" xfId="11620"/>
    <cellStyle name="Input [yellow] 3 6 7 21" xfId="22790"/>
    <cellStyle name="Input [yellow] 3 6 7 22" xfId="33957"/>
    <cellStyle name="Input [yellow] 3 6 7 23" xfId="45143"/>
    <cellStyle name="Input [yellow] 3 6 7 3" xfId="1701"/>
    <cellStyle name="Input [yellow] 3 6 7 3 2" xfId="12898"/>
    <cellStyle name="Input [yellow] 3 6 7 3 3" xfId="24066"/>
    <cellStyle name="Input [yellow] 3 6 7 3 4" xfId="35231"/>
    <cellStyle name="Input [yellow] 3 6 7 3 5" xfId="46424"/>
    <cellStyle name="Input [yellow] 3 6 7 4" xfId="2345"/>
    <cellStyle name="Input [yellow] 3 6 7 4 2" xfId="13542"/>
    <cellStyle name="Input [yellow] 3 6 7 4 3" xfId="24710"/>
    <cellStyle name="Input [yellow] 3 6 7 4 4" xfId="35875"/>
    <cellStyle name="Input [yellow] 3 6 7 4 5" xfId="47068"/>
    <cellStyle name="Input [yellow] 3 6 7 5" xfId="2770"/>
    <cellStyle name="Input [yellow] 3 6 7 5 2" xfId="13967"/>
    <cellStyle name="Input [yellow] 3 6 7 5 3" xfId="25135"/>
    <cellStyle name="Input [yellow] 3 6 7 5 4" xfId="36300"/>
    <cellStyle name="Input [yellow] 3 6 7 5 5" xfId="47493"/>
    <cellStyle name="Input [yellow] 3 6 7 6" xfId="3404"/>
    <cellStyle name="Input [yellow] 3 6 7 6 2" xfId="14601"/>
    <cellStyle name="Input [yellow] 3 6 7 6 3" xfId="25769"/>
    <cellStyle name="Input [yellow] 3 6 7 6 4" xfId="36934"/>
    <cellStyle name="Input [yellow] 3 6 7 6 5" xfId="48127"/>
    <cellStyle name="Input [yellow] 3 6 7 7" xfId="4038"/>
    <cellStyle name="Input [yellow] 3 6 7 7 2" xfId="15235"/>
    <cellStyle name="Input [yellow] 3 6 7 7 3" xfId="26403"/>
    <cellStyle name="Input [yellow] 3 6 7 7 4" xfId="37568"/>
    <cellStyle name="Input [yellow] 3 6 7 7 5" xfId="48761"/>
    <cellStyle name="Input [yellow] 3 6 7 8" xfId="4671"/>
    <cellStyle name="Input [yellow] 3 6 7 8 2" xfId="15868"/>
    <cellStyle name="Input [yellow] 3 6 7 8 3" xfId="27036"/>
    <cellStyle name="Input [yellow] 3 6 7 8 4" xfId="38201"/>
    <cellStyle name="Input [yellow] 3 6 7 8 5" xfId="49394"/>
    <cellStyle name="Input [yellow] 3 6 7 9" xfId="5302"/>
    <cellStyle name="Input [yellow] 3 6 7 9 2" xfId="16499"/>
    <cellStyle name="Input [yellow] 3 6 7 9 3" xfId="27667"/>
    <cellStyle name="Input [yellow] 3 6 7 9 4" xfId="38832"/>
    <cellStyle name="Input [yellow] 3 6 7 9 5" xfId="50025"/>
    <cellStyle name="Input [yellow] 3 6 8" xfId="474"/>
    <cellStyle name="Input [yellow] 3 6 8 10" xfId="6151"/>
    <cellStyle name="Input [yellow] 3 6 8 10 2" xfId="17348"/>
    <cellStyle name="Input [yellow] 3 6 8 10 3" xfId="28516"/>
    <cellStyle name="Input [yellow] 3 6 8 10 4" xfId="39681"/>
    <cellStyle name="Input [yellow] 3 6 8 10 5" xfId="50874"/>
    <cellStyle name="Input [yellow] 3 6 8 11" xfId="6410"/>
    <cellStyle name="Input [yellow] 3 6 8 11 2" xfId="17607"/>
    <cellStyle name="Input [yellow] 3 6 8 11 3" xfId="28775"/>
    <cellStyle name="Input [yellow] 3 6 8 11 4" xfId="39940"/>
    <cellStyle name="Input [yellow] 3 6 8 11 5" xfId="51133"/>
    <cellStyle name="Input [yellow] 3 6 8 12" xfId="7043"/>
    <cellStyle name="Input [yellow] 3 6 8 12 2" xfId="18240"/>
    <cellStyle name="Input [yellow] 3 6 8 12 3" xfId="29408"/>
    <cellStyle name="Input [yellow] 3 6 8 12 4" xfId="40573"/>
    <cellStyle name="Input [yellow] 3 6 8 12 5" xfId="51766"/>
    <cellStyle name="Input [yellow] 3 6 8 13" xfId="7677"/>
    <cellStyle name="Input [yellow] 3 6 8 13 2" xfId="18874"/>
    <cellStyle name="Input [yellow] 3 6 8 13 3" xfId="30042"/>
    <cellStyle name="Input [yellow] 3 6 8 13 4" xfId="41207"/>
    <cellStyle name="Input [yellow] 3 6 8 13 5" xfId="52400"/>
    <cellStyle name="Input [yellow] 3 6 8 14" xfId="8311"/>
    <cellStyle name="Input [yellow] 3 6 8 14 2" xfId="19508"/>
    <cellStyle name="Input [yellow] 3 6 8 14 3" xfId="30676"/>
    <cellStyle name="Input [yellow] 3 6 8 14 4" xfId="41841"/>
    <cellStyle name="Input [yellow] 3 6 8 14 5" xfId="53034"/>
    <cellStyle name="Input [yellow] 3 6 8 15" xfId="8939"/>
    <cellStyle name="Input [yellow] 3 6 8 15 2" xfId="20136"/>
    <cellStyle name="Input [yellow] 3 6 8 15 3" xfId="31304"/>
    <cellStyle name="Input [yellow] 3 6 8 15 4" xfId="42469"/>
    <cellStyle name="Input [yellow] 3 6 8 15 5" xfId="53662"/>
    <cellStyle name="Input [yellow] 3 6 8 16" xfId="9362"/>
    <cellStyle name="Input [yellow] 3 6 8 16 2" xfId="20559"/>
    <cellStyle name="Input [yellow] 3 6 8 16 3" xfId="31727"/>
    <cellStyle name="Input [yellow] 3 6 8 16 4" xfId="42892"/>
    <cellStyle name="Input [yellow] 3 6 8 16 5" xfId="54085"/>
    <cellStyle name="Input [yellow] 3 6 8 17" xfId="9988"/>
    <cellStyle name="Input [yellow] 3 6 8 17 2" xfId="21185"/>
    <cellStyle name="Input [yellow] 3 6 8 17 3" xfId="32353"/>
    <cellStyle name="Input [yellow] 3 6 8 17 4" xfId="43518"/>
    <cellStyle name="Input [yellow] 3 6 8 17 5" xfId="54711"/>
    <cellStyle name="Input [yellow] 3 6 8 18" xfId="9868"/>
    <cellStyle name="Input [yellow] 3 6 8 18 2" xfId="21065"/>
    <cellStyle name="Input [yellow] 3 6 8 18 3" xfId="32233"/>
    <cellStyle name="Input [yellow] 3 6 8 18 4" xfId="43398"/>
    <cellStyle name="Input [yellow] 3 6 8 18 5" xfId="54591"/>
    <cellStyle name="Input [yellow] 3 6 8 19" xfId="11027"/>
    <cellStyle name="Input [yellow] 3 6 8 19 2" xfId="22224"/>
    <cellStyle name="Input [yellow] 3 6 8 19 3" xfId="33392"/>
    <cellStyle name="Input [yellow] 3 6 8 19 4" xfId="44557"/>
    <cellStyle name="Input [yellow] 3 6 8 19 5" xfId="55750"/>
    <cellStyle name="Input [yellow] 3 6 8 2" xfId="1123"/>
    <cellStyle name="Input [yellow] 3 6 8 2 2" xfId="12320"/>
    <cellStyle name="Input [yellow] 3 6 8 2 3" xfId="23488"/>
    <cellStyle name="Input [yellow] 3 6 8 2 4" xfId="34653"/>
    <cellStyle name="Input [yellow] 3 6 8 2 5" xfId="45846"/>
    <cellStyle name="Input [yellow] 3 6 8 20" xfId="11674"/>
    <cellStyle name="Input [yellow] 3 6 8 21" xfId="22844"/>
    <cellStyle name="Input [yellow] 3 6 8 22" xfId="34011"/>
    <cellStyle name="Input [yellow] 3 6 8 23" xfId="45197"/>
    <cellStyle name="Input [yellow] 3 6 8 3" xfId="1426"/>
    <cellStyle name="Input [yellow] 3 6 8 3 2" xfId="12623"/>
    <cellStyle name="Input [yellow] 3 6 8 3 3" xfId="23791"/>
    <cellStyle name="Input [yellow] 3 6 8 3 4" xfId="34956"/>
    <cellStyle name="Input [yellow] 3 6 8 3 5" xfId="46149"/>
    <cellStyle name="Input [yellow] 3 6 8 4" xfId="2399"/>
    <cellStyle name="Input [yellow] 3 6 8 4 2" xfId="13596"/>
    <cellStyle name="Input [yellow] 3 6 8 4 3" xfId="24764"/>
    <cellStyle name="Input [yellow] 3 6 8 4 4" xfId="35929"/>
    <cellStyle name="Input [yellow] 3 6 8 4 5" xfId="47122"/>
    <cellStyle name="Input [yellow] 3 6 8 5" xfId="2824"/>
    <cellStyle name="Input [yellow] 3 6 8 5 2" xfId="14021"/>
    <cellStyle name="Input [yellow] 3 6 8 5 3" xfId="25189"/>
    <cellStyle name="Input [yellow] 3 6 8 5 4" xfId="36354"/>
    <cellStyle name="Input [yellow] 3 6 8 5 5" xfId="47547"/>
    <cellStyle name="Input [yellow] 3 6 8 6" xfId="3458"/>
    <cellStyle name="Input [yellow] 3 6 8 6 2" xfId="14655"/>
    <cellStyle name="Input [yellow] 3 6 8 6 3" xfId="25823"/>
    <cellStyle name="Input [yellow] 3 6 8 6 4" xfId="36988"/>
    <cellStyle name="Input [yellow] 3 6 8 6 5" xfId="48181"/>
    <cellStyle name="Input [yellow] 3 6 8 7" xfId="4092"/>
    <cellStyle name="Input [yellow] 3 6 8 7 2" xfId="15289"/>
    <cellStyle name="Input [yellow] 3 6 8 7 3" xfId="26457"/>
    <cellStyle name="Input [yellow] 3 6 8 7 4" xfId="37622"/>
    <cellStyle name="Input [yellow] 3 6 8 7 5" xfId="48815"/>
    <cellStyle name="Input [yellow] 3 6 8 8" xfId="4725"/>
    <cellStyle name="Input [yellow] 3 6 8 8 2" xfId="15922"/>
    <cellStyle name="Input [yellow] 3 6 8 8 3" xfId="27090"/>
    <cellStyle name="Input [yellow] 3 6 8 8 4" xfId="38255"/>
    <cellStyle name="Input [yellow] 3 6 8 8 5" xfId="49448"/>
    <cellStyle name="Input [yellow] 3 6 8 9" xfId="5356"/>
    <cellStyle name="Input [yellow] 3 6 8 9 2" xfId="16553"/>
    <cellStyle name="Input [yellow] 3 6 8 9 3" xfId="27721"/>
    <cellStyle name="Input [yellow] 3 6 8 9 4" xfId="38886"/>
    <cellStyle name="Input [yellow] 3 6 8 9 5" xfId="50079"/>
    <cellStyle name="Input [yellow] 3 6 9" xfId="532"/>
    <cellStyle name="Input [yellow] 3 6 9 10" xfId="5681"/>
    <cellStyle name="Input [yellow] 3 6 9 10 2" xfId="16878"/>
    <cellStyle name="Input [yellow] 3 6 9 10 3" xfId="28046"/>
    <cellStyle name="Input [yellow] 3 6 9 10 4" xfId="39211"/>
    <cellStyle name="Input [yellow] 3 6 9 10 5" xfId="50404"/>
    <cellStyle name="Input [yellow] 3 6 9 11" xfId="6468"/>
    <cellStyle name="Input [yellow] 3 6 9 11 2" xfId="17665"/>
    <cellStyle name="Input [yellow] 3 6 9 11 3" xfId="28833"/>
    <cellStyle name="Input [yellow] 3 6 9 11 4" xfId="39998"/>
    <cellStyle name="Input [yellow] 3 6 9 11 5" xfId="51191"/>
    <cellStyle name="Input [yellow] 3 6 9 12" xfId="7101"/>
    <cellStyle name="Input [yellow] 3 6 9 12 2" xfId="18298"/>
    <cellStyle name="Input [yellow] 3 6 9 12 3" xfId="29466"/>
    <cellStyle name="Input [yellow] 3 6 9 12 4" xfId="40631"/>
    <cellStyle name="Input [yellow] 3 6 9 12 5" xfId="51824"/>
    <cellStyle name="Input [yellow] 3 6 9 13" xfId="7735"/>
    <cellStyle name="Input [yellow] 3 6 9 13 2" xfId="18932"/>
    <cellStyle name="Input [yellow] 3 6 9 13 3" xfId="30100"/>
    <cellStyle name="Input [yellow] 3 6 9 13 4" xfId="41265"/>
    <cellStyle name="Input [yellow] 3 6 9 13 5" xfId="52458"/>
    <cellStyle name="Input [yellow] 3 6 9 14" xfId="8369"/>
    <cellStyle name="Input [yellow] 3 6 9 14 2" xfId="19566"/>
    <cellStyle name="Input [yellow] 3 6 9 14 3" xfId="30734"/>
    <cellStyle name="Input [yellow] 3 6 9 14 4" xfId="41899"/>
    <cellStyle name="Input [yellow] 3 6 9 14 5" xfId="53092"/>
    <cellStyle name="Input [yellow] 3 6 9 15" xfId="8997"/>
    <cellStyle name="Input [yellow] 3 6 9 15 2" xfId="20194"/>
    <cellStyle name="Input [yellow] 3 6 9 15 3" xfId="31362"/>
    <cellStyle name="Input [yellow] 3 6 9 15 4" xfId="42527"/>
    <cellStyle name="Input [yellow] 3 6 9 15 5" xfId="53720"/>
    <cellStyle name="Input [yellow] 3 6 9 16" xfId="9420"/>
    <cellStyle name="Input [yellow] 3 6 9 16 2" xfId="20617"/>
    <cellStyle name="Input [yellow] 3 6 9 16 3" xfId="31785"/>
    <cellStyle name="Input [yellow] 3 6 9 16 4" xfId="42950"/>
    <cellStyle name="Input [yellow] 3 6 9 16 5" xfId="54143"/>
    <cellStyle name="Input [yellow] 3 6 9 17" xfId="10045"/>
    <cellStyle name="Input [yellow] 3 6 9 17 2" xfId="21242"/>
    <cellStyle name="Input [yellow] 3 6 9 17 3" xfId="32410"/>
    <cellStyle name="Input [yellow] 3 6 9 17 4" xfId="43575"/>
    <cellStyle name="Input [yellow] 3 6 9 17 5" xfId="54768"/>
    <cellStyle name="Input [yellow] 3 6 9 18" xfId="10524"/>
    <cellStyle name="Input [yellow] 3 6 9 18 2" xfId="21721"/>
    <cellStyle name="Input [yellow] 3 6 9 18 3" xfId="32889"/>
    <cellStyle name="Input [yellow] 3 6 9 18 4" xfId="44054"/>
    <cellStyle name="Input [yellow] 3 6 9 18 5" xfId="55247"/>
    <cellStyle name="Input [yellow] 3 6 9 19" xfId="11085"/>
    <cellStyle name="Input [yellow] 3 6 9 19 2" xfId="22282"/>
    <cellStyle name="Input [yellow] 3 6 9 19 3" xfId="33450"/>
    <cellStyle name="Input [yellow] 3 6 9 19 4" xfId="44615"/>
    <cellStyle name="Input [yellow] 3 6 9 19 5" xfId="55808"/>
    <cellStyle name="Input [yellow] 3 6 9 2" xfId="1181"/>
    <cellStyle name="Input [yellow] 3 6 9 2 2" xfId="12378"/>
    <cellStyle name="Input [yellow] 3 6 9 2 3" xfId="23546"/>
    <cellStyle name="Input [yellow] 3 6 9 2 4" xfId="34711"/>
    <cellStyle name="Input [yellow] 3 6 9 2 5" xfId="45904"/>
    <cellStyle name="Input [yellow] 3 6 9 20" xfId="11732"/>
    <cellStyle name="Input [yellow] 3 6 9 21" xfId="22902"/>
    <cellStyle name="Input [yellow] 3 6 9 22" xfId="34069"/>
    <cellStyle name="Input [yellow] 3 6 9 23" xfId="45255"/>
    <cellStyle name="Input [yellow] 3 6 9 3" xfId="1354"/>
    <cellStyle name="Input [yellow] 3 6 9 3 2" xfId="12551"/>
    <cellStyle name="Input [yellow] 3 6 9 3 3" xfId="23719"/>
    <cellStyle name="Input [yellow] 3 6 9 3 4" xfId="34884"/>
    <cellStyle name="Input [yellow] 3 6 9 3 5" xfId="46077"/>
    <cellStyle name="Input [yellow] 3 6 9 4" xfId="2457"/>
    <cellStyle name="Input [yellow] 3 6 9 4 2" xfId="13654"/>
    <cellStyle name="Input [yellow] 3 6 9 4 3" xfId="24822"/>
    <cellStyle name="Input [yellow] 3 6 9 4 4" xfId="35987"/>
    <cellStyle name="Input [yellow] 3 6 9 4 5" xfId="47180"/>
    <cellStyle name="Input [yellow] 3 6 9 5" xfId="2882"/>
    <cellStyle name="Input [yellow] 3 6 9 5 2" xfId="14079"/>
    <cellStyle name="Input [yellow] 3 6 9 5 3" xfId="25247"/>
    <cellStyle name="Input [yellow] 3 6 9 5 4" xfId="36412"/>
    <cellStyle name="Input [yellow] 3 6 9 5 5" xfId="47605"/>
    <cellStyle name="Input [yellow] 3 6 9 6" xfId="3516"/>
    <cellStyle name="Input [yellow] 3 6 9 6 2" xfId="14713"/>
    <cellStyle name="Input [yellow] 3 6 9 6 3" xfId="25881"/>
    <cellStyle name="Input [yellow] 3 6 9 6 4" xfId="37046"/>
    <cellStyle name="Input [yellow] 3 6 9 6 5" xfId="48239"/>
    <cellStyle name="Input [yellow] 3 6 9 7" xfId="4150"/>
    <cellStyle name="Input [yellow] 3 6 9 7 2" xfId="15347"/>
    <cellStyle name="Input [yellow] 3 6 9 7 3" xfId="26515"/>
    <cellStyle name="Input [yellow] 3 6 9 7 4" xfId="37680"/>
    <cellStyle name="Input [yellow] 3 6 9 7 5" xfId="48873"/>
    <cellStyle name="Input [yellow] 3 6 9 8" xfId="4783"/>
    <cellStyle name="Input [yellow] 3 6 9 8 2" xfId="15980"/>
    <cellStyle name="Input [yellow] 3 6 9 8 3" xfId="27148"/>
    <cellStyle name="Input [yellow] 3 6 9 8 4" xfId="38313"/>
    <cellStyle name="Input [yellow] 3 6 9 8 5" xfId="49506"/>
    <cellStyle name="Input [yellow] 3 6 9 9" xfId="5414"/>
    <cellStyle name="Input [yellow] 3 6 9 9 2" xfId="16611"/>
    <cellStyle name="Input [yellow] 3 6 9 9 3" xfId="27779"/>
    <cellStyle name="Input [yellow] 3 6 9 9 4" xfId="38944"/>
    <cellStyle name="Input [yellow] 3 6 9 9 5" xfId="50137"/>
    <cellStyle name="Input [yellow] 3 7" xfId="68"/>
    <cellStyle name="Input [yellow] 3 7 10" xfId="500"/>
    <cellStyle name="Input [yellow] 3 7 10 10" xfId="5582"/>
    <cellStyle name="Input [yellow] 3 7 10 10 2" xfId="16779"/>
    <cellStyle name="Input [yellow] 3 7 10 10 3" xfId="27947"/>
    <cellStyle name="Input [yellow] 3 7 10 10 4" xfId="39112"/>
    <cellStyle name="Input [yellow] 3 7 10 10 5" xfId="50305"/>
    <cellStyle name="Input [yellow] 3 7 10 11" xfId="6436"/>
    <cellStyle name="Input [yellow] 3 7 10 11 2" xfId="17633"/>
    <cellStyle name="Input [yellow] 3 7 10 11 3" xfId="28801"/>
    <cellStyle name="Input [yellow] 3 7 10 11 4" xfId="39966"/>
    <cellStyle name="Input [yellow] 3 7 10 11 5" xfId="51159"/>
    <cellStyle name="Input [yellow] 3 7 10 12" xfId="7069"/>
    <cellStyle name="Input [yellow] 3 7 10 12 2" xfId="18266"/>
    <cellStyle name="Input [yellow] 3 7 10 12 3" xfId="29434"/>
    <cellStyle name="Input [yellow] 3 7 10 12 4" xfId="40599"/>
    <cellStyle name="Input [yellow] 3 7 10 12 5" xfId="51792"/>
    <cellStyle name="Input [yellow] 3 7 10 13" xfId="7703"/>
    <cellStyle name="Input [yellow] 3 7 10 13 2" xfId="18900"/>
    <cellStyle name="Input [yellow] 3 7 10 13 3" xfId="30068"/>
    <cellStyle name="Input [yellow] 3 7 10 13 4" xfId="41233"/>
    <cellStyle name="Input [yellow] 3 7 10 13 5" xfId="52426"/>
    <cellStyle name="Input [yellow] 3 7 10 14" xfId="8337"/>
    <cellStyle name="Input [yellow] 3 7 10 14 2" xfId="19534"/>
    <cellStyle name="Input [yellow] 3 7 10 14 3" xfId="30702"/>
    <cellStyle name="Input [yellow] 3 7 10 14 4" xfId="41867"/>
    <cellStyle name="Input [yellow] 3 7 10 14 5" xfId="53060"/>
    <cellStyle name="Input [yellow] 3 7 10 15" xfId="8965"/>
    <cellStyle name="Input [yellow] 3 7 10 15 2" xfId="20162"/>
    <cellStyle name="Input [yellow] 3 7 10 15 3" xfId="31330"/>
    <cellStyle name="Input [yellow] 3 7 10 15 4" xfId="42495"/>
    <cellStyle name="Input [yellow] 3 7 10 15 5" xfId="53688"/>
    <cellStyle name="Input [yellow] 3 7 10 16" xfId="9388"/>
    <cellStyle name="Input [yellow] 3 7 10 16 2" xfId="20585"/>
    <cellStyle name="Input [yellow] 3 7 10 16 3" xfId="31753"/>
    <cellStyle name="Input [yellow] 3 7 10 16 4" xfId="42918"/>
    <cellStyle name="Input [yellow] 3 7 10 16 5" xfId="54111"/>
    <cellStyle name="Input [yellow] 3 7 10 17" xfId="10013"/>
    <cellStyle name="Input [yellow] 3 7 10 17 2" xfId="21210"/>
    <cellStyle name="Input [yellow] 3 7 10 17 3" xfId="32378"/>
    <cellStyle name="Input [yellow] 3 7 10 17 4" xfId="43543"/>
    <cellStyle name="Input [yellow] 3 7 10 17 5" xfId="54736"/>
    <cellStyle name="Input [yellow] 3 7 10 18" xfId="9659"/>
    <cellStyle name="Input [yellow] 3 7 10 18 2" xfId="20856"/>
    <cellStyle name="Input [yellow] 3 7 10 18 3" xfId="32024"/>
    <cellStyle name="Input [yellow] 3 7 10 18 4" xfId="43189"/>
    <cellStyle name="Input [yellow] 3 7 10 18 5" xfId="54382"/>
    <cellStyle name="Input [yellow] 3 7 10 19" xfId="11053"/>
    <cellStyle name="Input [yellow] 3 7 10 19 2" xfId="22250"/>
    <cellStyle name="Input [yellow] 3 7 10 19 3" xfId="33418"/>
    <cellStyle name="Input [yellow] 3 7 10 19 4" xfId="44583"/>
    <cellStyle name="Input [yellow] 3 7 10 19 5" xfId="55776"/>
    <cellStyle name="Input [yellow] 3 7 10 2" xfId="1149"/>
    <cellStyle name="Input [yellow] 3 7 10 2 2" xfId="12346"/>
    <cellStyle name="Input [yellow] 3 7 10 2 3" xfId="23514"/>
    <cellStyle name="Input [yellow] 3 7 10 2 4" xfId="34679"/>
    <cellStyle name="Input [yellow] 3 7 10 2 5" xfId="45872"/>
    <cellStyle name="Input [yellow] 3 7 10 20" xfId="11700"/>
    <cellStyle name="Input [yellow] 3 7 10 21" xfId="22870"/>
    <cellStyle name="Input [yellow] 3 7 10 22" xfId="34037"/>
    <cellStyle name="Input [yellow] 3 7 10 23" xfId="45223"/>
    <cellStyle name="Input [yellow] 3 7 10 3" xfId="1819"/>
    <cellStyle name="Input [yellow] 3 7 10 3 2" xfId="13016"/>
    <cellStyle name="Input [yellow] 3 7 10 3 3" xfId="24184"/>
    <cellStyle name="Input [yellow] 3 7 10 3 4" xfId="35349"/>
    <cellStyle name="Input [yellow] 3 7 10 3 5" xfId="46542"/>
    <cellStyle name="Input [yellow] 3 7 10 4" xfId="2425"/>
    <cellStyle name="Input [yellow] 3 7 10 4 2" xfId="13622"/>
    <cellStyle name="Input [yellow] 3 7 10 4 3" xfId="24790"/>
    <cellStyle name="Input [yellow] 3 7 10 4 4" xfId="35955"/>
    <cellStyle name="Input [yellow] 3 7 10 4 5" xfId="47148"/>
    <cellStyle name="Input [yellow] 3 7 10 5" xfId="2850"/>
    <cellStyle name="Input [yellow] 3 7 10 5 2" xfId="14047"/>
    <cellStyle name="Input [yellow] 3 7 10 5 3" xfId="25215"/>
    <cellStyle name="Input [yellow] 3 7 10 5 4" xfId="36380"/>
    <cellStyle name="Input [yellow] 3 7 10 5 5" xfId="47573"/>
    <cellStyle name="Input [yellow] 3 7 10 6" xfId="3484"/>
    <cellStyle name="Input [yellow] 3 7 10 6 2" xfId="14681"/>
    <cellStyle name="Input [yellow] 3 7 10 6 3" xfId="25849"/>
    <cellStyle name="Input [yellow] 3 7 10 6 4" xfId="37014"/>
    <cellStyle name="Input [yellow] 3 7 10 6 5" xfId="48207"/>
    <cellStyle name="Input [yellow] 3 7 10 7" xfId="4118"/>
    <cellStyle name="Input [yellow] 3 7 10 7 2" xfId="15315"/>
    <cellStyle name="Input [yellow] 3 7 10 7 3" xfId="26483"/>
    <cellStyle name="Input [yellow] 3 7 10 7 4" xfId="37648"/>
    <cellStyle name="Input [yellow] 3 7 10 7 5" xfId="48841"/>
    <cellStyle name="Input [yellow] 3 7 10 8" xfId="4751"/>
    <cellStyle name="Input [yellow] 3 7 10 8 2" xfId="15948"/>
    <cellStyle name="Input [yellow] 3 7 10 8 3" xfId="27116"/>
    <cellStyle name="Input [yellow] 3 7 10 8 4" xfId="38281"/>
    <cellStyle name="Input [yellow] 3 7 10 8 5" xfId="49474"/>
    <cellStyle name="Input [yellow] 3 7 10 9" xfId="5382"/>
    <cellStyle name="Input [yellow] 3 7 10 9 2" xfId="16579"/>
    <cellStyle name="Input [yellow] 3 7 10 9 3" xfId="27747"/>
    <cellStyle name="Input [yellow] 3 7 10 9 4" xfId="38912"/>
    <cellStyle name="Input [yellow] 3 7 10 9 5" xfId="50105"/>
    <cellStyle name="Input [yellow] 3 7 11" xfId="632"/>
    <cellStyle name="Input [yellow] 3 7 11 10" xfId="5612"/>
    <cellStyle name="Input [yellow] 3 7 11 10 2" xfId="16809"/>
    <cellStyle name="Input [yellow] 3 7 11 10 3" xfId="27977"/>
    <cellStyle name="Input [yellow] 3 7 11 10 4" xfId="39142"/>
    <cellStyle name="Input [yellow] 3 7 11 10 5" xfId="50335"/>
    <cellStyle name="Input [yellow] 3 7 11 11" xfId="6568"/>
    <cellStyle name="Input [yellow] 3 7 11 11 2" xfId="17765"/>
    <cellStyle name="Input [yellow] 3 7 11 11 3" xfId="28933"/>
    <cellStyle name="Input [yellow] 3 7 11 11 4" xfId="40098"/>
    <cellStyle name="Input [yellow] 3 7 11 11 5" xfId="51291"/>
    <cellStyle name="Input [yellow] 3 7 11 12" xfId="7201"/>
    <cellStyle name="Input [yellow] 3 7 11 12 2" xfId="18398"/>
    <cellStyle name="Input [yellow] 3 7 11 12 3" xfId="29566"/>
    <cellStyle name="Input [yellow] 3 7 11 12 4" xfId="40731"/>
    <cellStyle name="Input [yellow] 3 7 11 12 5" xfId="51924"/>
    <cellStyle name="Input [yellow] 3 7 11 13" xfId="7835"/>
    <cellStyle name="Input [yellow] 3 7 11 13 2" xfId="19032"/>
    <cellStyle name="Input [yellow] 3 7 11 13 3" xfId="30200"/>
    <cellStyle name="Input [yellow] 3 7 11 13 4" xfId="41365"/>
    <cellStyle name="Input [yellow] 3 7 11 13 5" xfId="52558"/>
    <cellStyle name="Input [yellow] 3 7 11 14" xfId="8469"/>
    <cellStyle name="Input [yellow] 3 7 11 14 2" xfId="19666"/>
    <cellStyle name="Input [yellow] 3 7 11 14 3" xfId="30834"/>
    <cellStyle name="Input [yellow] 3 7 11 14 4" xfId="41999"/>
    <cellStyle name="Input [yellow] 3 7 11 14 5" xfId="53192"/>
    <cellStyle name="Input [yellow] 3 7 11 15" xfId="9097"/>
    <cellStyle name="Input [yellow] 3 7 11 15 2" xfId="20294"/>
    <cellStyle name="Input [yellow] 3 7 11 15 3" xfId="31462"/>
    <cellStyle name="Input [yellow] 3 7 11 15 4" xfId="42627"/>
    <cellStyle name="Input [yellow] 3 7 11 15 5" xfId="53820"/>
    <cellStyle name="Input [yellow] 3 7 11 16" xfId="9520"/>
    <cellStyle name="Input [yellow] 3 7 11 16 2" xfId="20717"/>
    <cellStyle name="Input [yellow] 3 7 11 16 3" xfId="31885"/>
    <cellStyle name="Input [yellow] 3 7 11 16 4" xfId="43050"/>
    <cellStyle name="Input [yellow] 3 7 11 16 5" xfId="54243"/>
    <cellStyle name="Input [yellow] 3 7 11 17" xfId="10145"/>
    <cellStyle name="Input [yellow] 3 7 11 17 2" xfId="21342"/>
    <cellStyle name="Input [yellow] 3 7 11 17 3" xfId="32510"/>
    <cellStyle name="Input [yellow] 3 7 11 17 4" xfId="43675"/>
    <cellStyle name="Input [yellow] 3 7 11 17 5" xfId="54868"/>
    <cellStyle name="Input [yellow] 3 7 11 18" xfId="10549"/>
    <cellStyle name="Input [yellow] 3 7 11 18 2" xfId="21746"/>
    <cellStyle name="Input [yellow] 3 7 11 18 3" xfId="32914"/>
    <cellStyle name="Input [yellow] 3 7 11 18 4" xfId="44079"/>
    <cellStyle name="Input [yellow] 3 7 11 18 5" xfId="55272"/>
    <cellStyle name="Input [yellow] 3 7 11 19" xfId="11185"/>
    <cellStyle name="Input [yellow] 3 7 11 19 2" xfId="22382"/>
    <cellStyle name="Input [yellow] 3 7 11 19 3" xfId="33550"/>
    <cellStyle name="Input [yellow] 3 7 11 19 4" xfId="44715"/>
    <cellStyle name="Input [yellow] 3 7 11 19 5" xfId="55908"/>
    <cellStyle name="Input [yellow] 3 7 11 2" xfId="1281"/>
    <cellStyle name="Input [yellow] 3 7 11 2 2" xfId="12478"/>
    <cellStyle name="Input [yellow] 3 7 11 2 3" xfId="23646"/>
    <cellStyle name="Input [yellow] 3 7 11 2 4" xfId="34811"/>
    <cellStyle name="Input [yellow] 3 7 11 2 5" xfId="46004"/>
    <cellStyle name="Input [yellow] 3 7 11 20" xfId="11832"/>
    <cellStyle name="Input [yellow] 3 7 11 21" xfId="23002"/>
    <cellStyle name="Input [yellow] 3 7 11 22" xfId="34169"/>
    <cellStyle name="Input [yellow] 3 7 11 23" xfId="45355"/>
    <cellStyle name="Input [yellow] 3 7 11 3" xfId="1383"/>
    <cellStyle name="Input [yellow] 3 7 11 3 2" xfId="12580"/>
    <cellStyle name="Input [yellow] 3 7 11 3 3" xfId="23748"/>
    <cellStyle name="Input [yellow] 3 7 11 3 4" xfId="34913"/>
    <cellStyle name="Input [yellow] 3 7 11 3 5" xfId="46106"/>
    <cellStyle name="Input [yellow] 3 7 11 4" xfId="2557"/>
    <cellStyle name="Input [yellow] 3 7 11 4 2" xfId="13754"/>
    <cellStyle name="Input [yellow] 3 7 11 4 3" xfId="24922"/>
    <cellStyle name="Input [yellow] 3 7 11 4 4" xfId="36087"/>
    <cellStyle name="Input [yellow] 3 7 11 4 5" xfId="47280"/>
    <cellStyle name="Input [yellow] 3 7 11 5" xfId="2982"/>
    <cellStyle name="Input [yellow] 3 7 11 5 2" xfId="14179"/>
    <cellStyle name="Input [yellow] 3 7 11 5 3" xfId="25347"/>
    <cellStyle name="Input [yellow] 3 7 11 5 4" xfId="36512"/>
    <cellStyle name="Input [yellow] 3 7 11 5 5" xfId="47705"/>
    <cellStyle name="Input [yellow] 3 7 11 6" xfId="3616"/>
    <cellStyle name="Input [yellow] 3 7 11 6 2" xfId="14813"/>
    <cellStyle name="Input [yellow] 3 7 11 6 3" xfId="25981"/>
    <cellStyle name="Input [yellow] 3 7 11 6 4" xfId="37146"/>
    <cellStyle name="Input [yellow] 3 7 11 6 5" xfId="48339"/>
    <cellStyle name="Input [yellow] 3 7 11 7" xfId="4250"/>
    <cellStyle name="Input [yellow] 3 7 11 7 2" xfId="15447"/>
    <cellStyle name="Input [yellow] 3 7 11 7 3" xfId="26615"/>
    <cellStyle name="Input [yellow] 3 7 11 7 4" xfId="37780"/>
    <cellStyle name="Input [yellow] 3 7 11 7 5" xfId="48973"/>
    <cellStyle name="Input [yellow] 3 7 11 8" xfId="4883"/>
    <cellStyle name="Input [yellow] 3 7 11 8 2" xfId="16080"/>
    <cellStyle name="Input [yellow] 3 7 11 8 3" xfId="27248"/>
    <cellStyle name="Input [yellow] 3 7 11 8 4" xfId="38413"/>
    <cellStyle name="Input [yellow] 3 7 11 8 5" xfId="49606"/>
    <cellStyle name="Input [yellow] 3 7 11 9" xfId="5514"/>
    <cellStyle name="Input [yellow] 3 7 11 9 2" xfId="16711"/>
    <cellStyle name="Input [yellow] 3 7 11 9 3" xfId="27879"/>
    <cellStyle name="Input [yellow] 3 7 11 9 4" xfId="39044"/>
    <cellStyle name="Input [yellow] 3 7 11 9 5" xfId="50237"/>
    <cellStyle name="Input [yellow] 3 7 12" xfId="717"/>
    <cellStyle name="Input [yellow] 3 7 12 2" xfId="11915"/>
    <cellStyle name="Input [yellow] 3 7 12 3" xfId="23084"/>
    <cellStyle name="Input [yellow] 3 7 12 4" xfId="34249"/>
    <cellStyle name="Input [yellow] 3 7 12 5" xfId="45440"/>
    <cellStyle name="Input [yellow] 3 7 13" xfId="1673"/>
    <cellStyle name="Input [yellow] 3 7 13 2" xfId="12870"/>
    <cellStyle name="Input [yellow] 3 7 13 3" xfId="24038"/>
    <cellStyle name="Input [yellow] 3 7 13 4" xfId="35203"/>
    <cellStyle name="Input [yellow] 3 7 13 5" xfId="46396"/>
    <cellStyle name="Input [yellow] 3 7 14" xfId="1994"/>
    <cellStyle name="Input [yellow] 3 7 14 2" xfId="13191"/>
    <cellStyle name="Input [yellow] 3 7 14 3" xfId="24359"/>
    <cellStyle name="Input [yellow] 3 7 14 4" xfId="35524"/>
    <cellStyle name="Input [yellow] 3 7 14 5" xfId="46717"/>
    <cellStyle name="Input [yellow] 3 7 15" xfId="2245"/>
    <cellStyle name="Input [yellow] 3 7 15 2" xfId="13442"/>
    <cellStyle name="Input [yellow] 3 7 15 3" xfId="24610"/>
    <cellStyle name="Input [yellow] 3 7 15 4" xfId="35775"/>
    <cellStyle name="Input [yellow] 3 7 15 5" xfId="46968"/>
    <cellStyle name="Input [yellow] 3 7 16" xfId="3052"/>
    <cellStyle name="Input [yellow] 3 7 16 2" xfId="14249"/>
    <cellStyle name="Input [yellow] 3 7 16 3" xfId="25417"/>
    <cellStyle name="Input [yellow] 3 7 16 4" xfId="36582"/>
    <cellStyle name="Input [yellow] 3 7 16 5" xfId="47775"/>
    <cellStyle name="Input [yellow] 3 7 17" xfId="3687"/>
    <cellStyle name="Input [yellow] 3 7 17 2" xfId="14884"/>
    <cellStyle name="Input [yellow] 3 7 17 3" xfId="26052"/>
    <cellStyle name="Input [yellow] 3 7 17 4" xfId="37217"/>
    <cellStyle name="Input [yellow] 3 7 17 5" xfId="48410"/>
    <cellStyle name="Input [yellow] 3 7 18" xfId="4319"/>
    <cellStyle name="Input [yellow] 3 7 18 2" xfId="15516"/>
    <cellStyle name="Input [yellow] 3 7 18 3" xfId="26684"/>
    <cellStyle name="Input [yellow] 3 7 18 4" xfId="37849"/>
    <cellStyle name="Input [yellow] 3 7 18 5" xfId="49042"/>
    <cellStyle name="Input [yellow] 3 7 19" xfId="4952"/>
    <cellStyle name="Input [yellow] 3 7 19 2" xfId="16149"/>
    <cellStyle name="Input [yellow] 3 7 19 3" xfId="27317"/>
    <cellStyle name="Input [yellow] 3 7 19 4" xfId="38482"/>
    <cellStyle name="Input [yellow] 3 7 19 5" xfId="49675"/>
    <cellStyle name="Input [yellow] 3 7 2" xfId="133"/>
    <cellStyle name="Input [yellow] 3 7 2 10" xfId="5798"/>
    <cellStyle name="Input [yellow] 3 7 2 10 2" xfId="16995"/>
    <cellStyle name="Input [yellow] 3 7 2 10 3" xfId="28163"/>
    <cellStyle name="Input [yellow] 3 7 2 10 4" xfId="39328"/>
    <cellStyle name="Input [yellow] 3 7 2 10 5" xfId="50521"/>
    <cellStyle name="Input [yellow] 3 7 2 11" xfId="5807"/>
    <cellStyle name="Input [yellow] 3 7 2 11 2" xfId="17004"/>
    <cellStyle name="Input [yellow] 3 7 2 11 3" xfId="28172"/>
    <cellStyle name="Input [yellow] 3 7 2 11 4" xfId="39337"/>
    <cellStyle name="Input [yellow] 3 7 2 11 5" xfId="50530"/>
    <cellStyle name="Input [yellow] 3 7 2 12" xfId="6702"/>
    <cellStyle name="Input [yellow] 3 7 2 12 2" xfId="17899"/>
    <cellStyle name="Input [yellow] 3 7 2 12 3" xfId="29067"/>
    <cellStyle name="Input [yellow] 3 7 2 12 4" xfId="40232"/>
    <cellStyle name="Input [yellow] 3 7 2 12 5" xfId="51425"/>
    <cellStyle name="Input [yellow] 3 7 2 13" xfId="7336"/>
    <cellStyle name="Input [yellow] 3 7 2 13 2" xfId="18533"/>
    <cellStyle name="Input [yellow] 3 7 2 13 3" xfId="29701"/>
    <cellStyle name="Input [yellow] 3 7 2 13 4" xfId="40866"/>
    <cellStyle name="Input [yellow] 3 7 2 13 5" xfId="52059"/>
    <cellStyle name="Input [yellow] 3 7 2 14" xfId="7970"/>
    <cellStyle name="Input [yellow] 3 7 2 14 2" xfId="19167"/>
    <cellStyle name="Input [yellow] 3 7 2 14 3" xfId="30335"/>
    <cellStyle name="Input [yellow] 3 7 2 14 4" xfId="41500"/>
    <cellStyle name="Input [yellow] 3 7 2 14 5" xfId="52693"/>
    <cellStyle name="Input [yellow] 3 7 2 15" xfId="8601"/>
    <cellStyle name="Input [yellow] 3 7 2 15 2" xfId="19798"/>
    <cellStyle name="Input [yellow] 3 7 2 15 3" xfId="30966"/>
    <cellStyle name="Input [yellow] 3 7 2 15 4" xfId="42131"/>
    <cellStyle name="Input [yellow] 3 7 2 15 5" xfId="53324"/>
    <cellStyle name="Input [yellow] 3 7 2 16" xfId="9061"/>
    <cellStyle name="Input [yellow] 3 7 2 16 2" xfId="20258"/>
    <cellStyle name="Input [yellow] 3 7 2 16 3" xfId="31426"/>
    <cellStyle name="Input [yellow] 3 7 2 16 4" xfId="42591"/>
    <cellStyle name="Input [yellow] 3 7 2 16 5" xfId="53784"/>
    <cellStyle name="Input [yellow] 3 7 2 17" xfId="9654"/>
    <cellStyle name="Input [yellow] 3 7 2 17 2" xfId="20851"/>
    <cellStyle name="Input [yellow] 3 7 2 17 3" xfId="32019"/>
    <cellStyle name="Input [yellow] 3 7 2 17 4" xfId="43184"/>
    <cellStyle name="Input [yellow] 3 7 2 17 5" xfId="54377"/>
    <cellStyle name="Input [yellow] 3 7 2 18" xfId="10236"/>
    <cellStyle name="Input [yellow] 3 7 2 18 2" xfId="21433"/>
    <cellStyle name="Input [yellow] 3 7 2 18 3" xfId="32601"/>
    <cellStyle name="Input [yellow] 3 7 2 18 4" xfId="43766"/>
    <cellStyle name="Input [yellow] 3 7 2 18 5" xfId="54959"/>
    <cellStyle name="Input [yellow] 3 7 2 19" xfId="10686"/>
    <cellStyle name="Input [yellow] 3 7 2 19 2" xfId="21883"/>
    <cellStyle name="Input [yellow] 3 7 2 19 3" xfId="33051"/>
    <cellStyle name="Input [yellow] 3 7 2 19 4" xfId="44216"/>
    <cellStyle name="Input [yellow] 3 7 2 19 5" xfId="55409"/>
    <cellStyle name="Input [yellow] 3 7 2 2" xfId="782"/>
    <cellStyle name="Input [yellow] 3 7 2 2 2" xfId="11979"/>
    <cellStyle name="Input [yellow] 3 7 2 2 3" xfId="23147"/>
    <cellStyle name="Input [yellow] 3 7 2 2 4" xfId="34312"/>
    <cellStyle name="Input [yellow] 3 7 2 2 5" xfId="45505"/>
    <cellStyle name="Input [yellow] 3 7 2 20" xfId="11333"/>
    <cellStyle name="Input [yellow] 3 7 2 21" xfId="22503"/>
    <cellStyle name="Input [yellow] 3 7 2 22" xfId="33670"/>
    <cellStyle name="Input [yellow] 3 7 2 23" xfId="44856"/>
    <cellStyle name="Input [yellow] 3 7 2 3" xfId="1686"/>
    <cellStyle name="Input [yellow] 3 7 2 3 2" xfId="12883"/>
    <cellStyle name="Input [yellow] 3 7 2 3 3" xfId="24051"/>
    <cellStyle name="Input [yellow] 3 7 2 3 4" xfId="35216"/>
    <cellStyle name="Input [yellow] 3 7 2 3 5" xfId="46409"/>
    <cellStyle name="Input [yellow] 3 7 2 4" xfId="2059"/>
    <cellStyle name="Input [yellow] 3 7 2 4 2" xfId="13256"/>
    <cellStyle name="Input [yellow] 3 7 2 4 3" xfId="24424"/>
    <cellStyle name="Input [yellow] 3 7 2 4 4" xfId="35589"/>
    <cellStyle name="Input [yellow] 3 7 2 4 5" xfId="46782"/>
    <cellStyle name="Input [yellow] 3 7 2 5" xfId="2357"/>
    <cellStyle name="Input [yellow] 3 7 2 5 2" xfId="13554"/>
    <cellStyle name="Input [yellow] 3 7 2 5 3" xfId="24722"/>
    <cellStyle name="Input [yellow] 3 7 2 5 4" xfId="35887"/>
    <cellStyle name="Input [yellow] 3 7 2 5 5" xfId="47080"/>
    <cellStyle name="Input [yellow] 3 7 2 6" xfId="3117"/>
    <cellStyle name="Input [yellow] 3 7 2 6 2" xfId="14314"/>
    <cellStyle name="Input [yellow] 3 7 2 6 3" xfId="25482"/>
    <cellStyle name="Input [yellow] 3 7 2 6 4" xfId="36647"/>
    <cellStyle name="Input [yellow] 3 7 2 6 5" xfId="47840"/>
    <cellStyle name="Input [yellow] 3 7 2 7" xfId="3751"/>
    <cellStyle name="Input [yellow] 3 7 2 7 2" xfId="14948"/>
    <cellStyle name="Input [yellow] 3 7 2 7 3" xfId="26116"/>
    <cellStyle name="Input [yellow] 3 7 2 7 4" xfId="37281"/>
    <cellStyle name="Input [yellow] 3 7 2 7 5" xfId="48474"/>
    <cellStyle name="Input [yellow] 3 7 2 8" xfId="4384"/>
    <cellStyle name="Input [yellow] 3 7 2 8 2" xfId="15581"/>
    <cellStyle name="Input [yellow] 3 7 2 8 3" xfId="26749"/>
    <cellStyle name="Input [yellow] 3 7 2 8 4" xfId="37914"/>
    <cellStyle name="Input [yellow] 3 7 2 8 5" xfId="49107"/>
    <cellStyle name="Input [yellow] 3 7 2 9" xfId="5015"/>
    <cellStyle name="Input [yellow] 3 7 2 9 2" xfId="16212"/>
    <cellStyle name="Input [yellow] 3 7 2 9 3" xfId="27380"/>
    <cellStyle name="Input [yellow] 3 7 2 9 4" xfId="38545"/>
    <cellStyle name="Input [yellow] 3 7 2 9 5" xfId="49738"/>
    <cellStyle name="Input [yellow] 3 7 20" xfId="5839"/>
    <cellStyle name="Input [yellow] 3 7 20 2" xfId="17036"/>
    <cellStyle name="Input [yellow] 3 7 20 3" xfId="28204"/>
    <cellStyle name="Input [yellow] 3 7 20 4" xfId="39369"/>
    <cellStyle name="Input [yellow] 3 7 20 5" xfId="50562"/>
    <cellStyle name="Input [yellow] 3 7 21" xfId="6154"/>
    <cellStyle name="Input [yellow] 3 7 21 2" xfId="17351"/>
    <cellStyle name="Input [yellow] 3 7 21 3" xfId="28519"/>
    <cellStyle name="Input [yellow] 3 7 21 4" xfId="39684"/>
    <cellStyle name="Input [yellow] 3 7 21 5" xfId="50877"/>
    <cellStyle name="Input [yellow] 3 7 22" xfId="6639"/>
    <cellStyle name="Input [yellow] 3 7 22 2" xfId="17836"/>
    <cellStyle name="Input [yellow] 3 7 22 3" xfId="29004"/>
    <cellStyle name="Input [yellow] 3 7 22 4" xfId="40169"/>
    <cellStyle name="Input [yellow] 3 7 22 5" xfId="51362"/>
    <cellStyle name="Input [yellow] 3 7 23" xfId="7271"/>
    <cellStyle name="Input [yellow] 3 7 23 2" xfId="18468"/>
    <cellStyle name="Input [yellow] 3 7 23 3" xfId="29636"/>
    <cellStyle name="Input [yellow] 3 7 23 4" xfId="40801"/>
    <cellStyle name="Input [yellow] 3 7 23 5" xfId="51994"/>
    <cellStyle name="Input [yellow] 3 7 24" xfId="7905"/>
    <cellStyle name="Input [yellow] 3 7 24 2" xfId="19102"/>
    <cellStyle name="Input [yellow] 3 7 24 3" xfId="30270"/>
    <cellStyle name="Input [yellow] 3 7 24 4" xfId="41435"/>
    <cellStyle name="Input [yellow] 3 7 24 5" xfId="52628"/>
    <cellStyle name="Input [yellow] 3 7 25" xfId="8538"/>
    <cellStyle name="Input [yellow] 3 7 25 2" xfId="19735"/>
    <cellStyle name="Input [yellow] 3 7 25 3" xfId="30903"/>
    <cellStyle name="Input [yellow] 3 7 25 4" xfId="42068"/>
    <cellStyle name="Input [yellow] 3 7 25 5" xfId="53261"/>
    <cellStyle name="Input [yellow] 3 7 26" xfId="8948"/>
    <cellStyle name="Input [yellow] 3 7 26 2" xfId="20145"/>
    <cellStyle name="Input [yellow] 3 7 26 3" xfId="31313"/>
    <cellStyle name="Input [yellow] 3 7 26 4" xfId="42478"/>
    <cellStyle name="Input [yellow] 3 7 26 5" xfId="53671"/>
    <cellStyle name="Input [yellow] 3 7 27" xfId="9590"/>
    <cellStyle name="Input [yellow] 3 7 27 2" xfId="20787"/>
    <cellStyle name="Input [yellow] 3 7 27 3" xfId="31955"/>
    <cellStyle name="Input [yellow] 3 7 27 4" xfId="43120"/>
    <cellStyle name="Input [yellow] 3 7 27 5" xfId="54313"/>
    <cellStyle name="Input [yellow] 3 7 28" xfId="10351"/>
    <cellStyle name="Input [yellow] 3 7 28 2" xfId="21548"/>
    <cellStyle name="Input [yellow] 3 7 28 3" xfId="32716"/>
    <cellStyle name="Input [yellow] 3 7 28 4" xfId="43881"/>
    <cellStyle name="Input [yellow] 3 7 28 5" xfId="55074"/>
    <cellStyle name="Input [yellow] 3 7 29" xfId="10623"/>
    <cellStyle name="Input [yellow] 3 7 29 2" xfId="21820"/>
    <cellStyle name="Input [yellow] 3 7 29 3" xfId="32988"/>
    <cellStyle name="Input [yellow] 3 7 29 4" xfId="44153"/>
    <cellStyle name="Input [yellow] 3 7 29 5" xfId="55346"/>
    <cellStyle name="Input [yellow] 3 7 3" xfId="189"/>
    <cellStyle name="Input [yellow] 3 7 3 10" xfId="5967"/>
    <cellStyle name="Input [yellow] 3 7 3 10 2" xfId="17164"/>
    <cellStyle name="Input [yellow] 3 7 3 10 3" xfId="28332"/>
    <cellStyle name="Input [yellow] 3 7 3 10 4" xfId="39497"/>
    <cellStyle name="Input [yellow] 3 7 3 10 5" xfId="50690"/>
    <cellStyle name="Input [yellow] 3 7 3 11" xfId="5970"/>
    <cellStyle name="Input [yellow] 3 7 3 11 2" xfId="17167"/>
    <cellStyle name="Input [yellow] 3 7 3 11 3" xfId="28335"/>
    <cellStyle name="Input [yellow] 3 7 3 11 4" xfId="39500"/>
    <cellStyle name="Input [yellow] 3 7 3 11 5" xfId="50693"/>
    <cellStyle name="Input [yellow] 3 7 3 12" xfId="6758"/>
    <cellStyle name="Input [yellow] 3 7 3 12 2" xfId="17955"/>
    <cellStyle name="Input [yellow] 3 7 3 12 3" xfId="29123"/>
    <cellStyle name="Input [yellow] 3 7 3 12 4" xfId="40288"/>
    <cellStyle name="Input [yellow] 3 7 3 12 5" xfId="51481"/>
    <cellStyle name="Input [yellow] 3 7 3 13" xfId="7392"/>
    <cellStyle name="Input [yellow] 3 7 3 13 2" xfId="18589"/>
    <cellStyle name="Input [yellow] 3 7 3 13 3" xfId="29757"/>
    <cellStyle name="Input [yellow] 3 7 3 13 4" xfId="40922"/>
    <cellStyle name="Input [yellow] 3 7 3 13 5" xfId="52115"/>
    <cellStyle name="Input [yellow] 3 7 3 14" xfId="8026"/>
    <cellStyle name="Input [yellow] 3 7 3 14 2" xfId="19223"/>
    <cellStyle name="Input [yellow] 3 7 3 14 3" xfId="30391"/>
    <cellStyle name="Input [yellow] 3 7 3 14 4" xfId="41556"/>
    <cellStyle name="Input [yellow] 3 7 3 14 5" xfId="52749"/>
    <cellStyle name="Input [yellow] 3 7 3 15" xfId="8657"/>
    <cellStyle name="Input [yellow] 3 7 3 15 2" xfId="19854"/>
    <cellStyle name="Input [yellow] 3 7 3 15 3" xfId="31022"/>
    <cellStyle name="Input [yellow] 3 7 3 15 4" xfId="42187"/>
    <cellStyle name="Input [yellow] 3 7 3 15 5" xfId="53380"/>
    <cellStyle name="Input [yellow] 3 7 3 16" xfId="9028"/>
    <cellStyle name="Input [yellow] 3 7 3 16 2" xfId="20225"/>
    <cellStyle name="Input [yellow] 3 7 3 16 3" xfId="31393"/>
    <cellStyle name="Input [yellow] 3 7 3 16 4" xfId="42558"/>
    <cellStyle name="Input [yellow] 3 7 3 16 5" xfId="53751"/>
    <cellStyle name="Input [yellow] 3 7 3 17" xfId="9709"/>
    <cellStyle name="Input [yellow] 3 7 3 17 2" xfId="20906"/>
    <cellStyle name="Input [yellow] 3 7 3 17 3" xfId="32074"/>
    <cellStyle name="Input [yellow] 3 7 3 17 4" xfId="43239"/>
    <cellStyle name="Input [yellow] 3 7 3 17 5" xfId="54432"/>
    <cellStyle name="Input [yellow] 3 7 3 18" xfId="10307"/>
    <cellStyle name="Input [yellow] 3 7 3 18 2" xfId="21504"/>
    <cellStyle name="Input [yellow] 3 7 3 18 3" xfId="32672"/>
    <cellStyle name="Input [yellow] 3 7 3 18 4" xfId="43837"/>
    <cellStyle name="Input [yellow] 3 7 3 18 5" xfId="55030"/>
    <cellStyle name="Input [yellow] 3 7 3 19" xfId="10742"/>
    <cellStyle name="Input [yellow] 3 7 3 19 2" xfId="21939"/>
    <cellStyle name="Input [yellow] 3 7 3 19 3" xfId="33107"/>
    <cellStyle name="Input [yellow] 3 7 3 19 4" xfId="44272"/>
    <cellStyle name="Input [yellow] 3 7 3 19 5" xfId="55465"/>
    <cellStyle name="Input [yellow] 3 7 3 2" xfId="838"/>
    <cellStyle name="Input [yellow] 3 7 3 2 2" xfId="12035"/>
    <cellStyle name="Input [yellow] 3 7 3 2 3" xfId="23203"/>
    <cellStyle name="Input [yellow] 3 7 3 2 4" xfId="34368"/>
    <cellStyle name="Input [yellow] 3 7 3 2 5" xfId="45561"/>
    <cellStyle name="Input [yellow] 3 7 3 20" xfId="11389"/>
    <cellStyle name="Input [yellow] 3 7 3 21" xfId="22559"/>
    <cellStyle name="Input [yellow] 3 7 3 22" xfId="33726"/>
    <cellStyle name="Input [yellow] 3 7 3 23" xfId="44912"/>
    <cellStyle name="Input [yellow] 3 7 3 3" xfId="1628"/>
    <cellStyle name="Input [yellow] 3 7 3 3 2" xfId="12825"/>
    <cellStyle name="Input [yellow] 3 7 3 3 3" xfId="23993"/>
    <cellStyle name="Input [yellow] 3 7 3 3 4" xfId="35158"/>
    <cellStyle name="Input [yellow] 3 7 3 3 5" xfId="46351"/>
    <cellStyle name="Input [yellow] 3 7 3 4" xfId="2115"/>
    <cellStyle name="Input [yellow] 3 7 3 4 2" xfId="13312"/>
    <cellStyle name="Input [yellow] 3 7 3 4 3" xfId="24480"/>
    <cellStyle name="Input [yellow] 3 7 3 4 4" xfId="35645"/>
    <cellStyle name="Input [yellow] 3 7 3 4 5" xfId="46838"/>
    <cellStyle name="Input [yellow] 3 7 3 5" xfId="2278"/>
    <cellStyle name="Input [yellow] 3 7 3 5 2" xfId="13475"/>
    <cellStyle name="Input [yellow] 3 7 3 5 3" xfId="24643"/>
    <cellStyle name="Input [yellow] 3 7 3 5 4" xfId="35808"/>
    <cellStyle name="Input [yellow] 3 7 3 5 5" xfId="47001"/>
    <cellStyle name="Input [yellow] 3 7 3 6" xfId="3173"/>
    <cellStyle name="Input [yellow] 3 7 3 6 2" xfId="14370"/>
    <cellStyle name="Input [yellow] 3 7 3 6 3" xfId="25538"/>
    <cellStyle name="Input [yellow] 3 7 3 6 4" xfId="36703"/>
    <cellStyle name="Input [yellow] 3 7 3 6 5" xfId="47896"/>
    <cellStyle name="Input [yellow] 3 7 3 7" xfId="3807"/>
    <cellStyle name="Input [yellow] 3 7 3 7 2" xfId="15004"/>
    <cellStyle name="Input [yellow] 3 7 3 7 3" xfId="26172"/>
    <cellStyle name="Input [yellow] 3 7 3 7 4" xfId="37337"/>
    <cellStyle name="Input [yellow] 3 7 3 7 5" xfId="48530"/>
    <cellStyle name="Input [yellow] 3 7 3 8" xfId="4440"/>
    <cellStyle name="Input [yellow] 3 7 3 8 2" xfId="15637"/>
    <cellStyle name="Input [yellow] 3 7 3 8 3" xfId="26805"/>
    <cellStyle name="Input [yellow] 3 7 3 8 4" xfId="37970"/>
    <cellStyle name="Input [yellow] 3 7 3 8 5" xfId="49163"/>
    <cellStyle name="Input [yellow] 3 7 3 9" xfId="5071"/>
    <cellStyle name="Input [yellow] 3 7 3 9 2" xfId="16268"/>
    <cellStyle name="Input [yellow] 3 7 3 9 3" xfId="27436"/>
    <cellStyle name="Input [yellow] 3 7 3 9 4" xfId="38601"/>
    <cellStyle name="Input [yellow] 3 7 3 9 5" xfId="49794"/>
    <cellStyle name="Input [yellow] 3 7 30" xfId="11269"/>
    <cellStyle name="Input [yellow] 3 7 31" xfId="22440"/>
    <cellStyle name="Input [yellow] 3 7 32" xfId="33607"/>
    <cellStyle name="Input [yellow] 3 7 33" xfId="44791"/>
    <cellStyle name="Input [yellow] 3 7 4" xfId="241"/>
    <cellStyle name="Input [yellow] 3 7 4 10" xfId="6044"/>
    <cellStyle name="Input [yellow] 3 7 4 10 2" xfId="17241"/>
    <cellStyle name="Input [yellow] 3 7 4 10 3" xfId="28409"/>
    <cellStyle name="Input [yellow] 3 7 4 10 4" xfId="39574"/>
    <cellStyle name="Input [yellow] 3 7 4 10 5" xfId="50767"/>
    <cellStyle name="Input [yellow] 3 7 4 11" xfId="5673"/>
    <cellStyle name="Input [yellow] 3 7 4 11 2" xfId="16870"/>
    <cellStyle name="Input [yellow] 3 7 4 11 3" xfId="28038"/>
    <cellStyle name="Input [yellow] 3 7 4 11 4" xfId="39203"/>
    <cellStyle name="Input [yellow] 3 7 4 11 5" xfId="50396"/>
    <cellStyle name="Input [yellow] 3 7 4 12" xfId="6810"/>
    <cellStyle name="Input [yellow] 3 7 4 12 2" xfId="18007"/>
    <cellStyle name="Input [yellow] 3 7 4 12 3" xfId="29175"/>
    <cellStyle name="Input [yellow] 3 7 4 12 4" xfId="40340"/>
    <cellStyle name="Input [yellow] 3 7 4 12 5" xfId="51533"/>
    <cellStyle name="Input [yellow] 3 7 4 13" xfId="7444"/>
    <cellStyle name="Input [yellow] 3 7 4 13 2" xfId="18641"/>
    <cellStyle name="Input [yellow] 3 7 4 13 3" xfId="29809"/>
    <cellStyle name="Input [yellow] 3 7 4 13 4" xfId="40974"/>
    <cellStyle name="Input [yellow] 3 7 4 13 5" xfId="52167"/>
    <cellStyle name="Input [yellow] 3 7 4 14" xfId="8078"/>
    <cellStyle name="Input [yellow] 3 7 4 14 2" xfId="19275"/>
    <cellStyle name="Input [yellow] 3 7 4 14 3" xfId="30443"/>
    <cellStyle name="Input [yellow] 3 7 4 14 4" xfId="41608"/>
    <cellStyle name="Input [yellow] 3 7 4 14 5" xfId="52801"/>
    <cellStyle name="Input [yellow] 3 7 4 15" xfId="8708"/>
    <cellStyle name="Input [yellow] 3 7 4 15 2" xfId="19905"/>
    <cellStyle name="Input [yellow] 3 7 4 15 3" xfId="31073"/>
    <cellStyle name="Input [yellow] 3 7 4 15 4" xfId="42238"/>
    <cellStyle name="Input [yellow] 3 7 4 15 5" xfId="53431"/>
    <cellStyle name="Input [yellow] 3 7 4 16" xfId="9112"/>
    <cellStyle name="Input [yellow] 3 7 4 16 2" xfId="20309"/>
    <cellStyle name="Input [yellow] 3 7 4 16 3" xfId="31477"/>
    <cellStyle name="Input [yellow] 3 7 4 16 4" xfId="42642"/>
    <cellStyle name="Input [yellow] 3 7 4 16 5" xfId="53835"/>
    <cellStyle name="Input [yellow] 3 7 4 17" xfId="9758"/>
    <cellStyle name="Input [yellow] 3 7 4 17 2" xfId="20955"/>
    <cellStyle name="Input [yellow] 3 7 4 17 3" xfId="32123"/>
    <cellStyle name="Input [yellow] 3 7 4 17 4" xfId="43288"/>
    <cellStyle name="Input [yellow] 3 7 4 17 5" xfId="54481"/>
    <cellStyle name="Input [yellow] 3 7 4 18" xfId="10176"/>
    <cellStyle name="Input [yellow] 3 7 4 18 2" xfId="21373"/>
    <cellStyle name="Input [yellow] 3 7 4 18 3" xfId="32541"/>
    <cellStyle name="Input [yellow] 3 7 4 18 4" xfId="43706"/>
    <cellStyle name="Input [yellow] 3 7 4 18 5" xfId="54899"/>
    <cellStyle name="Input [yellow] 3 7 4 19" xfId="10794"/>
    <cellStyle name="Input [yellow] 3 7 4 19 2" xfId="21991"/>
    <cellStyle name="Input [yellow] 3 7 4 19 3" xfId="33159"/>
    <cellStyle name="Input [yellow] 3 7 4 19 4" xfId="44324"/>
    <cellStyle name="Input [yellow] 3 7 4 19 5" xfId="55517"/>
    <cellStyle name="Input [yellow] 3 7 4 2" xfId="890"/>
    <cellStyle name="Input [yellow] 3 7 4 2 2" xfId="12087"/>
    <cellStyle name="Input [yellow] 3 7 4 2 3" xfId="23255"/>
    <cellStyle name="Input [yellow] 3 7 4 2 4" xfId="34420"/>
    <cellStyle name="Input [yellow] 3 7 4 2 5" xfId="45613"/>
    <cellStyle name="Input [yellow] 3 7 4 20" xfId="11441"/>
    <cellStyle name="Input [yellow] 3 7 4 21" xfId="22611"/>
    <cellStyle name="Input [yellow] 3 7 4 22" xfId="33778"/>
    <cellStyle name="Input [yellow] 3 7 4 23" xfId="44964"/>
    <cellStyle name="Input [yellow] 3 7 4 3" xfId="1820"/>
    <cellStyle name="Input [yellow] 3 7 4 3 2" xfId="13017"/>
    <cellStyle name="Input [yellow] 3 7 4 3 3" xfId="24185"/>
    <cellStyle name="Input [yellow] 3 7 4 3 4" xfId="35350"/>
    <cellStyle name="Input [yellow] 3 7 4 3 5" xfId="46543"/>
    <cellStyle name="Input [yellow] 3 7 4 4" xfId="2167"/>
    <cellStyle name="Input [yellow] 3 7 4 4 2" xfId="13364"/>
    <cellStyle name="Input [yellow] 3 7 4 4 3" xfId="24532"/>
    <cellStyle name="Input [yellow] 3 7 4 4 4" xfId="35697"/>
    <cellStyle name="Input [yellow] 3 7 4 4 5" xfId="46890"/>
    <cellStyle name="Input [yellow] 3 7 4 5" xfId="1971"/>
    <cellStyle name="Input [yellow] 3 7 4 5 2" xfId="13168"/>
    <cellStyle name="Input [yellow] 3 7 4 5 3" xfId="24336"/>
    <cellStyle name="Input [yellow] 3 7 4 5 4" xfId="35501"/>
    <cellStyle name="Input [yellow] 3 7 4 5 5" xfId="46694"/>
    <cellStyle name="Input [yellow] 3 7 4 6" xfId="3225"/>
    <cellStyle name="Input [yellow] 3 7 4 6 2" xfId="14422"/>
    <cellStyle name="Input [yellow] 3 7 4 6 3" xfId="25590"/>
    <cellStyle name="Input [yellow] 3 7 4 6 4" xfId="36755"/>
    <cellStyle name="Input [yellow] 3 7 4 6 5" xfId="47948"/>
    <cellStyle name="Input [yellow] 3 7 4 7" xfId="3859"/>
    <cellStyle name="Input [yellow] 3 7 4 7 2" xfId="15056"/>
    <cellStyle name="Input [yellow] 3 7 4 7 3" xfId="26224"/>
    <cellStyle name="Input [yellow] 3 7 4 7 4" xfId="37389"/>
    <cellStyle name="Input [yellow] 3 7 4 7 5" xfId="48582"/>
    <cellStyle name="Input [yellow] 3 7 4 8" xfId="4492"/>
    <cellStyle name="Input [yellow] 3 7 4 8 2" xfId="15689"/>
    <cellStyle name="Input [yellow] 3 7 4 8 3" xfId="26857"/>
    <cellStyle name="Input [yellow] 3 7 4 8 4" xfId="38022"/>
    <cellStyle name="Input [yellow] 3 7 4 8 5" xfId="49215"/>
    <cellStyle name="Input [yellow] 3 7 4 9" xfId="5123"/>
    <cellStyle name="Input [yellow] 3 7 4 9 2" xfId="16320"/>
    <cellStyle name="Input [yellow] 3 7 4 9 3" xfId="27488"/>
    <cellStyle name="Input [yellow] 3 7 4 9 4" xfId="38653"/>
    <cellStyle name="Input [yellow] 3 7 4 9 5" xfId="49846"/>
    <cellStyle name="Input [yellow] 3 7 5" xfId="329"/>
    <cellStyle name="Input [yellow] 3 7 5 10" xfId="6145"/>
    <cellStyle name="Input [yellow] 3 7 5 10 2" xfId="17342"/>
    <cellStyle name="Input [yellow] 3 7 5 10 3" xfId="28510"/>
    <cellStyle name="Input [yellow] 3 7 5 10 4" xfId="39675"/>
    <cellStyle name="Input [yellow] 3 7 5 10 5" xfId="50868"/>
    <cellStyle name="Input [yellow] 3 7 5 11" xfId="6265"/>
    <cellStyle name="Input [yellow] 3 7 5 11 2" xfId="17462"/>
    <cellStyle name="Input [yellow] 3 7 5 11 3" xfId="28630"/>
    <cellStyle name="Input [yellow] 3 7 5 11 4" xfId="39795"/>
    <cellStyle name="Input [yellow] 3 7 5 11 5" xfId="50988"/>
    <cellStyle name="Input [yellow] 3 7 5 12" xfId="6898"/>
    <cellStyle name="Input [yellow] 3 7 5 12 2" xfId="18095"/>
    <cellStyle name="Input [yellow] 3 7 5 12 3" xfId="29263"/>
    <cellStyle name="Input [yellow] 3 7 5 12 4" xfId="40428"/>
    <cellStyle name="Input [yellow] 3 7 5 12 5" xfId="51621"/>
    <cellStyle name="Input [yellow] 3 7 5 13" xfId="7532"/>
    <cellStyle name="Input [yellow] 3 7 5 13 2" xfId="18729"/>
    <cellStyle name="Input [yellow] 3 7 5 13 3" xfId="29897"/>
    <cellStyle name="Input [yellow] 3 7 5 13 4" xfId="41062"/>
    <cellStyle name="Input [yellow] 3 7 5 13 5" xfId="52255"/>
    <cellStyle name="Input [yellow] 3 7 5 14" xfId="8166"/>
    <cellStyle name="Input [yellow] 3 7 5 14 2" xfId="19363"/>
    <cellStyle name="Input [yellow] 3 7 5 14 3" xfId="30531"/>
    <cellStyle name="Input [yellow] 3 7 5 14 4" xfId="41696"/>
    <cellStyle name="Input [yellow] 3 7 5 14 5" xfId="52889"/>
    <cellStyle name="Input [yellow] 3 7 5 15" xfId="8795"/>
    <cellStyle name="Input [yellow] 3 7 5 15 2" xfId="19992"/>
    <cellStyle name="Input [yellow] 3 7 5 15 3" xfId="31160"/>
    <cellStyle name="Input [yellow] 3 7 5 15 4" xfId="42325"/>
    <cellStyle name="Input [yellow] 3 7 5 15 5" xfId="53518"/>
    <cellStyle name="Input [yellow] 3 7 5 16" xfId="9217"/>
    <cellStyle name="Input [yellow] 3 7 5 16 2" xfId="20414"/>
    <cellStyle name="Input [yellow] 3 7 5 16 3" xfId="31582"/>
    <cellStyle name="Input [yellow] 3 7 5 16 4" xfId="42747"/>
    <cellStyle name="Input [yellow] 3 7 5 16 5" xfId="53940"/>
    <cellStyle name="Input [yellow] 3 7 5 17" xfId="9844"/>
    <cellStyle name="Input [yellow] 3 7 5 17 2" xfId="21041"/>
    <cellStyle name="Input [yellow] 3 7 5 17 3" xfId="32209"/>
    <cellStyle name="Input [yellow] 3 7 5 17 4" xfId="43374"/>
    <cellStyle name="Input [yellow] 3 7 5 17 5" xfId="54567"/>
    <cellStyle name="Input [yellow] 3 7 5 18" xfId="10558"/>
    <cellStyle name="Input [yellow] 3 7 5 18 2" xfId="21755"/>
    <cellStyle name="Input [yellow] 3 7 5 18 3" xfId="32923"/>
    <cellStyle name="Input [yellow] 3 7 5 18 4" xfId="44088"/>
    <cellStyle name="Input [yellow] 3 7 5 18 5" xfId="55281"/>
    <cellStyle name="Input [yellow] 3 7 5 19" xfId="10882"/>
    <cellStyle name="Input [yellow] 3 7 5 19 2" xfId="22079"/>
    <cellStyle name="Input [yellow] 3 7 5 19 3" xfId="33247"/>
    <cellStyle name="Input [yellow] 3 7 5 19 4" xfId="44412"/>
    <cellStyle name="Input [yellow] 3 7 5 19 5" xfId="55605"/>
    <cellStyle name="Input [yellow] 3 7 5 2" xfId="978"/>
    <cellStyle name="Input [yellow] 3 7 5 2 2" xfId="12175"/>
    <cellStyle name="Input [yellow] 3 7 5 2 3" xfId="23343"/>
    <cellStyle name="Input [yellow] 3 7 5 2 4" xfId="34508"/>
    <cellStyle name="Input [yellow] 3 7 5 2 5" xfId="45701"/>
    <cellStyle name="Input [yellow] 3 7 5 20" xfId="11529"/>
    <cellStyle name="Input [yellow] 3 7 5 21" xfId="22699"/>
    <cellStyle name="Input [yellow] 3 7 5 22" xfId="33866"/>
    <cellStyle name="Input [yellow] 3 7 5 23" xfId="45052"/>
    <cellStyle name="Input [yellow] 3 7 5 3" xfId="1397"/>
    <cellStyle name="Input [yellow] 3 7 5 3 2" xfId="12594"/>
    <cellStyle name="Input [yellow] 3 7 5 3 3" xfId="23762"/>
    <cellStyle name="Input [yellow] 3 7 5 3 4" xfId="34927"/>
    <cellStyle name="Input [yellow] 3 7 5 3 5" xfId="46120"/>
    <cellStyle name="Input [yellow] 3 7 5 4" xfId="2254"/>
    <cellStyle name="Input [yellow] 3 7 5 4 2" xfId="13451"/>
    <cellStyle name="Input [yellow] 3 7 5 4 3" xfId="24619"/>
    <cellStyle name="Input [yellow] 3 7 5 4 4" xfId="35784"/>
    <cellStyle name="Input [yellow] 3 7 5 4 5" xfId="46977"/>
    <cellStyle name="Input [yellow] 3 7 5 5" xfId="2679"/>
    <cellStyle name="Input [yellow] 3 7 5 5 2" xfId="13876"/>
    <cellStyle name="Input [yellow] 3 7 5 5 3" xfId="25044"/>
    <cellStyle name="Input [yellow] 3 7 5 5 4" xfId="36209"/>
    <cellStyle name="Input [yellow] 3 7 5 5 5" xfId="47402"/>
    <cellStyle name="Input [yellow] 3 7 5 6" xfId="3313"/>
    <cellStyle name="Input [yellow] 3 7 5 6 2" xfId="14510"/>
    <cellStyle name="Input [yellow] 3 7 5 6 3" xfId="25678"/>
    <cellStyle name="Input [yellow] 3 7 5 6 4" xfId="36843"/>
    <cellStyle name="Input [yellow] 3 7 5 6 5" xfId="48036"/>
    <cellStyle name="Input [yellow] 3 7 5 7" xfId="3947"/>
    <cellStyle name="Input [yellow] 3 7 5 7 2" xfId="15144"/>
    <cellStyle name="Input [yellow] 3 7 5 7 3" xfId="26312"/>
    <cellStyle name="Input [yellow] 3 7 5 7 4" xfId="37477"/>
    <cellStyle name="Input [yellow] 3 7 5 7 5" xfId="48670"/>
    <cellStyle name="Input [yellow] 3 7 5 8" xfId="4580"/>
    <cellStyle name="Input [yellow] 3 7 5 8 2" xfId="15777"/>
    <cellStyle name="Input [yellow] 3 7 5 8 3" xfId="26945"/>
    <cellStyle name="Input [yellow] 3 7 5 8 4" xfId="38110"/>
    <cellStyle name="Input [yellow] 3 7 5 8 5" xfId="49303"/>
    <cellStyle name="Input [yellow] 3 7 5 9" xfId="5211"/>
    <cellStyle name="Input [yellow] 3 7 5 9 2" xfId="16408"/>
    <cellStyle name="Input [yellow] 3 7 5 9 3" xfId="27576"/>
    <cellStyle name="Input [yellow] 3 7 5 9 4" xfId="38741"/>
    <cellStyle name="Input [yellow] 3 7 5 9 5" xfId="49934"/>
    <cellStyle name="Input [yellow] 3 7 6" xfId="341"/>
    <cellStyle name="Input [yellow] 3 7 6 10" xfId="5896"/>
    <cellStyle name="Input [yellow] 3 7 6 10 2" xfId="17093"/>
    <cellStyle name="Input [yellow] 3 7 6 10 3" xfId="28261"/>
    <cellStyle name="Input [yellow] 3 7 6 10 4" xfId="39426"/>
    <cellStyle name="Input [yellow] 3 7 6 10 5" xfId="50619"/>
    <cellStyle name="Input [yellow] 3 7 6 11" xfId="6277"/>
    <cellStyle name="Input [yellow] 3 7 6 11 2" xfId="17474"/>
    <cellStyle name="Input [yellow] 3 7 6 11 3" xfId="28642"/>
    <cellStyle name="Input [yellow] 3 7 6 11 4" xfId="39807"/>
    <cellStyle name="Input [yellow] 3 7 6 11 5" xfId="51000"/>
    <cellStyle name="Input [yellow] 3 7 6 12" xfId="6910"/>
    <cellStyle name="Input [yellow] 3 7 6 12 2" xfId="18107"/>
    <cellStyle name="Input [yellow] 3 7 6 12 3" xfId="29275"/>
    <cellStyle name="Input [yellow] 3 7 6 12 4" xfId="40440"/>
    <cellStyle name="Input [yellow] 3 7 6 12 5" xfId="51633"/>
    <cellStyle name="Input [yellow] 3 7 6 13" xfId="7544"/>
    <cellStyle name="Input [yellow] 3 7 6 13 2" xfId="18741"/>
    <cellStyle name="Input [yellow] 3 7 6 13 3" xfId="29909"/>
    <cellStyle name="Input [yellow] 3 7 6 13 4" xfId="41074"/>
    <cellStyle name="Input [yellow] 3 7 6 13 5" xfId="52267"/>
    <cellStyle name="Input [yellow] 3 7 6 14" xfId="8178"/>
    <cellStyle name="Input [yellow] 3 7 6 14 2" xfId="19375"/>
    <cellStyle name="Input [yellow] 3 7 6 14 3" xfId="30543"/>
    <cellStyle name="Input [yellow] 3 7 6 14 4" xfId="41708"/>
    <cellStyle name="Input [yellow] 3 7 6 14 5" xfId="52901"/>
    <cellStyle name="Input [yellow] 3 7 6 15" xfId="8807"/>
    <cellStyle name="Input [yellow] 3 7 6 15 2" xfId="20004"/>
    <cellStyle name="Input [yellow] 3 7 6 15 3" xfId="31172"/>
    <cellStyle name="Input [yellow] 3 7 6 15 4" xfId="42337"/>
    <cellStyle name="Input [yellow] 3 7 6 15 5" xfId="53530"/>
    <cellStyle name="Input [yellow] 3 7 6 16" xfId="9229"/>
    <cellStyle name="Input [yellow] 3 7 6 16 2" xfId="20426"/>
    <cellStyle name="Input [yellow] 3 7 6 16 3" xfId="31594"/>
    <cellStyle name="Input [yellow] 3 7 6 16 4" xfId="42759"/>
    <cellStyle name="Input [yellow] 3 7 6 16 5" xfId="53952"/>
    <cellStyle name="Input [yellow] 3 7 6 17" xfId="9856"/>
    <cellStyle name="Input [yellow] 3 7 6 17 2" xfId="21053"/>
    <cellStyle name="Input [yellow] 3 7 6 17 3" xfId="32221"/>
    <cellStyle name="Input [yellow] 3 7 6 17 4" xfId="43386"/>
    <cellStyle name="Input [yellow] 3 7 6 17 5" xfId="54579"/>
    <cellStyle name="Input [yellow] 3 7 6 18" xfId="10051"/>
    <cellStyle name="Input [yellow] 3 7 6 18 2" xfId="21248"/>
    <cellStyle name="Input [yellow] 3 7 6 18 3" xfId="32416"/>
    <cellStyle name="Input [yellow] 3 7 6 18 4" xfId="43581"/>
    <cellStyle name="Input [yellow] 3 7 6 18 5" xfId="54774"/>
    <cellStyle name="Input [yellow] 3 7 6 19" xfId="10894"/>
    <cellStyle name="Input [yellow] 3 7 6 19 2" xfId="22091"/>
    <cellStyle name="Input [yellow] 3 7 6 19 3" xfId="33259"/>
    <cellStyle name="Input [yellow] 3 7 6 19 4" xfId="44424"/>
    <cellStyle name="Input [yellow] 3 7 6 19 5" xfId="55617"/>
    <cellStyle name="Input [yellow] 3 7 6 2" xfId="990"/>
    <cellStyle name="Input [yellow] 3 7 6 2 2" xfId="12187"/>
    <cellStyle name="Input [yellow] 3 7 6 2 3" xfId="23355"/>
    <cellStyle name="Input [yellow] 3 7 6 2 4" xfId="34520"/>
    <cellStyle name="Input [yellow] 3 7 6 2 5" xfId="45713"/>
    <cellStyle name="Input [yellow] 3 7 6 20" xfId="11541"/>
    <cellStyle name="Input [yellow] 3 7 6 21" xfId="22711"/>
    <cellStyle name="Input [yellow] 3 7 6 22" xfId="33878"/>
    <cellStyle name="Input [yellow] 3 7 6 23" xfId="45064"/>
    <cellStyle name="Input [yellow] 3 7 6 3" xfId="1854"/>
    <cellStyle name="Input [yellow] 3 7 6 3 2" xfId="13051"/>
    <cellStyle name="Input [yellow] 3 7 6 3 3" xfId="24219"/>
    <cellStyle name="Input [yellow] 3 7 6 3 4" xfId="35384"/>
    <cellStyle name="Input [yellow] 3 7 6 3 5" xfId="46577"/>
    <cellStyle name="Input [yellow] 3 7 6 4" xfId="2266"/>
    <cellStyle name="Input [yellow] 3 7 6 4 2" xfId="13463"/>
    <cellStyle name="Input [yellow] 3 7 6 4 3" xfId="24631"/>
    <cellStyle name="Input [yellow] 3 7 6 4 4" xfId="35796"/>
    <cellStyle name="Input [yellow] 3 7 6 4 5" xfId="46989"/>
    <cellStyle name="Input [yellow] 3 7 6 5" xfId="2691"/>
    <cellStyle name="Input [yellow] 3 7 6 5 2" xfId="13888"/>
    <cellStyle name="Input [yellow] 3 7 6 5 3" xfId="25056"/>
    <cellStyle name="Input [yellow] 3 7 6 5 4" xfId="36221"/>
    <cellStyle name="Input [yellow] 3 7 6 5 5" xfId="47414"/>
    <cellStyle name="Input [yellow] 3 7 6 6" xfId="3325"/>
    <cellStyle name="Input [yellow] 3 7 6 6 2" xfId="14522"/>
    <cellStyle name="Input [yellow] 3 7 6 6 3" xfId="25690"/>
    <cellStyle name="Input [yellow] 3 7 6 6 4" xfId="36855"/>
    <cellStyle name="Input [yellow] 3 7 6 6 5" xfId="48048"/>
    <cellStyle name="Input [yellow] 3 7 6 7" xfId="3959"/>
    <cellStyle name="Input [yellow] 3 7 6 7 2" xfId="15156"/>
    <cellStyle name="Input [yellow] 3 7 6 7 3" xfId="26324"/>
    <cellStyle name="Input [yellow] 3 7 6 7 4" xfId="37489"/>
    <cellStyle name="Input [yellow] 3 7 6 7 5" xfId="48682"/>
    <cellStyle name="Input [yellow] 3 7 6 8" xfId="4592"/>
    <cellStyle name="Input [yellow] 3 7 6 8 2" xfId="15789"/>
    <cellStyle name="Input [yellow] 3 7 6 8 3" xfId="26957"/>
    <cellStyle name="Input [yellow] 3 7 6 8 4" xfId="38122"/>
    <cellStyle name="Input [yellow] 3 7 6 8 5" xfId="49315"/>
    <cellStyle name="Input [yellow] 3 7 6 9" xfId="5223"/>
    <cellStyle name="Input [yellow] 3 7 6 9 2" xfId="16420"/>
    <cellStyle name="Input [yellow] 3 7 6 9 3" xfId="27588"/>
    <cellStyle name="Input [yellow] 3 7 6 9 4" xfId="38753"/>
    <cellStyle name="Input [yellow] 3 7 6 9 5" xfId="49946"/>
    <cellStyle name="Input [yellow] 3 7 7" xfId="453"/>
    <cellStyle name="Input [yellow] 3 7 7 10" xfId="4342"/>
    <cellStyle name="Input [yellow] 3 7 7 10 2" xfId="15539"/>
    <cellStyle name="Input [yellow] 3 7 7 10 3" xfId="26707"/>
    <cellStyle name="Input [yellow] 3 7 7 10 4" xfId="37872"/>
    <cellStyle name="Input [yellow] 3 7 7 10 5" xfId="49065"/>
    <cellStyle name="Input [yellow] 3 7 7 11" xfId="6389"/>
    <cellStyle name="Input [yellow] 3 7 7 11 2" xfId="17586"/>
    <cellStyle name="Input [yellow] 3 7 7 11 3" xfId="28754"/>
    <cellStyle name="Input [yellow] 3 7 7 11 4" xfId="39919"/>
    <cellStyle name="Input [yellow] 3 7 7 11 5" xfId="51112"/>
    <cellStyle name="Input [yellow] 3 7 7 12" xfId="7022"/>
    <cellStyle name="Input [yellow] 3 7 7 12 2" xfId="18219"/>
    <cellStyle name="Input [yellow] 3 7 7 12 3" xfId="29387"/>
    <cellStyle name="Input [yellow] 3 7 7 12 4" xfId="40552"/>
    <cellStyle name="Input [yellow] 3 7 7 12 5" xfId="51745"/>
    <cellStyle name="Input [yellow] 3 7 7 13" xfId="7656"/>
    <cellStyle name="Input [yellow] 3 7 7 13 2" xfId="18853"/>
    <cellStyle name="Input [yellow] 3 7 7 13 3" xfId="30021"/>
    <cellStyle name="Input [yellow] 3 7 7 13 4" xfId="41186"/>
    <cellStyle name="Input [yellow] 3 7 7 13 5" xfId="52379"/>
    <cellStyle name="Input [yellow] 3 7 7 14" xfId="8290"/>
    <cellStyle name="Input [yellow] 3 7 7 14 2" xfId="19487"/>
    <cellStyle name="Input [yellow] 3 7 7 14 3" xfId="30655"/>
    <cellStyle name="Input [yellow] 3 7 7 14 4" xfId="41820"/>
    <cellStyle name="Input [yellow] 3 7 7 14 5" xfId="53013"/>
    <cellStyle name="Input [yellow] 3 7 7 15" xfId="8918"/>
    <cellStyle name="Input [yellow] 3 7 7 15 2" xfId="20115"/>
    <cellStyle name="Input [yellow] 3 7 7 15 3" xfId="31283"/>
    <cellStyle name="Input [yellow] 3 7 7 15 4" xfId="42448"/>
    <cellStyle name="Input [yellow] 3 7 7 15 5" xfId="53641"/>
    <cellStyle name="Input [yellow] 3 7 7 16" xfId="9341"/>
    <cellStyle name="Input [yellow] 3 7 7 16 2" xfId="20538"/>
    <cellStyle name="Input [yellow] 3 7 7 16 3" xfId="31706"/>
    <cellStyle name="Input [yellow] 3 7 7 16 4" xfId="42871"/>
    <cellStyle name="Input [yellow] 3 7 7 16 5" xfId="54064"/>
    <cellStyle name="Input [yellow] 3 7 7 17" xfId="9967"/>
    <cellStyle name="Input [yellow] 3 7 7 17 2" xfId="21164"/>
    <cellStyle name="Input [yellow] 3 7 7 17 3" xfId="32332"/>
    <cellStyle name="Input [yellow] 3 7 7 17 4" xfId="43497"/>
    <cellStyle name="Input [yellow] 3 7 7 17 5" xfId="54690"/>
    <cellStyle name="Input [yellow] 3 7 7 18" xfId="8519"/>
    <cellStyle name="Input [yellow] 3 7 7 18 2" xfId="19716"/>
    <cellStyle name="Input [yellow] 3 7 7 18 3" xfId="30884"/>
    <cellStyle name="Input [yellow] 3 7 7 18 4" xfId="42049"/>
    <cellStyle name="Input [yellow] 3 7 7 18 5" xfId="53242"/>
    <cellStyle name="Input [yellow] 3 7 7 19" xfId="11006"/>
    <cellStyle name="Input [yellow] 3 7 7 19 2" xfId="22203"/>
    <cellStyle name="Input [yellow] 3 7 7 19 3" xfId="33371"/>
    <cellStyle name="Input [yellow] 3 7 7 19 4" xfId="44536"/>
    <cellStyle name="Input [yellow] 3 7 7 19 5" xfId="55729"/>
    <cellStyle name="Input [yellow] 3 7 7 2" xfId="1102"/>
    <cellStyle name="Input [yellow] 3 7 7 2 2" xfId="12299"/>
    <cellStyle name="Input [yellow] 3 7 7 2 3" xfId="23467"/>
    <cellStyle name="Input [yellow] 3 7 7 2 4" xfId="34632"/>
    <cellStyle name="Input [yellow] 3 7 7 2 5" xfId="45825"/>
    <cellStyle name="Input [yellow] 3 7 7 20" xfId="11653"/>
    <cellStyle name="Input [yellow] 3 7 7 21" xfId="22823"/>
    <cellStyle name="Input [yellow] 3 7 7 22" xfId="33990"/>
    <cellStyle name="Input [yellow] 3 7 7 23" xfId="45176"/>
    <cellStyle name="Input [yellow] 3 7 7 3" xfId="1326"/>
    <cellStyle name="Input [yellow] 3 7 7 3 2" xfId="12523"/>
    <cellStyle name="Input [yellow] 3 7 7 3 3" xfId="23691"/>
    <cellStyle name="Input [yellow] 3 7 7 3 4" xfId="34856"/>
    <cellStyle name="Input [yellow] 3 7 7 3 5" xfId="46049"/>
    <cellStyle name="Input [yellow] 3 7 7 4" xfId="2378"/>
    <cellStyle name="Input [yellow] 3 7 7 4 2" xfId="13575"/>
    <cellStyle name="Input [yellow] 3 7 7 4 3" xfId="24743"/>
    <cellStyle name="Input [yellow] 3 7 7 4 4" xfId="35908"/>
    <cellStyle name="Input [yellow] 3 7 7 4 5" xfId="47101"/>
    <cellStyle name="Input [yellow] 3 7 7 5" xfId="2803"/>
    <cellStyle name="Input [yellow] 3 7 7 5 2" xfId="14000"/>
    <cellStyle name="Input [yellow] 3 7 7 5 3" xfId="25168"/>
    <cellStyle name="Input [yellow] 3 7 7 5 4" xfId="36333"/>
    <cellStyle name="Input [yellow] 3 7 7 5 5" xfId="47526"/>
    <cellStyle name="Input [yellow] 3 7 7 6" xfId="3437"/>
    <cellStyle name="Input [yellow] 3 7 7 6 2" xfId="14634"/>
    <cellStyle name="Input [yellow] 3 7 7 6 3" xfId="25802"/>
    <cellStyle name="Input [yellow] 3 7 7 6 4" xfId="36967"/>
    <cellStyle name="Input [yellow] 3 7 7 6 5" xfId="48160"/>
    <cellStyle name="Input [yellow] 3 7 7 7" xfId="4071"/>
    <cellStyle name="Input [yellow] 3 7 7 7 2" xfId="15268"/>
    <cellStyle name="Input [yellow] 3 7 7 7 3" xfId="26436"/>
    <cellStyle name="Input [yellow] 3 7 7 7 4" xfId="37601"/>
    <cellStyle name="Input [yellow] 3 7 7 7 5" xfId="48794"/>
    <cellStyle name="Input [yellow] 3 7 7 8" xfId="4704"/>
    <cellStyle name="Input [yellow] 3 7 7 8 2" xfId="15901"/>
    <cellStyle name="Input [yellow] 3 7 7 8 3" xfId="27069"/>
    <cellStyle name="Input [yellow] 3 7 7 8 4" xfId="38234"/>
    <cellStyle name="Input [yellow] 3 7 7 8 5" xfId="49427"/>
    <cellStyle name="Input [yellow] 3 7 7 9" xfId="5335"/>
    <cellStyle name="Input [yellow] 3 7 7 9 2" xfId="16532"/>
    <cellStyle name="Input [yellow] 3 7 7 9 3" xfId="27700"/>
    <cellStyle name="Input [yellow] 3 7 7 9 4" xfId="38865"/>
    <cellStyle name="Input [yellow] 3 7 7 9 5" xfId="50058"/>
    <cellStyle name="Input [yellow] 3 7 8" xfId="477"/>
    <cellStyle name="Input [yellow] 3 7 8 10" xfId="5791"/>
    <cellStyle name="Input [yellow] 3 7 8 10 2" xfId="16988"/>
    <cellStyle name="Input [yellow] 3 7 8 10 3" xfId="28156"/>
    <cellStyle name="Input [yellow] 3 7 8 10 4" xfId="39321"/>
    <cellStyle name="Input [yellow] 3 7 8 10 5" xfId="50514"/>
    <cellStyle name="Input [yellow] 3 7 8 11" xfId="6413"/>
    <cellStyle name="Input [yellow] 3 7 8 11 2" xfId="17610"/>
    <cellStyle name="Input [yellow] 3 7 8 11 3" xfId="28778"/>
    <cellStyle name="Input [yellow] 3 7 8 11 4" xfId="39943"/>
    <cellStyle name="Input [yellow] 3 7 8 11 5" xfId="51136"/>
    <cellStyle name="Input [yellow] 3 7 8 12" xfId="7046"/>
    <cellStyle name="Input [yellow] 3 7 8 12 2" xfId="18243"/>
    <cellStyle name="Input [yellow] 3 7 8 12 3" xfId="29411"/>
    <cellStyle name="Input [yellow] 3 7 8 12 4" xfId="40576"/>
    <cellStyle name="Input [yellow] 3 7 8 12 5" xfId="51769"/>
    <cellStyle name="Input [yellow] 3 7 8 13" xfId="7680"/>
    <cellStyle name="Input [yellow] 3 7 8 13 2" xfId="18877"/>
    <cellStyle name="Input [yellow] 3 7 8 13 3" xfId="30045"/>
    <cellStyle name="Input [yellow] 3 7 8 13 4" xfId="41210"/>
    <cellStyle name="Input [yellow] 3 7 8 13 5" xfId="52403"/>
    <cellStyle name="Input [yellow] 3 7 8 14" xfId="8314"/>
    <cellStyle name="Input [yellow] 3 7 8 14 2" xfId="19511"/>
    <cellStyle name="Input [yellow] 3 7 8 14 3" xfId="30679"/>
    <cellStyle name="Input [yellow] 3 7 8 14 4" xfId="41844"/>
    <cellStyle name="Input [yellow] 3 7 8 14 5" xfId="53037"/>
    <cellStyle name="Input [yellow] 3 7 8 15" xfId="8942"/>
    <cellStyle name="Input [yellow] 3 7 8 15 2" xfId="20139"/>
    <cellStyle name="Input [yellow] 3 7 8 15 3" xfId="31307"/>
    <cellStyle name="Input [yellow] 3 7 8 15 4" xfId="42472"/>
    <cellStyle name="Input [yellow] 3 7 8 15 5" xfId="53665"/>
    <cellStyle name="Input [yellow] 3 7 8 16" xfId="9365"/>
    <cellStyle name="Input [yellow] 3 7 8 16 2" xfId="20562"/>
    <cellStyle name="Input [yellow] 3 7 8 16 3" xfId="31730"/>
    <cellStyle name="Input [yellow] 3 7 8 16 4" xfId="42895"/>
    <cellStyle name="Input [yellow] 3 7 8 16 5" xfId="54088"/>
    <cellStyle name="Input [yellow] 3 7 8 17" xfId="9991"/>
    <cellStyle name="Input [yellow] 3 7 8 17 2" xfId="21188"/>
    <cellStyle name="Input [yellow] 3 7 8 17 3" xfId="32356"/>
    <cellStyle name="Input [yellow] 3 7 8 17 4" xfId="43521"/>
    <cellStyle name="Input [yellow] 3 7 8 17 5" xfId="54714"/>
    <cellStyle name="Input [yellow] 3 7 8 18" xfId="10544"/>
    <cellStyle name="Input [yellow] 3 7 8 18 2" xfId="21741"/>
    <cellStyle name="Input [yellow] 3 7 8 18 3" xfId="32909"/>
    <cellStyle name="Input [yellow] 3 7 8 18 4" xfId="44074"/>
    <cellStyle name="Input [yellow] 3 7 8 18 5" xfId="55267"/>
    <cellStyle name="Input [yellow] 3 7 8 19" xfId="11030"/>
    <cellStyle name="Input [yellow] 3 7 8 19 2" xfId="22227"/>
    <cellStyle name="Input [yellow] 3 7 8 19 3" xfId="33395"/>
    <cellStyle name="Input [yellow] 3 7 8 19 4" xfId="44560"/>
    <cellStyle name="Input [yellow] 3 7 8 19 5" xfId="55753"/>
    <cellStyle name="Input [yellow] 3 7 8 2" xfId="1126"/>
    <cellStyle name="Input [yellow] 3 7 8 2 2" xfId="12323"/>
    <cellStyle name="Input [yellow] 3 7 8 2 3" xfId="23491"/>
    <cellStyle name="Input [yellow] 3 7 8 2 4" xfId="34656"/>
    <cellStyle name="Input [yellow] 3 7 8 2 5" xfId="45849"/>
    <cellStyle name="Input [yellow] 3 7 8 20" xfId="11677"/>
    <cellStyle name="Input [yellow] 3 7 8 21" xfId="22847"/>
    <cellStyle name="Input [yellow] 3 7 8 22" xfId="34014"/>
    <cellStyle name="Input [yellow] 3 7 8 23" xfId="45200"/>
    <cellStyle name="Input [yellow] 3 7 8 3" xfId="1362"/>
    <cellStyle name="Input [yellow] 3 7 8 3 2" xfId="12559"/>
    <cellStyle name="Input [yellow] 3 7 8 3 3" xfId="23727"/>
    <cellStyle name="Input [yellow] 3 7 8 3 4" xfId="34892"/>
    <cellStyle name="Input [yellow] 3 7 8 3 5" xfId="46085"/>
    <cellStyle name="Input [yellow] 3 7 8 4" xfId="2402"/>
    <cellStyle name="Input [yellow] 3 7 8 4 2" xfId="13599"/>
    <cellStyle name="Input [yellow] 3 7 8 4 3" xfId="24767"/>
    <cellStyle name="Input [yellow] 3 7 8 4 4" xfId="35932"/>
    <cellStyle name="Input [yellow] 3 7 8 4 5" xfId="47125"/>
    <cellStyle name="Input [yellow] 3 7 8 5" xfId="2827"/>
    <cellStyle name="Input [yellow] 3 7 8 5 2" xfId="14024"/>
    <cellStyle name="Input [yellow] 3 7 8 5 3" xfId="25192"/>
    <cellStyle name="Input [yellow] 3 7 8 5 4" xfId="36357"/>
    <cellStyle name="Input [yellow] 3 7 8 5 5" xfId="47550"/>
    <cellStyle name="Input [yellow] 3 7 8 6" xfId="3461"/>
    <cellStyle name="Input [yellow] 3 7 8 6 2" xfId="14658"/>
    <cellStyle name="Input [yellow] 3 7 8 6 3" xfId="25826"/>
    <cellStyle name="Input [yellow] 3 7 8 6 4" xfId="36991"/>
    <cellStyle name="Input [yellow] 3 7 8 6 5" xfId="48184"/>
    <cellStyle name="Input [yellow] 3 7 8 7" xfId="4095"/>
    <cellStyle name="Input [yellow] 3 7 8 7 2" xfId="15292"/>
    <cellStyle name="Input [yellow] 3 7 8 7 3" xfId="26460"/>
    <cellStyle name="Input [yellow] 3 7 8 7 4" xfId="37625"/>
    <cellStyle name="Input [yellow] 3 7 8 7 5" xfId="48818"/>
    <cellStyle name="Input [yellow] 3 7 8 8" xfId="4728"/>
    <cellStyle name="Input [yellow] 3 7 8 8 2" xfId="15925"/>
    <cellStyle name="Input [yellow] 3 7 8 8 3" xfId="27093"/>
    <cellStyle name="Input [yellow] 3 7 8 8 4" xfId="38258"/>
    <cellStyle name="Input [yellow] 3 7 8 8 5" xfId="49451"/>
    <cellStyle name="Input [yellow] 3 7 8 9" xfId="5359"/>
    <cellStyle name="Input [yellow] 3 7 8 9 2" xfId="16556"/>
    <cellStyle name="Input [yellow] 3 7 8 9 3" xfId="27724"/>
    <cellStyle name="Input [yellow] 3 7 8 9 4" xfId="38889"/>
    <cellStyle name="Input [yellow] 3 7 8 9 5" xfId="50082"/>
    <cellStyle name="Input [yellow] 3 7 9" xfId="535"/>
    <cellStyle name="Input [yellow] 3 7 9 10" xfId="5866"/>
    <cellStyle name="Input [yellow] 3 7 9 10 2" xfId="17063"/>
    <cellStyle name="Input [yellow] 3 7 9 10 3" xfId="28231"/>
    <cellStyle name="Input [yellow] 3 7 9 10 4" xfId="39396"/>
    <cellStyle name="Input [yellow] 3 7 9 10 5" xfId="50589"/>
    <cellStyle name="Input [yellow] 3 7 9 11" xfId="6471"/>
    <cellStyle name="Input [yellow] 3 7 9 11 2" xfId="17668"/>
    <cellStyle name="Input [yellow] 3 7 9 11 3" xfId="28836"/>
    <cellStyle name="Input [yellow] 3 7 9 11 4" xfId="40001"/>
    <cellStyle name="Input [yellow] 3 7 9 11 5" xfId="51194"/>
    <cellStyle name="Input [yellow] 3 7 9 12" xfId="7104"/>
    <cellStyle name="Input [yellow] 3 7 9 12 2" xfId="18301"/>
    <cellStyle name="Input [yellow] 3 7 9 12 3" xfId="29469"/>
    <cellStyle name="Input [yellow] 3 7 9 12 4" xfId="40634"/>
    <cellStyle name="Input [yellow] 3 7 9 12 5" xfId="51827"/>
    <cellStyle name="Input [yellow] 3 7 9 13" xfId="7738"/>
    <cellStyle name="Input [yellow] 3 7 9 13 2" xfId="18935"/>
    <cellStyle name="Input [yellow] 3 7 9 13 3" xfId="30103"/>
    <cellStyle name="Input [yellow] 3 7 9 13 4" xfId="41268"/>
    <cellStyle name="Input [yellow] 3 7 9 13 5" xfId="52461"/>
    <cellStyle name="Input [yellow] 3 7 9 14" xfId="8372"/>
    <cellStyle name="Input [yellow] 3 7 9 14 2" xfId="19569"/>
    <cellStyle name="Input [yellow] 3 7 9 14 3" xfId="30737"/>
    <cellStyle name="Input [yellow] 3 7 9 14 4" xfId="41902"/>
    <cellStyle name="Input [yellow] 3 7 9 14 5" xfId="53095"/>
    <cellStyle name="Input [yellow] 3 7 9 15" xfId="9000"/>
    <cellStyle name="Input [yellow] 3 7 9 15 2" xfId="20197"/>
    <cellStyle name="Input [yellow] 3 7 9 15 3" xfId="31365"/>
    <cellStyle name="Input [yellow] 3 7 9 15 4" xfId="42530"/>
    <cellStyle name="Input [yellow] 3 7 9 15 5" xfId="53723"/>
    <cellStyle name="Input [yellow] 3 7 9 16" xfId="9423"/>
    <cellStyle name="Input [yellow] 3 7 9 16 2" xfId="20620"/>
    <cellStyle name="Input [yellow] 3 7 9 16 3" xfId="31788"/>
    <cellStyle name="Input [yellow] 3 7 9 16 4" xfId="42953"/>
    <cellStyle name="Input [yellow] 3 7 9 16 5" xfId="54146"/>
    <cellStyle name="Input [yellow] 3 7 9 17" xfId="10048"/>
    <cellStyle name="Input [yellow] 3 7 9 17 2" xfId="21245"/>
    <cellStyle name="Input [yellow] 3 7 9 17 3" xfId="32413"/>
    <cellStyle name="Input [yellow] 3 7 9 17 4" xfId="43578"/>
    <cellStyle name="Input [yellow] 3 7 9 17 5" xfId="54771"/>
    <cellStyle name="Input [yellow] 3 7 9 18" xfId="10399"/>
    <cellStyle name="Input [yellow] 3 7 9 18 2" xfId="21596"/>
    <cellStyle name="Input [yellow] 3 7 9 18 3" xfId="32764"/>
    <cellStyle name="Input [yellow] 3 7 9 18 4" xfId="43929"/>
    <cellStyle name="Input [yellow] 3 7 9 18 5" xfId="55122"/>
    <cellStyle name="Input [yellow] 3 7 9 19" xfId="11088"/>
    <cellStyle name="Input [yellow] 3 7 9 19 2" xfId="22285"/>
    <cellStyle name="Input [yellow] 3 7 9 19 3" xfId="33453"/>
    <cellStyle name="Input [yellow] 3 7 9 19 4" xfId="44618"/>
    <cellStyle name="Input [yellow] 3 7 9 19 5" xfId="55811"/>
    <cellStyle name="Input [yellow] 3 7 9 2" xfId="1184"/>
    <cellStyle name="Input [yellow] 3 7 9 2 2" xfId="12381"/>
    <cellStyle name="Input [yellow] 3 7 9 2 3" xfId="23549"/>
    <cellStyle name="Input [yellow] 3 7 9 2 4" xfId="34714"/>
    <cellStyle name="Input [yellow] 3 7 9 2 5" xfId="45907"/>
    <cellStyle name="Input [yellow] 3 7 9 20" xfId="11735"/>
    <cellStyle name="Input [yellow] 3 7 9 21" xfId="22905"/>
    <cellStyle name="Input [yellow] 3 7 9 22" xfId="34072"/>
    <cellStyle name="Input [yellow] 3 7 9 23" xfId="45258"/>
    <cellStyle name="Input [yellow] 3 7 9 3" xfId="1718"/>
    <cellStyle name="Input [yellow] 3 7 9 3 2" xfId="12915"/>
    <cellStyle name="Input [yellow] 3 7 9 3 3" xfId="24083"/>
    <cellStyle name="Input [yellow] 3 7 9 3 4" xfId="35248"/>
    <cellStyle name="Input [yellow] 3 7 9 3 5" xfId="46441"/>
    <cellStyle name="Input [yellow] 3 7 9 4" xfId="2460"/>
    <cellStyle name="Input [yellow] 3 7 9 4 2" xfId="13657"/>
    <cellStyle name="Input [yellow] 3 7 9 4 3" xfId="24825"/>
    <cellStyle name="Input [yellow] 3 7 9 4 4" xfId="35990"/>
    <cellStyle name="Input [yellow] 3 7 9 4 5" xfId="47183"/>
    <cellStyle name="Input [yellow] 3 7 9 5" xfId="2885"/>
    <cellStyle name="Input [yellow] 3 7 9 5 2" xfId="14082"/>
    <cellStyle name="Input [yellow] 3 7 9 5 3" xfId="25250"/>
    <cellStyle name="Input [yellow] 3 7 9 5 4" xfId="36415"/>
    <cellStyle name="Input [yellow] 3 7 9 5 5" xfId="47608"/>
    <cellStyle name="Input [yellow] 3 7 9 6" xfId="3519"/>
    <cellStyle name="Input [yellow] 3 7 9 6 2" xfId="14716"/>
    <cellStyle name="Input [yellow] 3 7 9 6 3" xfId="25884"/>
    <cellStyle name="Input [yellow] 3 7 9 6 4" xfId="37049"/>
    <cellStyle name="Input [yellow] 3 7 9 6 5" xfId="48242"/>
    <cellStyle name="Input [yellow] 3 7 9 7" xfId="4153"/>
    <cellStyle name="Input [yellow] 3 7 9 7 2" xfId="15350"/>
    <cellStyle name="Input [yellow] 3 7 9 7 3" xfId="26518"/>
    <cellStyle name="Input [yellow] 3 7 9 7 4" xfId="37683"/>
    <cellStyle name="Input [yellow] 3 7 9 7 5" xfId="48876"/>
    <cellStyle name="Input [yellow] 3 7 9 8" xfId="4786"/>
    <cellStyle name="Input [yellow] 3 7 9 8 2" xfId="15983"/>
    <cellStyle name="Input [yellow] 3 7 9 8 3" xfId="27151"/>
    <cellStyle name="Input [yellow] 3 7 9 8 4" xfId="38316"/>
    <cellStyle name="Input [yellow] 3 7 9 8 5" xfId="49509"/>
    <cellStyle name="Input [yellow] 3 7 9 9" xfId="5417"/>
    <cellStyle name="Input [yellow] 3 7 9 9 2" xfId="16614"/>
    <cellStyle name="Input [yellow] 3 7 9 9 3" xfId="27782"/>
    <cellStyle name="Input [yellow] 3 7 9 9 4" xfId="38947"/>
    <cellStyle name="Input [yellow] 3 7 9 9 5" xfId="50140"/>
    <cellStyle name="Input [yellow] 3 8" xfId="73"/>
    <cellStyle name="Input [yellow] 3 8 10" xfId="463"/>
    <cellStyle name="Input [yellow] 3 8 10 10" xfId="5844"/>
    <cellStyle name="Input [yellow] 3 8 10 10 2" xfId="17041"/>
    <cellStyle name="Input [yellow] 3 8 10 10 3" xfId="28209"/>
    <cellStyle name="Input [yellow] 3 8 10 10 4" xfId="39374"/>
    <cellStyle name="Input [yellow] 3 8 10 10 5" xfId="50567"/>
    <cellStyle name="Input [yellow] 3 8 10 11" xfId="6399"/>
    <cellStyle name="Input [yellow] 3 8 10 11 2" xfId="17596"/>
    <cellStyle name="Input [yellow] 3 8 10 11 3" xfId="28764"/>
    <cellStyle name="Input [yellow] 3 8 10 11 4" xfId="39929"/>
    <cellStyle name="Input [yellow] 3 8 10 11 5" xfId="51122"/>
    <cellStyle name="Input [yellow] 3 8 10 12" xfId="7032"/>
    <cellStyle name="Input [yellow] 3 8 10 12 2" xfId="18229"/>
    <cellStyle name="Input [yellow] 3 8 10 12 3" xfId="29397"/>
    <cellStyle name="Input [yellow] 3 8 10 12 4" xfId="40562"/>
    <cellStyle name="Input [yellow] 3 8 10 12 5" xfId="51755"/>
    <cellStyle name="Input [yellow] 3 8 10 13" xfId="7666"/>
    <cellStyle name="Input [yellow] 3 8 10 13 2" xfId="18863"/>
    <cellStyle name="Input [yellow] 3 8 10 13 3" xfId="30031"/>
    <cellStyle name="Input [yellow] 3 8 10 13 4" xfId="41196"/>
    <cellStyle name="Input [yellow] 3 8 10 13 5" xfId="52389"/>
    <cellStyle name="Input [yellow] 3 8 10 14" xfId="8300"/>
    <cellStyle name="Input [yellow] 3 8 10 14 2" xfId="19497"/>
    <cellStyle name="Input [yellow] 3 8 10 14 3" xfId="30665"/>
    <cellStyle name="Input [yellow] 3 8 10 14 4" xfId="41830"/>
    <cellStyle name="Input [yellow] 3 8 10 14 5" xfId="53023"/>
    <cellStyle name="Input [yellow] 3 8 10 15" xfId="8928"/>
    <cellStyle name="Input [yellow] 3 8 10 15 2" xfId="20125"/>
    <cellStyle name="Input [yellow] 3 8 10 15 3" xfId="31293"/>
    <cellStyle name="Input [yellow] 3 8 10 15 4" xfId="42458"/>
    <cellStyle name="Input [yellow] 3 8 10 15 5" xfId="53651"/>
    <cellStyle name="Input [yellow] 3 8 10 16" xfId="9351"/>
    <cellStyle name="Input [yellow] 3 8 10 16 2" xfId="20548"/>
    <cellStyle name="Input [yellow] 3 8 10 16 3" xfId="31716"/>
    <cellStyle name="Input [yellow] 3 8 10 16 4" xfId="42881"/>
    <cellStyle name="Input [yellow] 3 8 10 16 5" xfId="54074"/>
    <cellStyle name="Input [yellow] 3 8 10 17" xfId="9977"/>
    <cellStyle name="Input [yellow] 3 8 10 17 2" xfId="21174"/>
    <cellStyle name="Input [yellow] 3 8 10 17 3" xfId="32342"/>
    <cellStyle name="Input [yellow] 3 8 10 17 4" xfId="43507"/>
    <cellStyle name="Input [yellow] 3 8 10 17 5" xfId="54700"/>
    <cellStyle name="Input [yellow] 3 8 10 18" xfId="9614"/>
    <cellStyle name="Input [yellow] 3 8 10 18 2" xfId="20811"/>
    <cellStyle name="Input [yellow] 3 8 10 18 3" xfId="31979"/>
    <cellStyle name="Input [yellow] 3 8 10 18 4" xfId="43144"/>
    <cellStyle name="Input [yellow] 3 8 10 18 5" xfId="54337"/>
    <cellStyle name="Input [yellow] 3 8 10 19" xfId="11016"/>
    <cellStyle name="Input [yellow] 3 8 10 19 2" xfId="22213"/>
    <cellStyle name="Input [yellow] 3 8 10 19 3" xfId="33381"/>
    <cellStyle name="Input [yellow] 3 8 10 19 4" xfId="44546"/>
    <cellStyle name="Input [yellow] 3 8 10 19 5" xfId="55739"/>
    <cellStyle name="Input [yellow] 3 8 10 2" xfId="1112"/>
    <cellStyle name="Input [yellow] 3 8 10 2 2" xfId="12309"/>
    <cellStyle name="Input [yellow] 3 8 10 2 3" xfId="23477"/>
    <cellStyle name="Input [yellow] 3 8 10 2 4" xfId="34642"/>
    <cellStyle name="Input [yellow] 3 8 10 2 5" xfId="45835"/>
    <cellStyle name="Input [yellow] 3 8 10 20" xfId="11663"/>
    <cellStyle name="Input [yellow] 3 8 10 21" xfId="22833"/>
    <cellStyle name="Input [yellow] 3 8 10 22" xfId="34000"/>
    <cellStyle name="Input [yellow] 3 8 10 23" xfId="45186"/>
    <cellStyle name="Input [yellow] 3 8 10 3" xfId="1442"/>
    <cellStyle name="Input [yellow] 3 8 10 3 2" xfId="12639"/>
    <cellStyle name="Input [yellow] 3 8 10 3 3" xfId="23807"/>
    <cellStyle name="Input [yellow] 3 8 10 3 4" xfId="34972"/>
    <cellStyle name="Input [yellow] 3 8 10 3 5" xfId="46165"/>
    <cellStyle name="Input [yellow] 3 8 10 4" xfId="2388"/>
    <cellStyle name="Input [yellow] 3 8 10 4 2" xfId="13585"/>
    <cellStyle name="Input [yellow] 3 8 10 4 3" xfId="24753"/>
    <cellStyle name="Input [yellow] 3 8 10 4 4" xfId="35918"/>
    <cellStyle name="Input [yellow] 3 8 10 4 5" xfId="47111"/>
    <cellStyle name="Input [yellow] 3 8 10 5" xfId="2813"/>
    <cellStyle name="Input [yellow] 3 8 10 5 2" xfId="14010"/>
    <cellStyle name="Input [yellow] 3 8 10 5 3" xfId="25178"/>
    <cellStyle name="Input [yellow] 3 8 10 5 4" xfId="36343"/>
    <cellStyle name="Input [yellow] 3 8 10 5 5" xfId="47536"/>
    <cellStyle name="Input [yellow] 3 8 10 6" xfId="3447"/>
    <cellStyle name="Input [yellow] 3 8 10 6 2" xfId="14644"/>
    <cellStyle name="Input [yellow] 3 8 10 6 3" xfId="25812"/>
    <cellStyle name="Input [yellow] 3 8 10 6 4" xfId="36977"/>
    <cellStyle name="Input [yellow] 3 8 10 6 5" xfId="48170"/>
    <cellStyle name="Input [yellow] 3 8 10 7" xfId="4081"/>
    <cellStyle name="Input [yellow] 3 8 10 7 2" xfId="15278"/>
    <cellStyle name="Input [yellow] 3 8 10 7 3" xfId="26446"/>
    <cellStyle name="Input [yellow] 3 8 10 7 4" xfId="37611"/>
    <cellStyle name="Input [yellow] 3 8 10 7 5" xfId="48804"/>
    <cellStyle name="Input [yellow] 3 8 10 8" xfId="4714"/>
    <cellStyle name="Input [yellow] 3 8 10 8 2" xfId="15911"/>
    <cellStyle name="Input [yellow] 3 8 10 8 3" xfId="27079"/>
    <cellStyle name="Input [yellow] 3 8 10 8 4" xfId="38244"/>
    <cellStyle name="Input [yellow] 3 8 10 8 5" xfId="49437"/>
    <cellStyle name="Input [yellow] 3 8 10 9" xfId="5345"/>
    <cellStyle name="Input [yellow] 3 8 10 9 2" xfId="16542"/>
    <cellStyle name="Input [yellow] 3 8 10 9 3" xfId="27710"/>
    <cellStyle name="Input [yellow] 3 8 10 9 4" xfId="38875"/>
    <cellStyle name="Input [yellow] 3 8 10 9 5" xfId="50068"/>
    <cellStyle name="Input [yellow] 3 8 11" xfId="666"/>
    <cellStyle name="Input [yellow] 3 8 11 10" xfId="5639"/>
    <cellStyle name="Input [yellow] 3 8 11 10 2" xfId="16836"/>
    <cellStyle name="Input [yellow] 3 8 11 10 3" xfId="28004"/>
    <cellStyle name="Input [yellow] 3 8 11 10 4" xfId="39169"/>
    <cellStyle name="Input [yellow] 3 8 11 10 5" xfId="50362"/>
    <cellStyle name="Input [yellow] 3 8 11 11" xfId="6602"/>
    <cellStyle name="Input [yellow] 3 8 11 11 2" xfId="17799"/>
    <cellStyle name="Input [yellow] 3 8 11 11 3" xfId="28967"/>
    <cellStyle name="Input [yellow] 3 8 11 11 4" xfId="40132"/>
    <cellStyle name="Input [yellow] 3 8 11 11 5" xfId="51325"/>
    <cellStyle name="Input [yellow] 3 8 11 12" xfId="7235"/>
    <cellStyle name="Input [yellow] 3 8 11 12 2" xfId="18432"/>
    <cellStyle name="Input [yellow] 3 8 11 12 3" xfId="29600"/>
    <cellStyle name="Input [yellow] 3 8 11 12 4" xfId="40765"/>
    <cellStyle name="Input [yellow] 3 8 11 12 5" xfId="51958"/>
    <cellStyle name="Input [yellow] 3 8 11 13" xfId="7869"/>
    <cellStyle name="Input [yellow] 3 8 11 13 2" xfId="19066"/>
    <cellStyle name="Input [yellow] 3 8 11 13 3" xfId="30234"/>
    <cellStyle name="Input [yellow] 3 8 11 13 4" xfId="41399"/>
    <cellStyle name="Input [yellow] 3 8 11 13 5" xfId="52592"/>
    <cellStyle name="Input [yellow] 3 8 11 14" xfId="8503"/>
    <cellStyle name="Input [yellow] 3 8 11 14 2" xfId="19700"/>
    <cellStyle name="Input [yellow] 3 8 11 14 3" xfId="30868"/>
    <cellStyle name="Input [yellow] 3 8 11 14 4" xfId="42033"/>
    <cellStyle name="Input [yellow] 3 8 11 14 5" xfId="53226"/>
    <cellStyle name="Input [yellow] 3 8 11 15" xfId="9131"/>
    <cellStyle name="Input [yellow] 3 8 11 15 2" xfId="20328"/>
    <cellStyle name="Input [yellow] 3 8 11 15 3" xfId="31496"/>
    <cellStyle name="Input [yellow] 3 8 11 15 4" xfId="42661"/>
    <cellStyle name="Input [yellow] 3 8 11 15 5" xfId="53854"/>
    <cellStyle name="Input [yellow] 3 8 11 16" xfId="9554"/>
    <cellStyle name="Input [yellow] 3 8 11 16 2" xfId="20751"/>
    <cellStyle name="Input [yellow] 3 8 11 16 3" xfId="31919"/>
    <cellStyle name="Input [yellow] 3 8 11 16 4" xfId="43084"/>
    <cellStyle name="Input [yellow] 3 8 11 16 5" xfId="54277"/>
    <cellStyle name="Input [yellow] 3 8 11 17" xfId="10178"/>
    <cellStyle name="Input [yellow] 3 8 11 17 2" xfId="21375"/>
    <cellStyle name="Input [yellow] 3 8 11 17 3" xfId="32543"/>
    <cellStyle name="Input [yellow] 3 8 11 17 4" xfId="43708"/>
    <cellStyle name="Input [yellow] 3 8 11 17 5" xfId="54901"/>
    <cellStyle name="Input [yellow] 3 8 11 18" xfId="9912"/>
    <cellStyle name="Input [yellow] 3 8 11 18 2" xfId="21109"/>
    <cellStyle name="Input [yellow] 3 8 11 18 3" xfId="32277"/>
    <cellStyle name="Input [yellow] 3 8 11 18 4" xfId="43442"/>
    <cellStyle name="Input [yellow] 3 8 11 18 5" xfId="54635"/>
    <cellStyle name="Input [yellow] 3 8 11 19" xfId="11219"/>
    <cellStyle name="Input [yellow] 3 8 11 19 2" xfId="22416"/>
    <cellStyle name="Input [yellow] 3 8 11 19 3" xfId="33584"/>
    <cellStyle name="Input [yellow] 3 8 11 19 4" xfId="44749"/>
    <cellStyle name="Input [yellow] 3 8 11 19 5" xfId="55942"/>
    <cellStyle name="Input [yellow] 3 8 11 2" xfId="1315"/>
    <cellStyle name="Input [yellow] 3 8 11 2 2" xfId="12512"/>
    <cellStyle name="Input [yellow] 3 8 11 2 3" xfId="23680"/>
    <cellStyle name="Input [yellow] 3 8 11 2 4" xfId="34845"/>
    <cellStyle name="Input [yellow] 3 8 11 2 5" xfId="46038"/>
    <cellStyle name="Input [yellow] 3 8 11 20" xfId="11866"/>
    <cellStyle name="Input [yellow] 3 8 11 21" xfId="23036"/>
    <cellStyle name="Input [yellow] 3 8 11 22" xfId="34203"/>
    <cellStyle name="Input [yellow] 3 8 11 23" xfId="45389"/>
    <cellStyle name="Input [yellow] 3 8 11 3" xfId="1339"/>
    <cellStyle name="Input [yellow] 3 8 11 3 2" xfId="12536"/>
    <cellStyle name="Input [yellow] 3 8 11 3 3" xfId="23704"/>
    <cellStyle name="Input [yellow] 3 8 11 3 4" xfId="34869"/>
    <cellStyle name="Input [yellow] 3 8 11 3 5" xfId="46062"/>
    <cellStyle name="Input [yellow] 3 8 11 4" xfId="2590"/>
    <cellStyle name="Input [yellow] 3 8 11 4 2" xfId="13787"/>
    <cellStyle name="Input [yellow] 3 8 11 4 3" xfId="24955"/>
    <cellStyle name="Input [yellow] 3 8 11 4 4" xfId="36120"/>
    <cellStyle name="Input [yellow] 3 8 11 4 5" xfId="47313"/>
    <cellStyle name="Input [yellow] 3 8 11 5" xfId="3016"/>
    <cellStyle name="Input [yellow] 3 8 11 5 2" xfId="14213"/>
    <cellStyle name="Input [yellow] 3 8 11 5 3" xfId="25381"/>
    <cellStyle name="Input [yellow] 3 8 11 5 4" xfId="36546"/>
    <cellStyle name="Input [yellow] 3 8 11 5 5" xfId="47739"/>
    <cellStyle name="Input [yellow] 3 8 11 6" xfId="3650"/>
    <cellStyle name="Input [yellow] 3 8 11 6 2" xfId="14847"/>
    <cellStyle name="Input [yellow] 3 8 11 6 3" xfId="26015"/>
    <cellStyle name="Input [yellow] 3 8 11 6 4" xfId="37180"/>
    <cellStyle name="Input [yellow] 3 8 11 6 5" xfId="48373"/>
    <cellStyle name="Input [yellow] 3 8 11 7" xfId="4284"/>
    <cellStyle name="Input [yellow] 3 8 11 7 2" xfId="15481"/>
    <cellStyle name="Input [yellow] 3 8 11 7 3" xfId="26649"/>
    <cellStyle name="Input [yellow] 3 8 11 7 4" xfId="37814"/>
    <cellStyle name="Input [yellow] 3 8 11 7 5" xfId="49007"/>
    <cellStyle name="Input [yellow] 3 8 11 8" xfId="4917"/>
    <cellStyle name="Input [yellow] 3 8 11 8 2" xfId="16114"/>
    <cellStyle name="Input [yellow] 3 8 11 8 3" xfId="27282"/>
    <cellStyle name="Input [yellow] 3 8 11 8 4" xfId="38447"/>
    <cellStyle name="Input [yellow] 3 8 11 8 5" xfId="49640"/>
    <cellStyle name="Input [yellow] 3 8 11 9" xfId="5548"/>
    <cellStyle name="Input [yellow] 3 8 11 9 2" xfId="16745"/>
    <cellStyle name="Input [yellow] 3 8 11 9 3" xfId="27913"/>
    <cellStyle name="Input [yellow] 3 8 11 9 4" xfId="39078"/>
    <cellStyle name="Input [yellow] 3 8 11 9 5" xfId="50271"/>
    <cellStyle name="Input [yellow] 3 8 12" xfId="722"/>
    <cellStyle name="Input [yellow] 3 8 12 2" xfId="11920"/>
    <cellStyle name="Input [yellow] 3 8 12 3" xfId="23088"/>
    <cellStyle name="Input [yellow] 3 8 12 4" xfId="34253"/>
    <cellStyle name="Input [yellow] 3 8 12 5" xfId="45445"/>
    <cellStyle name="Input [yellow] 3 8 13" xfId="1920"/>
    <cellStyle name="Input [yellow] 3 8 13 2" xfId="13117"/>
    <cellStyle name="Input [yellow] 3 8 13 3" xfId="24285"/>
    <cellStyle name="Input [yellow] 3 8 13 4" xfId="35450"/>
    <cellStyle name="Input [yellow] 3 8 13 5" xfId="46643"/>
    <cellStyle name="Input [yellow] 3 8 14" xfId="1999"/>
    <cellStyle name="Input [yellow] 3 8 14 2" xfId="13196"/>
    <cellStyle name="Input [yellow] 3 8 14 3" xfId="24364"/>
    <cellStyle name="Input [yellow] 3 8 14 4" xfId="35529"/>
    <cellStyle name="Input [yellow] 3 8 14 5" xfId="46722"/>
    <cellStyle name="Input [yellow] 3 8 15" xfId="2539"/>
    <cellStyle name="Input [yellow] 3 8 15 2" xfId="13736"/>
    <cellStyle name="Input [yellow] 3 8 15 3" xfId="24904"/>
    <cellStyle name="Input [yellow] 3 8 15 4" xfId="36069"/>
    <cellStyle name="Input [yellow] 3 8 15 5" xfId="47262"/>
    <cellStyle name="Input [yellow] 3 8 16" xfId="3057"/>
    <cellStyle name="Input [yellow] 3 8 16 2" xfId="14254"/>
    <cellStyle name="Input [yellow] 3 8 16 3" xfId="25422"/>
    <cellStyle name="Input [yellow] 3 8 16 4" xfId="36587"/>
    <cellStyle name="Input [yellow] 3 8 16 5" xfId="47780"/>
    <cellStyle name="Input [yellow] 3 8 17" xfId="3691"/>
    <cellStyle name="Input [yellow] 3 8 17 2" xfId="14888"/>
    <cellStyle name="Input [yellow] 3 8 17 3" xfId="26056"/>
    <cellStyle name="Input [yellow] 3 8 17 4" xfId="37221"/>
    <cellStyle name="Input [yellow] 3 8 17 5" xfId="48414"/>
    <cellStyle name="Input [yellow] 3 8 18" xfId="4324"/>
    <cellStyle name="Input [yellow] 3 8 18 2" xfId="15521"/>
    <cellStyle name="Input [yellow] 3 8 18 3" xfId="26689"/>
    <cellStyle name="Input [yellow] 3 8 18 4" xfId="37854"/>
    <cellStyle name="Input [yellow] 3 8 18 5" xfId="49047"/>
    <cellStyle name="Input [yellow] 3 8 19" xfId="4956"/>
    <cellStyle name="Input [yellow] 3 8 19 2" xfId="16153"/>
    <cellStyle name="Input [yellow] 3 8 19 3" xfId="27321"/>
    <cellStyle name="Input [yellow] 3 8 19 4" xfId="38486"/>
    <cellStyle name="Input [yellow] 3 8 19 5" xfId="49679"/>
    <cellStyle name="Input [yellow] 3 8 2" xfId="137"/>
    <cellStyle name="Input [yellow] 3 8 2 10" xfId="5659"/>
    <cellStyle name="Input [yellow] 3 8 2 10 2" xfId="16856"/>
    <cellStyle name="Input [yellow] 3 8 2 10 3" xfId="28024"/>
    <cellStyle name="Input [yellow] 3 8 2 10 4" xfId="39189"/>
    <cellStyle name="Input [yellow] 3 8 2 10 5" xfId="50382"/>
    <cellStyle name="Input [yellow] 3 8 2 11" xfId="5991"/>
    <cellStyle name="Input [yellow] 3 8 2 11 2" xfId="17188"/>
    <cellStyle name="Input [yellow] 3 8 2 11 3" xfId="28356"/>
    <cellStyle name="Input [yellow] 3 8 2 11 4" xfId="39521"/>
    <cellStyle name="Input [yellow] 3 8 2 11 5" xfId="50714"/>
    <cellStyle name="Input [yellow] 3 8 2 12" xfId="6706"/>
    <cellStyle name="Input [yellow] 3 8 2 12 2" xfId="17903"/>
    <cellStyle name="Input [yellow] 3 8 2 12 3" xfId="29071"/>
    <cellStyle name="Input [yellow] 3 8 2 12 4" xfId="40236"/>
    <cellStyle name="Input [yellow] 3 8 2 12 5" xfId="51429"/>
    <cellStyle name="Input [yellow] 3 8 2 13" xfId="7340"/>
    <cellStyle name="Input [yellow] 3 8 2 13 2" xfId="18537"/>
    <cellStyle name="Input [yellow] 3 8 2 13 3" xfId="29705"/>
    <cellStyle name="Input [yellow] 3 8 2 13 4" xfId="40870"/>
    <cellStyle name="Input [yellow] 3 8 2 13 5" xfId="52063"/>
    <cellStyle name="Input [yellow] 3 8 2 14" xfId="7974"/>
    <cellStyle name="Input [yellow] 3 8 2 14 2" xfId="19171"/>
    <cellStyle name="Input [yellow] 3 8 2 14 3" xfId="30339"/>
    <cellStyle name="Input [yellow] 3 8 2 14 4" xfId="41504"/>
    <cellStyle name="Input [yellow] 3 8 2 14 5" xfId="52697"/>
    <cellStyle name="Input [yellow] 3 8 2 15" xfId="8605"/>
    <cellStyle name="Input [yellow] 3 8 2 15 2" xfId="19802"/>
    <cellStyle name="Input [yellow] 3 8 2 15 3" xfId="30970"/>
    <cellStyle name="Input [yellow] 3 8 2 15 4" xfId="42135"/>
    <cellStyle name="Input [yellow] 3 8 2 15 5" xfId="53328"/>
    <cellStyle name="Input [yellow] 3 8 2 16" xfId="8915"/>
    <cellStyle name="Input [yellow] 3 8 2 16 2" xfId="20112"/>
    <cellStyle name="Input [yellow] 3 8 2 16 3" xfId="31280"/>
    <cellStyle name="Input [yellow] 3 8 2 16 4" xfId="42445"/>
    <cellStyle name="Input [yellow] 3 8 2 16 5" xfId="53638"/>
    <cellStyle name="Input [yellow] 3 8 2 17" xfId="9658"/>
    <cellStyle name="Input [yellow] 3 8 2 17 2" xfId="20855"/>
    <cellStyle name="Input [yellow] 3 8 2 17 3" xfId="32023"/>
    <cellStyle name="Input [yellow] 3 8 2 17 4" xfId="43188"/>
    <cellStyle name="Input [yellow] 3 8 2 17 5" xfId="54381"/>
    <cellStyle name="Input [yellow] 3 8 2 18" xfId="9924"/>
    <cellStyle name="Input [yellow] 3 8 2 18 2" xfId="21121"/>
    <cellStyle name="Input [yellow] 3 8 2 18 3" xfId="32289"/>
    <cellStyle name="Input [yellow] 3 8 2 18 4" xfId="43454"/>
    <cellStyle name="Input [yellow] 3 8 2 18 5" xfId="54647"/>
    <cellStyle name="Input [yellow] 3 8 2 19" xfId="10690"/>
    <cellStyle name="Input [yellow] 3 8 2 19 2" xfId="21887"/>
    <cellStyle name="Input [yellow] 3 8 2 19 3" xfId="33055"/>
    <cellStyle name="Input [yellow] 3 8 2 19 4" xfId="44220"/>
    <cellStyle name="Input [yellow] 3 8 2 19 5" xfId="55413"/>
    <cellStyle name="Input [yellow] 3 8 2 2" xfId="786"/>
    <cellStyle name="Input [yellow] 3 8 2 2 2" xfId="11983"/>
    <cellStyle name="Input [yellow] 3 8 2 2 3" xfId="23151"/>
    <cellStyle name="Input [yellow] 3 8 2 2 4" xfId="34316"/>
    <cellStyle name="Input [yellow] 3 8 2 2 5" xfId="45509"/>
    <cellStyle name="Input [yellow] 3 8 2 20" xfId="11337"/>
    <cellStyle name="Input [yellow] 3 8 2 21" xfId="22507"/>
    <cellStyle name="Input [yellow] 3 8 2 22" xfId="33674"/>
    <cellStyle name="Input [yellow] 3 8 2 23" xfId="44860"/>
    <cellStyle name="Input [yellow] 3 8 2 3" xfId="1456"/>
    <cellStyle name="Input [yellow] 3 8 2 3 2" xfId="12653"/>
    <cellStyle name="Input [yellow] 3 8 2 3 3" xfId="23821"/>
    <cellStyle name="Input [yellow] 3 8 2 3 4" xfId="34986"/>
    <cellStyle name="Input [yellow] 3 8 2 3 5" xfId="46179"/>
    <cellStyle name="Input [yellow] 3 8 2 4" xfId="2063"/>
    <cellStyle name="Input [yellow] 3 8 2 4 2" xfId="13260"/>
    <cellStyle name="Input [yellow] 3 8 2 4 3" xfId="24428"/>
    <cellStyle name="Input [yellow] 3 8 2 4 4" xfId="35593"/>
    <cellStyle name="Input [yellow] 3 8 2 4 5" xfId="46786"/>
    <cellStyle name="Input [yellow] 3 8 2 5" xfId="2299"/>
    <cellStyle name="Input [yellow] 3 8 2 5 2" xfId="13496"/>
    <cellStyle name="Input [yellow] 3 8 2 5 3" xfId="24664"/>
    <cellStyle name="Input [yellow] 3 8 2 5 4" xfId="35829"/>
    <cellStyle name="Input [yellow] 3 8 2 5 5" xfId="47022"/>
    <cellStyle name="Input [yellow] 3 8 2 6" xfId="3121"/>
    <cellStyle name="Input [yellow] 3 8 2 6 2" xfId="14318"/>
    <cellStyle name="Input [yellow] 3 8 2 6 3" xfId="25486"/>
    <cellStyle name="Input [yellow] 3 8 2 6 4" xfId="36651"/>
    <cellStyle name="Input [yellow] 3 8 2 6 5" xfId="47844"/>
    <cellStyle name="Input [yellow] 3 8 2 7" xfId="3755"/>
    <cellStyle name="Input [yellow] 3 8 2 7 2" xfId="14952"/>
    <cellStyle name="Input [yellow] 3 8 2 7 3" xfId="26120"/>
    <cellStyle name="Input [yellow] 3 8 2 7 4" xfId="37285"/>
    <cellStyle name="Input [yellow] 3 8 2 7 5" xfId="48478"/>
    <cellStyle name="Input [yellow] 3 8 2 8" xfId="4388"/>
    <cellStyle name="Input [yellow] 3 8 2 8 2" xfId="15585"/>
    <cellStyle name="Input [yellow] 3 8 2 8 3" xfId="26753"/>
    <cellStyle name="Input [yellow] 3 8 2 8 4" xfId="37918"/>
    <cellStyle name="Input [yellow] 3 8 2 8 5" xfId="49111"/>
    <cellStyle name="Input [yellow] 3 8 2 9" xfId="5019"/>
    <cellStyle name="Input [yellow] 3 8 2 9 2" xfId="16216"/>
    <cellStyle name="Input [yellow] 3 8 2 9 3" xfId="27384"/>
    <cellStyle name="Input [yellow] 3 8 2 9 4" xfId="38549"/>
    <cellStyle name="Input [yellow] 3 8 2 9 5" xfId="49742"/>
    <cellStyle name="Input [yellow] 3 8 20" xfId="6029"/>
    <cellStyle name="Input [yellow] 3 8 20 2" xfId="17226"/>
    <cellStyle name="Input [yellow] 3 8 20 3" xfId="28394"/>
    <cellStyle name="Input [yellow] 3 8 20 4" xfId="39559"/>
    <cellStyle name="Input [yellow] 3 8 20 5" xfId="50752"/>
    <cellStyle name="Input [yellow] 3 8 21" xfId="5569"/>
    <cellStyle name="Input [yellow] 3 8 21 2" xfId="16766"/>
    <cellStyle name="Input [yellow] 3 8 21 3" xfId="27934"/>
    <cellStyle name="Input [yellow] 3 8 21 4" xfId="39099"/>
    <cellStyle name="Input [yellow] 3 8 21 5" xfId="50292"/>
    <cellStyle name="Input [yellow] 3 8 22" xfId="6643"/>
    <cellStyle name="Input [yellow] 3 8 22 2" xfId="17840"/>
    <cellStyle name="Input [yellow] 3 8 22 3" xfId="29008"/>
    <cellStyle name="Input [yellow] 3 8 22 4" xfId="40173"/>
    <cellStyle name="Input [yellow] 3 8 22 5" xfId="51366"/>
    <cellStyle name="Input [yellow] 3 8 23" xfId="7276"/>
    <cellStyle name="Input [yellow] 3 8 23 2" xfId="18473"/>
    <cellStyle name="Input [yellow] 3 8 23 3" xfId="29641"/>
    <cellStyle name="Input [yellow] 3 8 23 4" xfId="40806"/>
    <cellStyle name="Input [yellow] 3 8 23 5" xfId="51999"/>
    <cellStyle name="Input [yellow] 3 8 24" xfId="7910"/>
    <cellStyle name="Input [yellow] 3 8 24 2" xfId="19107"/>
    <cellStyle name="Input [yellow] 3 8 24 3" xfId="30275"/>
    <cellStyle name="Input [yellow] 3 8 24 4" xfId="41440"/>
    <cellStyle name="Input [yellow] 3 8 24 5" xfId="52633"/>
    <cellStyle name="Input [yellow] 3 8 25" xfId="8542"/>
    <cellStyle name="Input [yellow] 3 8 25 2" xfId="19739"/>
    <cellStyle name="Input [yellow] 3 8 25 3" xfId="30907"/>
    <cellStyle name="Input [yellow] 3 8 25 4" xfId="42072"/>
    <cellStyle name="Input [yellow] 3 8 25 5" xfId="53265"/>
    <cellStyle name="Input [yellow] 3 8 26" xfId="8662"/>
    <cellStyle name="Input [yellow] 3 8 26 2" xfId="19859"/>
    <cellStyle name="Input [yellow] 3 8 26 3" xfId="31027"/>
    <cellStyle name="Input [yellow] 3 8 26 4" xfId="42192"/>
    <cellStyle name="Input [yellow] 3 8 26 5" xfId="53385"/>
    <cellStyle name="Input [yellow] 3 8 27" xfId="9595"/>
    <cellStyle name="Input [yellow] 3 8 27 2" xfId="20792"/>
    <cellStyle name="Input [yellow] 3 8 27 3" xfId="31960"/>
    <cellStyle name="Input [yellow] 3 8 27 4" xfId="43125"/>
    <cellStyle name="Input [yellow] 3 8 27 5" xfId="54318"/>
    <cellStyle name="Input [yellow] 3 8 28" xfId="10171"/>
    <cellStyle name="Input [yellow] 3 8 28 2" xfId="21368"/>
    <cellStyle name="Input [yellow] 3 8 28 3" xfId="32536"/>
    <cellStyle name="Input [yellow] 3 8 28 4" xfId="43701"/>
    <cellStyle name="Input [yellow] 3 8 28 5" xfId="54894"/>
    <cellStyle name="Input [yellow] 3 8 29" xfId="10627"/>
    <cellStyle name="Input [yellow] 3 8 29 2" xfId="21824"/>
    <cellStyle name="Input [yellow] 3 8 29 3" xfId="32992"/>
    <cellStyle name="Input [yellow] 3 8 29 4" xfId="44157"/>
    <cellStyle name="Input [yellow] 3 8 29 5" xfId="55350"/>
    <cellStyle name="Input [yellow] 3 8 3" xfId="193"/>
    <cellStyle name="Input [yellow] 3 8 3 10" xfId="5924"/>
    <cellStyle name="Input [yellow] 3 8 3 10 2" xfId="17121"/>
    <cellStyle name="Input [yellow] 3 8 3 10 3" xfId="28289"/>
    <cellStyle name="Input [yellow] 3 8 3 10 4" xfId="39454"/>
    <cellStyle name="Input [yellow] 3 8 3 10 5" xfId="50647"/>
    <cellStyle name="Input [yellow] 3 8 3 11" xfId="5699"/>
    <cellStyle name="Input [yellow] 3 8 3 11 2" xfId="16896"/>
    <cellStyle name="Input [yellow] 3 8 3 11 3" xfId="28064"/>
    <cellStyle name="Input [yellow] 3 8 3 11 4" xfId="39229"/>
    <cellStyle name="Input [yellow] 3 8 3 11 5" xfId="50422"/>
    <cellStyle name="Input [yellow] 3 8 3 12" xfId="6762"/>
    <cellStyle name="Input [yellow] 3 8 3 12 2" xfId="17959"/>
    <cellStyle name="Input [yellow] 3 8 3 12 3" xfId="29127"/>
    <cellStyle name="Input [yellow] 3 8 3 12 4" xfId="40292"/>
    <cellStyle name="Input [yellow] 3 8 3 12 5" xfId="51485"/>
    <cellStyle name="Input [yellow] 3 8 3 13" xfId="7396"/>
    <cellStyle name="Input [yellow] 3 8 3 13 2" xfId="18593"/>
    <cellStyle name="Input [yellow] 3 8 3 13 3" xfId="29761"/>
    <cellStyle name="Input [yellow] 3 8 3 13 4" xfId="40926"/>
    <cellStyle name="Input [yellow] 3 8 3 13 5" xfId="52119"/>
    <cellStyle name="Input [yellow] 3 8 3 14" xfId="8030"/>
    <cellStyle name="Input [yellow] 3 8 3 14 2" xfId="19227"/>
    <cellStyle name="Input [yellow] 3 8 3 14 3" xfId="30395"/>
    <cellStyle name="Input [yellow] 3 8 3 14 4" xfId="41560"/>
    <cellStyle name="Input [yellow] 3 8 3 14 5" xfId="52753"/>
    <cellStyle name="Input [yellow] 3 8 3 15" xfId="8661"/>
    <cellStyle name="Input [yellow] 3 8 3 15 2" xfId="19858"/>
    <cellStyle name="Input [yellow] 3 8 3 15 3" xfId="31026"/>
    <cellStyle name="Input [yellow] 3 8 3 15 4" xfId="42191"/>
    <cellStyle name="Input [yellow] 3 8 3 15 5" xfId="53384"/>
    <cellStyle name="Input [yellow] 3 8 3 16" xfId="8706"/>
    <cellStyle name="Input [yellow] 3 8 3 16 2" xfId="19903"/>
    <cellStyle name="Input [yellow] 3 8 3 16 3" xfId="31071"/>
    <cellStyle name="Input [yellow] 3 8 3 16 4" xfId="42236"/>
    <cellStyle name="Input [yellow] 3 8 3 16 5" xfId="53429"/>
    <cellStyle name="Input [yellow] 3 8 3 17" xfId="9713"/>
    <cellStyle name="Input [yellow] 3 8 3 17 2" xfId="20910"/>
    <cellStyle name="Input [yellow] 3 8 3 17 3" xfId="32078"/>
    <cellStyle name="Input [yellow] 3 8 3 17 4" xfId="43243"/>
    <cellStyle name="Input [yellow] 3 8 3 17 5" xfId="54436"/>
    <cellStyle name="Input [yellow] 3 8 3 18" xfId="9574"/>
    <cellStyle name="Input [yellow] 3 8 3 18 2" xfId="20771"/>
    <cellStyle name="Input [yellow] 3 8 3 18 3" xfId="31939"/>
    <cellStyle name="Input [yellow] 3 8 3 18 4" xfId="43104"/>
    <cellStyle name="Input [yellow] 3 8 3 18 5" xfId="54297"/>
    <cellStyle name="Input [yellow] 3 8 3 19" xfId="10746"/>
    <cellStyle name="Input [yellow] 3 8 3 19 2" xfId="21943"/>
    <cellStyle name="Input [yellow] 3 8 3 19 3" xfId="33111"/>
    <cellStyle name="Input [yellow] 3 8 3 19 4" xfId="44276"/>
    <cellStyle name="Input [yellow] 3 8 3 19 5" xfId="55469"/>
    <cellStyle name="Input [yellow] 3 8 3 2" xfId="842"/>
    <cellStyle name="Input [yellow] 3 8 3 2 2" xfId="12039"/>
    <cellStyle name="Input [yellow] 3 8 3 2 3" xfId="23207"/>
    <cellStyle name="Input [yellow] 3 8 3 2 4" xfId="34372"/>
    <cellStyle name="Input [yellow] 3 8 3 2 5" xfId="45565"/>
    <cellStyle name="Input [yellow] 3 8 3 20" xfId="11393"/>
    <cellStyle name="Input [yellow] 3 8 3 21" xfId="22563"/>
    <cellStyle name="Input [yellow] 3 8 3 22" xfId="33730"/>
    <cellStyle name="Input [yellow] 3 8 3 23" xfId="44916"/>
    <cellStyle name="Input [yellow] 3 8 3 3" xfId="1921"/>
    <cellStyle name="Input [yellow] 3 8 3 3 2" xfId="13118"/>
    <cellStyle name="Input [yellow] 3 8 3 3 3" xfId="24286"/>
    <cellStyle name="Input [yellow] 3 8 3 3 4" xfId="35451"/>
    <cellStyle name="Input [yellow] 3 8 3 3 5" xfId="46644"/>
    <cellStyle name="Input [yellow] 3 8 3 4" xfId="2119"/>
    <cellStyle name="Input [yellow] 3 8 3 4 2" xfId="13316"/>
    <cellStyle name="Input [yellow] 3 8 3 4 3" xfId="24484"/>
    <cellStyle name="Input [yellow] 3 8 3 4 4" xfId="35649"/>
    <cellStyle name="Input [yellow] 3 8 3 4 5" xfId="46842"/>
    <cellStyle name="Input [yellow] 3 8 3 5" xfId="2085"/>
    <cellStyle name="Input [yellow] 3 8 3 5 2" xfId="13282"/>
    <cellStyle name="Input [yellow] 3 8 3 5 3" xfId="24450"/>
    <cellStyle name="Input [yellow] 3 8 3 5 4" xfId="35615"/>
    <cellStyle name="Input [yellow] 3 8 3 5 5" xfId="46808"/>
    <cellStyle name="Input [yellow] 3 8 3 6" xfId="3177"/>
    <cellStyle name="Input [yellow] 3 8 3 6 2" xfId="14374"/>
    <cellStyle name="Input [yellow] 3 8 3 6 3" xfId="25542"/>
    <cellStyle name="Input [yellow] 3 8 3 6 4" xfId="36707"/>
    <cellStyle name="Input [yellow] 3 8 3 6 5" xfId="47900"/>
    <cellStyle name="Input [yellow] 3 8 3 7" xfId="3811"/>
    <cellStyle name="Input [yellow] 3 8 3 7 2" xfId="15008"/>
    <cellStyle name="Input [yellow] 3 8 3 7 3" xfId="26176"/>
    <cellStyle name="Input [yellow] 3 8 3 7 4" xfId="37341"/>
    <cellStyle name="Input [yellow] 3 8 3 7 5" xfId="48534"/>
    <cellStyle name="Input [yellow] 3 8 3 8" xfId="4444"/>
    <cellStyle name="Input [yellow] 3 8 3 8 2" xfId="15641"/>
    <cellStyle name="Input [yellow] 3 8 3 8 3" xfId="26809"/>
    <cellStyle name="Input [yellow] 3 8 3 8 4" xfId="37974"/>
    <cellStyle name="Input [yellow] 3 8 3 8 5" xfId="49167"/>
    <cellStyle name="Input [yellow] 3 8 3 9" xfId="5075"/>
    <cellStyle name="Input [yellow] 3 8 3 9 2" xfId="16272"/>
    <cellStyle name="Input [yellow] 3 8 3 9 3" xfId="27440"/>
    <cellStyle name="Input [yellow] 3 8 3 9 4" xfId="38605"/>
    <cellStyle name="Input [yellow] 3 8 3 9 5" xfId="49798"/>
    <cellStyle name="Input [yellow] 3 8 30" xfId="11274"/>
    <cellStyle name="Input [yellow] 3 8 31" xfId="22444"/>
    <cellStyle name="Input [yellow] 3 8 32" xfId="33611"/>
    <cellStyle name="Input [yellow] 3 8 33" xfId="44796"/>
    <cellStyle name="Input [yellow] 3 8 4" xfId="273"/>
    <cellStyle name="Input [yellow] 3 8 4 10" xfId="5626"/>
    <cellStyle name="Input [yellow] 3 8 4 10 2" xfId="16823"/>
    <cellStyle name="Input [yellow] 3 8 4 10 3" xfId="27991"/>
    <cellStyle name="Input [yellow] 3 8 4 10 4" xfId="39156"/>
    <cellStyle name="Input [yellow] 3 8 4 10 5" xfId="50349"/>
    <cellStyle name="Input [yellow] 3 8 4 11" xfId="6209"/>
    <cellStyle name="Input [yellow] 3 8 4 11 2" xfId="17406"/>
    <cellStyle name="Input [yellow] 3 8 4 11 3" xfId="28574"/>
    <cellStyle name="Input [yellow] 3 8 4 11 4" xfId="39739"/>
    <cellStyle name="Input [yellow] 3 8 4 11 5" xfId="50932"/>
    <cellStyle name="Input [yellow] 3 8 4 12" xfId="6842"/>
    <cellStyle name="Input [yellow] 3 8 4 12 2" xfId="18039"/>
    <cellStyle name="Input [yellow] 3 8 4 12 3" xfId="29207"/>
    <cellStyle name="Input [yellow] 3 8 4 12 4" xfId="40372"/>
    <cellStyle name="Input [yellow] 3 8 4 12 5" xfId="51565"/>
    <cellStyle name="Input [yellow] 3 8 4 13" xfId="7476"/>
    <cellStyle name="Input [yellow] 3 8 4 13 2" xfId="18673"/>
    <cellStyle name="Input [yellow] 3 8 4 13 3" xfId="29841"/>
    <cellStyle name="Input [yellow] 3 8 4 13 4" xfId="41006"/>
    <cellStyle name="Input [yellow] 3 8 4 13 5" xfId="52199"/>
    <cellStyle name="Input [yellow] 3 8 4 14" xfId="8110"/>
    <cellStyle name="Input [yellow] 3 8 4 14 2" xfId="19307"/>
    <cellStyle name="Input [yellow] 3 8 4 14 3" xfId="30475"/>
    <cellStyle name="Input [yellow] 3 8 4 14 4" xfId="41640"/>
    <cellStyle name="Input [yellow] 3 8 4 14 5" xfId="52833"/>
    <cellStyle name="Input [yellow] 3 8 4 15" xfId="8739"/>
    <cellStyle name="Input [yellow] 3 8 4 15 2" xfId="19936"/>
    <cellStyle name="Input [yellow] 3 8 4 15 3" xfId="31104"/>
    <cellStyle name="Input [yellow] 3 8 4 15 4" xfId="42269"/>
    <cellStyle name="Input [yellow] 3 8 4 15 5" xfId="53462"/>
    <cellStyle name="Input [yellow] 3 8 4 16" xfId="9161"/>
    <cellStyle name="Input [yellow] 3 8 4 16 2" xfId="20358"/>
    <cellStyle name="Input [yellow] 3 8 4 16 3" xfId="31526"/>
    <cellStyle name="Input [yellow] 3 8 4 16 4" xfId="42691"/>
    <cellStyle name="Input [yellow] 3 8 4 16 5" xfId="53884"/>
    <cellStyle name="Input [yellow] 3 8 4 17" xfId="9788"/>
    <cellStyle name="Input [yellow] 3 8 4 17 2" xfId="20985"/>
    <cellStyle name="Input [yellow] 3 8 4 17 3" xfId="32153"/>
    <cellStyle name="Input [yellow] 3 8 4 17 4" xfId="43318"/>
    <cellStyle name="Input [yellow] 3 8 4 17 5" xfId="54511"/>
    <cellStyle name="Input [yellow] 3 8 4 18" xfId="10505"/>
    <cellStyle name="Input [yellow] 3 8 4 18 2" xfId="21702"/>
    <cellStyle name="Input [yellow] 3 8 4 18 3" xfId="32870"/>
    <cellStyle name="Input [yellow] 3 8 4 18 4" xfId="44035"/>
    <cellStyle name="Input [yellow] 3 8 4 18 5" xfId="55228"/>
    <cellStyle name="Input [yellow] 3 8 4 19" xfId="10826"/>
    <cellStyle name="Input [yellow] 3 8 4 19 2" xfId="22023"/>
    <cellStyle name="Input [yellow] 3 8 4 19 3" xfId="33191"/>
    <cellStyle name="Input [yellow] 3 8 4 19 4" xfId="44356"/>
    <cellStyle name="Input [yellow] 3 8 4 19 5" xfId="55549"/>
    <cellStyle name="Input [yellow] 3 8 4 2" xfId="922"/>
    <cellStyle name="Input [yellow] 3 8 4 2 2" xfId="12119"/>
    <cellStyle name="Input [yellow] 3 8 4 2 3" xfId="23287"/>
    <cellStyle name="Input [yellow] 3 8 4 2 4" xfId="34452"/>
    <cellStyle name="Input [yellow] 3 8 4 2 5" xfId="45645"/>
    <cellStyle name="Input [yellow] 3 8 4 20" xfId="11473"/>
    <cellStyle name="Input [yellow] 3 8 4 21" xfId="22643"/>
    <cellStyle name="Input [yellow] 3 8 4 22" xfId="33810"/>
    <cellStyle name="Input [yellow] 3 8 4 23" xfId="44996"/>
    <cellStyle name="Input [yellow] 3 8 4 3" xfId="1355"/>
    <cellStyle name="Input [yellow] 3 8 4 3 2" xfId="12552"/>
    <cellStyle name="Input [yellow] 3 8 4 3 3" xfId="23720"/>
    <cellStyle name="Input [yellow] 3 8 4 3 4" xfId="34885"/>
    <cellStyle name="Input [yellow] 3 8 4 3 5" xfId="46078"/>
    <cellStyle name="Input [yellow] 3 8 4 4" xfId="2198"/>
    <cellStyle name="Input [yellow] 3 8 4 4 2" xfId="13395"/>
    <cellStyle name="Input [yellow] 3 8 4 4 3" xfId="24563"/>
    <cellStyle name="Input [yellow] 3 8 4 4 4" xfId="35728"/>
    <cellStyle name="Input [yellow] 3 8 4 4 5" xfId="46921"/>
    <cellStyle name="Input [yellow] 3 8 4 5" xfId="2623"/>
    <cellStyle name="Input [yellow] 3 8 4 5 2" xfId="13820"/>
    <cellStyle name="Input [yellow] 3 8 4 5 3" xfId="24988"/>
    <cellStyle name="Input [yellow] 3 8 4 5 4" xfId="36153"/>
    <cellStyle name="Input [yellow] 3 8 4 5 5" xfId="47346"/>
    <cellStyle name="Input [yellow] 3 8 4 6" xfId="3257"/>
    <cellStyle name="Input [yellow] 3 8 4 6 2" xfId="14454"/>
    <cellStyle name="Input [yellow] 3 8 4 6 3" xfId="25622"/>
    <cellStyle name="Input [yellow] 3 8 4 6 4" xfId="36787"/>
    <cellStyle name="Input [yellow] 3 8 4 6 5" xfId="47980"/>
    <cellStyle name="Input [yellow] 3 8 4 7" xfId="3891"/>
    <cellStyle name="Input [yellow] 3 8 4 7 2" xfId="15088"/>
    <cellStyle name="Input [yellow] 3 8 4 7 3" xfId="26256"/>
    <cellStyle name="Input [yellow] 3 8 4 7 4" xfId="37421"/>
    <cellStyle name="Input [yellow] 3 8 4 7 5" xfId="48614"/>
    <cellStyle name="Input [yellow] 3 8 4 8" xfId="4524"/>
    <cellStyle name="Input [yellow] 3 8 4 8 2" xfId="15721"/>
    <cellStyle name="Input [yellow] 3 8 4 8 3" xfId="26889"/>
    <cellStyle name="Input [yellow] 3 8 4 8 4" xfId="38054"/>
    <cellStyle name="Input [yellow] 3 8 4 8 5" xfId="49247"/>
    <cellStyle name="Input [yellow] 3 8 4 9" xfId="5155"/>
    <cellStyle name="Input [yellow] 3 8 4 9 2" xfId="16352"/>
    <cellStyle name="Input [yellow] 3 8 4 9 3" xfId="27520"/>
    <cellStyle name="Input [yellow] 3 8 4 9 4" xfId="38685"/>
    <cellStyle name="Input [yellow] 3 8 4 9 5" xfId="49878"/>
    <cellStyle name="Input [yellow] 3 8 5" xfId="243"/>
    <cellStyle name="Input [yellow] 3 8 5 10" xfId="5940"/>
    <cellStyle name="Input [yellow] 3 8 5 10 2" xfId="17137"/>
    <cellStyle name="Input [yellow] 3 8 5 10 3" xfId="28305"/>
    <cellStyle name="Input [yellow] 3 8 5 10 4" xfId="39470"/>
    <cellStyle name="Input [yellow] 3 8 5 10 5" xfId="50663"/>
    <cellStyle name="Input [yellow] 3 8 5 11" xfId="5850"/>
    <cellStyle name="Input [yellow] 3 8 5 11 2" xfId="17047"/>
    <cellStyle name="Input [yellow] 3 8 5 11 3" xfId="28215"/>
    <cellStyle name="Input [yellow] 3 8 5 11 4" xfId="39380"/>
    <cellStyle name="Input [yellow] 3 8 5 11 5" xfId="50573"/>
    <cellStyle name="Input [yellow] 3 8 5 12" xfId="6812"/>
    <cellStyle name="Input [yellow] 3 8 5 12 2" xfId="18009"/>
    <cellStyle name="Input [yellow] 3 8 5 12 3" xfId="29177"/>
    <cellStyle name="Input [yellow] 3 8 5 12 4" xfId="40342"/>
    <cellStyle name="Input [yellow] 3 8 5 12 5" xfId="51535"/>
    <cellStyle name="Input [yellow] 3 8 5 13" xfId="7446"/>
    <cellStyle name="Input [yellow] 3 8 5 13 2" xfId="18643"/>
    <cellStyle name="Input [yellow] 3 8 5 13 3" xfId="29811"/>
    <cellStyle name="Input [yellow] 3 8 5 13 4" xfId="40976"/>
    <cellStyle name="Input [yellow] 3 8 5 13 5" xfId="52169"/>
    <cellStyle name="Input [yellow] 3 8 5 14" xfId="8080"/>
    <cellStyle name="Input [yellow] 3 8 5 14 2" xfId="19277"/>
    <cellStyle name="Input [yellow] 3 8 5 14 3" xfId="30445"/>
    <cellStyle name="Input [yellow] 3 8 5 14 4" xfId="41610"/>
    <cellStyle name="Input [yellow] 3 8 5 14 5" xfId="52803"/>
    <cellStyle name="Input [yellow] 3 8 5 15" xfId="8710"/>
    <cellStyle name="Input [yellow] 3 8 5 15 2" xfId="19907"/>
    <cellStyle name="Input [yellow] 3 8 5 15 3" xfId="31075"/>
    <cellStyle name="Input [yellow] 3 8 5 15 4" xfId="42240"/>
    <cellStyle name="Input [yellow] 3 8 5 15 5" xfId="53433"/>
    <cellStyle name="Input [yellow] 3 8 5 16" xfId="8549"/>
    <cellStyle name="Input [yellow] 3 8 5 16 2" xfId="19746"/>
    <cellStyle name="Input [yellow] 3 8 5 16 3" xfId="30914"/>
    <cellStyle name="Input [yellow] 3 8 5 16 4" xfId="42079"/>
    <cellStyle name="Input [yellow] 3 8 5 16 5" xfId="53272"/>
    <cellStyle name="Input [yellow] 3 8 5 17" xfId="9760"/>
    <cellStyle name="Input [yellow] 3 8 5 17 2" xfId="20957"/>
    <cellStyle name="Input [yellow] 3 8 5 17 3" xfId="32125"/>
    <cellStyle name="Input [yellow] 3 8 5 17 4" xfId="43290"/>
    <cellStyle name="Input [yellow] 3 8 5 17 5" xfId="54483"/>
    <cellStyle name="Input [yellow] 3 8 5 18" xfId="10409"/>
    <cellStyle name="Input [yellow] 3 8 5 18 2" xfId="21606"/>
    <cellStyle name="Input [yellow] 3 8 5 18 3" xfId="32774"/>
    <cellStyle name="Input [yellow] 3 8 5 18 4" xfId="43939"/>
    <cellStyle name="Input [yellow] 3 8 5 18 5" xfId="55132"/>
    <cellStyle name="Input [yellow] 3 8 5 19" xfId="10796"/>
    <cellStyle name="Input [yellow] 3 8 5 19 2" xfId="21993"/>
    <cellStyle name="Input [yellow] 3 8 5 19 3" xfId="33161"/>
    <cellStyle name="Input [yellow] 3 8 5 19 4" xfId="44326"/>
    <cellStyle name="Input [yellow] 3 8 5 19 5" xfId="55519"/>
    <cellStyle name="Input [yellow] 3 8 5 2" xfId="892"/>
    <cellStyle name="Input [yellow] 3 8 5 2 2" xfId="12089"/>
    <cellStyle name="Input [yellow] 3 8 5 2 3" xfId="23257"/>
    <cellStyle name="Input [yellow] 3 8 5 2 4" xfId="34422"/>
    <cellStyle name="Input [yellow] 3 8 5 2 5" xfId="45615"/>
    <cellStyle name="Input [yellow] 3 8 5 20" xfId="11443"/>
    <cellStyle name="Input [yellow] 3 8 5 21" xfId="22613"/>
    <cellStyle name="Input [yellow] 3 8 5 22" xfId="33780"/>
    <cellStyle name="Input [yellow] 3 8 5 23" xfId="44966"/>
    <cellStyle name="Input [yellow] 3 8 5 3" xfId="1710"/>
    <cellStyle name="Input [yellow] 3 8 5 3 2" xfId="12907"/>
    <cellStyle name="Input [yellow] 3 8 5 3 3" xfId="24075"/>
    <cellStyle name="Input [yellow] 3 8 5 3 4" xfId="35240"/>
    <cellStyle name="Input [yellow] 3 8 5 3 5" xfId="46433"/>
    <cellStyle name="Input [yellow] 3 8 5 4" xfId="2169"/>
    <cellStyle name="Input [yellow] 3 8 5 4 2" xfId="13366"/>
    <cellStyle name="Input [yellow] 3 8 5 4 3" xfId="24534"/>
    <cellStyle name="Input [yellow] 3 8 5 4 4" xfId="35699"/>
    <cellStyle name="Input [yellow] 3 8 5 4 5" xfId="46892"/>
    <cellStyle name="Input [yellow] 3 8 5 5" xfId="1363"/>
    <cellStyle name="Input [yellow] 3 8 5 5 2" xfId="12560"/>
    <cellStyle name="Input [yellow] 3 8 5 5 3" xfId="23728"/>
    <cellStyle name="Input [yellow] 3 8 5 5 4" xfId="34893"/>
    <cellStyle name="Input [yellow] 3 8 5 5 5" xfId="46086"/>
    <cellStyle name="Input [yellow] 3 8 5 6" xfId="3227"/>
    <cellStyle name="Input [yellow] 3 8 5 6 2" xfId="14424"/>
    <cellStyle name="Input [yellow] 3 8 5 6 3" xfId="25592"/>
    <cellStyle name="Input [yellow] 3 8 5 6 4" xfId="36757"/>
    <cellStyle name="Input [yellow] 3 8 5 6 5" xfId="47950"/>
    <cellStyle name="Input [yellow] 3 8 5 7" xfId="3861"/>
    <cellStyle name="Input [yellow] 3 8 5 7 2" xfId="15058"/>
    <cellStyle name="Input [yellow] 3 8 5 7 3" xfId="26226"/>
    <cellStyle name="Input [yellow] 3 8 5 7 4" xfId="37391"/>
    <cellStyle name="Input [yellow] 3 8 5 7 5" xfId="48584"/>
    <cellStyle name="Input [yellow] 3 8 5 8" xfId="4494"/>
    <cellStyle name="Input [yellow] 3 8 5 8 2" xfId="15691"/>
    <cellStyle name="Input [yellow] 3 8 5 8 3" xfId="26859"/>
    <cellStyle name="Input [yellow] 3 8 5 8 4" xfId="38024"/>
    <cellStyle name="Input [yellow] 3 8 5 8 5" xfId="49217"/>
    <cellStyle name="Input [yellow] 3 8 5 9" xfId="5125"/>
    <cellStyle name="Input [yellow] 3 8 5 9 2" xfId="16322"/>
    <cellStyle name="Input [yellow] 3 8 5 9 3" xfId="27490"/>
    <cellStyle name="Input [yellow] 3 8 5 9 4" xfId="38655"/>
    <cellStyle name="Input [yellow] 3 8 5 9 5" xfId="49848"/>
    <cellStyle name="Input [yellow] 3 8 6" xfId="380"/>
    <cellStyle name="Input [yellow] 3 8 6 10" xfId="5942"/>
    <cellStyle name="Input [yellow] 3 8 6 10 2" xfId="17139"/>
    <cellStyle name="Input [yellow] 3 8 6 10 3" xfId="28307"/>
    <cellStyle name="Input [yellow] 3 8 6 10 4" xfId="39472"/>
    <cellStyle name="Input [yellow] 3 8 6 10 5" xfId="50665"/>
    <cellStyle name="Input [yellow] 3 8 6 11" xfId="6316"/>
    <cellStyle name="Input [yellow] 3 8 6 11 2" xfId="17513"/>
    <cellStyle name="Input [yellow] 3 8 6 11 3" xfId="28681"/>
    <cellStyle name="Input [yellow] 3 8 6 11 4" xfId="39846"/>
    <cellStyle name="Input [yellow] 3 8 6 11 5" xfId="51039"/>
    <cellStyle name="Input [yellow] 3 8 6 12" xfId="6949"/>
    <cellStyle name="Input [yellow] 3 8 6 12 2" xfId="18146"/>
    <cellStyle name="Input [yellow] 3 8 6 12 3" xfId="29314"/>
    <cellStyle name="Input [yellow] 3 8 6 12 4" xfId="40479"/>
    <cellStyle name="Input [yellow] 3 8 6 12 5" xfId="51672"/>
    <cellStyle name="Input [yellow] 3 8 6 13" xfId="7583"/>
    <cellStyle name="Input [yellow] 3 8 6 13 2" xfId="18780"/>
    <cellStyle name="Input [yellow] 3 8 6 13 3" xfId="29948"/>
    <cellStyle name="Input [yellow] 3 8 6 13 4" xfId="41113"/>
    <cellStyle name="Input [yellow] 3 8 6 13 5" xfId="52306"/>
    <cellStyle name="Input [yellow] 3 8 6 14" xfId="8217"/>
    <cellStyle name="Input [yellow] 3 8 6 14 2" xfId="19414"/>
    <cellStyle name="Input [yellow] 3 8 6 14 3" xfId="30582"/>
    <cellStyle name="Input [yellow] 3 8 6 14 4" xfId="41747"/>
    <cellStyle name="Input [yellow] 3 8 6 14 5" xfId="52940"/>
    <cellStyle name="Input [yellow] 3 8 6 15" xfId="8845"/>
    <cellStyle name="Input [yellow] 3 8 6 15 2" xfId="20042"/>
    <cellStyle name="Input [yellow] 3 8 6 15 3" xfId="31210"/>
    <cellStyle name="Input [yellow] 3 8 6 15 4" xfId="42375"/>
    <cellStyle name="Input [yellow] 3 8 6 15 5" xfId="53568"/>
    <cellStyle name="Input [yellow] 3 8 6 16" xfId="9268"/>
    <cellStyle name="Input [yellow] 3 8 6 16 2" xfId="20465"/>
    <cellStyle name="Input [yellow] 3 8 6 16 3" xfId="31633"/>
    <cellStyle name="Input [yellow] 3 8 6 16 4" xfId="42798"/>
    <cellStyle name="Input [yellow] 3 8 6 16 5" xfId="53991"/>
    <cellStyle name="Input [yellow] 3 8 6 17" xfId="9894"/>
    <cellStyle name="Input [yellow] 3 8 6 17 2" xfId="21091"/>
    <cellStyle name="Input [yellow] 3 8 6 17 3" xfId="32259"/>
    <cellStyle name="Input [yellow] 3 8 6 17 4" xfId="43424"/>
    <cellStyle name="Input [yellow] 3 8 6 17 5" xfId="54617"/>
    <cellStyle name="Input [yellow] 3 8 6 18" xfId="10094"/>
    <cellStyle name="Input [yellow] 3 8 6 18 2" xfId="21291"/>
    <cellStyle name="Input [yellow] 3 8 6 18 3" xfId="32459"/>
    <cellStyle name="Input [yellow] 3 8 6 18 4" xfId="43624"/>
    <cellStyle name="Input [yellow] 3 8 6 18 5" xfId="54817"/>
    <cellStyle name="Input [yellow] 3 8 6 19" xfId="10933"/>
    <cellStyle name="Input [yellow] 3 8 6 19 2" xfId="22130"/>
    <cellStyle name="Input [yellow] 3 8 6 19 3" xfId="33298"/>
    <cellStyle name="Input [yellow] 3 8 6 19 4" xfId="44463"/>
    <cellStyle name="Input [yellow] 3 8 6 19 5" xfId="55656"/>
    <cellStyle name="Input [yellow] 3 8 6 2" xfId="1029"/>
    <cellStyle name="Input [yellow] 3 8 6 2 2" xfId="12226"/>
    <cellStyle name="Input [yellow] 3 8 6 2 3" xfId="23394"/>
    <cellStyle name="Input [yellow] 3 8 6 2 4" xfId="34559"/>
    <cellStyle name="Input [yellow] 3 8 6 2 5" xfId="45752"/>
    <cellStyle name="Input [yellow] 3 8 6 20" xfId="11580"/>
    <cellStyle name="Input [yellow] 3 8 6 21" xfId="22750"/>
    <cellStyle name="Input [yellow] 3 8 6 22" xfId="33917"/>
    <cellStyle name="Input [yellow] 3 8 6 23" xfId="45103"/>
    <cellStyle name="Input [yellow] 3 8 6 3" xfId="1504"/>
    <cellStyle name="Input [yellow] 3 8 6 3 2" xfId="12701"/>
    <cellStyle name="Input [yellow] 3 8 6 3 3" xfId="23869"/>
    <cellStyle name="Input [yellow] 3 8 6 3 4" xfId="35034"/>
    <cellStyle name="Input [yellow] 3 8 6 3 5" xfId="46227"/>
    <cellStyle name="Input [yellow] 3 8 6 4" xfId="2305"/>
    <cellStyle name="Input [yellow] 3 8 6 4 2" xfId="13502"/>
    <cellStyle name="Input [yellow] 3 8 6 4 3" xfId="24670"/>
    <cellStyle name="Input [yellow] 3 8 6 4 4" xfId="35835"/>
    <cellStyle name="Input [yellow] 3 8 6 4 5" xfId="47028"/>
    <cellStyle name="Input [yellow] 3 8 6 5" xfId="2730"/>
    <cellStyle name="Input [yellow] 3 8 6 5 2" xfId="13927"/>
    <cellStyle name="Input [yellow] 3 8 6 5 3" xfId="25095"/>
    <cellStyle name="Input [yellow] 3 8 6 5 4" xfId="36260"/>
    <cellStyle name="Input [yellow] 3 8 6 5 5" xfId="47453"/>
    <cellStyle name="Input [yellow] 3 8 6 6" xfId="3364"/>
    <cellStyle name="Input [yellow] 3 8 6 6 2" xfId="14561"/>
    <cellStyle name="Input [yellow] 3 8 6 6 3" xfId="25729"/>
    <cellStyle name="Input [yellow] 3 8 6 6 4" xfId="36894"/>
    <cellStyle name="Input [yellow] 3 8 6 6 5" xfId="48087"/>
    <cellStyle name="Input [yellow] 3 8 6 7" xfId="3998"/>
    <cellStyle name="Input [yellow] 3 8 6 7 2" xfId="15195"/>
    <cellStyle name="Input [yellow] 3 8 6 7 3" xfId="26363"/>
    <cellStyle name="Input [yellow] 3 8 6 7 4" xfId="37528"/>
    <cellStyle name="Input [yellow] 3 8 6 7 5" xfId="48721"/>
    <cellStyle name="Input [yellow] 3 8 6 8" xfId="4631"/>
    <cellStyle name="Input [yellow] 3 8 6 8 2" xfId="15828"/>
    <cellStyle name="Input [yellow] 3 8 6 8 3" xfId="26996"/>
    <cellStyle name="Input [yellow] 3 8 6 8 4" xfId="38161"/>
    <cellStyle name="Input [yellow] 3 8 6 8 5" xfId="49354"/>
    <cellStyle name="Input [yellow] 3 8 6 9" xfId="5262"/>
    <cellStyle name="Input [yellow] 3 8 6 9 2" xfId="16459"/>
    <cellStyle name="Input [yellow] 3 8 6 9 3" xfId="27627"/>
    <cellStyle name="Input [yellow] 3 8 6 9 4" xfId="38792"/>
    <cellStyle name="Input [yellow] 3 8 6 9 5" xfId="49985"/>
    <cellStyle name="Input [yellow] 3 8 7" xfId="436"/>
    <cellStyle name="Input [yellow] 3 8 7 10" xfId="5722"/>
    <cellStyle name="Input [yellow] 3 8 7 10 2" xfId="16919"/>
    <cellStyle name="Input [yellow] 3 8 7 10 3" xfId="28087"/>
    <cellStyle name="Input [yellow] 3 8 7 10 4" xfId="39252"/>
    <cellStyle name="Input [yellow] 3 8 7 10 5" xfId="50445"/>
    <cellStyle name="Input [yellow] 3 8 7 11" xfId="6372"/>
    <cellStyle name="Input [yellow] 3 8 7 11 2" xfId="17569"/>
    <cellStyle name="Input [yellow] 3 8 7 11 3" xfId="28737"/>
    <cellStyle name="Input [yellow] 3 8 7 11 4" xfId="39902"/>
    <cellStyle name="Input [yellow] 3 8 7 11 5" xfId="51095"/>
    <cellStyle name="Input [yellow] 3 8 7 12" xfId="7005"/>
    <cellStyle name="Input [yellow] 3 8 7 12 2" xfId="18202"/>
    <cellStyle name="Input [yellow] 3 8 7 12 3" xfId="29370"/>
    <cellStyle name="Input [yellow] 3 8 7 12 4" xfId="40535"/>
    <cellStyle name="Input [yellow] 3 8 7 12 5" xfId="51728"/>
    <cellStyle name="Input [yellow] 3 8 7 13" xfId="7639"/>
    <cellStyle name="Input [yellow] 3 8 7 13 2" xfId="18836"/>
    <cellStyle name="Input [yellow] 3 8 7 13 3" xfId="30004"/>
    <cellStyle name="Input [yellow] 3 8 7 13 4" xfId="41169"/>
    <cellStyle name="Input [yellow] 3 8 7 13 5" xfId="52362"/>
    <cellStyle name="Input [yellow] 3 8 7 14" xfId="8273"/>
    <cellStyle name="Input [yellow] 3 8 7 14 2" xfId="19470"/>
    <cellStyle name="Input [yellow] 3 8 7 14 3" xfId="30638"/>
    <cellStyle name="Input [yellow] 3 8 7 14 4" xfId="41803"/>
    <cellStyle name="Input [yellow] 3 8 7 14 5" xfId="52996"/>
    <cellStyle name="Input [yellow] 3 8 7 15" xfId="8901"/>
    <cellStyle name="Input [yellow] 3 8 7 15 2" xfId="20098"/>
    <cellStyle name="Input [yellow] 3 8 7 15 3" xfId="31266"/>
    <cellStyle name="Input [yellow] 3 8 7 15 4" xfId="42431"/>
    <cellStyle name="Input [yellow] 3 8 7 15 5" xfId="53624"/>
    <cellStyle name="Input [yellow] 3 8 7 16" xfId="9324"/>
    <cellStyle name="Input [yellow] 3 8 7 16 2" xfId="20521"/>
    <cellStyle name="Input [yellow] 3 8 7 16 3" xfId="31689"/>
    <cellStyle name="Input [yellow] 3 8 7 16 4" xfId="42854"/>
    <cellStyle name="Input [yellow] 3 8 7 16 5" xfId="54047"/>
    <cellStyle name="Input [yellow] 3 8 7 17" xfId="9950"/>
    <cellStyle name="Input [yellow] 3 8 7 17 2" xfId="21147"/>
    <cellStyle name="Input [yellow] 3 8 7 17 3" xfId="32315"/>
    <cellStyle name="Input [yellow] 3 8 7 17 4" xfId="43480"/>
    <cellStyle name="Input [yellow] 3 8 7 17 5" xfId="54673"/>
    <cellStyle name="Input [yellow] 3 8 7 18" xfId="10015"/>
    <cellStyle name="Input [yellow] 3 8 7 18 2" xfId="21212"/>
    <cellStyle name="Input [yellow] 3 8 7 18 3" xfId="32380"/>
    <cellStyle name="Input [yellow] 3 8 7 18 4" xfId="43545"/>
    <cellStyle name="Input [yellow] 3 8 7 18 5" xfId="54738"/>
    <cellStyle name="Input [yellow] 3 8 7 19" xfId="10989"/>
    <cellStyle name="Input [yellow] 3 8 7 19 2" xfId="22186"/>
    <cellStyle name="Input [yellow] 3 8 7 19 3" xfId="33354"/>
    <cellStyle name="Input [yellow] 3 8 7 19 4" xfId="44519"/>
    <cellStyle name="Input [yellow] 3 8 7 19 5" xfId="55712"/>
    <cellStyle name="Input [yellow] 3 8 7 2" xfId="1085"/>
    <cellStyle name="Input [yellow] 3 8 7 2 2" xfId="12282"/>
    <cellStyle name="Input [yellow] 3 8 7 2 3" xfId="23450"/>
    <cellStyle name="Input [yellow] 3 8 7 2 4" xfId="34615"/>
    <cellStyle name="Input [yellow] 3 8 7 2 5" xfId="45808"/>
    <cellStyle name="Input [yellow] 3 8 7 20" xfId="11636"/>
    <cellStyle name="Input [yellow] 3 8 7 21" xfId="22806"/>
    <cellStyle name="Input [yellow] 3 8 7 22" xfId="33973"/>
    <cellStyle name="Input [yellow] 3 8 7 23" xfId="45159"/>
    <cellStyle name="Input [yellow] 3 8 7 3" xfId="1433"/>
    <cellStyle name="Input [yellow] 3 8 7 3 2" xfId="12630"/>
    <cellStyle name="Input [yellow] 3 8 7 3 3" xfId="23798"/>
    <cellStyle name="Input [yellow] 3 8 7 3 4" xfId="34963"/>
    <cellStyle name="Input [yellow] 3 8 7 3 5" xfId="46156"/>
    <cellStyle name="Input [yellow] 3 8 7 4" xfId="2361"/>
    <cellStyle name="Input [yellow] 3 8 7 4 2" xfId="13558"/>
    <cellStyle name="Input [yellow] 3 8 7 4 3" xfId="24726"/>
    <cellStyle name="Input [yellow] 3 8 7 4 4" xfId="35891"/>
    <cellStyle name="Input [yellow] 3 8 7 4 5" xfId="47084"/>
    <cellStyle name="Input [yellow] 3 8 7 5" xfId="2786"/>
    <cellStyle name="Input [yellow] 3 8 7 5 2" xfId="13983"/>
    <cellStyle name="Input [yellow] 3 8 7 5 3" xfId="25151"/>
    <cellStyle name="Input [yellow] 3 8 7 5 4" xfId="36316"/>
    <cellStyle name="Input [yellow] 3 8 7 5 5" xfId="47509"/>
    <cellStyle name="Input [yellow] 3 8 7 6" xfId="3420"/>
    <cellStyle name="Input [yellow] 3 8 7 6 2" xfId="14617"/>
    <cellStyle name="Input [yellow] 3 8 7 6 3" xfId="25785"/>
    <cellStyle name="Input [yellow] 3 8 7 6 4" xfId="36950"/>
    <cellStyle name="Input [yellow] 3 8 7 6 5" xfId="48143"/>
    <cellStyle name="Input [yellow] 3 8 7 7" xfId="4054"/>
    <cellStyle name="Input [yellow] 3 8 7 7 2" xfId="15251"/>
    <cellStyle name="Input [yellow] 3 8 7 7 3" xfId="26419"/>
    <cellStyle name="Input [yellow] 3 8 7 7 4" xfId="37584"/>
    <cellStyle name="Input [yellow] 3 8 7 7 5" xfId="48777"/>
    <cellStyle name="Input [yellow] 3 8 7 8" xfId="4687"/>
    <cellStyle name="Input [yellow] 3 8 7 8 2" xfId="15884"/>
    <cellStyle name="Input [yellow] 3 8 7 8 3" xfId="27052"/>
    <cellStyle name="Input [yellow] 3 8 7 8 4" xfId="38217"/>
    <cellStyle name="Input [yellow] 3 8 7 8 5" xfId="49410"/>
    <cellStyle name="Input [yellow] 3 8 7 9" xfId="5318"/>
    <cellStyle name="Input [yellow] 3 8 7 9 2" xfId="16515"/>
    <cellStyle name="Input [yellow] 3 8 7 9 3" xfId="27683"/>
    <cellStyle name="Input [yellow] 3 8 7 9 4" xfId="38848"/>
    <cellStyle name="Input [yellow] 3 8 7 9 5" xfId="50041"/>
    <cellStyle name="Input [yellow] 3 8 8" xfId="482"/>
    <cellStyle name="Input [yellow] 3 8 8 10" xfId="5738"/>
    <cellStyle name="Input [yellow] 3 8 8 10 2" xfId="16935"/>
    <cellStyle name="Input [yellow] 3 8 8 10 3" xfId="28103"/>
    <cellStyle name="Input [yellow] 3 8 8 10 4" xfId="39268"/>
    <cellStyle name="Input [yellow] 3 8 8 10 5" xfId="50461"/>
    <cellStyle name="Input [yellow] 3 8 8 11" xfId="6418"/>
    <cellStyle name="Input [yellow] 3 8 8 11 2" xfId="17615"/>
    <cellStyle name="Input [yellow] 3 8 8 11 3" xfId="28783"/>
    <cellStyle name="Input [yellow] 3 8 8 11 4" xfId="39948"/>
    <cellStyle name="Input [yellow] 3 8 8 11 5" xfId="51141"/>
    <cellStyle name="Input [yellow] 3 8 8 12" xfId="7051"/>
    <cellStyle name="Input [yellow] 3 8 8 12 2" xfId="18248"/>
    <cellStyle name="Input [yellow] 3 8 8 12 3" xfId="29416"/>
    <cellStyle name="Input [yellow] 3 8 8 12 4" xfId="40581"/>
    <cellStyle name="Input [yellow] 3 8 8 12 5" xfId="51774"/>
    <cellStyle name="Input [yellow] 3 8 8 13" xfId="7685"/>
    <cellStyle name="Input [yellow] 3 8 8 13 2" xfId="18882"/>
    <cellStyle name="Input [yellow] 3 8 8 13 3" xfId="30050"/>
    <cellStyle name="Input [yellow] 3 8 8 13 4" xfId="41215"/>
    <cellStyle name="Input [yellow] 3 8 8 13 5" xfId="52408"/>
    <cellStyle name="Input [yellow] 3 8 8 14" xfId="8319"/>
    <cellStyle name="Input [yellow] 3 8 8 14 2" xfId="19516"/>
    <cellStyle name="Input [yellow] 3 8 8 14 3" xfId="30684"/>
    <cellStyle name="Input [yellow] 3 8 8 14 4" xfId="41849"/>
    <cellStyle name="Input [yellow] 3 8 8 14 5" xfId="53042"/>
    <cellStyle name="Input [yellow] 3 8 8 15" xfId="8947"/>
    <cellStyle name="Input [yellow] 3 8 8 15 2" xfId="20144"/>
    <cellStyle name="Input [yellow] 3 8 8 15 3" xfId="31312"/>
    <cellStyle name="Input [yellow] 3 8 8 15 4" xfId="42477"/>
    <cellStyle name="Input [yellow] 3 8 8 15 5" xfId="53670"/>
    <cellStyle name="Input [yellow] 3 8 8 16" xfId="9370"/>
    <cellStyle name="Input [yellow] 3 8 8 16 2" xfId="20567"/>
    <cellStyle name="Input [yellow] 3 8 8 16 3" xfId="31735"/>
    <cellStyle name="Input [yellow] 3 8 8 16 4" xfId="42900"/>
    <cellStyle name="Input [yellow] 3 8 8 16 5" xfId="54093"/>
    <cellStyle name="Input [yellow] 3 8 8 17" xfId="9995"/>
    <cellStyle name="Input [yellow] 3 8 8 17 2" xfId="21192"/>
    <cellStyle name="Input [yellow] 3 8 8 17 3" xfId="32360"/>
    <cellStyle name="Input [yellow] 3 8 8 17 4" xfId="43525"/>
    <cellStyle name="Input [yellow] 3 8 8 17 5" xfId="54718"/>
    <cellStyle name="Input [yellow] 3 8 8 18" xfId="10289"/>
    <cellStyle name="Input [yellow] 3 8 8 18 2" xfId="21486"/>
    <cellStyle name="Input [yellow] 3 8 8 18 3" xfId="32654"/>
    <cellStyle name="Input [yellow] 3 8 8 18 4" xfId="43819"/>
    <cellStyle name="Input [yellow] 3 8 8 18 5" xfId="55012"/>
    <cellStyle name="Input [yellow] 3 8 8 19" xfId="11035"/>
    <cellStyle name="Input [yellow] 3 8 8 19 2" xfId="22232"/>
    <cellStyle name="Input [yellow] 3 8 8 19 3" xfId="33400"/>
    <cellStyle name="Input [yellow] 3 8 8 19 4" xfId="44565"/>
    <cellStyle name="Input [yellow] 3 8 8 19 5" xfId="55758"/>
    <cellStyle name="Input [yellow] 3 8 8 2" xfId="1131"/>
    <cellStyle name="Input [yellow] 3 8 8 2 2" xfId="12328"/>
    <cellStyle name="Input [yellow] 3 8 8 2 3" xfId="23496"/>
    <cellStyle name="Input [yellow] 3 8 8 2 4" xfId="34661"/>
    <cellStyle name="Input [yellow] 3 8 8 2 5" xfId="45854"/>
    <cellStyle name="Input [yellow] 3 8 8 20" xfId="11682"/>
    <cellStyle name="Input [yellow] 3 8 8 21" xfId="22852"/>
    <cellStyle name="Input [yellow] 3 8 8 22" xfId="34019"/>
    <cellStyle name="Input [yellow] 3 8 8 23" xfId="45205"/>
    <cellStyle name="Input [yellow] 3 8 8 3" xfId="1593"/>
    <cellStyle name="Input [yellow] 3 8 8 3 2" xfId="12790"/>
    <cellStyle name="Input [yellow] 3 8 8 3 3" xfId="23958"/>
    <cellStyle name="Input [yellow] 3 8 8 3 4" xfId="35123"/>
    <cellStyle name="Input [yellow] 3 8 8 3 5" xfId="46316"/>
    <cellStyle name="Input [yellow] 3 8 8 4" xfId="2407"/>
    <cellStyle name="Input [yellow] 3 8 8 4 2" xfId="13604"/>
    <cellStyle name="Input [yellow] 3 8 8 4 3" xfId="24772"/>
    <cellStyle name="Input [yellow] 3 8 8 4 4" xfId="35937"/>
    <cellStyle name="Input [yellow] 3 8 8 4 5" xfId="47130"/>
    <cellStyle name="Input [yellow] 3 8 8 5" xfId="2832"/>
    <cellStyle name="Input [yellow] 3 8 8 5 2" xfId="14029"/>
    <cellStyle name="Input [yellow] 3 8 8 5 3" xfId="25197"/>
    <cellStyle name="Input [yellow] 3 8 8 5 4" xfId="36362"/>
    <cellStyle name="Input [yellow] 3 8 8 5 5" xfId="47555"/>
    <cellStyle name="Input [yellow] 3 8 8 6" xfId="3466"/>
    <cellStyle name="Input [yellow] 3 8 8 6 2" xfId="14663"/>
    <cellStyle name="Input [yellow] 3 8 8 6 3" xfId="25831"/>
    <cellStyle name="Input [yellow] 3 8 8 6 4" xfId="36996"/>
    <cellStyle name="Input [yellow] 3 8 8 6 5" xfId="48189"/>
    <cellStyle name="Input [yellow] 3 8 8 7" xfId="4100"/>
    <cellStyle name="Input [yellow] 3 8 8 7 2" xfId="15297"/>
    <cellStyle name="Input [yellow] 3 8 8 7 3" xfId="26465"/>
    <cellStyle name="Input [yellow] 3 8 8 7 4" xfId="37630"/>
    <cellStyle name="Input [yellow] 3 8 8 7 5" xfId="48823"/>
    <cellStyle name="Input [yellow] 3 8 8 8" xfId="4733"/>
    <cellStyle name="Input [yellow] 3 8 8 8 2" xfId="15930"/>
    <cellStyle name="Input [yellow] 3 8 8 8 3" xfId="27098"/>
    <cellStyle name="Input [yellow] 3 8 8 8 4" xfId="38263"/>
    <cellStyle name="Input [yellow] 3 8 8 8 5" xfId="49456"/>
    <cellStyle name="Input [yellow] 3 8 8 9" xfId="5364"/>
    <cellStyle name="Input [yellow] 3 8 8 9 2" xfId="16561"/>
    <cellStyle name="Input [yellow] 3 8 8 9 3" xfId="27729"/>
    <cellStyle name="Input [yellow] 3 8 8 9 4" xfId="38894"/>
    <cellStyle name="Input [yellow] 3 8 8 9 5" xfId="50087"/>
    <cellStyle name="Input [yellow] 3 8 9" xfId="540"/>
    <cellStyle name="Input [yellow] 3 8 9 10" xfId="6147"/>
    <cellStyle name="Input [yellow] 3 8 9 10 2" xfId="17344"/>
    <cellStyle name="Input [yellow] 3 8 9 10 3" xfId="28512"/>
    <cellStyle name="Input [yellow] 3 8 9 10 4" xfId="39677"/>
    <cellStyle name="Input [yellow] 3 8 9 10 5" xfId="50870"/>
    <cellStyle name="Input [yellow] 3 8 9 11" xfId="6476"/>
    <cellStyle name="Input [yellow] 3 8 9 11 2" xfId="17673"/>
    <cellStyle name="Input [yellow] 3 8 9 11 3" xfId="28841"/>
    <cellStyle name="Input [yellow] 3 8 9 11 4" xfId="40006"/>
    <cellStyle name="Input [yellow] 3 8 9 11 5" xfId="51199"/>
    <cellStyle name="Input [yellow] 3 8 9 12" xfId="7109"/>
    <cellStyle name="Input [yellow] 3 8 9 12 2" xfId="18306"/>
    <cellStyle name="Input [yellow] 3 8 9 12 3" xfId="29474"/>
    <cellStyle name="Input [yellow] 3 8 9 12 4" xfId="40639"/>
    <cellStyle name="Input [yellow] 3 8 9 12 5" xfId="51832"/>
    <cellStyle name="Input [yellow] 3 8 9 13" xfId="7743"/>
    <cellStyle name="Input [yellow] 3 8 9 13 2" xfId="18940"/>
    <cellStyle name="Input [yellow] 3 8 9 13 3" xfId="30108"/>
    <cellStyle name="Input [yellow] 3 8 9 13 4" xfId="41273"/>
    <cellStyle name="Input [yellow] 3 8 9 13 5" xfId="52466"/>
    <cellStyle name="Input [yellow] 3 8 9 14" xfId="8377"/>
    <cellStyle name="Input [yellow] 3 8 9 14 2" xfId="19574"/>
    <cellStyle name="Input [yellow] 3 8 9 14 3" xfId="30742"/>
    <cellStyle name="Input [yellow] 3 8 9 14 4" xfId="41907"/>
    <cellStyle name="Input [yellow] 3 8 9 14 5" xfId="53100"/>
    <cellStyle name="Input [yellow] 3 8 9 15" xfId="9005"/>
    <cellStyle name="Input [yellow] 3 8 9 15 2" xfId="20202"/>
    <cellStyle name="Input [yellow] 3 8 9 15 3" xfId="31370"/>
    <cellStyle name="Input [yellow] 3 8 9 15 4" xfId="42535"/>
    <cellStyle name="Input [yellow] 3 8 9 15 5" xfId="53728"/>
    <cellStyle name="Input [yellow] 3 8 9 16" xfId="9428"/>
    <cellStyle name="Input [yellow] 3 8 9 16 2" xfId="20625"/>
    <cellStyle name="Input [yellow] 3 8 9 16 3" xfId="31793"/>
    <cellStyle name="Input [yellow] 3 8 9 16 4" xfId="42958"/>
    <cellStyle name="Input [yellow] 3 8 9 16 5" xfId="54151"/>
    <cellStyle name="Input [yellow] 3 8 9 17" xfId="10053"/>
    <cellStyle name="Input [yellow] 3 8 9 17 2" xfId="21250"/>
    <cellStyle name="Input [yellow] 3 8 9 17 3" xfId="32418"/>
    <cellStyle name="Input [yellow] 3 8 9 17 4" xfId="43583"/>
    <cellStyle name="Input [yellow] 3 8 9 17 5" xfId="54776"/>
    <cellStyle name="Input [yellow] 3 8 9 18" xfId="9862"/>
    <cellStyle name="Input [yellow] 3 8 9 18 2" xfId="21059"/>
    <cellStyle name="Input [yellow] 3 8 9 18 3" xfId="32227"/>
    <cellStyle name="Input [yellow] 3 8 9 18 4" xfId="43392"/>
    <cellStyle name="Input [yellow] 3 8 9 18 5" xfId="54585"/>
    <cellStyle name="Input [yellow] 3 8 9 19" xfId="11093"/>
    <cellStyle name="Input [yellow] 3 8 9 19 2" xfId="22290"/>
    <cellStyle name="Input [yellow] 3 8 9 19 3" xfId="33458"/>
    <cellStyle name="Input [yellow] 3 8 9 19 4" xfId="44623"/>
    <cellStyle name="Input [yellow] 3 8 9 19 5" xfId="55816"/>
    <cellStyle name="Input [yellow] 3 8 9 2" xfId="1189"/>
    <cellStyle name="Input [yellow] 3 8 9 2 2" xfId="12386"/>
    <cellStyle name="Input [yellow] 3 8 9 2 3" xfId="23554"/>
    <cellStyle name="Input [yellow] 3 8 9 2 4" xfId="34719"/>
    <cellStyle name="Input [yellow] 3 8 9 2 5" xfId="45912"/>
    <cellStyle name="Input [yellow] 3 8 9 20" xfId="11740"/>
    <cellStyle name="Input [yellow] 3 8 9 21" xfId="22910"/>
    <cellStyle name="Input [yellow] 3 8 9 22" xfId="34077"/>
    <cellStyle name="Input [yellow] 3 8 9 23" xfId="45263"/>
    <cellStyle name="Input [yellow] 3 8 9 3" xfId="1415"/>
    <cellStyle name="Input [yellow] 3 8 9 3 2" xfId="12612"/>
    <cellStyle name="Input [yellow] 3 8 9 3 3" xfId="23780"/>
    <cellStyle name="Input [yellow] 3 8 9 3 4" xfId="34945"/>
    <cellStyle name="Input [yellow] 3 8 9 3 5" xfId="46138"/>
    <cellStyle name="Input [yellow] 3 8 9 4" xfId="2465"/>
    <cellStyle name="Input [yellow] 3 8 9 4 2" xfId="13662"/>
    <cellStyle name="Input [yellow] 3 8 9 4 3" xfId="24830"/>
    <cellStyle name="Input [yellow] 3 8 9 4 4" xfId="35995"/>
    <cellStyle name="Input [yellow] 3 8 9 4 5" xfId="47188"/>
    <cellStyle name="Input [yellow] 3 8 9 5" xfId="2890"/>
    <cellStyle name="Input [yellow] 3 8 9 5 2" xfId="14087"/>
    <cellStyle name="Input [yellow] 3 8 9 5 3" xfId="25255"/>
    <cellStyle name="Input [yellow] 3 8 9 5 4" xfId="36420"/>
    <cellStyle name="Input [yellow] 3 8 9 5 5" xfId="47613"/>
    <cellStyle name="Input [yellow] 3 8 9 6" xfId="3524"/>
    <cellStyle name="Input [yellow] 3 8 9 6 2" xfId="14721"/>
    <cellStyle name="Input [yellow] 3 8 9 6 3" xfId="25889"/>
    <cellStyle name="Input [yellow] 3 8 9 6 4" xfId="37054"/>
    <cellStyle name="Input [yellow] 3 8 9 6 5" xfId="48247"/>
    <cellStyle name="Input [yellow] 3 8 9 7" xfId="4158"/>
    <cellStyle name="Input [yellow] 3 8 9 7 2" xfId="15355"/>
    <cellStyle name="Input [yellow] 3 8 9 7 3" xfId="26523"/>
    <cellStyle name="Input [yellow] 3 8 9 7 4" xfId="37688"/>
    <cellStyle name="Input [yellow] 3 8 9 7 5" xfId="48881"/>
    <cellStyle name="Input [yellow] 3 8 9 8" xfId="4791"/>
    <cellStyle name="Input [yellow] 3 8 9 8 2" xfId="15988"/>
    <cellStyle name="Input [yellow] 3 8 9 8 3" xfId="27156"/>
    <cellStyle name="Input [yellow] 3 8 9 8 4" xfId="38321"/>
    <cellStyle name="Input [yellow] 3 8 9 8 5" xfId="49514"/>
    <cellStyle name="Input [yellow] 3 8 9 9" xfId="5422"/>
    <cellStyle name="Input [yellow] 3 8 9 9 2" xfId="16619"/>
    <cellStyle name="Input [yellow] 3 8 9 9 3" xfId="27787"/>
    <cellStyle name="Input [yellow] 3 8 9 9 4" xfId="38952"/>
    <cellStyle name="Input [yellow] 3 8 9 9 5" xfId="50145"/>
    <cellStyle name="Input [yellow] 3 9" xfId="76"/>
    <cellStyle name="Input [yellow] 3 9 10" xfId="616"/>
    <cellStyle name="Input [yellow] 3 9 10 10" xfId="6108"/>
    <cellStyle name="Input [yellow] 3 9 10 10 2" xfId="17305"/>
    <cellStyle name="Input [yellow] 3 9 10 10 3" xfId="28473"/>
    <cellStyle name="Input [yellow] 3 9 10 10 4" xfId="39638"/>
    <cellStyle name="Input [yellow] 3 9 10 10 5" xfId="50831"/>
    <cellStyle name="Input [yellow] 3 9 10 11" xfId="6552"/>
    <cellStyle name="Input [yellow] 3 9 10 11 2" xfId="17749"/>
    <cellStyle name="Input [yellow] 3 9 10 11 3" xfId="28917"/>
    <cellStyle name="Input [yellow] 3 9 10 11 4" xfId="40082"/>
    <cellStyle name="Input [yellow] 3 9 10 11 5" xfId="51275"/>
    <cellStyle name="Input [yellow] 3 9 10 12" xfId="7185"/>
    <cellStyle name="Input [yellow] 3 9 10 12 2" xfId="18382"/>
    <cellStyle name="Input [yellow] 3 9 10 12 3" xfId="29550"/>
    <cellStyle name="Input [yellow] 3 9 10 12 4" xfId="40715"/>
    <cellStyle name="Input [yellow] 3 9 10 12 5" xfId="51908"/>
    <cellStyle name="Input [yellow] 3 9 10 13" xfId="7819"/>
    <cellStyle name="Input [yellow] 3 9 10 13 2" xfId="19016"/>
    <cellStyle name="Input [yellow] 3 9 10 13 3" xfId="30184"/>
    <cellStyle name="Input [yellow] 3 9 10 13 4" xfId="41349"/>
    <cellStyle name="Input [yellow] 3 9 10 13 5" xfId="52542"/>
    <cellStyle name="Input [yellow] 3 9 10 14" xfId="8453"/>
    <cellStyle name="Input [yellow] 3 9 10 14 2" xfId="19650"/>
    <cellStyle name="Input [yellow] 3 9 10 14 3" xfId="30818"/>
    <cellStyle name="Input [yellow] 3 9 10 14 4" xfId="41983"/>
    <cellStyle name="Input [yellow] 3 9 10 14 5" xfId="53176"/>
    <cellStyle name="Input [yellow] 3 9 10 15" xfId="9081"/>
    <cellStyle name="Input [yellow] 3 9 10 15 2" xfId="20278"/>
    <cellStyle name="Input [yellow] 3 9 10 15 3" xfId="31446"/>
    <cellStyle name="Input [yellow] 3 9 10 15 4" xfId="42611"/>
    <cellStyle name="Input [yellow] 3 9 10 15 5" xfId="53804"/>
    <cellStyle name="Input [yellow] 3 9 10 16" xfId="9504"/>
    <cellStyle name="Input [yellow] 3 9 10 16 2" xfId="20701"/>
    <cellStyle name="Input [yellow] 3 9 10 16 3" xfId="31869"/>
    <cellStyle name="Input [yellow] 3 9 10 16 4" xfId="43034"/>
    <cellStyle name="Input [yellow] 3 9 10 16 5" xfId="54227"/>
    <cellStyle name="Input [yellow] 3 9 10 17" xfId="10129"/>
    <cellStyle name="Input [yellow] 3 9 10 17 2" xfId="21326"/>
    <cellStyle name="Input [yellow] 3 9 10 17 3" xfId="32494"/>
    <cellStyle name="Input [yellow] 3 9 10 17 4" xfId="43659"/>
    <cellStyle name="Input [yellow] 3 9 10 17 5" xfId="54852"/>
    <cellStyle name="Input [yellow] 3 9 10 18" xfId="9784"/>
    <cellStyle name="Input [yellow] 3 9 10 18 2" xfId="20981"/>
    <cellStyle name="Input [yellow] 3 9 10 18 3" xfId="32149"/>
    <cellStyle name="Input [yellow] 3 9 10 18 4" xfId="43314"/>
    <cellStyle name="Input [yellow] 3 9 10 18 5" xfId="54507"/>
    <cellStyle name="Input [yellow] 3 9 10 19" xfId="11169"/>
    <cellStyle name="Input [yellow] 3 9 10 19 2" xfId="22366"/>
    <cellStyle name="Input [yellow] 3 9 10 19 3" xfId="33534"/>
    <cellStyle name="Input [yellow] 3 9 10 19 4" xfId="44699"/>
    <cellStyle name="Input [yellow] 3 9 10 19 5" xfId="55892"/>
    <cellStyle name="Input [yellow] 3 9 10 2" xfId="1265"/>
    <cellStyle name="Input [yellow] 3 9 10 2 2" xfId="12462"/>
    <cellStyle name="Input [yellow] 3 9 10 2 3" xfId="23630"/>
    <cellStyle name="Input [yellow] 3 9 10 2 4" xfId="34795"/>
    <cellStyle name="Input [yellow] 3 9 10 2 5" xfId="45988"/>
    <cellStyle name="Input [yellow] 3 9 10 20" xfId="11816"/>
    <cellStyle name="Input [yellow] 3 9 10 21" xfId="22986"/>
    <cellStyle name="Input [yellow] 3 9 10 22" xfId="34153"/>
    <cellStyle name="Input [yellow] 3 9 10 23" xfId="45339"/>
    <cellStyle name="Input [yellow] 3 9 10 3" xfId="1561"/>
    <cellStyle name="Input [yellow] 3 9 10 3 2" xfId="12758"/>
    <cellStyle name="Input [yellow] 3 9 10 3 3" xfId="23926"/>
    <cellStyle name="Input [yellow] 3 9 10 3 4" xfId="35091"/>
    <cellStyle name="Input [yellow] 3 9 10 3 5" xfId="46284"/>
    <cellStyle name="Input [yellow] 3 9 10 4" xfId="2541"/>
    <cellStyle name="Input [yellow] 3 9 10 4 2" xfId="13738"/>
    <cellStyle name="Input [yellow] 3 9 10 4 3" xfId="24906"/>
    <cellStyle name="Input [yellow] 3 9 10 4 4" xfId="36071"/>
    <cellStyle name="Input [yellow] 3 9 10 4 5" xfId="47264"/>
    <cellStyle name="Input [yellow] 3 9 10 5" xfId="2966"/>
    <cellStyle name="Input [yellow] 3 9 10 5 2" xfId="14163"/>
    <cellStyle name="Input [yellow] 3 9 10 5 3" xfId="25331"/>
    <cellStyle name="Input [yellow] 3 9 10 5 4" xfId="36496"/>
    <cellStyle name="Input [yellow] 3 9 10 5 5" xfId="47689"/>
    <cellStyle name="Input [yellow] 3 9 10 6" xfId="3600"/>
    <cellStyle name="Input [yellow] 3 9 10 6 2" xfId="14797"/>
    <cellStyle name="Input [yellow] 3 9 10 6 3" xfId="25965"/>
    <cellStyle name="Input [yellow] 3 9 10 6 4" xfId="37130"/>
    <cellStyle name="Input [yellow] 3 9 10 6 5" xfId="48323"/>
    <cellStyle name="Input [yellow] 3 9 10 7" xfId="4234"/>
    <cellStyle name="Input [yellow] 3 9 10 7 2" xfId="15431"/>
    <cellStyle name="Input [yellow] 3 9 10 7 3" xfId="26599"/>
    <cellStyle name="Input [yellow] 3 9 10 7 4" xfId="37764"/>
    <cellStyle name="Input [yellow] 3 9 10 7 5" xfId="48957"/>
    <cellStyle name="Input [yellow] 3 9 10 8" xfId="4867"/>
    <cellStyle name="Input [yellow] 3 9 10 8 2" xfId="16064"/>
    <cellStyle name="Input [yellow] 3 9 10 8 3" xfId="27232"/>
    <cellStyle name="Input [yellow] 3 9 10 8 4" xfId="38397"/>
    <cellStyle name="Input [yellow] 3 9 10 8 5" xfId="49590"/>
    <cellStyle name="Input [yellow] 3 9 10 9" xfId="5498"/>
    <cellStyle name="Input [yellow] 3 9 10 9 2" xfId="16695"/>
    <cellStyle name="Input [yellow] 3 9 10 9 3" xfId="27863"/>
    <cellStyle name="Input [yellow] 3 9 10 9 4" xfId="39028"/>
    <cellStyle name="Input [yellow] 3 9 10 9 5" xfId="50221"/>
    <cellStyle name="Input [yellow] 3 9 11" xfId="656"/>
    <cellStyle name="Input [yellow] 3 9 11 10" xfId="5854"/>
    <cellStyle name="Input [yellow] 3 9 11 10 2" xfId="17051"/>
    <cellStyle name="Input [yellow] 3 9 11 10 3" xfId="28219"/>
    <cellStyle name="Input [yellow] 3 9 11 10 4" xfId="39384"/>
    <cellStyle name="Input [yellow] 3 9 11 10 5" xfId="50577"/>
    <cellStyle name="Input [yellow] 3 9 11 11" xfId="6592"/>
    <cellStyle name="Input [yellow] 3 9 11 11 2" xfId="17789"/>
    <cellStyle name="Input [yellow] 3 9 11 11 3" xfId="28957"/>
    <cellStyle name="Input [yellow] 3 9 11 11 4" xfId="40122"/>
    <cellStyle name="Input [yellow] 3 9 11 11 5" xfId="51315"/>
    <cellStyle name="Input [yellow] 3 9 11 12" xfId="7225"/>
    <cellStyle name="Input [yellow] 3 9 11 12 2" xfId="18422"/>
    <cellStyle name="Input [yellow] 3 9 11 12 3" xfId="29590"/>
    <cellStyle name="Input [yellow] 3 9 11 12 4" xfId="40755"/>
    <cellStyle name="Input [yellow] 3 9 11 12 5" xfId="51948"/>
    <cellStyle name="Input [yellow] 3 9 11 13" xfId="7859"/>
    <cellStyle name="Input [yellow] 3 9 11 13 2" xfId="19056"/>
    <cellStyle name="Input [yellow] 3 9 11 13 3" xfId="30224"/>
    <cellStyle name="Input [yellow] 3 9 11 13 4" xfId="41389"/>
    <cellStyle name="Input [yellow] 3 9 11 13 5" xfId="52582"/>
    <cellStyle name="Input [yellow] 3 9 11 14" xfId="8493"/>
    <cellStyle name="Input [yellow] 3 9 11 14 2" xfId="19690"/>
    <cellStyle name="Input [yellow] 3 9 11 14 3" xfId="30858"/>
    <cellStyle name="Input [yellow] 3 9 11 14 4" xfId="42023"/>
    <cellStyle name="Input [yellow] 3 9 11 14 5" xfId="53216"/>
    <cellStyle name="Input [yellow] 3 9 11 15" xfId="9121"/>
    <cellStyle name="Input [yellow] 3 9 11 15 2" xfId="20318"/>
    <cellStyle name="Input [yellow] 3 9 11 15 3" xfId="31486"/>
    <cellStyle name="Input [yellow] 3 9 11 15 4" xfId="42651"/>
    <cellStyle name="Input [yellow] 3 9 11 15 5" xfId="53844"/>
    <cellStyle name="Input [yellow] 3 9 11 16" xfId="9544"/>
    <cellStyle name="Input [yellow] 3 9 11 16 2" xfId="20741"/>
    <cellStyle name="Input [yellow] 3 9 11 16 3" xfId="31909"/>
    <cellStyle name="Input [yellow] 3 9 11 16 4" xfId="43074"/>
    <cellStyle name="Input [yellow] 3 9 11 16 5" xfId="54267"/>
    <cellStyle name="Input [yellow] 3 9 11 17" xfId="10168"/>
    <cellStyle name="Input [yellow] 3 9 11 17 2" xfId="21365"/>
    <cellStyle name="Input [yellow] 3 9 11 17 3" xfId="32533"/>
    <cellStyle name="Input [yellow] 3 9 11 17 4" xfId="43698"/>
    <cellStyle name="Input [yellow] 3 9 11 17 5" xfId="54891"/>
    <cellStyle name="Input [yellow] 3 9 11 18" xfId="10476"/>
    <cellStyle name="Input [yellow] 3 9 11 18 2" xfId="21673"/>
    <cellStyle name="Input [yellow] 3 9 11 18 3" xfId="32841"/>
    <cellStyle name="Input [yellow] 3 9 11 18 4" xfId="44006"/>
    <cellStyle name="Input [yellow] 3 9 11 18 5" xfId="55199"/>
    <cellStyle name="Input [yellow] 3 9 11 19" xfId="11209"/>
    <cellStyle name="Input [yellow] 3 9 11 19 2" xfId="22406"/>
    <cellStyle name="Input [yellow] 3 9 11 19 3" xfId="33574"/>
    <cellStyle name="Input [yellow] 3 9 11 19 4" xfId="44739"/>
    <cellStyle name="Input [yellow] 3 9 11 19 5" xfId="55932"/>
    <cellStyle name="Input [yellow] 3 9 11 2" xfId="1305"/>
    <cellStyle name="Input [yellow] 3 9 11 2 2" xfId="12502"/>
    <cellStyle name="Input [yellow] 3 9 11 2 3" xfId="23670"/>
    <cellStyle name="Input [yellow] 3 9 11 2 4" xfId="34835"/>
    <cellStyle name="Input [yellow] 3 9 11 2 5" xfId="46028"/>
    <cellStyle name="Input [yellow] 3 9 11 20" xfId="11856"/>
    <cellStyle name="Input [yellow] 3 9 11 21" xfId="23026"/>
    <cellStyle name="Input [yellow] 3 9 11 22" xfId="34193"/>
    <cellStyle name="Input [yellow] 3 9 11 23" xfId="45379"/>
    <cellStyle name="Input [yellow] 3 9 11 3" xfId="1773"/>
    <cellStyle name="Input [yellow] 3 9 11 3 2" xfId="12970"/>
    <cellStyle name="Input [yellow] 3 9 11 3 3" xfId="24138"/>
    <cellStyle name="Input [yellow] 3 9 11 3 4" xfId="35303"/>
    <cellStyle name="Input [yellow] 3 9 11 3 5" xfId="46496"/>
    <cellStyle name="Input [yellow] 3 9 11 4" xfId="2581"/>
    <cellStyle name="Input [yellow] 3 9 11 4 2" xfId="13778"/>
    <cellStyle name="Input [yellow] 3 9 11 4 3" xfId="24946"/>
    <cellStyle name="Input [yellow] 3 9 11 4 4" xfId="36111"/>
    <cellStyle name="Input [yellow] 3 9 11 4 5" xfId="47304"/>
    <cellStyle name="Input [yellow] 3 9 11 5" xfId="3006"/>
    <cellStyle name="Input [yellow] 3 9 11 5 2" xfId="14203"/>
    <cellStyle name="Input [yellow] 3 9 11 5 3" xfId="25371"/>
    <cellStyle name="Input [yellow] 3 9 11 5 4" xfId="36536"/>
    <cellStyle name="Input [yellow] 3 9 11 5 5" xfId="47729"/>
    <cellStyle name="Input [yellow] 3 9 11 6" xfId="3640"/>
    <cellStyle name="Input [yellow] 3 9 11 6 2" xfId="14837"/>
    <cellStyle name="Input [yellow] 3 9 11 6 3" xfId="26005"/>
    <cellStyle name="Input [yellow] 3 9 11 6 4" xfId="37170"/>
    <cellStyle name="Input [yellow] 3 9 11 6 5" xfId="48363"/>
    <cellStyle name="Input [yellow] 3 9 11 7" xfId="4274"/>
    <cellStyle name="Input [yellow] 3 9 11 7 2" xfId="15471"/>
    <cellStyle name="Input [yellow] 3 9 11 7 3" xfId="26639"/>
    <cellStyle name="Input [yellow] 3 9 11 7 4" xfId="37804"/>
    <cellStyle name="Input [yellow] 3 9 11 7 5" xfId="48997"/>
    <cellStyle name="Input [yellow] 3 9 11 8" xfId="4907"/>
    <cellStyle name="Input [yellow] 3 9 11 8 2" xfId="16104"/>
    <cellStyle name="Input [yellow] 3 9 11 8 3" xfId="27272"/>
    <cellStyle name="Input [yellow] 3 9 11 8 4" xfId="38437"/>
    <cellStyle name="Input [yellow] 3 9 11 8 5" xfId="49630"/>
    <cellStyle name="Input [yellow] 3 9 11 9" xfId="5538"/>
    <cellStyle name="Input [yellow] 3 9 11 9 2" xfId="16735"/>
    <cellStyle name="Input [yellow] 3 9 11 9 3" xfId="27903"/>
    <cellStyle name="Input [yellow] 3 9 11 9 4" xfId="39068"/>
    <cellStyle name="Input [yellow] 3 9 11 9 5" xfId="50261"/>
    <cellStyle name="Input [yellow] 3 9 12" xfId="725"/>
    <cellStyle name="Input [yellow] 3 9 12 2" xfId="11923"/>
    <cellStyle name="Input [yellow] 3 9 12 3" xfId="23091"/>
    <cellStyle name="Input [yellow] 3 9 12 4" xfId="34256"/>
    <cellStyle name="Input [yellow] 3 9 12 5" xfId="45448"/>
    <cellStyle name="Input [yellow] 3 9 13" xfId="1813"/>
    <cellStyle name="Input [yellow] 3 9 13 2" xfId="13010"/>
    <cellStyle name="Input [yellow] 3 9 13 3" xfId="24178"/>
    <cellStyle name="Input [yellow] 3 9 13 4" xfId="35343"/>
    <cellStyle name="Input [yellow] 3 9 13 5" xfId="46536"/>
    <cellStyle name="Input [yellow] 3 9 14" xfId="2002"/>
    <cellStyle name="Input [yellow] 3 9 14 2" xfId="13199"/>
    <cellStyle name="Input [yellow] 3 9 14 3" xfId="24367"/>
    <cellStyle name="Input [yellow] 3 9 14 4" xfId="35532"/>
    <cellStyle name="Input [yellow] 3 9 14 5" xfId="46725"/>
    <cellStyle name="Input [yellow] 3 9 15" xfId="2403"/>
    <cellStyle name="Input [yellow] 3 9 15 2" xfId="13600"/>
    <cellStyle name="Input [yellow] 3 9 15 3" xfId="24768"/>
    <cellStyle name="Input [yellow] 3 9 15 4" xfId="35933"/>
    <cellStyle name="Input [yellow] 3 9 15 5" xfId="47126"/>
    <cellStyle name="Input [yellow] 3 9 16" xfId="3060"/>
    <cellStyle name="Input [yellow] 3 9 16 2" xfId="14257"/>
    <cellStyle name="Input [yellow] 3 9 16 3" xfId="25425"/>
    <cellStyle name="Input [yellow] 3 9 16 4" xfId="36590"/>
    <cellStyle name="Input [yellow] 3 9 16 5" xfId="47783"/>
    <cellStyle name="Input [yellow] 3 9 17" xfId="3694"/>
    <cellStyle name="Input [yellow] 3 9 17 2" xfId="14891"/>
    <cellStyle name="Input [yellow] 3 9 17 3" xfId="26059"/>
    <cellStyle name="Input [yellow] 3 9 17 4" xfId="37224"/>
    <cellStyle name="Input [yellow] 3 9 17 5" xfId="48417"/>
    <cellStyle name="Input [yellow] 3 9 18" xfId="4327"/>
    <cellStyle name="Input [yellow] 3 9 18 2" xfId="15524"/>
    <cellStyle name="Input [yellow] 3 9 18 3" xfId="26692"/>
    <cellStyle name="Input [yellow] 3 9 18 4" xfId="37857"/>
    <cellStyle name="Input [yellow] 3 9 18 5" xfId="49050"/>
    <cellStyle name="Input [yellow] 3 9 19" xfId="4959"/>
    <cellStyle name="Input [yellow] 3 9 19 2" xfId="16156"/>
    <cellStyle name="Input [yellow] 3 9 19 3" xfId="27324"/>
    <cellStyle name="Input [yellow] 3 9 19 4" xfId="38489"/>
    <cellStyle name="Input [yellow] 3 9 19 5" xfId="49682"/>
    <cellStyle name="Input [yellow] 3 9 2" xfId="140"/>
    <cellStyle name="Input [yellow] 3 9 2 10" xfId="5728"/>
    <cellStyle name="Input [yellow] 3 9 2 10 2" xfId="16925"/>
    <cellStyle name="Input [yellow] 3 9 2 10 3" xfId="28093"/>
    <cellStyle name="Input [yellow] 3 9 2 10 4" xfId="39258"/>
    <cellStyle name="Input [yellow] 3 9 2 10 5" xfId="50451"/>
    <cellStyle name="Input [yellow] 3 9 2 11" xfId="5753"/>
    <cellStyle name="Input [yellow] 3 9 2 11 2" xfId="16950"/>
    <cellStyle name="Input [yellow] 3 9 2 11 3" xfId="28118"/>
    <cellStyle name="Input [yellow] 3 9 2 11 4" xfId="39283"/>
    <cellStyle name="Input [yellow] 3 9 2 11 5" xfId="50476"/>
    <cellStyle name="Input [yellow] 3 9 2 12" xfId="6709"/>
    <cellStyle name="Input [yellow] 3 9 2 12 2" xfId="17906"/>
    <cellStyle name="Input [yellow] 3 9 2 12 3" xfId="29074"/>
    <cellStyle name="Input [yellow] 3 9 2 12 4" xfId="40239"/>
    <cellStyle name="Input [yellow] 3 9 2 12 5" xfId="51432"/>
    <cellStyle name="Input [yellow] 3 9 2 13" xfId="7343"/>
    <cellStyle name="Input [yellow] 3 9 2 13 2" xfId="18540"/>
    <cellStyle name="Input [yellow] 3 9 2 13 3" xfId="29708"/>
    <cellStyle name="Input [yellow] 3 9 2 13 4" xfId="40873"/>
    <cellStyle name="Input [yellow] 3 9 2 13 5" xfId="52066"/>
    <cellStyle name="Input [yellow] 3 9 2 14" xfId="7977"/>
    <cellStyle name="Input [yellow] 3 9 2 14 2" xfId="19174"/>
    <cellStyle name="Input [yellow] 3 9 2 14 3" xfId="30342"/>
    <cellStyle name="Input [yellow] 3 9 2 14 4" xfId="41507"/>
    <cellStyle name="Input [yellow] 3 9 2 14 5" xfId="52700"/>
    <cellStyle name="Input [yellow] 3 9 2 15" xfId="8608"/>
    <cellStyle name="Input [yellow] 3 9 2 15 2" xfId="19805"/>
    <cellStyle name="Input [yellow] 3 9 2 15 3" xfId="30973"/>
    <cellStyle name="Input [yellow] 3 9 2 15 4" xfId="42138"/>
    <cellStyle name="Input [yellow] 3 9 2 15 5" xfId="53331"/>
    <cellStyle name="Input [yellow] 3 9 2 16" xfId="8839"/>
    <cellStyle name="Input [yellow] 3 9 2 16 2" xfId="20036"/>
    <cellStyle name="Input [yellow] 3 9 2 16 3" xfId="31204"/>
    <cellStyle name="Input [yellow] 3 9 2 16 4" xfId="42369"/>
    <cellStyle name="Input [yellow] 3 9 2 16 5" xfId="53562"/>
    <cellStyle name="Input [yellow] 3 9 2 17" xfId="9661"/>
    <cellStyle name="Input [yellow] 3 9 2 17 2" xfId="20858"/>
    <cellStyle name="Input [yellow] 3 9 2 17 3" xfId="32026"/>
    <cellStyle name="Input [yellow] 3 9 2 17 4" xfId="43191"/>
    <cellStyle name="Input [yellow] 3 9 2 17 5" xfId="54384"/>
    <cellStyle name="Input [yellow] 3 9 2 18" xfId="10556"/>
    <cellStyle name="Input [yellow] 3 9 2 18 2" xfId="21753"/>
    <cellStyle name="Input [yellow] 3 9 2 18 3" xfId="32921"/>
    <cellStyle name="Input [yellow] 3 9 2 18 4" xfId="44086"/>
    <cellStyle name="Input [yellow] 3 9 2 18 5" xfId="55279"/>
    <cellStyle name="Input [yellow] 3 9 2 19" xfId="10693"/>
    <cellStyle name="Input [yellow] 3 9 2 19 2" xfId="21890"/>
    <cellStyle name="Input [yellow] 3 9 2 19 3" xfId="33058"/>
    <cellStyle name="Input [yellow] 3 9 2 19 4" xfId="44223"/>
    <cellStyle name="Input [yellow] 3 9 2 19 5" xfId="55416"/>
    <cellStyle name="Input [yellow] 3 9 2 2" xfId="789"/>
    <cellStyle name="Input [yellow] 3 9 2 2 2" xfId="11986"/>
    <cellStyle name="Input [yellow] 3 9 2 2 3" xfId="23154"/>
    <cellStyle name="Input [yellow] 3 9 2 2 4" xfId="34319"/>
    <cellStyle name="Input [yellow] 3 9 2 2 5" xfId="45512"/>
    <cellStyle name="Input [yellow] 3 9 2 20" xfId="11340"/>
    <cellStyle name="Input [yellow] 3 9 2 21" xfId="22510"/>
    <cellStyle name="Input [yellow] 3 9 2 22" xfId="33677"/>
    <cellStyle name="Input [yellow] 3 9 2 23" xfId="44863"/>
    <cellStyle name="Input [yellow] 3 9 2 3" xfId="1395"/>
    <cellStyle name="Input [yellow] 3 9 2 3 2" xfId="12592"/>
    <cellStyle name="Input [yellow] 3 9 2 3 3" xfId="23760"/>
    <cellStyle name="Input [yellow] 3 9 2 3 4" xfId="34925"/>
    <cellStyle name="Input [yellow] 3 9 2 3 5" xfId="46118"/>
    <cellStyle name="Input [yellow] 3 9 2 4" xfId="2066"/>
    <cellStyle name="Input [yellow] 3 9 2 4 2" xfId="13263"/>
    <cellStyle name="Input [yellow] 3 9 2 4 3" xfId="24431"/>
    <cellStyle name="Input [yellow] 3 9 2 4 4" xfId="35596"/>
    <cellStyle name="Input [yellow] 3 9 2 4 5" xfId="46789"/>
    <cellStyle name="Input [yellow] 3 9 2 5" xfId="2444"/>
    <cellStyle name="Input [yellow] 3 9 2 5 2" xfId="13641"/>
    <cellStyle name="Input [yellow] 3 9 2 5 3" xfId="24809"/>
    <cellStyle name="Input [yellow] 3 9 2 5 4" xfId="35974"/>
    <cellStyle name="Input [yellow] 3 9 2 5 5" xfId="47167"/>
    <cellStyle name="Input [yellow] 3 9 2 6" xfId="3124"/>
    <cellStyle name="Input [yellow] 3 9 2 6 2" xfId="14321"/>
    <cellStyle name="Input [yellow] 3 9 2 6 3" xfId="25489"/>
    <cellStyle name="Input [yellow] 3 9 2 6 4" xfId="36654"/>
    <cellStyle name="Input [yellow] 3 9 2 6 5" xfId="47847"/>
    <cellStyle name="Input [yellow] 3 9 2 7" xfId="3758"/>
    <cellStyle name="Input [yellow] 3 9 2 7 2" xfId="14955"/>
    <cellStyle name="Input [yellow] 3 9 2 7 3" xfId="26123"/>
    <cellStyle name="Input [yellow] 3 9 2 7 4" xfId="37288"/>
    <cellStyle name="Input [yellow] 3 9 2 7 5" xfId="48481"/>
    <cellStyle name="Input [yellow] 3 9 2 8" xfId="4391"/>
    <cellStyle name="Input [yellow] 3 9 2 8 2" xfId="15588"/>
    <cellStyle name="Input [yellow] 3 9 2 8 3" xfId="26756"/>
    <cellStyle name="Input [yellow] 3 9 2 8 4" xfId="37921"/>
    <cellStyle name="Input [yellow] 3 9 2 8 5" xfId="49114"/>
    <cellStyle name="Input [yellow] 3 9 2 9" xfId="5022"/>
    <cellStyle name="Input [yellow] 3 9 2 9 2" xfId="16219"/>
    <cellStyle name="Input [yellow] 3 9 2 9 3" xfId="27387"/>
    <cellStyle name="Input [yellow] 3 9 2 9 4" xfId="38552"/>
    <cellStyle name="Input [yellow] 3 9 2 9 5" xfId="49745"/>
    <cellStyle name="Input [yellow] 3 9 20" xfId="5990"/>
    <cellStyle name="Input [yellow] 3 9 20 2" xfId="17187"/>
    <cellStyle name="Input [yellow] 3 9 20 3" xfId="28355"/>
    <cellStyle name="Input [yellow] 3 9 20 4" xfId="39520"/>
    <cellStyle name="Input [yellow] 3 9 20 5" xfId="50713"/>
    <cellStyle name="Input [yellow] 3 9 21" xfId="5730"/>
    <cellStyle name="Input [yellow] 3 9 21 2" xfId="16927"/>
    <cellStyle name="Input [yellow] 3 9 21 3" xfId="28095"/>
    <cellStyle name="Input [yellow] 3 9 21 4" xfId="39260"/>
    <cellStyle name="Input [yellow] 3 9 21 5" xfId="50453"/>
    <cellStyle name="Input [yellow] 3 9 22" xfId="6646"/>
    <cellStyle name="Input [yellow] 3 9 22 2" xfId="17843"/>
    <cellStyle name="Input [yellow] 3 9 22 3" xfId="29011"/>
    <cellStyle name="Input [yellow] 3 9 22 4" xfId="40176"/>
    <cellStyle name="Input [yellow] 3 9 22 5" xfId="51369"/>
    <cellStyle name="Input [yellow] 3 9 23" xfId="7279"/>
    <cellStyle name="Input [yellow] 3 9 23 2" xfId="18476"/>
    <cellStyle name="Input [yellow] 3 9 23 3" xfId="29644"/>
    <cellStyle name="Input [yellow] 3 9 23 4" xfId="40809"/>
    <cellStyle name="Input [yellow] 3 9 23 5" xfId="52002"/>
    <cellStyle name="Input [yellow] 3 9 24" xfId="7913"/>
    <cellStyle name="Input [yellow] 3 9 24 2" xfId="19110"/>
    <cellStyle name="Input [yellow] 3 9 24 3" xfId="30278"/>
    <cellStyle name="Input [yellow] 3 9 24 4" xfId="41443"/>
    <cellStyle name="Input [yellow] 3 9 24 5" xfId="52636"/>
    <cellStyle name="Input [yellow] 3 9 25" xfId="8545"/>
    <cellStyle name="Input [yellow] 3 9 25 2" xfId="19742"/>
    <cellStyle name="Input [yellow] 3 9 25 3" xfId="30910"/>
    <cellStyle name="Input [yellow] 3 9 25 4" xfId="42075"/>
    <cellStyle name="Input [yellow] 3 9 25 5" xfId="53268"/>
    <cellStyle name="Input [yellow] 3 9 26" xfId="9079"/>
    <cellStyle name="Input [yellow] 3 9 26 2" xfId="20276"/>
    <cellStyle name="Input [yellow] 3 9 26 3" xfId="31444"/>
    <cellStyle name="Input [yellow] 3 9 26 4" xfId="42609"/>
    <cellStyle name="Input [yellow] 3 9 26 5" xfId="53802"/>
    <cellStyle name="Input [yellow] 3 9 27" xfId="9598"/>
    <cellStyle name="Input [yellow] 3 9 27 2" xfId="20795"/>
    <cellStyle name="Input [yellow] 3 9 27 3" xfId="31963"/>
    <cellStyle name="Input [yellow] 3 9 27 4" xfId="43128"/>
    <cellStyle name="Input [yellow] 3 9 27 5" xfId="54321"/>
    <cellStyle name="Input [yellow] 3 9 28" xfId="10122"/>
    <cellStyle name="Input [yellow] 3 9 28 2" xfId="21319"/>
    <cellStyle name="Input [yellow] 3 9 28 3" xfId="32487"/>
    <cellStyle name="Input [yellow] 3 9 28 4" xfId="43652"/>
    <cellStyle name="Input [yellow] 3 9 28 5" xfId="54845"/>
    <cellStyle name="Input [yellow] 3 9 29" xfId="10630"/>
    <cellStyle name="Input [yellow] 3 9 29 2" xfId="21827"/>
    <cellStyle name="Input [yellow] 3 9 29 3" xfId="32995"/>
    <cellStyle name="Input [yellow] 3 9 29 4" xfId="44160"/>
    <cellStyle name="Input [yellow] 3 9 29 5" xfId="55353"/>
    <cellStyle name="Input [yellow] 3 9 3" xfId="196"/>
    <cellStyle name="Input [yellow] 3 9 3 10" xfId="5872"/>
    <cellStyle name="Input [yellow] 3 9 3 10 2" xfId="17069"/>
    <cellStyle name="Input [yellow] 3 9 3 10 3" xfId="28237"/>
    <cellStyle name="Input [yellow] 3 9 3 10 4" xfId="39402"/>
    <cellStyle name="Input [yellow] 3 9 3 10 5" xfId="50595"/>
    <cellStyle name="Input [yellow] 3 9 3 11" xfId="5644"/>
    <cellStyle name="Input [yellow] 3 9 3 11 2" xfId="16841"/>
    <cellStyle name="Input [yellow] 3 9 3 11 3" xfId="28009"/>
    <cellStyle name="Input [yellow] 3 9 3 11 4" xfId="39174"/>
    <cellStyle name="Input [yellow] 3 9 3 11 5" xfId="50367"/>
    <cellStyle name="Input [yellow] 3 9 3 12" xfId="6765"/>
    <cellStyle name="Input [yellow] 3 9 3 12 2" xfId="17962"/>
    <cellStyle name="Input [yellow] 3 9 3 12 3" xfId="29130"/>
    <cellStyle name="Input [yellow] 3 9 3 12 4" xfId="40295"/>
    <cellStyle name="Input [yellow] 3 9 3 12 5" xfId="51488"/>
    <cellStyle name="Input [yellow] 3 9 3 13" xfId="7399"/>
    <cellStyle name="Input [yellow] 3 9 3 13 2" xfId="18596"/>
    <cellStyle name="Input [yellow] 3 9 3 13 3" xfId="29764"/>
    <cellStyle name="Input [yellow] 3 9 3 13 4" xfId="40929"/>
    <cellStyle name="Input [yellow] 3 9 3 13 5" xfId="52122"/>
    <cellStyle name="Input [yellow] 3 9 3 14" xfId="8033"/>
    <cellStyle name="Input [yellow] 3 9 3 14 2" xfId="19230"/>
    <cellStyle name="Input [yellow] 3 9 3 14 3" xfId="30398"/>
    <cellStyle name="Input [yellow] 3 9 3 14 4" xfId="41563"/>
    <cellStyle name="Input [yellow] 3 9 3 14 5" xfId="52756"/>
    <cellStyle name="Input [yellow] 3 9 3 15" xfId="8664"/>
    <cellStyle name="Input [yellow] 3 9 3 15 2" xfId="19861"/>
    <cellStyle name="Input [yellow] 3 9 3 15 3" xfId="31029"/>
    <cellStyle name="Input [yellow] 3 9 3 15 4" xfId="42194"/>
    <cellStyle name="Input [yellow] 3 9 3 15 5" xfId="53387"/>
    <cellStyle name="Input [yellow] 3 9 3 16" xfId="8627"/>
    <cellStyle name="Input [yellow] 3 9 3 16 2" xfId="19824"/>
    <cellStyle name="Input [yellow] 3 9 3 16 3" xfId="30992"/>
    <cellStyle name="Input [yellow] 3 9 3 16 4" xfId="42157"/>
    <cellStyle name="Input [yellow] 3 9 3 16 5" xfId="53350"/>
    <cellStyle name="Input [yellow] 3 9 3 17" xfId="9715"/>
    <cellStyle name="Input [yellow] 3 9 3 17 2" xfId="20912"/>
    <cellStyle name="Input [yellow] 3 9 3 17 3" xfId="32080"/>
    <cellStyle name="Input [yellow] 3 9 3 17 4" xfId="43245"/>
    <cellStyle name="Input [yellow] 3 9 3 17 5" xfId="54438"/>
    <cellStyle name="Input [yellow] 3 9 3 18" xfId="10046"/>
    <cellStyle name="Input [yellow] 3 9 3 18 2" xfId="21243"/>
    <cellStyle name="Input [yellow] 3 9 3 18 3" xfId="32411"/>
    <cellStyle name="Input [yellow] 3 9 3 18 4" xfId="43576"/>
    <cellStyle name="Input [yellow] 3 9 3 18 5" xfId="54769"/>
    <cellStyle name="Input [yellow] 3 9 3 19" xfId="10749"/>
    <cellStyle name="Input [yellow] 3 9 3 19 2" xfId="21946"/>
    <cellStyle name="Input [yellow] 3 9 3 19 3" xfId="33114"/>
    <cellStyle name="Input [yellow] 3 9 3 19 4" xfId="44279"/>
    <cellStyle name="Input [yellow] 3 9 3 19 5" xfId="55472"/>
    <cellStyle name="Input [yellow] 3 9 3 2" xfId="845"/>
    <cellStyle name="Input [yellow] 3 9 3 2 2" xfId="12042"/>
    <cellStyle name="Input [yellow] 3 9 3 2 3" xfId="23210"/>
    <cellStyle name="Input [yellow] 3 9 3 2 4" xfId="34375"/>
    <cellStyle name="Input [yellow] 3 9 3 2 5" xfId="45568"/>
    <cellStyle name="Input [yellow] 3 9 3 20" xfId="11396"/>
    <cellStyle name="Input [yellow] 3 9 3 21" xfId="22566"/>
    <cellStyle name="Input [yellow] 3 9 3 22" xfId="33733"/>
    <cellStyle name="Input [yellow] 3 9 3 23" xfId="44919"/>
    <cellStyle name="Input [yellow] 3 9 3 3" xfId="1836"/>
    <cellStyle name="Input [yellow] 3 9 3 3 2" xfId="13033"/>
    <cellStyle name="Input [yellow] 3 9 3 3 3" xfId="24201"/>
    <cellStyle name="Input [yellow] 3 9 3 3 4" xfId="35366"/>
    <cellStyle name="Input [yellow] 3 9 3 3 5" xfId="46559"/>
    <cellStyle name="Input [yellow] 3 9 3 4" xfId="2122"/>
    <cellStyle name="Input [yellow] 3 9 3 4 2" xfId="13319"/>
    <cellStyle name="Input [yellow] 3 9 3 4 3" xfId="24487"/>
    <cellStyle name="Input [yellow] 3 9 3 4 4" xfId="35652"/>
    <cellStyle name="Input [yellow] 3 9 3 4 5" xfId="46845"/>
    <cellStyle name="Input [yellow] 3 9 3 5" xfId="2022"/>
    <cellStyle name="Input [yellow] 3 9 3 5 2" xfId="13219"/>
    <cellStyle name="Input [yellow] 3 9 3 5 3" xfId="24387"/>
    <cellStyle name="Input [yellow] 3 9 3 5 4" xfId="35552"/>
    <cellStyle name="Input [yellow] 3 9 3 5 5" xfId="46745"/>
    <cellStyle name="Input [yellow] 3 9 3 6" xfId="3180"/>
    <cellStyle name="Input [yellow] 3 9 3 6 2" xfId="14377"/>
    <cellStyle name="Input [yellow] 3 9 3 6 3" xfId="25545"/>
    <cellStyle name="Input [yellow] 3 9 3 6 4" xfId="36710"/>
    <cellStyle name="Input [yellow] 3 9 3 6 5" xfId="47903"/>
    <cellStyle name="Input [yellow] 3 9 3 7" xfId="3814"/>
    <cellStyle name="Input [yellow] 3 9 3 7 2" xfId="15011"/>
    <cellStyle name="Input [yellow] 3 9 3 7 3" xfId="26179"/>
    <cellStyle name="Input [yellow] 3 9 3 7 4" xfId="37344"/>
    <cellStyle name="Input [yellow] 3 9 3 7 5" xfId="48537"/>
    <cellStyle name="Input [yellow] 3 9 3 8" xfId="4447"/>
    <cellStyle name="Input [yellow] 3 9 3 8 2" xfId="15644"/>
    <cellStyle name="Input [yellow] 3 9 3 8 3" xfId="26812"/>
    <cellStyle name="Input [yellow] 3 9 3 8 4" xfId="37977"/>
    <cellStyle name="Input [yellow] 3 9 3 8 5" xfId="49170"/>
    <cellStyle name="Input [yellow] 3 9 3 9" xfId="5078"/>
    <cellStyle name="Input [yellow] 3 9 3 9 2" xfId="16275"/>
    <cellStyle name="Input [yellow] 3 9 3 9 3" xfId="27443"/>
    <cellStyle name="Input [yellow] 3 9 3 9 4" xfId="38608"/>
    <cellStyle name="Input [yellow] 3 9 3 9 5" xfId="49801"/>
    <cellStyle name="Input [yellow] 3 9 30" xfId="11277"/>
    <cellStyle name="Input [yellow] 3 9 31" xfId="22447"/>
    <cellStyle name="Input [yellow] 3 9 32" xfId="33614"/>
    <cellStyle name="Input [yellow] 3 9 33" xfId="44799"/>
    <cellStyle name="Input [yellow] 3 9 4" xfId="252"/>
    <cellStyle name="Input [yellow] 3 9 4 10" xfId="5702"/>
    <cellStyle name="Input [yellow] 3 9 4 10 2" xfId="16899"/>
    <cellStyle name="Input [yellow] 3 9 4 10 3" xfId="28067"/>
    <cellStyle name="Input [yellow] 3 9 4 10 4" xfId="39232"/>
    <cellStyle name="Input [yellow] 3 9 4 10 5" xfId="50425"/>
    <cellStyle name="Input [yellow] 3 9 4 11" xfId="6188"/>
    <cellStyle name="Input [yellow] 3 9 4 11 2" xfId="17385"/>
    <cellStyle name="Input [yellow] 3 9 4 11 3" xfId="28553"/>
    <cellStyle name="Input [yellow] 3 9 4 11 4" xfId="39718"/>
    <cellStyle name="Input [yellow] 3 9 4 11 5" xfId="50911"/>
    <cellStyle name="Input [yellow] 3 9 4 12" xfId="6821"/>
    <cellStyle name="Input [yellow] 3 9 4 12 2" xfId="18018"/>
    <cellStyle name="Input [yellow] 3 9 4 12 3" xfId="29186"/>
    <cellStyle name="Input [yellow] 3 9 4 12 4" xfId="40351"/>
    <cellStyle name="Input [yellow] 3 9 4 12 5" xfId="51544"/>
    <cellStyle name="Input [yellow] 3 9 4 13" xfId="7455"/>
    <cellStyle name="Input [yellow] 3 9 4 13 2" xfId="18652"/>
    <cellStyle name="Input [yellow] 3 9 4 13 3" xfId="29820"/>
    <cellStyle name="Input [yellow] 3 9 4 13 4" xfId="40985"/>
    <cellStyle name="Input [yellow] 3 9 4 13 5" xfId="52178"/>
    <cellStyle name="Input [yellow] 3 9 4 14" xfId="8089"/>
    <cellStyle name="Input [yellow] 3 9 4 14 2" xfId="19286"/>
    <cellStyle name="Input [yellow] 3 9 4 14 3" xfId="30454"/>
    <cellStyle name="Input [yellow] 3 9 4 14 4" xfId="41619"/>
    <cellStyle name="Input [yellow] 3 9 4 14 5" xfId="52812"/>
    <cellStyle name="Input [yellow] 3 9 4 15" xfId="8719"/>
    <cellStyle name="Input [yellow] 3 9 4 15 2" xfId="19916"/>
    <cellStyle name="Input [yellow] 3 9 4 15 3" xfId="31084"/>
    <cellStyle name="Input [yellow] 3 9 4 15 4" xfId="42249"/>
    <cellStyle name="Input [yellow] 3 9 4 15 5" xfId="53442"/>
    <cellStyle name="Input [yellow] 3 9 4 16" xfId="9140"/>
    <cellStyle name="Input [yellow] 3 9 4 16 2" xfId="20337"/>
    <cellStyle name="Input [yellow] 3 9 4 16 3" xfId="31505"/>
    <cellStyle name="Input [yellow] 3 9 4 16 4" xfId="42670"/>
    <cellStyle name="Input [yellow] 3 9 4 16 5" xfId="53863"/>
    <cellStyle name="Input [yellow] 3 9 4 17" xfId="9769"/>
    <cellStyle name="Input [yellow] 3 9 4 17 2" xfId="20966"/>
    <cellStyle name="Input [yellow] 3 9 4 17 3" xfId="32134"/>
    <cellStyle name="Input [yellow] 3 9 4 17 4" xfId="43299"/>
    <cellStyle name="Input [yellow] 3 9 4 17 5" xfId="54492"/>
    <cellStyle name="Input [yellow] 3 9 4 18" xfId="9886"/>
    <cellStyle name="Input [yellow] 3 9 4 18 2" xfId="21083"/>
    <cellStyle name="Input [yellow] 3 9 4 18 3" xfId="32251"/>
    <cellStyle name="Input [yellow] 3 9 4 18 4" xfId="43416"/>
    <cellStyle name="Input [yellow] 3 9 4 18 5" xfId="54609"/>
    <cellStyle name="Input [yellow] 3 9 4 19" xfId="10805"/>
    <cellStyle name="Input [yellow] 3 9 4 19 2" xfId="22002"/>
    <cellStyle name="Input [yellow] 3 9 4 19 3" xfId="33170"/>
    <cellStyle name="Input [yellow] 3 9 4 19 4" xfId="44335"/>
    <cellStyle name="Input [yellow] 3 9 4 19 5" xfId="55528"/>
    <cellStyle name="Input [yellow] 3 9 4 2" xfId="901"/>
    <cellStyle name="Input [yellow] 3 9 4 2 2" xfId="12098"/>
    <cellStyle name="Input [yellow] 3 9 4 2 3" xfId="23266"/>
    <cellStyle name="Input [yellow] 3 9 4 2 4" xfId="34431"/>
    <cellStyle name="Input [yellow] 3 9 4 2 5" xfId="45624"/>
    <cellStyle name="Input [yellow] 3 9 4 20" xfId="11452"/>
    <cellStyle name="Input [yellow] 3 9 4 21" xfId="22622"/>
    <cellStyle name="Input [yellow] 3 9 4 22" xfId="33789"/>
    <cellStyle name="Input [yellow] 3 9 4 23" xfId="44975"/>
    <cellStyle name="Input [yellow] 3 9 4 3" xfId="1818"/>
    <cellStyle name="Input [yellow] 3 9 4 3 2" xfId="13015"/>
    <cellStyle name="Input [yellow] 3 9 4 3 3" xfId="24183"/>
    <cellStyle name="Input [yellow] 3 9 4 3 4" xfId="35348"/>
    <cellStyle name="Input [yellow] 3 9 4 3 5" xfId="46541"/>
    <cellStyle name="Input [yellow] 3 9 4 4" xfId="2178"/>
    <cellStyle name="Input [yellow] 3 9 4 4 2" xfId="13375"/>
    <cellStyle name="Input [yellow] 3 9 4 4 3" xfId="24543"/>
    <cellStyle name="Input [yellow] 3 9 4 4 4" xfId="35708"/>
    <cellStyle name="Input [yellow] 3 9 4 4 5" xfId="46901"/>
    <cellStyle name="Input [yellow] 3 9 4 5" xfId="2602"/>
    <cellStyle name="Input [yellow] 3 9 4 5 2" xfId="13799"/>
    <cellStyle name="Input [yellow] 3 9 4 5 3" xfId="24967"/>
    <cellStyle name="Input [yellow] 3 9 4 5 4" xfId="36132"/>
    <cellStyle name="Input [yellow] 3 9 4 5 5" xfId="47325"/>
    <cellStyle name="Input [yellow] 3 9 4 6" xfId="3236"/>
    <cellStyle name="Input [yellow] 3 9 4 6 2" xfId="14433"/>
    <cellStyle name="Input [yellow] 3 9 4 6 3" xfId="25601"/>
    <cellStyle name="Input [yellow] 3 9 4 6 4" xfId="36766"/>
    <cellStyle name="Input [yellow] 3 9 4 6 5" xfId="47959"/>
    <cellStyle name="Input [yellow] 3 9 4 7" xfId="3870"/>
    <cellStyle name="Input [yellow] 3 9 4 7 2" xfId="15067"/>
    <cellStyle name="Input [yellow] 3 9 4 7 3" xfId="26235"/>
    <cellStyle name="Input [yellow] 3 9 4 7 4" xfId="37400"/>
    <cellStyle name="Input [yellow] 3 9 4 7 5" xfId="48593"/>
    <cellStyle name="Input [yellow] 3 9 4 8" xfId="4503"/>
    <cellStyle name="Input [yellow] 3 9 4 8 2" xfId="15700"/>
    <cellStyle name="Input [yellow] 3 9 4 8 3" xfId="26868"/>
    <cellStyle name="Input [yellow] 3 9 4 8 4" xfId="38033"/>
    <cellStyle name="Input [yellow] 3 9 4 8 5" xfId="49226"/>
    <cellStyle name="Input [yellow] 3 9 4 9" xfId="5134"/>
    <cellStyle name="Input [yellow] 3 9 4 9 2" xfId="16331"/>
    <cellStyle name="Input [yellow] 3 9 4 9 3" xfId="27499"/>
    <cellStyle name="Input [yellow] 3 9 4 9 4" xfId="38664"/>
    <cellStyle name="Input [yellow] 3 9 4 9 5" xfId="49857"/>
    <cellStyle name="Input [yellow] 3 9 5" xfId="298"/>
    <cellStyle name="Input [yellow] 3 9 5 10" xfId="6178"/>
    <cellStyle name="Input [yellow] 3 9 5 10 2" xfId="17375"/>
    <cellStyle name="Input [yellow] 3 9 5 10 3" xfId="28543"/>
    <cellStyle name="Input [yellow] 3 9 5 10 4" xfId="39708"/>
    <cellStyle name="Input [yellow] 3 9 5 10 5" xfId="50901"/>
    <cellStyle name="Input [yellow] 3 9 5 11" xfId="6234"/>
    <cellStyle name="Input [yellow] 3 9 5 11 2" xfId="17431"/>
    <cellStyle name="Input [yellow] 3 9 5 11 3" xfId="28599"/>
    <cellStyle name="Input [yellow] 3 9 5 11 4" xfId="39764"/>
    <cellStyle name="Input [yellow] 3 9 5 11 5" xfId="50957"/>
    <cellStyle name="Input [yellow] 3 9 5 12" xfId="6867"/>
    <cellStyle name="Input [yellow] 3 9 5 12 2" xfId="18064"/>
    <cellStyle name="Input [yellow] 3 9 5 12 3" xfId="29232"/>
    <cellStyle name="Input [yellow] 3 9 5 12 4" xfId="40397"/>
    <cellStyle name="Input [yellow] 3 9 5 12 5" xfId="51590"/>
    <cellStyle name="Input [yellow] 3 9 5 13" xfId="7501"/>
    <cellStyle name="Input [yellow] 3 9 5 13 2" xfId="18698"/>
    <cellStyle name="Input [yellow] 3 9 5 13 3" xfId="29866"/>
    <cellStyle name="Input [yellow] 3 9 5 13 4" xfId="41031"/>
    <cellStyle name="Input [yellow] 3 9 5 13 5" xfId="52224"/>
    <cellStyle name="Input [yellow] 3 9 5 14" xfId="8135"/>
    <cellStyle name="Input [yellow] 3 9 5 14 2" xfId="19332"/>
    <cellStyle name="Input [yellow] 3 9 5 14 3" xfId="30500"/>
    <cellStyle name="Input [yellow] 3 9 5 14 4" xfId="41665"/>
    <cellStyle name="Input [yellow] 3 9 5 14 5" xfId="52858"/>
    <cellStyle name="Input [yellow] 3 9 5 15" xfId="8764"/>
    <cellStyle name="Input [yellow] 3 9 5 15 2" xfId="19961"/>
    <cellStyle name="Input [yellow] 3 9 5 15 3" xfId="31129"/>
    <cellStyle name="Input [yellow] 3 9 5 15 4" xfId="42294"/>
    <cellStyle name="Input [yellow] 3 9 5 15 5" xfId="53487"/>
    <cellStyle name="Input [yellow] 3 9 5 16" xfId="9186"/>
    <cellStyle name="Input [yellow] 3 9 5 16 2" xfId="20383"/>
    <cellStyle name="Input [yellow] 3 9 5 16 3" xfId="31551"/>
    <cellStyle name="Input [yellow] 3 9 5 16 4" xfId="42716"/>
    <cellStyle name="Input [yellow] 3 9 5 16 5" xfId="53909"/>
    <cellStyle name="Input [yellow] 3 9 5 17" xfId="9813"/>
    <cellStyle name="Input [yellow] 3 9 5 17 2" xfId="21010"/>
    <cellStyle name="Input [yellow] 3 9 5 17 3" xfId="32178"/>
    <cellStyle name="Input [yellow] 3 9 5 17 4" xfId="43343"/>
    <cellStyle name="Input [yellow] 3 9 5 17 5" xfId="54536"/>
    <cellStyle name="Input [yellow] 3 9 5 18" xfId="10547"/>
    <cellStyle name="Input [yellow] 3 9 5 18 2" xfId="21744"/>
    <cellStyle name="Input [yellow] 3 9 5 18 3" xfId="32912"/>
    <cellStyle name="Input [yellow] 3 9 5 18 4" xfId="44077"/>
    <cellStyle name="Input [yellow] 3 9 5 18 5" xfId="55270"/>
    <cellStyle name="Input [yellow] 3 9 5 19" xfId="10851"/>
    <cellStyle name="Input [yellow] 3 9 5 19 2" xfId="22048"/>
    <cellStyle name="Input [yellow] 3 9 5 19 3" xfId="33216"/>
    <cellStyle name="Input [yellow] 3 9 5 19 4" xfId="44381"/>
    <cellStyle name="Input [yellow] 3 9 5 19 5" xfId="55574"/>
    <cellStyle name="Input [yellow] 3 9 5 2" xfId="947"/>
    <cellStyle name="Input [yellow] 3 9 5 2 2" xfId="12144"/>
    <cellStyle name="Input [yellow] 3 9 5 2 3" xfId="23312"/>
    <cellStyle name="Input [yellow] 3 9 5 2 4" xfId="34477"/>
    <cellStyle name="Input [yellow] 3 9 5 2 5" xfId="45670"/>
    <cellStyle name="Input [yellow] 3 9 5 20" xfId="11498"/>
    <cellStyle name="Input [yellow] 3 9 5 21" xfId="22668"/>
    <cellStyle name="Input [yellow] 3 9 5 22" xfId="33835"/>
    <cellStyle name="Input [yellow] 3 9 5 23" xfId="45021"/>
    <cellStyle name="Input [yellow] 3 9 5 3" xfId="1886"/>
    <cellStyle name="Input [yellow] 3 9 5 3 2" xfId="13083"/>
    <cellStyle name="Input [yellow] 3 9 5 3 3" xfId="24251"/>
    <cellStyle name="Input [yellow] 3 9 5 3 4" xfId="35416"/>
    <cellStyle name="Input [yellow] 3 9 5 3 5" xfId="46609"/>
    <cellStyle name="Input [yellow] 3 9 5 4" xfId="2223"/>
    <cellStyle name="Input [yellow] 3 9 5 4 2" xfId="13420"/>
    <cellStyle name="Input [yellow] 3 9 5 4 3" xfId="24588"/>
    <cellStyle name="Input [yellow] 3 9 5 4 4" xfId="35753"/>
    <cellStyle name="Input [yellow] 3 9 5 4 5" xfId="46946"/>
    <cellStyle name="Input [yellow] 3 9 5 5" xfId="2648"/>
    <cellStyle name="Input [yellow] 3 9 5 5 2" xfId="13845"/>
    <cellStyle name="Input [yellow] 3 9 5 5 3" xfId="25013"/>
    <cellStyle name="Input [yellow] 3 9 5 5 4" xfId="36178"/>
    <cellStyle name="Input [yellow] 3 9 5 5 5" xfId="47371"/>
    <cellStyle name="Input [yellow] 3 9 5 6" xfId="3282"/>
    <cellStyle name="Input [yellow] 3 9 5 6 2" xfId="14479"/>
    <cellStyle name="Input [yellow] 3 9 5 6 3" xfId="25647"/>
    <cellStyle name="Input [yellow] 3 9 5 6 4" xfId="36812"/>
    <cellStyle name="Input [yellow] 3 9 5 6 5" xfId="48005"/>
    <cellStyle name="Input [yellow] 3 9 5 7" xfId="3916"/>
    <cellStyle name="Input [yellow] 3 9 5 7 2" xfId="15113"/>
    <cellStyle name="Input [yellow] 3 9 5 7 3" xfId="26281"/>
    <cellStyle name="Input [yellow] 3 9 5 7 4" xfId="37446"/>
    <cellStyle name="Input [yellow] 3 9 5 7 5" xfId="48639"/>
    <cellStyle name="Input [yellow] 3 9 5 8" xfId="4549"/>
    <cellStyle name="Input [yellow] 3 9 5 8 2" xfId="15746"/>
    <cellStyle name="Input [yellow] 3 9 5 8 3" xfId="26914"/>
    <cellStyle name="Input [yellow] 3 9 5 8 4" xfId="38079"/>
    <cellStyle name="Input [yellow] 3 9 5 8 5" xfId="49272"/>
    <cellStyle name="Input [yellow] 3 9 5 9" xfId="5180"/>
    <cellStyle name="Input [yellow] 3 9 5 9 2" xfId="16377"/>
    <cellStyle name="Input [yellow] 3 9 5 9 3" xfId="27545"/>
    <cellStyle name="Input [yellow] 3 9 5 9 4" xfId="38710"/>
    <cellStyle name="Input [yellow] 3 9 5 9 5" xfId="49903"/>
    <cellStyle name="Input [yellow] 3 9 6" xfId="361"/>
    <cellStyle name="Input [yellow] 3 9 6 10" xfId="4295"/>
    <cellStyle name="Input [yellow] 3 9 6 10 2" xfId="15492"/>
    <cellStyle name="Input [yellow] 3 9 6 10 3" xfId="26660"/>
    <cellStyle name="Input [yellow] 3 9 6 10 4" xfId="37825"/>
    <cellStyle name="Input [yellow] 3 9 6 10 5" xfId="49018"/>
    <cellStyle name="Input [yellow] 3 9 6 11" xfId="6297"/>
    <cellStyle name="Input [yellow] 3 9 6 11 2" xfId="17494"/>
    <cellStyle name="Input [yellow] 3 9 6 11 3" xfId="28662"/>
    <cellStyle name="Input [yellow] 3 9 6 11 4" xfId="39827"/>
    <cellStyle name="Input [yellow] 3 9 6 11 5" xfId="51020"/>
    <cellStyle name="Input [yellow] 3 9 6 12" xfId="6930"/>
    <cellStyle name="Input [yellow] 3 9 6 12 2" xfId="18127"/>
    <cellStyle name="Input [yellow] 3 9 6 12 3" xfId="29295"/>
    <cellStyle name="Input [yellow] 3 9 6 12 4" xfId="40460"/>
    <cellStyle name="Input [yellow] 3 9 6 12 5" xfId="51653"/>
    <cellStyle name="Input [yellow] 3 9 6 13" xfId="7564"/>
    <cellStyle name="Input [yellow] 3 9 6 13 2" xfId="18761"/>
    <cellStyle name="Input [yellow] 3 9 6 13 3" xfId="29929"/>
    <cellStyle name="Input [yellow] 3 9 6 13 4" xfId="41094"/>
    <cellStyle name="Input [yellow] 3 9 6 13 5" xfId="52287"/>
    <cellStyle name="Input [yellow] 3 9 6 14" xfId="8198"/>
    <cellStyle name="Input [yellow] 3 9 6 14 2" xfId="19395"/>
    <cellStyle name="Input [yellow] 3 9 6 14 3" xfId="30563"/>
    <cellStyle name="Input [yellow] 3 9 6 14 4" xfId="41728"/>
    <cellStyle name="Input [yellow] 3 9 6 14 5" xfId="52921"/>
    <cellStyle name="Input [yellow] 3 9 6 15" xfId="8827"/>
    <cellStyle name="Input [yellow] 3 9 6 15 2" xfId="20024"/>
    <cellStyle name="Input [yellow] 3 9 6 15 3" xfId="31192"/>
    <cellStyle name="Input [yellow] 3 9 6 15 4" xfId="42357"/>
    <cellStyle name="Input [yellow] 3 9 6 15 5" xfId="53550"/>
    <cellStyle name="Input [yellow] 3 9 6 16" xfId="9249"/>
    <cellStyle name="Input [yellow] 3 9 6 16 2" xfId="20446"/>
    <cellStyle name="Input [yellow] 3 9 6 16 3" xfId="31614"/>
    <cellStyle name="Input [yellow] 3 9 6 16 4" xfId="42779"/>
    <cellStyle name="Input [yellow] 3 9 6 16 5" xfId="53972"/>
    <cellStyle name="Input [yellow] 3 9 6 17" xfId="9876"/>
    <cellStyle name="Input [yellow] 3 9 6 17 2" xfId="21073"/>
    <cellStyle name="Input [yellow] 3 9 6 17 3" xfId="32241"/>
    <cellStyle name="Input [yellow] 3 9 6 17 4" xfId="43406"/>
    <cellStyle name="Input [yellow] 3 9 6 17 5" xfId="54599"/>
    <cellStyle name="Input [yellow] 3 9 6 18" xfId="10504"/>
    <cellStyle name="Input [yellow] 3 9 6 18 2" xfId="21701"/>
    <cellStyle name="Input [yellow] 3 9 6 18 3" xfId="32869"/>
    <cellStyle name="Input [yellow] 3 9 6 18 4" xfId="44034"/>
    <cellStyle name="Input [yellow] 3 9 6 18 5" xfId="55227"/>
    <cellStyle name="Input [yellow] 3 9 6 19" xfId="10914"/>
    <cellStyle name="Input [yellow] 3 9 6 19 2" xfId="22111"/>
    <cellStyle name="Input [yellow] 3 9 6 19 3" xfId="33279"/>
    <cellStyle name="Input [yellow] 3 9 6 19 4" xfId="44444"/>
    <cellStyle name="Input [yellow] 3 9 6 19 5" xfId="55637"/>
    <cellStyle name="Input [yellow] 3 9 6 2" xfId="1010"/>
    <cellStyle name="Input [yellow] 3 9 6 2 2" xfId="12207"/>
    <cellStyle name="Input [yellow] 3 9 6 2 3" xfId="23375"/>
    <cellStyle name="Input [yellow] 3 9 6 2 4" xfId="34540"/>
    <cellStyle name="Input [yellow] 3 9 6 2 5" xfId="45733"/>
    <cellStyle name="Input [yellow] 3 9 6 20" xfId="11561"/>
    <cellStyle name="Input [yellow] 3 9 6 21" xfId="22731"/>
    <cellStyle name="Input [yellow] 3 9 6 22" xfId="33898"/>
    <cellStyle name="Input [yellow] 3 9 6 23" xfId="45084"/>
    <cellStyle name="Input [yellow] 3 9 6 3" xfId="1908"/>
    <cellStyle name="Input [yellow] 3 9 6 3 2" xfId="13105"/>
    <cellStyle name="Input [yellow] 3 9 6 3 3" xfId="24273"/>
    <cellStyle name="Input [yellow] 3 9 6 3 4" xfId="35438"/>
    <cellStyle name="Input [yellow] 3 9 6 3 5" xfId="46631"/>
    <cellStyle name="Input [yellow] 3 9 6 4" xfId="2286"/>
    <cellStyle name="Input [yellow] 3 9 6 4 2" xfId="13483"/>
    <cellStyle name="Input [yellow] 3 9 6 4 3" xfId="24651"/>
    <cellStyle name="Input [yellow] 3 9 6 4 4" xfId="35816"/>
    <cellStyle name="Input [yellow] 3 9 6 4 5" xfId="47009"/>
    <cellStyle name="Input [yellow] 3 9 6 5" xfId="2711"/>
    <cellStyle name="Input [yellow] 3 9 6 5 2" xfId="13908"/>
    <cellStyle name="Input [yellow] 3 9 6 5 3" xfId="25076"/>
    <cellStyle name="Input [yellow] 3 9 6 5 4" xfId="36241"/>
    <cellStyle name="Input [yellow] 3 9 6 5 5" xfId="47434"/>
    <cellStyle name="Input [yellow] 3 9 6 6" xfId="3345"/>
    <cellStyle name="Input [yellow] 3 9 6 6 2" xfId="14542"/>
    <cellStyle name="Input [yellow] 3 9 6 6 3" xfId="25710"/>
    <cellStyle name="Input [yellow] 3 9 6 6 4" xfId="36875"/>
    <cellStyle name="Input [yellow] 3 9 6 6 5" xfId="48068"/>
    <cellStyle name="Input [yellow] 3 9 6 7" xfId="3979"/>
    <cellStyle name="Input [yellow] 3 9 6 7 2" xfId="15176"/>
    <cellStyle name="Input [yellow] 3 9 6 7 3" xfId="26344"/>
    <cellStyle name="Input [yellow] 3 9 6 7 4" xfId="37509"/>
    <cellStyle name="Input [yellow] 3 9 6 7 5" xfId="48702"/>
    <cellStyle name="Input [yellow] 3 9 6 8" xfId="4612"/>
    <cellStyle name="Input [yellow] 3 9 6 8 2" xfId="15809"/>
    <cellStyle name="Input [yellow] 3 9 6 8 3" xfId="26977"/>
    <cellStyle name="Input [yellow] 3 9 6 8 4" xfId="38142"/>
    <cellStyle name="Input [yellow] 3 9 6 8 5" xfId="49335"/>
    <cellStyle name="Input [yellow] 3 9 6 9" xfId="5243"/>
    <cellStyle name="Input [yellow] 3 9 6 9 2" xfId="16440"/>
    <cellStyle name="Input [yellow] 3 9 6 9 3" xfId="27608"/>
    <cellStyle name="Input [yellow] 3 9 6 9 4" xfId="38773"/>
    <cellStyle name="Input [yellow] 3 9 6 9 5" xfId="49966"/>
    <cellStyle name="Input [yellow] 3 9 7" xfId="422"/>
    <cellStyle name="Input [yellow] 3 9 7 10" xfId="5802"/>
    <cellStyle name="Input [yellow] 3 9 7 10 2" xfId="16999"/>
    <cellStyle name="Input [yellow] 3 9 7 10 3" xfId="28167"/>
    <cellStyle name="Input [yellow] 3 9 7 10 4" xfId="39332"/>
    <cellStyle name="Input [yellow] 3 9 7 10 5" xfId="50525"/>
    <cellStyle name="Input [yellow] 3 9 7 11" xfId="6358"/>
    <cellStyle name="Input [yellow] 3 9 7 11 2" xfId="17555"/>
    <cellStyle name="Input [yellow] 3 9 7 11 3" xfId="28723"/>
    <cellStyle name="Input [yellow] 3 9 7 11 4" xfId="39888"/>
    <cellStyle name="Input [yellow] 3 9 7 11 5" xfId="51081"/>
    <cellStyle name="Input [yellow] 3 9 7 12" xfId="6991"/>
    <cellStyle name="Input [yellow] 3 9 7 12 2" xfId="18188"/>
    <cellStyle name="Input [yellow] 3 9 7 12 3" xfId="29356"/>
    <cellStyle name="Input [yellow] 3 9 7 12 4" xfId="40521"/>
    <cellStyle name="Input [yellow] 3 9 7 12 5" xfId="51714"/>
    <cellStyle name="Input [yellow] 3 9 7 13" xfId="7625"/>
    <cellStyle name="Input [yellow] 3 9 7 13 2" xfId="18822"/>
    <cellStyle name="Input [yellow] 3 9 7 13 3" xfId="29990"/>
    <cellStyle name="Input [yellow] 3 9 7 13 4" xfId="41155"/>
    <cellStyle name="Input [yellow] 3 9 7 13 5" xfId="52348"/>
    <cellStyle name="Input [yellow] 3 9 7 14" xfId="8259"/>
    <cellStyle name="Input [yellow] 3 9 7 14 2" xfId="19456"/>
    <cellStyle name="Input [yellow] 3 9 7 14 3" xfId="30624"/>
    <cellStyle name="Input [yellow] 3 9 7 14 4" xfId="41789"/>
    <cellStyle name="Input [yellow] 3 9 7 14 5" xfId="52982"/>
    <cellStyle name="Input [yellow] 3 9 7 15" xfId="8887"/>
    <cellStyle name="Input [yellow] 3 9 7 15 2" xfId="20084"/>
    <cellStyle name="Input [yellow] 3 9 7 15 3" xfId="31252"/>
    <cellStyle name="Input [yellow] 3 9 7 15 4" xfId="42417"/>
    <cellStyle name="Input [yellow] 3 9 7 15 5" xfId="53610"/>
    <cellStyle name="Input [yellow] 3 9 7 16" xfId="9310"/>
    <cellStyle name="Input [yellow] 3 9 7 16 2" xfId="20507"/>
    <cellStyle name="Input [yellow] 3 9 7 16 3" xfId="31675"/>
    <cellStyle name="Input [yellow] 3 9 7 16 4" xfId="42840"/>
    <cellStyle name="Input [yellow] 3 9 7 16 5" xfId="54033"/>
    <cellStyle name="Input [yellow] 3 9 7 17" xfId="9936"/>
    <cellStyle name="Input [yellow] 3 9 7 17 2" xfId="21133"/>
    <cellStyle name="Input [yellow] 3 9 7 17 3" xfId="32301"/>
    <cellStyle name="Input [yellow] 3 9 7 17 4" xfId="43466"/>
    <cellStyle name="Input [yellow] 3 9 7 17 5" xfId="54659"/>
    <cellStyle name="Input [yellow] 3 9 7 18" xfId="10257"/>
    <cellStyle name="Input [yellow] 3 9 7 18 2" xfId="21454"/>
    <cellStyle name="Input [yellow] 3 9 7 18 3" xfId="32622"/>
    <cellStyle name="Input [yellow] 3 9 7 18 4" xfId="43787"/>
    <cellStyle name="Input [yellow] 3 9 7 18 5" xfId="54980"/>
    <cellStyle name="Input [yellow] 3 9 7 19" xfId="10975"/>
    <cellStyle name="Input [yellow] 3 9 7 19 2" xfId="22172"/>
    <cellStyle name="Input [yellow] 3 9 7 19 3" xfId="33340"/>
    <cellStyle name="Input [yellow] 3 9 7 19 4" xfId="44505"/>
    <cellStyle name="Input [yellow] 3 9 7 19 5" xfId="55698"/>
    <cellStyle name="Input [yellow] 3 9 7 2" xfId="1071"/>
    <cellStyle name="Input [yellow] 3 9 7 2 2" xfId="12268"/>
    <cellStyle name="Input [yellow] 3 9 7 2 3" xfId="23436"/>
    <cellStyle name="Input [yellow] 3 9 7 2 4" xfId="34601"/>
    <cellStyle name="Input [yellow] 3 9 7 2 5" xfId="45794"/>
    <cellStyle name="Input [yellow] 3 9 7 20" xfId="11622"/>
    <cellStyle name="Input [yellow] 3 9 7 21" xfId="22792"/>
    <cellStyle name="Input [yellow] 3 9 7 22" xfId="33959"/>
    <cellStyle name="Input [yellow] 3 9 7 23" xfId="45145"/>
    <cellStyle name="Input [yellow] 3 9 7 3" xfId="1576"/>
    <cellStyle name="Input [yellow] 3 9 7 3 2" xfId="12773"/>
    <cellStyle name="Input [yellow] 3 9 7 3 3" xfId="23941"/>
    <cellStyle name="Input [yellow] 3 9 7 3 4" xfId="35106"/>
    <cellStyle name="Input [yellow] 3 9 7 3 5" xfId="46299"/>
    <cellStyle name="Input [yellow] 3 9 7 4" xfId="2347"/>
    <cellStyle name="Input [yellow] 3 9 7 4 2" xfId="13544"/>
    <cellStyle name="Input [yellow] 3 9 7 4 3" xfId="24712"/>
    <cellStyle name="Input [yellow] 3 9 7 4 4" xfId="35877"/>
    <cellStyle name="Input [yellow] 3 9 7 4 5" xfId="47070"/>
    <cellStyle name="Input [yellow] 3 9 7 5" xfId="2772"/>
    <cellStyle name="Input [yellow] 3 9 7 5 2" xfId="13969"/>
    <cellStyle name="Input [yellow] 3 9 7 5 3" xfId="25137"/>
    <cellStyle name="Input [yellow] 3 9 7 5 4" xfId="36302"/>
    <cellStyle name="Input [yellow] 3 9 7 5 5" xfId="47495"/>
    <cellStyle name="Input [yellow] 3 9 7 6" xfId="3406"/>
    <cellStyle name="Input [yellow] 3 9 7 6 2" xfId="14603"/>
    <cellStyle name="Input [yellow] 3 9 7 6 3" xfId="25771"/>
    <cellStyle name="Input [yellow] 3 9 7 6 4" xfId="36936"/>
    <cellStyle name="Input [yellow] 3 9 7 6 5" xfId="48129"/>
    <cellStyle name="Input [yellow] 3 9 7 7" xfId="4040"/>
    <cellStyle name="Input [yellow] 3 9 7 7 2" xfId="15237"/>
    <cellStyle name="Input [yellow] 3 9 7 7 3" xfId="26405"/>
    <cellStyle name="Input [yellow] 3 9 7 7 4" xfId="37570"/>
    <cellStyle name="Input [yellow] 3 9 7 7 5" xfId="48763"/>
    <cellStyle name="Input [yellow] 3 9 7 8" xfId="4673"/>
    <cellStyle name="Input [yellow] 3 9 7 8 2" xfId="15870"/>
    <cellStyle name="Input [yellow] 3 9 7 8 3" xfId="27038"/>
    <cellStyle name="Input [yellow] 3 9 7 8 4" xfId="38203"/>
    <cellStyle name="Input [yellow] 3 9 7 8 5" xfId="49396"/>
    <cellStyle name="Input [yellow] 3 9 7 9" xfId="5304"/>
    <cellStyle name="Input [yellow] 3 9 7 9 2" xfId="16501"/>
    <cellStyle name="Input [yellow] 3 9 7 9 3" xfId="27669"/>
    <cellStyle name="Input [yellow] 3 9 7 9 4" xfId="38834"/>
    <cellStyle name="Input [yellow] 3 9 7 9 5" xfId="50027"/>
    <cellStyle name="Input [yellow] 3 9 8" xfId="485"/>
    <cellStyle name="Input [yellow] 3 9 8 10" xfId="5954"/>
    <cellStyle name="Input [yellow] 3 9 8 10 2" xfId="17151"/>
    <cellStyle name="Input [yellow] 3 9 8 10 3" xfId="28319"/>
    <cellStyle name="Input [yellow] 3 9 8 10 4" xfId="39484"/>
    <cellStyle name="Input [yellow] 3 9 8 10 5" xfId="50677"/>
    <cellStyle name="Input [yellow] 3 9 8 11" xfId="6421"/>
    <cellStyle name="Input [yellow] 3 9 8 11 2" xfId="17618"/>
    <cellStyle name="Input [yellow] 3 9 8 11 3" xfId="28786"/>
    <cellStyle name="Input [yellow] 3 9 8 11 4" xfId="39951"/>
    <cellStyle name="Input [yellow] 3 9 8 11 5" xfId="51144"/>
    <cellStyle name="Input [yellow] 3 9 8 12" xfId="7054"/>
    <cellStyle name="Input [yellow] 3 9 8 12 2" xfId="18251"/>
    <cellStyle name="Input [yellow] 3 9 8 12 3" xfId="29419"/>
    <cellStyle name="Input [yellow] 3 9 8 12 4" xfId="40584"/>
    <cellStyle name="Input [yellow] 3 9 8 12 5" xfId="51777"/>
    <cellStyle name="Input [yellow] 3 9 8 13" xfId="7688"/>
    <cellStyle name="Input [yellow] 3 9 8 13 2" xfId="18885"/>
    <cellStyle name="Input [yellow] 3 9 8 13 3" xfId="30053"/>
    <cellStyle name="Input [yellow] 3 9 8 13 4" xfId="41218"/>
    <cellStyle name="Input [yellow] 3 9 8 13 5" xfId="52411"/>
    <cellStyle name="Input [yellow] 3 9 8 14" xfId="8322"/>
    <cellStyle name="Input [yellow] 3 9 8 14 2" xfId="19519"/>
    <cellStyle name="Input [yellow] 3 9 8 14 3" xfId="30687"/>
    <cellStyle name="Input [yellow] 3 9 8 14 4" xfId="41852"/>
    <cellStyle name="Input [yellow] 3 9 8 14 5" xfId="53045"/>
    <cellStyle name="Input [yellow] 3 9 8 15" xfId="8950"/>
    <cellStyle name="Input [yellow] 3 9 8 15 2" xfId="20147"/>
    <cellStyle name="Input [yellow] 3 9 8 15 3" xfId="31315"/>
    <cellStyle name="Input [yellow] 3 9 8 15 4" xfId="42480"/>
    <cellStyle name="Input [yellow] 3 9 8 15 5" xfId="53673"/>
    <cellStyle name="Input [yellow] 3 9 8 16" xfId="9373"/>
    <cellStyle name="Input [yellow] 3 9 8 16 2" xfId="20570"/>
    <cellStyle name="Input [yellow] 3 9 8 16 3" xfId="31738"/>
    <cellStyle name="Input [yellow] 3 9 8 16 4" xfId="42903"/>
    <cellStyle name="Input [yellow] 3 9 8 16 5" xfId="54096"/>
    <cellStyle name="Input [yellow] 3 9 8 17" xfId="9998"/>
    <cellStyle name="Input [yellow] 3 9 8 17 2" xfId="21195"/>
    <cellStyle name="Input [yellow] 3 9 8 17 3" xfId="32363"/>
    <cellStyle name="Input [yellow] 3 9 8 17 4" xfId="43528"/>
    <cellStyle name="Input [yellow] 3 9 8 17 5" xfId="54721"/>
    <cellStyle name="Input [yellow] 3 9 8 18" xfId="10177"/>
    <cellStyle name="Input [yellow] 3 9 8 18 2" xfId="21374"/>
    <cellStyle name="Input [yellow] 3 9 8 18 3" xfId="32542"/>
    <cellStyle name="Input [yellow] 3 9 8 18 4" xfId="43707"/>
    <cellStyle name="Input [yellow] 3 9 8 18 5" xfId="54900"/>
    <cellStyle name="Input [yellow] 3 9 8 19" xfId="11038"/>
    <cellStyle name="Input [yellow] 3 9 8 19 2" xfId="22235"/>
    <cellStyle name="Input [yellow] 3 9 8 19 3" xfId="33403"/>
    <cellStyle name="Input [yellow] 3 9 8 19 4" xfId="44568"/>
    <cellStyle name="Input [yellow] 3 9 8 19 5" xfId="55761"/>
    <cellStyle name="Input [yellow] 3 9 8 2" xfId="1134"/>
    <cellStyle name="Input [yellow] 3 9 8 2 2" xfId="12331"/>
    <cellStyle name="Input [yellow] 3 9 8 2 3" xfId="23499"/>
    <cellStyle name="Input [yellow] 3 9 8 2 4" xfId="34664"/>
    <cellStyle name="Input [yellow] 3 9 8 2 5" xfId="45857"/>
    <cellStyle name="Input [yellow] 3 9 8 20" xfId="11685"/>
    <cellStyle name="Input [yellow] 3 9 8 21" xfId="22855"/>
    <cellStyle name="Input [yellow] 3 9 8 22" xfId="34022"/>
    <cellStyle name="Input [yellow] 3 9 8 23" xfId="45208"/>
    <cellStyle name="Input [yellow] 3 9 8 3" xfId="1429"/>
    <cellStyle name="Input [yellow] 3 9 8 3 2" xfId="12626"/>
    <cellStyle name="Input [yellow] 3 9 8 3 3" xfId="23794"/>
    <cellStyle name="Input [yellow] 3 9 8 3 4" xfId="34959"/>
    <cellStyle name="Input [yellow] 3 9 8 3 5" xfId="46152"/>
    <cellStyle name="Input [yellow] 3 9 8 4" xfId="2410"/>
    <cellStyle name="Input [yellow] 3 9 8 4 2" xfId="13607"/>
    <cellStyle name="Input [yellow] 3 9 8 4 3" xfId="24775"/>
    <cellStyle name="Input [yellow] 3 9 8 4 4" xfId="35940"/>
    <cellStyle name="Input [yellow] 3 9 8 4 5" xfId="47133"/>
    <cellStyle name="Input [yellow] 3 9 8 5" xfId="2835"/>
    <cellStyle name="Input [yellow] 3 9 8 5 2" xfId="14032"/>
    <cellStyle name="Input [yellow] 3 9 8 5 3" xfId="25200"/>
    <cellStyle name="Input [yellow] 3 9 8 5 4" xfId="36365"/>
    <cellStyle name="Input [yellow] 3 9 8 5 5" xfId="47558"/>
    <cellStyle name="Input [yellow] 3 9 8 6" xfId="3469"/>
    <cellStyle name="Input [yellow] 3 9 8 6 2" xfId="14666"/>
    <cellStyle name="Input [yellow] 3 9 8 6 3" xfId="25834"/>
    <cellStyle name="Input [yellow] 3 9 8 6 4" xfId="36999"/>
    <cellStyle name="Input [yellow] 3 9 8 6 5" xfId="48192"/>
    <cellStyle name="Input [yellow] 3 9 8 7" xfId="4103"/>
    <cellStyle name="Input [yellow] 3 9 8 7 2" xfId="15300"/>
    <cellStyle name="Input [yellow] 3 9 8 7 3" xfId="26468"/>
    <cellStyle name="Input [yellow] 3 9 8 7 4" xfId="37633"/>
    <cellStyle name="Input [yellow] 3 9 8 7 5" xfId="48826"/>
    <cellStyle name="Input [yellow] 3 9 8 8" xfId="4736"/>
    <cellStyle name="Input [yellow] 3 9 8 8 2" xfId="15933"/>
    <cellStyle name="Input [yellow] 3 9 8 8 3" xfId="27101"/>
    <cellStyle name="Input [yellow] 3 9 8 8 4" xfId="38266"/>
    <cellStyle name="Input [yellow] 3 9 8 8 5" xfId="49459"/>
    <cellStyle name="Input [yellow] 3 9 8 9" xfId="5367"/>
    <cellStyle name="Input [yellow] 3 9 8 9 2" xfId="16564"/>
    <cellStyle name="Input [yellow] 3 9 8 9 3" xfId="27732"/>
    <cellStyle name="Input [yellow] 3 9 8 9 4" xfId="38897"/>
    <cellStyle name="Input [yellow] 3 9 8 9 5" xfId="50090"/>
    <cellStyle name="Input [yellow] 3 9 9" xfId="543"/>
    <cellStyle name="Input [yellow] 3 9 9 10" xfId="5741"/>
    <cellStyle name="Input [yellow] 3 9 9 10 2" xfId="16938"/>
    <cellStyle name="Input [yellow] 3 9 9 10 3" xfId="28106"/>
    <cellStyle name="Input [yellow] 3 9 9 10 4" xfId="39271"/>
    <cellStyle name="Input [yellow] 3 9 9 10 5" xfId="50464"/>
    <cellStyle name="Input [yellow] 3 9 9 11" xfId="6479"/>
    <cellStyle name="Input [yellow] 3 9 9 11 2" xfId="17676"/>
    <cellStyle name="Input [yellow] 3 9 9 11 3" xfId="28844"/>
    <cellStyle name="Input [yellow] 3 9 9 11 4" xfId="40009"/>
    <cellStyle name="Input [yellow] 3 9 9 11 5" xfId="51202"/>
    <cellStyle name="Input [yellow] 3 9 9 12" xfId="7112"/>
    <cellStyle name="Input [yellow] 3 9 9 12 2" xfId="18309"/>
    <cellStyle name="Input [yellow] 3 9 9 12 3" xfId="29477"/>
    <cellStyle name="Input [yellow] 3 9 9 12 4" xfId="40642"/>
    <cellStyle name="Input [yellow] 3 9 9 12 5" xfId="51835"/>
    <cellStyle name="Input [yellow] 3 9 9 13" xfId="7746"/>
    <cellStyle name="Input [yellow] 3 9 9 13 2" xfId="18943"/>
    <cellStyle name="Input [yellow] 3 9 9 13 3" xfId="30111"/>
    <cellStyle name="Input [yellow] 3 9 9 13 4" xfId="41276"/>
    <cellStyle name="Input [yellow] 3 9 9 13 5" xfId="52469"/>
    <cellStyle name="Input [yellow] 3 9 9 14" xfId="8380"/>
    <cellStyle name="Input [yellow] 3 9 9 14 2" xfId="19577"/>
    <cellStyle name="Input [yellow] 3 9 9 14 3" xfId="30745"/>
    <cellStyle name="Input [yellow] 3 9 9 14 4" xfId="41910"/>
    <cellStyle name="Input [yellow] 3 9 9 14 5" xfId="53103"/>
    <cellStyle name="Input [yellow] 3 9 9 15" xfId="9008"/>
    <cellStyle name="Input [yellow] 3 9 9 15 2" xfId="20205"/>
    <cellStyle name="Input [yellow] 3 9 9 15 3" xfId="31373"/>
    <cellStyle name="Input [yellow] 3 9 9 15 4" xfId="42538"/>
    <cellStyle name="Input [yellow] 3 9 9 15 5" xfId="53731"/>
    <cellStyle name="Input [yellow] 3 9 9 16" xfId="9431"/>
    <cellStyle name="Input [yellow] 3 9 9 16 2" xfId="20628"/>
    <cellStyle name="Input [yellow] 3 9 9 16 3" xfId="31796"/>
    <cellStyle name="Input [yellow] 3 9 9 16 4" xfId="42961"/>
    <cellStyle name="Input [yellow] 3 9 9 16 5" xfId="54154"/>
    <cellStyle name="Input [yellow] 3 9 9 17" xfId="10056"/>
    <cellStyle name="Input [yellow] 3 9 9 17 2" xfId="21253"/>
    <cellStyle name="Input [yellow] 3 9 9 17 3" xfId="32421"/>
    <cellStyle name="Input [yellow] 3 9 9 17 4" xfId="43586"/>
    <cellStyle name="Input [yellow] 3 9 9 17 5" xfId="54779"/>
    <cellStyle name="Input [yellow] 3 9 9 18" xfId="10512"/>
    <cellStyle name="Input [yellow] 3 9 9 18 2" xfId="21709"/>
    <cellStyle name="Input [yellow] 3 9 9 18 3" xfId="32877"/>
    <cellStyle name="Input [yellow] 3 9 9 18 4" xfId="44042"/>
    <cellStyle name="Input [yellow] 3 9 9 18 5" xfId="55235"/>
    <cellStyle name="Input [yellow] 3 9 9 19" xfId="11096"/>
    <cellStyle name="Input [yellow] 3 9 9 19 2" xfId="22293"/>
    <cellStyle name="Input [yellow] 3 9 9 19 3" xfId="33461"/>
    <cellStyle name="Input [yellow] 3 9 9 19 4" xfId="44626"/>
    <cellStyle name="Input [yellow] 3 9 9 19 5" xfId="55819"/>
    <cellStyle name="Input [yellow] 3 9 9 2" xfId="1192"/>
    <cellStyle name="Input [yellow] 3 9 9 2 2" xfId="12389"/>
    <cellStyle name="Input [yellow] 3 9 9 2 3" xfId="23557"/>
    <cellStyle name="Input [yellow] 3 9 9 2 4" xfId="34722"/>
    <cellStyle name="Input [yellow] 3 9 9 2 5" xfId="45915"/>
    <cellStyle name="Input [yellow] 3 9 9 20" xfId="11743"/>
    <cellStyle name="Input [yellow] 3 9 9 21" xfId="22913"/>
    <cellStyle name="Input [yellow] 3 9 9 22" xfId="34080"/>
    <cellStyle name="Input [yellow] 3 9 9 23" xfId="45266"/>
    <cellStyle name="Input [yellow] 3 9 9 3" xfId="1351"/>
    <cellStyle name="Input [yellow] 3 9 9 3 2" xfId="12548"/>
    <cellStyle name="Input [yellow] 3 9 9 3 3" xfId="23716"/>
    <cellStyle name="Input [yellow] 3 9 9 3 4" xfId="34881"/>
    <cellStyle name="Input [yellow] 3 9 9 3 5" xfId="46074"/>
    <cellStyle name="Input [yellow] 3 9 9 4" xfId="2468"/>
    <cellStyle name="Input [yellow] 3 9 9 4 2" xfId="13665"/>
    <cellStyle name="Input [yellow] 3 9 9 4 3" xfId="24833"/>
    <cellStyle name="Input [yellow] 3 9 9 4 4" xfId="35998"/>
    <cellStyle name="Input [yellow] 3 9 9 4 5" xfId="47191"/>
    <cellStyle name="Input [yellow] 3 9 9 5" xfId="2893"/>
    <cellStyle name="Input [yellow] 3 9 9 5 2" xfId="14090"/>
    <cellStyle name="Input [yellow] 3 9 9 5 3" xfId="25258"/>
    <cellStyle name="Input [yellow] 3 9 9 5 4" xfId="36423"/>
    <cellStyle name="Input [yellow] 3 9 9 5 5" xfId="47616"/>
    <cellStyle name="Input [yellow] 3 9 9 6" xfId="3527"/>
    <cellStyle name="Input [yellow] 3 9 9 6 2" xfId="14724"/>
    <cellStyle name="Input [yellow] 3 9 9 6 3" xfId="25892"/>
    <cellStyle name="Input [yellow] 3 9 9 6 4" xfId="37057"/>
    <cellStyle name="Input [yellow] 3 9 9 6 5" xfId="48250"/>
    <cellStyle name="Input [yellow] 3 9 9 7" xfId="4161"/>
    <cellStyle name="Input [yellow] 3 9 9 7 2" xfId="15358"/>
    <cellStyle name="Input [yellow] 3 9 9 7 3" xfId="26526"/>
    <cellStyle name="Input [yellow] 3 9 9 7 4" xfId="37691"/>
    <cellStyle name="Input [yellow] 3 9 9 7 5" xfId="48884"/>
    <cellStyle name="Input [yellow] 3 9 9 8" xfId="4794"/>
    <cellStyle name="Input [yellow] 3 9 9 8 2" xfId="15991"/>
    <cellStyle name="Input [yellow] 3 9 9 8 3" xfId="27159"/>
    <cellStyle name="Input [yellow] 3 9 9 8 4" xfId="38324"/>
    <cellStyle name="Input [yellow] 3 9 9 8 5" xfId="49517"/>
    <cellStyle name="Input [yellow] 3 9 9 9" xfId="5425"/>
    <cellStyle name="Input [yellow] 3 9 9 9 2" xfId="16622"/>
    <cellStyle name="Input [yellow] 3 9 9 9 3" xfId="27790"/>
    <cellStyle name="Input [yellow] 3 9 9 9 4" xfId="38955"/>
    <cellStyle name="Input [yellow] 3 9 9 9 5" xfId="50148"/>
    <cellStyle name="Input [yellow] 4" xfId="34"/>
    <cellStyle name="Input [yellow] 4 10" xfId="6167"/>
    <cellStyle name="Input [yellow] 4 10 2" xfId="17364"/>
    <cellStyle name="Input [yellow] 4 10 3" xfId="28532"/>
    <cellStyle name="Input [yellow] 4 10 4" xfId="39697"/>
    <cellStyle name="Input [yellow] 4 10 5" xfId="50890"/>
    <cellStyle name="Input [yellow] 4 11" xfId="5993"/>
    <cellStyle name="Input [yellow] 4 11 2" xfId="17190"/>
    <cellStyle name="Input [yellow] 4 11 3" xfId="28358"/>
    <cellStyle name="Input [yellow] 4 11 4" xfId="39523"/>
    <cellStyle name="Input [yellow] 4 11 5" xfId="50716"/>
    <cellStyle name="Input [yellow] 4 12" xfId="5676"/>
    <cellStyle name="Input [yellow] 4 12 2" xfId="16873"/>
    <cellStyle name="Input [yellow] 4 12 3" xfId="28041"/>
    <cellStyle name="Input [yellow] 4 12 4" xfId="39206"/>
    <cellStyle name="Input [yellow] 4 12 5" xfId="50399"/>
    <cellStyle name="Input [yellow] 4 13" xfId="5743"/>
    <cellStyle name="Input [yellow] 4 13 2" xfId="16940"/>
    <cellStyle name="Input [yellow] 4 13 3" xfId="28108"/>
    <cellStyle name="Input [yellow] 4 13 4" xfId="39273"/>
    <cellStyle name="Input [yellow] 4 13 5" xfId="50466"/>
    <cellStyle name="Input [yellow] 4 14" xfId="6625"/>
    <cellStyle name="Input [yellow] 4 14 2" xfId="17822"/>
    <cellStyle name="Input [yellow] 4 14 3" xfId="28990"/>
    <cellStyle name="Input [yellow] 4 14 4" xfId="40155"/>
    <cellStyle name="Input [yellow] 4 14 5" xfId="51348"/>
    <cellStyle name="Input [yellow] 4 15" xfId="7249"/>
    <cellStyle name="Input [yellow] 4 15 2" xfId="18446"/>
    <cellStyle name="Input [yellow] 4 15 3" xfId="29614"/>
    <cellStyle name="Input [yellow] 4 15 4" xfId="40779"/>
    <cellStyle name="Input [yellow] 4 15 5" xfId="51972"/>
    <cellStyle name="Input [yellow] 4 16" xfId="9022"/>
    <cellStyle name="Input [yellow] 4 16 2" xfId="20219"/>
    <cellStyle name="Input [yellow] 4 16 3" xfId="31387"/>
    <cellStyle name="Input [yellow] 4 16 4" xfId="42552"/>
    <cellStyle name="Input [yellow] 4 16 5" xfId="53745"/>
    <cellStyle name="Input [yellow] 4 17" xfId="8524"/>
    <cellStyle name="Input [yellow] 4 17 2" xfId="19721"/>
    <cellStyle name="Input [yellow] 4 17 3" xfId="30889"/>
    <cellStyle name="Input [yellow] 4 17 4" xfId="42054"/>
    <cellStyle name="Input [yellow] 4 17 5" xfId="53247"/>
    <cellStyle name="Input [yellow] 4 18" xfId="10415"/>
    <cellStyle name="Input [yellow] 4 18 2" xfId="21612"/>
    <cellStyle name="Input [yellow] 4 18 3" xfId="32780"/>
    <cellStyle name="Input [yellow] 4 18 4" xfId="43945"/>
    <cellStyle name="Input [yellow] 4 18 5" xfId="55138"/>
    <cellStyle name="Input [yellow] 4 19" xfId="9909"/>
    <cellStyle name="Input [yellow] 4 19 2" xfId="21106"/>
    <cellStyle name="Input [yellow] 4 19 3" xfId="32274"/>
    <cellStyle name="Input [yellow] 4 19 4" xfId="43439"/>
    <cellStyle name="Input [yellow] 4 19 5" xfId="54632"/>
    <cellStyle name="Input [yellow] 4 2" xfId="689"/>
    <cellStyle name="Input [yellow] 4 2 2" xfId="11888"/>
    <cellStyle name="Input [yellow] 4 2 3" xfId="23057"/>
    <cellStyle name="Input [yellow] 4 2 4" xfId="34224"/>
    <cellStyle name="Input [yellow] 4 2 5" xfId="45412"/>
    <cellStyle name="Input [yellow] 4 20" xfId="11236"/>
    <cellStyle name="Input [yellow] 4 21" xfId="11228"/>
    <cellStyle name="Input [yellow] 4 22" xfId="11229"/>
    <cellStyle name="Input [yellow] 4 23" xfId="44763"/>
    <cellStyle name="Input [yellow] 4 3" xfId="1706"/>
    <cellStyle name="Input [yellow] 4 3 2" xfId="12903"/>
    <cellStyle name="Input [yellow] 4 3 3" xfId="24071"/>
    <cellStyle name="Input [yellow] 4 3 4" xfId="35236"/>
    <cellStyle name="Input [yellow] 4 3 5" xfId="46429"/>
    <cellStyle name="Input [yellow] 4 4" xfId="1963"/>
    <cellStyle name="Input [yellow] 4 4 2" xfId="13160"/>
    <cellStyle name="Input [yellow] 4 4 3" xfId="24328"/>
    <cellStyle name="Input [yellow] 4 4 4" xfId="35493"/>
    <cellStyle name="Input [yellow] 4 4 5" xfId="46686"/>
    <cellStyle name="Input [yellow] 4 5" xfId="2307"/>
    <cellStyle name="Input [yellow] 4 5 2" xfId="13504"/>
    <cellStyle name="Input [yellow] 4 5 3" xfId="24672"/>
    <cellStyle name="Input [yellow] 4 5 4" xfId="35837"/>
    <cellStyle name="Input [yellow] 4 5 5" xfId="47030"/>
    <cellStyle name="Input [yellow] 4 6" xfId="1322"/>
    <cellStyle name="Input [yellow] 4 6 2" xfId="12519"/>
    <cellStyle name="Input [yellow] 4 6 3" xfId="23687"/>
    <cellStyle name="Input [yellow] 4 6 4" xfId="34852"/>
    <cellStyle name="Input [yellow] 4 6 5" xfId="46045"/>
    <cellStyle name="Input [yellow] 4 7" xfId="2411"/>
    <cellStyle name="Input [yellow] 4 7 2" xfId="13608"/>
    <cellStyle name="Input [yellow] 4 7 3" xfId="24776"/>
    <cellStyle name="Input [yellow] 4 7 4" xfId="35941"/>
    <cellStyle name="Input [yellow] 4 7 5" xfId="47134"/>
    <cellStyle name="Input [yellow] 4 8" xfId="3031"/>
    <cellStyle name="Input [yellow] 4 8 2" xfId="14228"/>
    <cellStyle name="Input [yellow] 4 8 3" xfId="25396"/>
    <cellStyle name="Input [yellow] 4 8 4" xfId="36561"/>
    <cellStyle name="Input [yellow] 4 8 5" xfId="47754"/>
    <cellStyle name="Input [yellow] 4 9" xfId="3673"/>
    <cellStyle name="Input [yellow] 4 9 2" xfId="14870"/>
    <cellStyle name="Input [yellow] 4 9 3" xfId="26038"/>
    <cellStyle name="Input [yellow] 4 9 4" xfId="37203"/>
    <cellStyle name="Input [yellow] 4 9 5" xfId="48396"/>
    <cellStyle name="Input [yellow] 5" xfId="23"/>
    <cellStyle name="Input [yellow] 6" xfId="15"/>
    <cellStyle name="Normal" xfId="0" builtinId="0"/>
    <cellStyle name="Normal - Style1" xfId="8"/>
    <cellStyle name="Normal 2" xfId="12"/>
    <cellStyle name="Normal 2 10" xfId="16"/>
    <cellStyle name="Normal 2 2" xfId="44"/>
    <cellStyle name="Normal 2 2 2" xfId="699"/>
    <cellStyle name="Normal 2 2 2 2" xfId="45422"/>
    <cellStyle name="Normal 2 2 3" xfId="44773"/>
    <cellStyle name="Normal 2 3" xfId="49"/>
    <cellStyle name="Normal 2 3 2" xfId="701"/>
    <cellStyle name="Normal 2 3 2 2" xfId="45424"/>
    <cellStyle name="Normal 2 3 3" xfId="44775"/>
    <cellStyle name="Normal 2 4" xfId="72"/>
    <cellStyle name="Normal 2 4 2" xfId="721"/>
    <cellStyle name="Normal 2 4 2 2" xfId="45444"/>
    <cellStyle name="Normal 2 4 3" xfId="44795"/>
    <cellStyle name="Normal 2 5" xfId="91"/>
    <cellStyle name="Normal 2 5 2" xfId="740"/>
    <cellStyle name="Normal 2 5 2 2" xfId="45463"/>
    <cellStyle name="Normal 2 5 3" xfId="44814"/>
    <cellStyle name="Normal 2 6" xfId="39"/>
    <cellStyle name="Normal 2 6 2" xfId="694"/>
    <cellStyle name="Normal 2 6 2 2" xfId="45417"/>
    <cellStyle name="Normal 2 6 3" xfId="44768"/>
    <cellStyle name="Normal 2 7" xfId="681"/>
    <cellStyle name="Normal 2 7 2" xfId="45404"/>
    <cellStyle name="Normal 2 8" xfId="25"/>
    <cellStyle name="Normal 2 9" xfId="44756"/>
    <cellStyle name="Normal 3" xfId="13"/>
    <cellStyle name="Normal 4" xfId="27"/>
    <cellStyle name="Normal 4 2" xfId="46"/>
    <cellStyle name="Normal 4 3" xfId="682"/>
    <cellStyle name="Normal 4 3 2" xfId="45405"/>
    <cellStyle name="Normal 4 4" xfId="44757"/>
    <cellStyle name="Normal 5" xfId="50"/>
    <cellStyle name="Normal 6" xfId="54"/>
    <cellStyle name="Normal 7" xfId="58"/>
    <cellStyle name="Normal 8" xfId="47"/>
    <cellStyle name="Normal 9" xfId="48"/>
    <cellStyle name="Normal_'96-'97 Rent Tables" xfId="9"/>
    <cellStyle name="Percent" xfId="10" builtinId="5"/>
    <cellStyle name="Percent [2]" xfId="11"/>
  </cellStyles>
  <dxfs count="25">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34" workbookViewId="0">
      <selection activeCell="A34" sqref="A1:XFD1048576"/>
    </sheetView>
  </sheetViews>
  <sheetFormatPr defaultRowHeight="11.25"/>
  <cols>
    <col min="1" max="1" width="3.28515625" style="1805" customWidth="1"/>
    <col min="2" max="2" width="10.7109375" style="1933" customWidth="1"/>
    <col min="3" max="3" width="4.85546875" style="1933" customWidth="1"/>
    <col min="4" max="4" width="8.5703125" style="1933" customWidth="1"/>
    <col min="5" max="5" width="4.28515625" style="1934" customWidth="1"/>
    <col min="6" max="8" width="33.85546875" style="1805" customWidth="1"/>
    <col min="9" max="9" width="4" style="1932" hidden="1" customWidth="1"/>
    <col min="10" max="10" width="6.42578125" style="1805" hidden="1" customWidth="1"/>
    <col min="11" max="11" width="9.7109375" style="1805" hidden="1" customWidth="1"/>
    <col min="12" max="12" width="3.42578125" style="1805" customWidth="1"/>
    <col min="13" max="16384" width="9.140625" style="1805"/>
  </cols>
  <sheetData>
    <row r="1" spans="1:12" s="1803" customFormat="1" ht="15.75">
      <c r="A1" s="1800" t="str">
        <f>CONCATENATE("2014 Application Tabs Checklist for:  ",'Part I-Project Information'!F23, ",  ",'Part I-Project Information'!F27, ",  ",'Part I-Project Information'!J28, " County")</f>
        <v>2014 Application Tabs Checklist for:  Willingham Village II,  Rome,  Floyd County</v>
      </c>
      <c r="B1" s="1801"/>
      <c r="C1" s="1801"/>
      <c r="D1" s="1801"/>
      <c r="E1" s="1801"/>
      <c r="F1" s="1801"/>
      <c r="G1" s="1801"/>
      <c r="H1" s="1801"/>
      <c r="I1" s="1801"/>
      <c r="J1" s="1801"/>
      <c r="K1" s="1801"/>
      <c r="L1" s="1802"/>
    </row>
    <row r="2" spans="1:12" ht="26.25" customHeight="1">
      <c r="A2" s="1804" t="s">
        <v>3161</v>
      </c>
      <c r="B2" s="1804"/>
      <c r="C2" s="1804"/>
      <c r="D2" s="1804"/>
      <c r="E2" s="1804"/>
      <c r="F2" s="1804"/>
      <c r="G2" s="1804"/>
      <c r="H2" s="1804"/>
      <c r="I2" s="1804"/>
      <c r="J2" s="1804"/>
      <c r="K2" s="1804"/>
      <c r="L2" s="1804"/>
    </row>
    <row r="3" spans="1:12" s="1811" customFormat="1" ht="12" customHeight="1">
      <c r="A3" s="1806" t="s">
        <v>3024</v>
      </c>
      <c r="B3" s="1807"/>
      <c r="C3" s="1807"/>
      <c r="D3" s="1807"/>
      <c r="E3" s="1808" t="s">
        <v>3025</v>
      </c>
      <c r="F3" s="1809"/>
      <c r="G3" s="1809"/>
      <c r="H3" s="1809"/>
      <c r="I3" s="1810"/>
      <c r="J3" s="1809"/>
      <c r="K3" s="1809"/>
      <c r="L3" s="1808" t="s">
        <v>3026</v>
      </c>
    </row>
    <row r="4" spans="1:12" s="1811" customFormat="1" ht="12.75" thickBot="1">
      <c r="A4" s="1812"/>
      <c r="B4" s="1813" t="s">
        <v>3027</v>
      </c>
      <c r="C4" s="1813"/>
      <c r="D4" s="1813"/>
      <c r="E4" s="1814"/>
      <c r="F4" s="1813" t="s">
        <v>3179</v>
      </c>
      <c r="G4" s="1815"/>
      <c r="H4" s="1815"/>
      <c r="I4" s="1813" t="s">
        <v>3028</v>
      </c>
      <c r="J4" s="1815"/>
      <c r="K4" s="1815"/>
      <c r="L4" s="1814"/>
    </row>
    <row r="5" spans="1:12" s="1819" customFormat="1" ht="11.25" customHeight="1">
      <c r="A5" s="1816"/>
      <c r="B5" s="1817"/>
      <c r="C5" s="1817"/>
      <c r="D5" s="1817"/>
      <c r="E5" s="1818"/>
      <c r="F5" s="1819" t="s">
        <v>3029</v>
      </c>
      <c r="I5" s="1820"/>
      <c r="L5" s="1821" t="s">
        <v>3701</v>
      </c>
    </row>
    <row r="6" spans="1:12" s="1819" customFormat="1" ht="11.25" customHeight="1">
      <c r="A6" s="1822" t="s">
        <v>3030</v>
      </c>
      <c r="B6" s="1817" t="s">
        <v>1517</v>
      </c>
      <c r="C6" s="1817"/>
      <c r="D6" s="1817"/>
      <c r="E6" s="1823" t="s">
        <v>3030</v>
      </c>
      <c r="F6" s="1819" t="s">
        <v>3158</v>
      </c>
      <c r="I6" s="1820"/>
      <c r="L6" s="1824" t="s">
        <v>3701</v>
      </c>
    </row>
    <row r="7" spans="1:12" s="1819" customFormat="1" ht="11.25" customHeight="1">
      <c r="A7" s="1816"/>
      <c r="B7" s="1817"/>
      <c r="C7" s="1817"/>
      <c r="D7" s="1817"/>
      <c r="E7" s="1825" t="s">
        <v>2937</v>
      </c>
      <c r="F7" s="1819" t="s">
        <v>3031</v>
      </c>
      <c r="I7" s="1820"/>
      <c r="L7" s="1824" t="s">
        <v>3701</v>
      </c>
    </row>
    <row r="8" spans="1:12" s="1819" customFormat="1" ht="11.25" customHeight="1">
      <c r="A8" s="1816"/>
      <c r="B8" s="1817"/>
      <c r="C8" s="1817"/>
      <c r="D8" s="1817"/>
      <c r="E8" s="1825" t="s">
        <v>2935</v>
      </c>
      <c r="F8" s="1819" t="s">
        <v>452</v>
      </c>
      <c r="I8" s="1820"/>
      <c r="L8" s="1824" t="s">
        <v>3702</v>
      </c>
    </row>
    <row r="9" spans="1:12" s="1819" customFormat="1" ht="11.25" customHeight="1">
      <c r="A9" s="1816"/>
      <c r="B9" s="1817"/>
      <c r="C9" s="1817"/>
      <c r="D9" s="1817"/>
      <c r="E9" s="1825" t="s">
        <v>2936</v>
      </c>
      <c r="F9" s="1819" t="s">
        <v>2911</v>
      </c>
      <c r="I9" s="1820"/>
      <c r="L9" s="1824" t="s">
        <v>3701</v>
      </c>
    </row>
    <row r="10" spans="1:12" s="1819" customFormat="1" ht="11.25" customHeight="1">
      <c r="A10" s="1816"/>
      <c r="B10" s="1817"/>
      <c r="C10" s="1817"/>
      <c r="D10" s="1817"/>
      <c r="E10" s="1825" t="s">
        <v>2938</v>
      </c>
      <c r="F10" s="1819" t="s">
        <v>2925</v>
      </c>
      <c r="I10" s="1820"/>
      <c r="J10" s="1826"/>
      <c r="L10" s="1824" t="s">
        <v>3701</v>
      </c>
    </row>
    <row r="11" spans="1:12" s="1819" customFormat="1" ht="11.25" customHeight="1">
      <c r="A11" s="1816"/>
      <c r="B11" s="1817"/>
      <c r="C11" s="1817"/>
      <c r="D11" s="1817"/>
      <c r="E11" s="1825" t="s">
        <v>2939</v>
      </c>
      <c r="F11" s="1819" t="s">
        <v>3032</v>
      </c>
      <c r="I11" s="1820"/>
      <c r="J11" s="1826"/>
      <c r="L11" s="1827" t="s">
        <v>3702</v>
      </c>
    </row>
    <row r="12" spans="1:12" s="1819" customFormat="1" ht="11.25" customHeight="1">
      <c r="A12" s="1816"/>
      <c r="B12" s="1817"/>
      <c r="C12" s="1817"/>
      <c r="D12" s="1817"/>
      <c r="E12" s="1828" t="s">
        <v>2940</v>
      </c>
      <c r="F12" s="1819" t="s">
        <v>3159</v>
      </c>
      <c r="I12" s="1820"/>
      <c r="J12" s="1826"/>
      <c r="L12" s="1827" t="s">
        <v>3701</v>
      </c>
    </row>
    <row r="13" spans="1:12" s="1819" customFormat="1" ht="11.25" customHeight="1">
      <c r="A13" s="1829" t="s">
        <v>3033</v>
      </c>
      <c r="B13" s="1829"/>
      <c r="C13" s="1829"/>
      <c r="D13" s="1829"/>
      <c r="E13" s="1829"/>
      <c r="F13" s="1829"/>
      <c r="G13" s="1829"/>
      <c r="H13" s="1829"/>
      <c r="I13" s="1829"/>
      <c r="J13" s="1829"/>
      <c r="K13" s="1829"/>
      <c r="L13" s="1829"/>
    </row>
    <row r="14" spans="1:12" s="1819" customFormat="1" ht="11.25" customHeight="1">
      <c r="A14" s="1830" t="s">
        <v>2937</v>
      </c>
      <c r="B14" s="1831" t="s">
        <v>3188</v>
      </c>
      <c r="C14" s="1831"/>
      <c r="D14" s="1832" t="s">
        <v>3189</v>
      </c>
      <c r="E14" s="1823" t="s">
        <v>2937</v>
      </c>
      <c r="F14" s="1833" t="s">
        <v>3034</v>
      </c>
      <c r="G14" s="1833"/>
      <c r="H14" s="1833"/>
      <c r="I14" s="1820"/>
      <c r="J14" s="1826"/>
      <c r="L14" s="1824" t="s">
        <v>3701</v>
      </c>
    </row>
    <row r="15" spans="1:12" s="1819" customFormat="1" ht="11.25" customHeight="1">
      <c r="A15" s="1816"/>
      <c r="C15" s="1834"/>
      <c r="D15" s="1817" t="s">
        <v>3035</v>
      </c>
      <c r="E15" s="1825" t="s">
        <v>2935</v>
      </c>
      <c r="F15" s="1835" t="s">
        <v>3036</v>
      </c>
      <c r="G15" s="1835"/>
      <c r="H15" s="1835"/>
      <c r="I15" s="1836" t="s">
        <v>3131</v>
      </c>
      <c r="J15" s="1837" t="s">
        <v>3132</v>
      </c>
      <c r="K15" s="1837" t="s">
        <v>3133</v>
      </c>
      <c r="L15" s="1824" t="s">
        <v>3701</v>
      </c>
    </row>
    <row r="16" spans="1:12" s="1819" customFormat="1" ht="11.25" customHeight="1">
      <c r="A16" s="1816"/>
      <c r="C16" s="1834"/>
      <c r="D16" s="1817"/>
      <c r="E16" s="1825"/>
      <c r="F16" s="1835"/>
      <c r="G16" s="1835"/>
      <c r="H16" s="1835"/>
      <c r="I16" s="1836" t="s">
        <v>3039</v>
      </c>
      <c r="J16" s="1837" t="s">
        <v>2121</v>
      </c>
      <c r="K16" s="1837" t="s">
        <v>3134</v>
      </c>
    </row>
    <row r="17" spans="1:12" s="1819" customFormat="1" ht="11.25" customHeight="1">
      <c r="A17" s="1816"/>
      <c r="C17" s="1834"/>
      <c r="D17" s="1817" t="s">
        <v>3037</v>
      </c>
      <c r="E17" s="1825" t="s">
        <v>2936</v>
      </c>
      <c r="F17" s="1826" t="s">
        <v>3165</v>
      </c>
      <c r="G17" s="1838"/>
      <c r="H17" s="1838"/>
      <c r="I17" s="1836"/>
      <c r="J17" s="1837"/>
      <c r="K17" s="1839"/>
      <c r="L17" s="1824" t="s">
        <v>3701</v>
      </c>
    </row>
    <row r="18" spans="1:12" s="1819" customFormat="1" ht="11.25" customHeight="1">
      <c r="A18" s="1816"/>
      <c r="C18" s="1834"/>
      <c r="D18" s="1817"/>
      <c r="E18" s="1840"/>
      <c r="F18" s="1819" t="s">
        <v>3166</v>
      </c>
      <c r="I18" s="1841"/>
      <c r="J18" s="1842"/>
      <c r="K18" s="1839"/>
      <c r="L18" s="1824" t="s">
        <v>3701</v>
      </c>
    </row>
    <row r="19" spans="1:12" s="1819" customFormat="1" ht="11.25" customHeight="1">
      <c r="A19" s="1816"/>
      <c r="C19" s="1834"/>
      <c r="D19" s="1817" t="s">
        <v>3038</v>
      </c>
      <c r="E19" s="1825" t="s">
        <v>2938</v>
      </c>
      <c r="F19" s="1819" t="s">
        <v>3167</v>
      </c>
      <c r="I19" s="1836" t="s">
        <v>3608</v>
      </c>
      <c r="J19" s="1837" t="s">
        <v>3044</v>
      </c>
      <c r="K19" s="1837" t="s">
        <v>3045</v>
      </c>
      <c r="L19" s="1824" t="s">
        <v>3701</v>
      </c>
    </row>
    <row r="20" spans="1:12" s="1819" customFormat="1" ht="11.25" customHeight="1">
      <c r="A20" s="1816"/>
      <c r="C20" s="1834"/>
      <c r="D20" s="1817"/>
      <c r="E20" s="1840"/>
      <c r="F20" s="1819" t="s">
        <v>3168</v>
      </c>
      <c r="L20" s="1824" t="s">
        <v>3701</v>
      </c>
    </row>
    <row r="21" spans="1:12" s="1819" customFormat="1" ht="11.25" customHeight="1">
      <c r="A21" s="1816"/>
      <c r="C21" s="1834"/>
      <c r="D21" s="1817"/>
      <c r="E21" s="1840"/>
      <c r="F21" s="1819" t="s">
        <v>3169</v>
      </c>
      <c r="I21" s="1820"/>
      <c r="J21" s="1826"/>
      <c r="L21" s="1824" t="s">
        <v>3702</v>
      </c>
    </row>
    <row r="22" spans="1:12" s="1819" customFormat="1" ht="11.25" customHeight="1">
      <c r="A22" s="1816"/>
      <c r="C22" s="1834"/>
      <c r="D22" s="1817"/>
      <c r="E22" s="1840"/>
      <c r="F22" s="1819" t="s">
        <v>3170</v>
      </c>
      <c r="I22" s="1820"/>
      <c r="J22" s="1826"/>
      <c r="L22" s="1824" t="s">
        <v>3702</v>
      </c>
    </row>
    <row r="23" spans="1:12" s="1819" customFormat="1" ht="11.25" customHeight="1">
      <c r="A23" s="1816"/>
      <c r="C23" s="1834"/>
      <c r="D23" s="1817"/>
      <c r="E23" s="1840"/>
      <c r="F23" s="1819" t="s">
        <v>3606</v>
      </c>
      <c r="I23" s="1820"/>
      <c r="J23" s="1826"/>
      <c r="L23" s="1824" t="s">
        <v>3702</v>
      </c>
    </row>
    <row r="24" spans="1:12" s="1819" customFormat="1" ht="11.25" customHeight="1">
      <c r="A24" s="1816"/>
      <c r="C24" s="1834"/>
      <c r="D24" s="1817" t="s">
        <v>3040</v>
      </c>
      <c r="E24" s="1825" t="s">
        <v>2939</v>
      </c>
      <c r="F24" s="1819" t="s">
        <v>3171</v>
      </c>
      <c r="I24" s="1820"/>
      <c r="J24" s="1826"/>
      <c r="L24" s="1824" t="s">
        <v>3702</v>
      </c>
    </row>
    <row r="25" spans="1:12" s="1819" customFormat="1" ht="11.25" customHeight="1">
      <c r="A25" s="1816"/>
      <c r="B25" s="1843"/>
      <c r="C25" s="1843"/>
      <c r="D25" s="1843"/>
      <c r="E25" s="1840"/>
      <c r="F25" s="1819" t="s">
        <v>3410</v>
      </c>
      <c r="I25" s="1820"/>
      <c r="J25" s="1826"/>
      <c r="L25" s="1824" t="s">
        <v>3702</v>
      </c>
    </row>
    <row r="26" spans="1:12" s="1819" customFormat="1" ht="11.25" customHeight="1">
      <c r="A26" s="1816"/>
      <c r="B26" s="1843"/>
      <c r="C26" s="1843"/>
      <c r="D26" s="1843"/>
      <c r="E26" s="1840"/>
      <c r="F26" s="1819" t="s">
        <v>3411</v>
      </c>
      <c r="I26" s="1820"/>
      <c r="J26" s="1826"/>
      <c r="L26" s="1824" t="s">
        <v>3702</v>
      </c>
    </row>
    <row r="27" spans="1:12" s="1819" customFormat="1" ht="11.25" customHeight="1">
      <c r="A27" s="1816"/>
      <c r="B27" s="1843"/>
      <c r="C27" s="1843"/>
      <c r="D27" s="1843"/>
      <c r="E27" s="1840"/>
      <c r="F27" s="1819" t="s">
        <v>3412</v>
      </c>
      <c r="I27" s="1820"/>
      <c r="J27" s="1826"/>
      <c r="L27" s="1824" t="s">
        <v>3702</v>
      </c>
    </row>
    <row r="28" spans="1:12" s="1819" customFormat="1" ht="11.25" customHeight="1">
      <c r="A28" s="1816"/>
      <c r="B28" s="1843"/>
      <c r="C28" s="1843"/>
      <c r="D28" s="1843"/>
      <c r="E28" s="1825" t="s">
        <v>2940</v>
      </c>
      <c r="F28" s="1819" t="s">
        <v>3041</v>
      </c>
      <c r="I28" s="1820"/>
      <c r="J28" s="1826"/>
      <c r="L28" s="1824" t="s">
        <v>3701</v>
      </c>
    </row>
    <row r="29" spans="1:12" s="1819" customFormat="1" ht="11.25" customHeight="1">
      <c r="A29" s="1816"/>
      <c r="B29" s="1843"/>
      <c r="C29" s="1843"/>
      <c r="D29" s="1843"/>
      <c r="E29" s="1825" t="s">
        <v>2941</v>
      </c>
      <c r="F29" s="1819" t="s">
        <v>3042</v>
      </c>
      <c r="I29" s="1820"/>
      <c r="J29" s="1826"/>
      <c r="L29" s="1824" t="s">
        <v>3702</v>
      </c>
    </row>
    <row r="30" spans="1:12" s="1819" customFormat="1" ht="11.25" customHeight="1">
      <c r="A30" s="1830" t="s">
        <v>2935</v>
      </c>
      <c r="B30" s="1832" t="s">
        <v>3043</v>
      </c>
      <c r="C30" s="1832"/>
      <c r="D30" s="1832"/>
      <c r="E30" s="1823" t="s">
        <v>2937</v>
      </c>
      <c r="F30" s="1844" t="s">
        <v>3046</v>
      </c>
      <c r="G30" s="1844"/>
      <c r="H30" s="1844"/>
      <c r="I30" s="1845" t="s">
        <v>3608</v>
      </c>
      <c r="J30" s="1846" t="s">
        <v>3044</v>
      </c>
      <c r="K30" s="1847" t="s">
        <v>3045</v>
      </c>
      <c r="L30" s="1824" t="s">
        <v>3702</v>
      </c>
    </row>
    <row r="31" spans="1:12" s="1819" customFormat="1" ht="11.25" customHeight="1">
      <c r="A31" s="1830" t="s">
        <v>2936</v>
      </c>
      <c r="B31" s="1832" t="s">
        <v>3190</v>
      </c>
      <c r="C31" s="1832"/>
      <c r="D31" s="1832" t="s">
        <v>3077</v>
      </c>
      <c r="E31" s="1823" t="s">
        <v>2937</v>
      </c>
      <c r="F31" s="1833" t="s">
        <v>3047</v>
      </c>
      <c r="G31" s="1833"/>
      <c r="H31" s="1833"/>
      <c r="I31" s="1845"/>
      <c r="J31" s="1846"/>
      <c r="K31" s="1847"/>
      <c r="L31" s="1824" t="s">
        <v>3702</v>
      </c>
    </row>
    <row r="32" spans="1:12" s="1819" customFormat="1" ht="11.25" customHeight="1">
      <c r="A32" s="1830" t="s">
        <v>2938</v>
      </c>
      <c r="B32" s="1832" t="s">
        <v>3191</v>
      </c>
      <c r="C32" s="1832"/>
      <c r="D32" s="1832" t="s">
        <v>3074</v>
      </c>
      <c r="E32" s="1823" t="s">
        <v>2937</v>
      </c>
      <c r="F32" s="1833" t="s">
        <v>3048</v>
      </c>
      <c r="G32" s="1833"/>
      <c r="H32" s="1833"/>
      <c r="I32" s="1845"/>
      <c r="J32" s="1846"/>
      <c r="K32" s="1847"/>
      <c r="L32" s="1824" t="s">
        <v>3702</v>
      </c>
    </row>
    <row r="33" spans="1:12" s="1819" customFormat="1" ht="11.25" customHeight="1">
      <c r="A33" s="1816"/>
      <c r="B33" s="1834"/>
      <c r="C33" s="1834"/>
      <c r="D33" s="1817" t="s">
        <v>3049</v>
      </c>
      <c r="E33" s="1825" t="s">
        <v>2935</v>
      </c>
      <c r="F33" s="1839" t="s">
        <v>3050</v>
      </c>
      <c r="I33" s="1820"/>
      <c r="J33" s="1826"/>
      <c r="L33" s="1824" t="s">
        <v>3702</v>
      </c>
    </row>
    <row r="34" spans="1:12" s="1819" customFormat="1" ht="11.25" customHeight="1">
      <c r="A34" s="1830" t="s">
        <v>2939</v>
      </c>
      <c r="B34" s="1832" t="s">
        <v>3051</v>
      </c>
      <c r="C34" s="1832"/>
      <c r="D34" s="1832"/>
      <c r="E34" s="1823" t="s">
        <v>2937</v>
      </c>
      <c r="F34" s="1833" t="s">
        <v>481</v>
      </c>
      <c r="G34" s="1833"/>
      <c r="H34" s="1833"/>
      <c r="I34" s="1845" t="s">
        <v>381</v>
      </c>
      <c r="J34" s="1846"/>
      <c r="K34" s="1847" t="s">
        <v>3052</v>
      </c>
      <c r="L34" s="1824" t="s">
        <v>3701</v>
      </c>
    </row>
    <row r="35" spans="1:12" s="1819" customFormat="1" ht="11.25" customHeight="1">
      <c r="A35" s="1830" t="s">
        <v>2940</v>
      </c>
      <c r="B35" s="1832" t="s">
        <v>3192</v>
      </c>
      <c r="C35" s="1832"/>
      <c r="D35" s="1832" t="s">
        <v>3049</v>
      </c>
      <c r="E35" s="1823" t="s">
        <v>2937</v>
      </c>
      <c r="F35" s="1833" t="s">
        <v>3053</v>
      </c>
      <c r="G35" s="1833"/>
      <c r="H35" s="1833"/>
      <c r="I35" s="1845"/>
      <c r="J35" s="1846"/>
      <c r="K35" s="1847"/>
      <c r="L35" s="1824" t="s">
        <v>3701</v>
      </c>
    </row>
    <row r="36" spans="1:12" s="1819" customFormat="1" ht="11.25" customHeight="1">
      <c r="A36" s="1830" t="s">
        <v>2941</v>
      </c>
      <c r="B36" s="1832" t="s">
        <v>3193</v>
      </c>
      <c r="C36" s="1832"/>
      <c r="D36" s="1832" t="s">
        <v>3194</v>
      </c>
      <c r="E36" s="1823" t="s">
        <v>2937</v>
      </c>
      <c r="F36" s="1833" t="s">
        <v>3054</v>
      </c>
      <c r="G36" s="1833"/>
      <c r="H36" s="1833"/>
      <c r="I36" s="1845"/>
      <c r="J36" s="1846"/>
      <c r="K36" s="1847"/>
      <c r="L36" s="1824" t="s">
        <v>3701</v>
      </c>
    </row>
    <row r="37" spans="1:12" s="1819" customFormat="1" ht="11.25" customHeight="1">
      <c r="B37" s="1848" t="s">
        <v>3195</v>
      </c>
      <c r="C37" s="1848"/>
      <c r="D37" s="1849"/>
      <c r="E37" s="1825" t="s">
        <v>2935</v>
      </c>
      <c r="F37" s="1819" t="s">
        <v>3055</v>
      </c>
      <c r="I37" s="1820"/>
      <c r="J37" s="1826"/>
      <c r="L37" s="1824" t="s">
        <v>3701</v>
      </c>
    </row>
    <row r="38" spans="1:12" s="1819" customFormat="1" ht="11.25" customHeight="1">
      <c r="B38" s="1848"/>
      <c r="C38" s="1848"/>
      <c r="D38" s="1849"/>
      <c r="E38" s="1825" t="s">
        <v>2936</v>
      </c>
      <c r="F38" s="1819" t="s">
        <v>3056</v>
      </c>
      <c r="I38" s="1820"/>
      <c r="J38" s="1826"/>
      <c r="L38" s="1824" t="s">
        <v>3702</v>
      </c>
    </row>
    <row r="39" spans="1:12" s="1819" customFormat="1" ht="11.25" customHeight="1">
      <c r="B39" s="1848"/>
      <c r="C39" s="1848"/>
      <c r="D39" s="1816"/>
      <c r="E39" s="1850" t="s">
        <v>2938</v>
      </c>
      <c r="F39" s="1851" t="s">
        <v>3160</v>
      </c>
      <c r="G39" s="1851"/>
      <c r="H39" s="1851"/>
      <c r="I39" s="1851"/>
      <c r="J39" s="1851"/>
      <c r="K39" s="1852"/>
      <c r="L39" s="1824" t="s">
        <v>3702</v>
      </c>
    </row>
    <row r="40" spans="1:12" s="1819" customFormat="1" ht="11.25" customHeight="1">
      <c r="A40" s="1830" t="s">
        <v>3142</v>
      </c>
      <c r="B40" s="1853" t="s">
        <v>3057</v>
      </c>
      <c r="C40" s="1853"/>
      <c r="D40" s="1853"/>
      <c r="E40" s="1823" t="s">
        <v>2937</v>
      </c>
      <c r="F40" s="1854" t="s">
        <v>3607</v>
      </c>
      <c r="G40" s="1854"/>
      <c r="H40" s="1854"/>
      <c r="I40" s="1845"/>
      <c r="J40" s="1846"/>
      <c r="K40" s="1847"/>
      <c r="L40" s="1824" t="s">
        <v>3701</v>
      </c>
    </row>
    <row r="41" spans="1:12" s="1819" customFormat="1" ht="11.25" customHeight="1">
      <c r="A41" s="1816"/>
      <c r="B41" s="1817"/>
      <c r="C41" s="1817"/>
      <c r="D41" s="1817"/>
      <c r="E41" s="1825" t="s">
        <v>2935</v>
      </c>
      <c r="F41" s="1819" t="s">
        <v>3626</v>
      </c>
      <c r="I41" s="1836" t="s">
        <v>3608</v>
      </c>
      <c r="J41" s="1837" t="s">
        <v>3609</v>
      </c>
      <c r="K41" s="1837" t="s">
        <v>3045</v>
      </c>
      <c r="L41" s="1824" t="s">
        <v>3701</v>
      </c>
    </row>
    <row r="42" spans="1:12" s="1819" customFormat="1" ht="11.25" customHeight="1">
      <c r="A42" s="1816"/>
      <c r="B42" s="1817"/>
      <c r="C42" s="1817"/>
      <c r="D42" s="1817"/>
      <c r="E42" s="1825" t="s">
        <v>2936</v>
      </c>
      <c r="F42" s="1819" t="s">
        <v>3413</v>
      </c>
      <c r="I42" s="1820"/>
      <c r="J42" s="1826"/>
      <c r="L42" s="1824" t="s">
        <v>3701</v>
      </c>
    </row>
    <row r="43" spans="1:12" s="1819" customFormat="1" ht="11.25" customHeight="1">
      <c r="A43" s="1855"/>
      <c r="B43" s="1856"/>
      <c r="C43" s="1856"/>
      <c r="D43" s="1856"/>
      <c r="E43" s="1850" t="s">
        <v>2938</v>
      </c>
      <c r="F43" s="1857" t="s">
        <v>3058</v>
      </c>
      <c r="G43" s="1857"/>
      <c r="H43" s="1857"/>
      <c r="I43" s="1820"/>
      <c r="J43" s="1826"/>
      <c r="L43" s="1824" t="s">
        <v>3702</v>
      </c>
    </row>
    <row r="44" spans="1:12" s="1819" customFormat="1" ht="11.25" customHeight="1">
      <c r="A44" s="1858" t="s">
        <v>3143</v>
      </c>
      <c r="B44" s="1859" t="s">
        <v>3059</v>
      </c>
      <c r="C44" s="1859"/>
      <c r="D44" s="1859"/>
      <c r="E44" s="1825" t="s">
        <v>2937</v>
      </c>
      <c r="F44" s="1860" t="s">
        <v>3060</v>
      </c>
      <c r="G44" s="1860"/>
      <c r="H44" s="1860"/>
      <c r="I44" s="1845"/>
      <c r="J44" s="1846"/>
      <c r="K44" s="1847"/>
      <c r="L44" s="1824" t="s">
        <v>3701</v>
      </c>
    </row>
    <row r="45" spans="1:12" s="1819" customFormat="1" ht="11.25" customHeight="1">
      <c r="A45" s="1858"/>
      <c r="B45" s="1859"/>
      <c r="C45" s="1859"/>
      <c r="D45" s="1859"/>
      <c r="E45" s="1825" t="s">
        <v>2935</v>
      </c>
      <c r="F45" s="1860" t="s">
        <v>3414</v>
      </c>
      <c r="G45" s="1860"/>
      <c r="H45" s="1860"/>
      <c r="I45" s="1861"/>
      <c r="J45" s="1862"/>
      <c r="K45" s="1863"/>
      <c r="L45" s="1824" t="s">
        <v>3702</v>
      </c>
    </row>
    <row r="46" spans="1:12" s="1819" customFormat="1" ht="11.25" customHeight="1">
      <c r="A46" s="1864"/>
      <c r="B46" s="1856"/>
      <c r="C46" s="1856"/>
      <c r="D46" s="1856"/>
      <c r="E46" s="1825" t="s">
        <v>2936</v>
      </c>
      <c r="F46" s="1857" t="s">
        <v>3415</v>
      </c>
      <c r="G46" s="1857"/>
      <c r="H46" s="1857"/>
      <c r="I46" s="1865"/>
      <c r="J46" s="1866"/>
      <c r="K46" s="1867"/>
      <c r="L46" s="1824" t="s">
        <v>3702</v>
      </c>
    </row>
    <row r="47" spans="1:12" s="1819" customFormat="1" ht="11.25" customHeight="1">
      <c r="A47" s="1831">
        <v>10</v>
      </c>
      <c r="B47" s="1832" t="s">
        <v>3061</v>
      </c>
      <c r="C47" s="1832"/>
      <c r="D47" s="1832"/>
      <c r="E47" s="1823" t="s">
        <v>2937</v>
      </c>
      <c r="F47" s="1833" t="s">
        <v>3627</v>
      </c>
      <c r="G47" s="1833"/>
      <c r="H47" s="1833"/>
      <c r="I47" s="1845"/>
      <c r="J47" s="1846"/>
      <c r="K47" s="1847"/>
      <c r="L47" s="1824" t="s">
        <v>3701</v>
      </c>
    </row>
    <row r="48" spans="1:12" s="1819" customFormat="1" ht="11.25" customHeight="1">
      <c r="A48" s="1816"/>
      <c r="B48" s="1817"/>
      <c r="C48" s="1817"/>
      <c r="D48" s="1817"/>
      <c r="E48" s="1825" t="s">
        <v>2935</v>
      </c>
      <c r="F48" s="1819" t="s">
        <v>3416</v>
      </c>
      <c r="I48" s="1820"/>
      <c r="J48" s="1826"/>
      <c r="L48" s="1824" t="s">
        <v>3701</v>
      </c>
    </row>
    <row r="49" spans="1:12" s="1819" customFormat="1" ht="11.25" customHeight="1">
      <c r="A49" s="1816"/>
      <c r="B49" s="1817"/>
      <c r="C49" s="1817"/>
      <c r="D49" s="1817"/>
      <c r="E49" s="1825" t="s">
        <v>2936</v>
      </c>
      <c r="F49" s="1819" t="s">
        <v>3417</v>
      </c>
      <c r="I49" s="1820"/>
      <c r="J49" s="1826"/>
      <c r="L49" s="1824" t="s">
        <v>3702</v>
      </c>
    </row>
    <row r="50" spans="1:12" s="1819" customFormat="1" ht="11.25" customHeight="1">
      <c r="A50" s="1816"/>
      <c r="B50" s="1817"/>
      <c r="C50" s="1817"/>
      <c r="D50" s="1817"/>
      <c r="E50" s="1825" t="s">
        <v>2938</v>
      </c>
      <c r="F50" s="1819" t="s">
        <v>3062</v>
      </c>
      <c r="I50" s="1820"/>
      <c r="J50" s="1826"/>
      <c r="L50" s="1824" t="s">
        <v>3701</v>
      </c>
    </row>
    <row r="51" spans="1:12" s="1819" customFormat="1" ht="11.25" customHeight="1">
      <c r="A51" s="1831">
        <v>11</v>
      </c>
      <c r="B51" s="1832" t="s">
        <v>3063</v>
      </c>
      <c r="C51" s="1832"/>
      <c r="D51" s="1832"/>
      <c r="E51" s="1823" t="s">
        <v>2937</v>
      </c>
      <c r="F51" s="1833" t="s">
        <v>3064</v>
      </c>
      <c r="G51" s="1833"/>
      <c r="H51" s="1833"/>
      <c r="I51" s="1845"/>
      <c r="J51" s="1846"/>
      <c r="K51" s="1847"/>
      <c r="L51" s="1824" t="s">
        <v>3701</v>
      </c>
    </row>
    <row r="52" spans="1:12" s="1819" customFormat="1" ht="11.25" customHeight="1">
      <c r="A52" s="1831">
        <v>12</v>
      </c>
      <c r="B52" s="1832" t="s">
        <v>3065</v>
      </c>
      <c r="C52" s="1832"/>
      <c r="D52" s="1832"/>
      <c r="E52" s="1823" t="s">
        <v>2937</v>
      </c>
      <c r="F52" s="1833" t="s">
        <v>3066</v>
      </c>
      <c r="G52" s="1833"/>
      <c r="H52" s="1833"/>
      <c r="I52" s="1845"/>
      <c r="J52" s="1846"/>
      <c r="K52" s="1847"/>
      <c r="L52" s="1824" t="s">
        <v>3701</v>
      </c>
    </row>
    <row r="53" spans="1:12" s="1819" customFormat="1" ht="11.25" customHeight="1">
      <c r="A53" s="1816"/>
      <c r="B53" s="1817"/>
      <c r="C53" s="1817"/>
      <c r="D53" s="1817"/>
      <c r="E53" s="1825" t="s">
        <v>2935</v>
      </c>
      <c r="F53" s="1819" t="s">
        <v>3067</v>
      </c>
      <c r="I53" s="1820"/>
      <c r="J53" s="1826"/>
      <c r="L53" s="1824" t="s">
        <v>3702</v>
      </c>
    </row>
    <row r="54" spans="1:12" s="1819" customFormat="1" ht="11.25" customHeight="1">
      <c r="A54" s="1816"/>
      <c r="B54" s="1817"/>
      <c r="C54" s="1817"/>
      <c r="D54" s="1817"/>
      <c r="E54" s="1825" t="s">
        <v>2936</v>
      </c>
      <c r="F54" s="1819" t="s">
        <v>3068</v>
      </c>
      <c r="I54" s="1820"/>
      <c r="J54" s="1826"/>
      <c r="L54" s="1824" t="s">
        <v>3702</v>
      </c>
    </row>
    <row r="55" spans="1:12" s="1819" customFormat="1" ht="11.25" customHeight="1">
      <c r="A55" s="1831">
        <v>13</v>
      </c>
      <c r="B55" s="1832" t="s">
        <v>3069</v>
      </c>
      <c r="C55" s="1832"/>
      <c r="D55" s="1832"/>
      <c r="E55" s="1823" t="s">
        <v>2937</v>
      </c>
      <c r="F55" s="1833" t="s">
        <v>3418</v>
      </c>
      <c r="G55" s="1833"/>
      <c r="H55" s="1833"/>
      <c r="I55" s="1845"/>
      <c r="J55" s="1846"/>
      <c r="K55" s="1847"/>
      <c r="L55" s="1824" t="s">
        <v>3701</v>
      </c>
    </row>
    <row r="56" spans="1:12" s="1819" customFormat="1" ht="11.25" customHeight="1">
      <c r="A56" s="1816"/>
      <c r="B56" s="1817"/>
      <c r="C56" s="1817"/>
      <c r="D56" s="1817"/>
      <c r="E56" s="1825" t="s">
        <v>2935</v>
      </c>
      <c r="F56" s="1819" t="s">
        <v>3419</v>
      </c>
      <c r="I56" s="1820"/>
      <c r="J56" s="1826"/>
      <c r="L56" s="1824" t="s">
        <v>3701</v>
      </c>
    </row>
    <row r="57" spans="1:12" s="1819" customFormat="1" ht="11.25" customHeight="1">
      <c r="A57" s="1816"/>
      <c r="B57" s="1817"/>
      <c r="C57" s="1817"/>
      <c r="D57" s="1817"/>
      <c r="E57" s="1825" t="s">
        <v>2936</v>
      </c>
      <c r="F57" s="1819" t="s">
        <v>3070</v>
      </c>
      <c r="I57" s="1820"/>
      <c r="J57" s="1826"/>
      <c r="L57" s="1824" t="s">
        <v>3702</v>
      </c>
    </row>
    <row r="58" spans="1:12" s="1819" customFormat="1" ht="11.25" customHeight="1">
      <c r="A58" s="1831">
        <v>14</v>
      </c>
      <c r="B58" s="1832" t="s">
        <v>3071</v>
      </c>
      <c r="C58" s="1832"/>
      <c r="D58" s="1832"/>
      <c r="E58" s="1823" t="s">
        <v>2937</v>
      </c>
      <c r="F58" s="1833" t="s">
        <v>3072</v>
      </c>
      <c r="G58" s="1833"/>
      <c r="H58" s="1833"/>
      <c r="I58" s="1845"/>
      <c r="J58" s="1846"/>
      <c r="K58" s="1847"/>
      <c r="L58" s="1824" t="s">
        <v>3702</v>
      </c>
    </row>
    <row r="59" spans="1:12" s="1819" customFormat="1" ht="11.25" customHeight="1">
      <c r="A59" s="1831">
        <v>15</v>
      </c>
      <c r="B59" s="1832" t="s">
        <v>3073</v>
      </c>
      <c r="C59" s="1832"/>
      <c r="D59" s="1832" t="s">
        <v>3074</v>
      </c>
      <c r="E59" s="1823" t="s">
        <v>2937</v>
      </c>
      <c r="F59" s="1833" t="s">
        <v>3075</v>
      </c>
      <c r="G59" s="1833"/>
      <c r="H59" s="1833"/>
      <c r="I59" s="1845"/>
      <c r="J59" s="1846"/>
      <c r="K59" s="1847"/>
      <c r="L59" s="1824" t="s">
        <v>3702</v>
      </c>
    </row>
    <row r="60" spans="1:12" s="1819" customFormat="1" ht="11.25" customHeight="1">
      <c r="A60" s="1816"/>
      <c r="B60" s="1834"/>
      <c r="C60" s="1834"/>
      <c r="D60" s="1817" t="s">
        <v>3049</v>
      </c>
      <c r="E60" s="1825" t="s">
        <v>2935</v>
      </c>
      <c r="F60" s="1819" t="s">
        <v>3076</v>
      </c>
      <c r="I60" s="1820"/>
      <c r="J60" s="1826"/>
      <c r="L60" s="1824" t="s">
        <v>3701</v>
      </c>
    </row>
    <row r="61" spans="1:12" s="1819" customFormat="1" ht="11.25" customHeight="1">
      <c r="A61" s="1816"/>
      <c r="B61" s="1834"/>
      <c r="C61" s="1834"/>
      <c r="D61" s="1817" t="s">
        <v>3077</v>
      </c>
      <c r="E61" s="1825" t="s">
        <v>2936</v>
      </c>
      <c r="F61" s="1819" t="s">
        <v>3078</v>
      </c>
      <c r="I61" s="1820"/>
      <c r="J61" s="1826"/>
      <c r="L61" s="1824" t="s">
        <v>3701</v>
      </c>
    </row>
    <row r="62" spans="1:12" s="1819" customFormat="1" ht="11.25" customHeight="1">
      <c r="A62" s="1831">
        <v>16</v>
      </c>
      <c r="B62" s="1868" t="s">
        <v>3079</v>
      </c>
      <c r="C62" s="1868"/>
      <c r="D62" s="1832"/>
      <c r="E62" s="1823" t="s">
        <v>2937</v>
      </c>
      <c r="F62" s="1833" t="s">
        <v>3080</v>
      </c>
      <c r="G62" s="1833"/>
      <c r="H62" s="1833"/>
      <c r="I62" s="1845"/>
      <c r="J62" s="1846"/>
      <c r="K62" s="1847"/>
      <c r="L62" s="1824" t="s">
        <v>3701</v>
      </c>
    </row>
    <row r="63" spans="1:12" s="1819" customFormat="1" ht="11.25" customHeight="1">
      <c r="A63" s="1816"/>
      <c r="B63" s="1869"/>
      <c r="C63" s="1869"/>
      <c r="D63" s="1817"/>
      <c r="E63" s="1825" t="s">
        <v>2935</v>
      </c>
      <c r="F63" s="1819" t="s">
        <v>3081</v>
      </c>
      <c r="I63" s="1820"/>
      <c r="J63" s="1826"/>
      <c r="L63" s="1824" t="s">
        <v>3701</v>
      </c>
    </row>
    <row r="64" spans="1:12" s="1819" customFormat="1" ht="11.25" customHeight="1">
      <c r="A64" s="1816"/>
      <c r="B64" s="1869"/>
      <c r="C64" s="1869"/>
      <c r="D64" s="1817"/>
      <c r="E64" s="1825" t="s">
        <v>2936</v>
      </c>
      <c r="F64" s="1819" t="s">
        <v>3082</v>
      </c>
      <c r="I64" s="1820"/>
      <c r="J64" s="1826"/>
      <c r="L64" s="1824" t="s">
        <v>3701</v>
      </c>
    </row>
    <row r="65" spans="1:12" s="1819" customFormat="1" ht="11.25" customHeight="1">
      <c r="A65" s="1816"/>
      <c r="B65" s="1817"/>
      <c r="C65" s="1817"/>
      <c r="D65" s="1817"/>
      <c r="E65" s="1825" t="s">
        <v>2938</v>
      </c>
      <c r="F65" s="1819" t="s">
        <v>3083</v>
      </c>
      <c r="I65" s="1820"/>
      <c r="J65" s="1826"/>
      <c r="L65" s="1824" t="s">
        <v>3701</v>
      </c>
    </row>
    <row r="66" spans="1:12" s="1819" customFormat="1" ht="11.25" customHeight="1">
      <c r="A66" s="1831" t="s">
        <v>3144</v>
      </c>
      <c r="B66" s="1868" t="s">
        <v>3196</v>
      </c>
      <c r="C66" s="1868"/>
      <c r="D66" s="1832" t="s">
        <v>3194</v>
      </c>
      <c r="E66" s="1823" t="s">
        <v>2937</v>
      </c>
      <c r="F66" s="1870" t="s">
        <v>3084</v>
      </c>
      <c r="G66" s="1871"/>
      <c r="H66" s="1833"/>
      <c r="I66" s="1845"/>
      <c r="J66" s="1846"/>
      <c r="K66" s="1847"/>
      <c r="L66" s="1824" t="s">
        <v>3701</v>
      </c>
    </row>
    <row r="67" spans="1:12" s="1819" customFormat="1" ht="11.25" customHeight="1">
      <c r="A67" s="1816"/>
      <c r="B67" s="1872"/>
      <c r="C67" s="1872"/>
      <c r="D67" s="1817"/>
      <c r="E67" s="1840" t="s">
        <v>2935</v>
      </c>
      <c r="F67" s="1819" t="s">
        <v>3085</v>
      </c>
      <c r="I67" s="1820"/>
      <c r="J67" s="1826"/>
      <c r="L67" s="1824" t="s">
        <v>3702</v>
      </c>
    </row>
    <row r="68" spans="1:12" s="1819" customFormat="1" ht="11.25" customHeight="1">
      <c r="A68" s="1831" t="s">
        <v>3145</v>
      </c>
      <c r="B68" s="1868" t="s">
        <v>3206</v>
      </c>
      <c r="C68" s="1868"/>
      <c r="D68" s="1832"/>
      <c r="E68" s="1823" t="s">
        <v>2937</v>
      </c>
      <c r="F68" s="1833" t="s">
        <v>3130</v>
      </c>
      <c r="G68" s="1833"/>
      <c r="H68" s="1833"/>
      <c r="I68" s="1845"/>
      <c r="J68" s="1846"/>
      <c r="K68" s="1847"/>
      <c r="L68" s="1824" t="s">
        <v>3701</v>
      </c>
    </row>
    <row r="69" spans="1:12" s="1819" customFormat="1" ht="11.25" customHeight="1">
      <c r="A69" s="1873"/>
      <c r="B69" s="1869"/>
      <c r="C69" s="1869"/>
      <c r="D69" s="1859"/>
      <c r="E69" s="1825" t="s">
        <v>2935</v>
      </c>
      <c r="F69" s="1860" t="s">
        <v>3087</v>
      </c>
      <c r="G69" s="1860"/>
      <c r="H69" s="1860"/>
      <c r="I69" s="1861"/>
      <c r="J69" s="1860"/>
      <c r="K69" s="1863"/>
      <c r="L69" s="1824" t="s">
        <v>3701</v>
      </c>
    </row>
    <row r="70" spans="1:12" s="1819" customFormat="1" ht="11.25" customHeight="1">
      <c r="A70" s="1816"/>
      <c r="B70" s="1817" t="s">
        <v>3207</v>
      </c>
      <c r="C70" s="1817"/>
      <c r="D70" s="1817"/>
      <c r="E70" s="1825" t="s">
        <v>2936</v>
      </c>
      <c r="F70" s="1819" t="s">
        <v>3088</v>
      </c>
      <c r="I70" s="1820"/>
      <c r="L70" s="1824" t="s">
        <v>3701</v>
      </c>
    </row>
    <row r="71" spans="1:12" s="1819" customFormat="1" ht="11.25" customHeight="1">
      <c r="A71" s="1816"/>
      <c r="B71" s="1817"/>
      <c r="C71" s="1817"/>
      <c r="D71" s="1817"/>
      <c r="E71" s="1825" t="s">
        <v>2938</v>
      </c>
      <c r="F71" s="1819" t="s">
        <v>3089</v>
      </c>
      <c r="I71" s="1820"/>
      <c r="L71" s="1824" t="s">
        <v>3701</v>
      </c>
    </row>
    <row r="72" spans="1:12" s="1819" customFormat="1" ht="11.25" customHeight="1">
      <c r="A72" s="1816"/>
      <c r="B72" s="1874" t="s">
        <v>3610</v>
      </c>
      <c r="C72" s="1834"/>
      <c r="D72" s="1817" t="s">
        <v>3074</v>
      </c>
      <c r="E72" s="1825" t="s">
        <v>2939</v>
      </c>
      <c r="F72" s="1875" t="s">
        <v>3611</v>
      </c>
      <c r="G72" s="1875"/>
      <c r="H72" s="1875"/>
      <c r="I72" s="1820"/>
      <c r="J72" s="1826"/>
      <c r="L72" s="1824" t="s">
        <v>3702</v>
      </c>
    </row>
    <row r="73" spans="1:12" s="1819" customFormat="1" ht="11.25" customHeight="1">
      <c r="A73" s="1816"/>
      <c r="C73" s="1834"/>
      <c r="D73" s="1817" t="s">
        <v>3049</v>
      </c>
      <c r="E73" s="1825" t="s">
        <v>2940</v>
      </c>
      <c r="F73" s="1819" t="s">
        <v>3612</v>
      </c>
      <c r="I73" s="1820"/>
      <c r="J73" s="1826"/>
      <c r="L73" s="1824" t="s">
        <v>3702</v>
      </c>
    </row>
    <row r="74" spans="1:12" s="1819" customFormat="1" ht="11.25" customHeight="1">
      <c r="A74" s="1816"/>
      <c r="B74" s="1817"/>
      <c r="C74" s="1817"/>
      <c r="D74" s="1817"/>
      <c r="E74" s="1825" t="s">
        <v>2941</v>
      </c>
      <c r="F74" s="1819" t="s">
        <v>3613</v>
      </c>
      <c r="I74" s="1820"/>
      <c r="J74" s="1826"/>
      <c r="L74" s="1824" t="s">
        <v>3702</v>
      </c>
    </row>
    <row r="75" spans="1:12" s="1819" customFormat="1" ht="11.25" customHeight="1">
      <c r="A75" s="1816"/>
      <c r="C75" s="1817"/>
      <c r="D75" s="1817"/>
      <c r="E75" s="1825" t="s">
        <v>3142</v>
      </c>
      <c r="F75" s="1876" t="s">
        <v>3614</v>
      </c>
      <c r="G75" s="1876"/>
      <c r="H75" s="1876"/>
      <c r="I75" s="1820"/>
      <c r="J75" s="1826"/>
      <c r="L75" s="1824" t="s">
        <v>3702</v>
      </c>
    </row>
    <row r="76" spans="1:12" s="1819" customFormat="1" ht="11.25" customHeight="1">
      <c r="A76" s="1816"/>
      <c r="B76" s="1817"/>
      <c r="C76" s="1817"/>
      <c r="D76" s="1817"/>
      <c r="E76" s="1825" t="s">
        <v>3143</v>
      </c>
      <c r="F76" s="1876" t="s">
        <v>3615</v>
      </c>
      <c r="G76" s="1876"/>
      <c r="H76" s="1876"/>
      <c r="I76" s="1820"/>
      <c r="J76" s="1826"/>
      <c r="L76" s="1824" t="s">
        <v>3702</v>
      </c>
    </row>
    <row r="77" spans="1:12" s="1819" customFormat="1" ht="11.25" customHeight="1">
      <c r="A77" s="1816"/>
      <c r="B77" s="1817"/>
      <c r="C77" s="1817"/>
      <c r="D77" s="1817"/>
      <c r="E77" s="1825" t="s">
        <v>3201</v>
      </c>
      <c r="F77" s="1851" t="s">
        <v>3731</v>
      </c>
      <c r="G77" s="1851"/>
      <c r="H77" s="1851"/>
      <c r="I77" s="1851"/>
      <c r="J77" s="1851"/>
      <c r="K77" s="1852"/>
      <c r="L77" s="1824" t="s">
        <v>3701</v>
      </c>
    </row>
    <row r="78" spans="1:12" s="1819" customFormat="1" ht="11.25" customHeight="1">
      <c r="A78" s="1831">
        <v>19</v>
      </c>
      <c r="B78" s="1832" t="s">
        <v>3197</v>
      </c>
      <c r="C78" s="1832"/>
      <c r="D78" s="1832" t="s">
        <v>3074</v>
      </c>
      <c r="E78" s="1823" t="s">
        <v>2937</v>
      </c>
      <c r="F78" s="1833" t="s">
        <v>3090</v>
      </c>
      <c r="G78" s="1833"/>
      <c r="H78" s="1833"/>
      <c r="I78" s="1845"/>
      <c r="J78" s="1846"/>
      <c r="K78" s="1833"/>
      <c r="L78" s="1824" t="s">
        <v>3702</v>
      </c>
    </row>
    <row r="79" spans="1:12" s="1819" customFormat="1" ht="11.25" customHeight="1">
      <c r="A79" s="1816"/>
      <c r="B79" s="1817"/>
      <c r="C79" s="1817"/>
      <c r="D79" s="1817"/>
      <c r="E79" s="1825" t="s">
        <v>2935</v>
      </c>
      <c r="F79" s="1819" t="s">
        <v>3091</v>
      </c>
      <c r="I79" s="1820"/>
      <c r="J79" s="1826"/>
      <c r="L79" s="1824" t="s">
        <v>3702</v>
      </c>
    </row>
    <row r="80" spans="1:12" s="1819" customFormat="1" ht="11.25" customHeight="1">
      <c r="A80" s="1816"/>
      <c r="C80" s="1834"/>
      <c r="D80" s="1817" t="s">
        <v>3092</v>
      </c>
      <c r="E80" s="1825" t="s">
        <v>2936</v>
      </c>
      <c r="F80" s="1819" t="s">
        <v>3093</v>
      </c>
      <c r="I80" s="1820"/>
      <c r="J80" s="1826"/>
      <c r="L80" s="1824" t="s">
        <v>3702</v>
      </c>
    </row>
    <row r="81" spans="1:12" s="1819" customFormat="1" ht="21" customHeight="1">
      <c r="A81" s="1855"/>
      <c r="B81" s="1856"/>
      <c r="C81" s="1856"/>
      <c r="D81" s="1856"/>
      <c r="E81" s="1850" t="s">
        <v>2938</v>
      </c>
      <c r="F81" s="1877" t="s">
        <v>3420</v>
      </c>
      <c r="G81" s="1878"/>
      <c r="H81" s="1878"/>
      <c r="I81" s="1878"/>
      <c r="J81" s="1878"/>
      <c r="K81" s="1879"/>
      <c r="L81" s="1824" t="s">
        <v>3702</v>
      </c>
    </row>
    <row r="82" spans="1:12" s="1819" customFormat="1" ht="11.25" customHeight="1">
      <c r="A82" s="1873">
        <v>20</v>
      </c>
      <c r="B82" s="1859" t="s">
        <v>3422</v>
      </c>
      <c r="C82" s="1859"/>
      <c r="D82" s="1859"/>
      <c r="E82" s="1825" t="s">
        <v>2937</v>
      </c>
      <c r="F82" s="1860" t="s">
        <v>3094</v>
      </c>
      <c r="G82" s="1860"/>
      <c r="H82" s="1860"/>
      <c r="I82" s="1861"/>
      <c r="J82" s="1862"/>
      <c r="K82" s="1860"/>
      <c r="L82" s="1824" t="s">
        <v>3702</v>
      </c>
    </row>
    <row r="83" spans="1:12" s="1819" customFormat="1" ht="11.25" customHeight="1">
      <c r="B83" s="1859"/>
      <c r="C83" s="1859"/>
      <c r="D83" s="1859"/>
      <c r="E83" s="1825" t="s">
        <v>2935</v>
      </c>
      <c r="F83" s="1860" t="s">
        <v>3421</v>
      </c>
      <c r="G83" s="1860"/>
      <c r="H83" s="1860"/>
      <c r="I83" s="1861"/>
      <c r="J83" s="1862"/>
      <c r="K83" s="1860"/>
      <c r="L83" s="1824" t="s">
        <v>3702</v>
      </c>
    </row>
    <row r="84" spans="1:12" s="1819" customFormat="1" ht="11.25" customHeight="1">
      <c r="A84" s="1855"/>
      <c r="B84" s="1856"/>
      <c r="C84" s="1856"/>
      <c r="D84" s="1856"/>
      <c r="E84" s="1850" t="s">
        <v>2936</v>
      </c>
      <c r="F84" s="1857" t="s">
        <v>3095</v>
      </c>
      <c r="G84" s="1857"/>
      <c r="H84" s="1857"/>
      <c r="I84" s="1820"/>
      <c r="J84" s="1826"/>
      <c r="L84" s="1824" t="s">
        <v>3702</v>
      </c>
    </row>
    <row r="85" spans="1:12" s="1819" customFormat="1" ht="11.25" customHeight="1">
      <c r="A85" s="1831">
        <v>21</v>
      </c>
      <c r="B85" s="1868" t="s">
        <v>3423</v>
      </c>
      <c r="C85" s="1868"/>
      <c r="D85" s="1832"/>
      <c r="E85" s="1823" t="s">
        <v>2937</v>
      </c>
      <c r="F85" s="1833" t="s">
        <v>3162</v>
      </c>
      <c r="G85" s="1833"/>
      <c r="H85" s="1833"/>
      <c r="I85" s="1845"/>
      <c r="J85" s="1846"/>
      <c r="K85" s="1847"/>
      <c r="L85" s="1824" t="s">
        <v>3702</v>
      </c>
    </row>
    <row r="86" spans="1:12" s="1819" customFormat="1" ht="11.25" customHeight="1">
      <c r="A86" s="1816"/>
      <c r="B86" s="1869"/>
      <c r="C86" s="1869"/>
      <c r="D86" s="1817"/>
      <c r="E86" s="1825" t="s">
        <v>2935</v>
      </c>
      <c r="F86" s="1819" t="s">
        <v>2581</v>
      </c>
      <c r="I86" s="1820"/>
      <c r="J86" s="1826"/>
      <c r="L86" s="1824" t="s">
        <v>3701</v>
      </c>
    </row>
    <row r="87" spans="1:12" s="1819" customFormat="1" ht="11.25" customHeight="1">
      <c r="B87" s="1817"/>
      <c r="C87" s="1817"/>
      <c r="D87" s="1817"/>
      <c r="E87" s="1825" t="s">
        <v>2936</v>
      </c>
      <c r="F87" s="1819" t="s">
        <v>3096</v>
      </c>
      <c r="I87" s="1820"/>
      <c r="J87" s="1826"/>
      <c r="L87" s="1824" t="s">
        <v>3701</v>
      </c>
    </row>
    <row r="88" spans="1:12" s="1819" customFormat="1" ht="11.25" customHeight="1">
      <c r="A88" s="1816"/>
      <c r="B88" s="1817"/>
      <c r="C88" s="1817"/>
      <c r="D88" s="1817"/>
      <c r="E88" s="1825" t="s">
        <v>2938</v>
      </c>
      <c r="F88" s="1819" t="s">
        <v>521</v>
      </c>
      <c r="I88" s="1820"/>
      <c r="J88" s="1826"/>
      <c r="L88" s="1824" t="s">
        <v>3701</v>
      </c>
    </row>
    <row r="89" spans="1:12" s="1819" customFormat="1" ht="11.25" customHeight="1">
      <c r="A89" s="1816"/>
      <c r="B89" s="1817"/>
      <c r="C89" s="1817"/>
      <c r="D89" s="1817"/>
      <c r="E89" s="1825" t="s">
        <v>2939</v>
      </c>
      <c r="F89" s="1819" t="s">
        <v>691</v>
      </c>
      <c r="I89" s="1820"/>
      <c r="J89" s="1826"/>
      <c r="L89" s="1824" t="s">
        <v>3701</v>
      </c>
    </row>
    <row r="90" spans="1:12" s="1819" customFormat="1" ht="11.25" customHeight="1">
      <c r="B90" s="1817"/>
      <c r="C90" s="1817"/>
      <c r="D90" s="1817"/>
      <c r="E90" s="1825" t="s">
        <v>2940</v>
      </c>
      <c r="F90" s="1819" t="s">
        <v>1646</v>
      </c>
      <c r="I90" s="1820"/>
      <c r="J90" s="1826"/>
      <c r="L90" s="1824" t="s">
        <v>3701</v>
      </c>
    </row>
    <row r="91" spans="1:12" s="1819" customFormat="1" ht="11.25" customHeight="1">
      <c r="A91" s="1816"/>
      <c r="B91" s="1817"/>
      <c r="C91" s="1817"/>
      <c r="D91" s="1817"/>
      <c r="E91" s="1825" t="s">
        <v>2941</v>
      </c>
      <c r="F91" s="1819" t="s">
        <v>3428</v>
      </c>
      <c r="I91" s="1820"/>
      <c r="J91" s="1826"/>
      <c r="L91" s="1824" t="s">
        <v>3701</v>
      </c>
    </row>
    <row r="92" spans="1:12" s="1819" customFormat="1" ht="11.25" customHeight="1">
      <c r="A92" s="1816"/>
      <c r="B92" s="1817"/>
      <c r="C92" s="1817"/>
      <c r="D92" s="1817"/>
      <c r="E92" s="1825" t="s">
        <v>3142</v>
      </c>
      <c r="F92" s="1819" t="s">
        <v>3425</v>
      </c>
      <c r="I92" s="1820"/>
      <c r="J92" s="1826"/>
      <c r="L92" s="1824" t="s">
        <v>3701</v>
      </c>
    </row>
    <row r="93" spans="1:12" s="1819" customFormat="1" ht="11.25" customHeight="1">
      <c r="A93" s="1880">
        <v>22</v>
      </c>
      <c r="B93" s="1832" t="s">
        <v>3424</v>
      </c>
      <c r="C93" s="1832"/>
      <c r="D93" s="1832" t="s">
        <v>3074</v>
      </c>
      <c r="E93" s="1823" t="s">
        <v>2937</v>
      </c>
      <c r="F93" s="1833" t="s">
        <v>3628</v>
      </c>
      <c r="G93" s="1833"/>
      <c r="H93" s="1833"/>
      <c r="I93" s="1845"/>
      <c r="J93" s="1846"/>
      <c r="K93" s="1833"/>
      <c r="L93" s="1824" t="s">
        <v>3701</v>
      </c>
    </row>
    <row r="94" spans="1:12" s="1819" customFormat="1" ht="11.25" customHeight="1">
      <c r="A94" s="1816"/>
      <c r="C94" s="1834"/>
      <c r="D94" s="1817" t="s">
        <v>3049</v>
      </c>
      <c r="E94" s="1825" t="s">
        <v>2935</v>
      </c>
      <c r="F94" s="1819" t="s">
        <v>3097</v>
      </c>
      <c r="I94" s="1820"/>
      <c r="J94" s="1826"/>
      <c r="L94" s="1824" t="s">
        <v>3702</v>
      </c>
    </row>
    <row r="95" spans="1:12" s="1819" customFormat="1" ht="11.25" customHeight="1">
      <c r="C95" s="1834"/>
      <c r="D95" s="1817" t="s">
        <v>3077</v>
      </c>
      <c r="E95" s="1825" t="s">
        <v>2936</v>
      </c>
      <c r="F95" s="1819" t="s">
        <v>3098</v>
      </c>
      <c r="I95" s="1820"/>
      <c r="J95" s="1826"/>
      <c r="L95" s="1824" t="s">
        <v>3702</v>
      </c>
    </row>
    <row r="96" spans="1:12" s="1819" customFormat="1" ht="11.25" customHeight="1">
      <c r="A96" s="1816"/>
      <c r="C96" s="1834"/>
      <c r="D96" s="1817" t="s">
        <v>3086</v>
      </c>
      <c r="E96" s="1825" t="s">
        <v>2938</v>
      </c>
      <c r="F96" s="1819" t="s">
        <v>3099</v>
      </c>
      <c r="I96" s="1820"/>
      <c r="J96" s="1826"/>
      <c r="L96" s="1824" t="s">
        <v>3702</v>
      </c>
    </row>
    <row r="97" spans="1:12" s="1819" customFormat="1" ht="11.25" customHeight="1">
      <c r="A97" s="1831">
        <v>23</v>
      </c>
      <c r="B97" s="1881" t="s">
        <v>3426</v>
      </c>
      <c r="C97" s="1881"/>
      <c r="D97" s="1882"/>
      <c r="E97" s="1823" t="s">
        <v>2937</v>
      </c>
      <c r="F97" s="1883" t="s">
        <v>3100</v>
      </c>
      <c r="G97" s="1883"/>
      <c r="H97" s="1883"/>
      <c r="I97" s="1845"/>
      <c r="J97" s="1846"/>
      <c r="K97" s="1833"/>
      <c r="L97" s="1824" t="s">
        <v>3701</v>
      </c>
    </row>
    <row r="98" spans="1:12" s="1819" customFormat="1" ht="11.25" customHeight="1">
      <c r="A98" s="1884"/>
      <c r="B98" s="1885"/>
      <c r="C98" s="1885"/>
      <c r="D98" s="1886"/>
      <c r="E98" s="1825" t="s">
        <v>2935</v>
      </c>
      <c r="F98" s="1839" t="s">
        <v>1564</v>
      </c>
      <c r="G98" s="1839"/>
      <c r="H98" s="1839"/>
      <c r="I98" s="1820"/>
      <c r="J98" s="1826"/>
      <c r="L98" s="1824" t="s">
        <v>3701</v>
      </c>
    </row>
    <row r="99" spans="1:12" s="1819" customFormat="1" ht="11.25" customHeight="1">
      <c r="A99" s="1884"/>
      <c r="B99" s="1887"/>
      <c r="C99" s="1887"/>
      <c r="D99" s="1887"/>
      <c r="E99" s="1825" t="s">
        <v>2936</v>
      </c>
      <c r="F99" s="1839" t="s">
        <v>3427</v>
      </c>
      <c r="G99" s="1839"/>
      <c r="H99" s="1839"/>
      <c r="I99" s="1820"/>
      <c r="J99" s="1826"/>
      <c r="L99" s="1824" t="s">
        <v>3701</v>
      </c>
    </row>
    <row r="100" spans="1:12" s="1819" customFormat="1" ht="11.25" customHeight="1">
      <c r="B100" s="1887"/>
      <c r="C100" s="1887"/>
      <c r="D100" s="1887"/>
      <c r="E100" s="1825" t="s">
        <v>2938</v>
      </c>
      <c r="F100" s="1839" t="s">
        <v>2364</v>
      </c>
      <c r="G100" s="1839"/>
      <c r="H100" s="1839"/>
      <c r="I100" s="1820"/>
      <c r="J100" s="1826"/>
      <c r="L100" s="1824" t="s">
        <v>3701</v>
      </c>
    </row>
    <row r="101" spans="1:12" s="1819" customFormat="1" ht="11.25" customHeight="1">
      <c r="A101" s="1884"/>
      <c r="B101" s="1887"/>
      <c r="C101" s="1887"/>
      <c r="D101" s="1887"/>
      <c r="E101" s="1825" t="s">
        <v>2939</v>
      </c>
      <c r="F101" s="1839" t="s">
        <v>3101</v>
      </c>
      <c r="G101" s="1839"/>
      <c r="H101" s="1839"/>
      <c r="I101" s="1820"/>
      <c r="J101" s="1826"/>
      <c r="L101" s="1824" t="s">
        <v>3701</v>
      </c>
    </row>
    <row r="102" spans="1:12" s="1819" customFormat="1" ht="11.25" customHeight="1">
      <c r="A102" s="1884"/>
      <c r="B102" s="1884"/>
      <c r="C102" s="1884"/>
      <c r="D102" s="1884"/>
      <c r="E102" s="1825" t="s">
        <v>2940</v>
      </c>
      <c r="F102" s="1839" t="s">
        <v>3102</v>
      </c>
      <c r="G102" s="1839"/>
      <c r="H102" s="1839"/>
      <c r="I102" s="1820"/>
      <c r="J102" s="1826"/>
      <c r="L102" s="1824" t="s">
        <v>3701</v>
      </c>
    </row>
    <row r="103" spans="1:12" s="1819" customFormat="1" ht="11.25" customHeight="1">
      <c r="A103" s="1884"/>
      <c r="B103" s="1884"/>
      <c r="C103" s="1884"/>
      <c r="D103" s="1884"/>
      <c r="E103" s="1825" t="s">
        <v>2941</v>
      </c>
      <c r="F103" s="1839" t="s">
        <v>3103</v>
      </c>
      <c r="G103" s="1839"/>
      <c r="H103" s="1839"/>
      <c r="I103" s="1820"/>
      <c r="J103" s="1826"/>
      <c r="L103" s="1827" t="s">
        <v>3701</v>
      </c>
    </row>
    <row r="104" spans="1:12" s="1819" customFormat="1" ht="11.25" customHeight="1">
      <c r="A104" s="1884"/>
      <c r="B104" s="1884"/>
      <c r="C104" s="1884"/>
      <c r="D104" s="1884"/>
      <c r="E104" s="1828" t="s">
        <v>3142</v>
      </c>
      <c r="F104" s="1839" t="s">
        <v>3163</v>
      </c>
      <c r="G104" s="1839"/>
      <c r="H104" s="1839"/>
      <c r="I104" s="1820"/>
      <c r="J104" s="1826"/>
      <c r="L104" s="1827" t="s">
        <v>3702</v>
      </c>
    </row>
    <row r="105" spans="1:12" s="1860" customFormat="1" ht="11.25" customHeight="1">
      <c r="A105" s="1829" t="s">
        <v>3104</v>
      </c>
      <c r="B105" s="1829"/>
      <c r="C105" s="1829"/>
      <c r="D105" s="1829"/>
      <c r="E105" s="1829"/>
      <c r="F105" s="1829"/>
      <c r="G105" s="1829"/>
      <c r="H105" s="1829"/>
      <c r="I105" s="1829"/>
      <c r="J105" s="1829"/>
      <c r="K105" s="1829"/>
      <c r="L105" s="1829"/>
    </row>
    <row r="106" spans="1:12" s="1819" customFormat="1" ht="11.25" customHeight="1">
      <c r="A106" s="1831">
        <v>24</v>
      </c>
      <c r="B106" s="1868" t="s">
        <v>3198</v>
      </c>
      <c r="C106" s="1868"/>
      <c r="D106" s="1888"/>
      <c r="E106" s="1823" t="s">
        <v>2937</v>
      </c>
      <c r="F106" s="1889" t="s">
        <v>3105</v>
      </c>
      <c r="G106" s="1833"/>
      <c r="H106" s="1833"/>
      <c r="I106" s="1845"/>
      <c r="J106" s="1846"/>
      <c r="K106" s="1847"/>
      <c r="L106" s="1824" t="s">
        <v>3701</v>
      </c>
    </row>
    <row r="107" spans="1:12" s="1819" customFormat="1" ht="11.25" customHeight="1">
      <c r="A107" s="1816"/>
      <c r="B107" s="1869"/>
      <c r="C107" s="1869"/>
      <c r="D107" s="1890"/>
      <c r="E107" s="1825" t="s">
        <v>2935</v>
      </c>
      <c r="F107" s="1819" t="s">
        <v>3616</v>
      </c>
      <c r="I107" s="1820"/>
      <c r="J107" s="1826"/>
      <c r="L107" s="1824" t="s">
        <v>3701</v>
      </c>
    </row>
    <row r="108" spans="1:12" s="1819" customFormat="1" ht="11.25" customHeight="1">
      <c r="A108" s="1816"/>
      <c r="B108" s="1817"/>
      <c r="C108" s="1817"/>
      <c r="D108" s="1817"/>
      <c r="E108" s="1825" t="s">
        <v>2936</v>
      </c>
      <c r="F108" s="1819" t="s">
        <v>3106</v>
      </c>
      <c r="I108" s="1820"/>
      <c r="J108" s="1826"/>
      <c r="L108" s="1824" t="s">
        <v>3701</v>
      </c>
    </row>
    <row r="109" spans="1:12" s="1819" customFormat="1" ht="11.25" customHeight="1">
      <c r="B109" s="1817"/>
      <c r="C109" s="1817"/>
      <c r="D109" s="1817"/>
      <c r="E109" s="1825" t="s">
        <v>2938</v>
      </c>
      <c r="F109" s="1875" t="s">
        <v>3164</v>
      </c>
      <c r="G109" s="1875"/>
      <c r="H109" s="1875"/>
      <c r="I109" s="1875"/>
      <c r="J109" s="1875"/>
      <c r="K109" s="1891"/>
      <c r="L109" s="1824" t="s">
        <v>3702</v>
      </c>
    </row>
    <row r="110" spans="1:12" s="1819" customFormat="1" ht="11.25" customHeight="1">
      <c r="A110" s="1816"/>
      <c r="B110" s="1817"/>
      <c r="C110" s="1817"/>
      <c r="D110" s="1817"/>
      <c r="E110" s="1825" t="s">
        <v>2939</v>
      </c>
      <c r="F110" s="1819" t="s">
        <v>3107</v>
      </c>
      <c r="I110" s="1820"/>
      <c r="J110" s="1826"/>
      <c r="L110" s="1824" t="s">
        <v>3702</v>
      </c>
    </row>
    <row r="111" spans="1:12" s="1819" customFormat="1" ht="11.25" customHeight="1">
      <c r="A111" s="1831">
        <v>25</v>
      </c>
      <c r="B111" s="1832" t="s">
        <v>3108</v>
      </c>
      <c r="C111" s="1832"/>
      <c r="D111" s="1832" t="s">
        <v>3074</v>
      </c>
      <c r="E111" s="1823" t="s">
        <v>2937</v>
      </c>
      <c r="F111" s="1833" t="s">
        <v>3444</v>
      </c>
      <c r="G111" s="1833"/>
      <c r="H111" s="1833"/>
      <c r="I111" s="1845"/>
      <c r="J111" s="1846"/>
      <c r="K111" s="1833"/>
      <c r="L111" s="1824" t="s">
        <v>3702</v>
      </c>
    </row>
    <row r="112" spans="1:12" s="1819" customFormat="1" ht="11.25" customHeight="1">
      <c r="A112" s="1816"/>
      <c r="B112" s="1859"/>
      <c r="C112" s="1859"/>
      <c r="D112" s="1890"/>
      <c r="E112" s="1825"/>
      <c r="F112" s="1819" t="s">
        <v>3445</v>
      </c>
      <c r="I112" s="1820"/>
      <c r="J112" s="1826"/>
      <c r="L112" s="1824" t="s">
        <v>3702</v>
      </c>
    </row>
    <row r="113" spans="1:12" s="1819" customFormat="1" ht="11.25" customHeight="1">
      <c r="A113" s="1816"/>
      <c r="B113" s="1817"/>
      <c r="C113" s="1817"/>
      <c r="D113" s="1817"/>
      <c r="E113" s="1825"/>
      <c r="F113" s="1819" t="s">
        <v>3446</v>
      </c>
      <c r="I113" s="1820"/>
      <c r="J113" s="1826"/>
      <c r="L113" s="1824" t="s">
        <v>3702</v>
      </c>
    </row>
    <row r="114" spans="1:12" s="1819" customFormat="1" ht="11.25" customHeight="1">
      <c r="B114" s="1817"/>
      <c r="C114" s="1817"/>
      <c r="D114" s="1817"/>
      <c r="E114" s="1825"/>
      <c r="F114" s="1892" t="s">
        <v>3447</v>
      </c>
      <c r="K114" s="1863"/>
      <c r="L114" s="1824" t="s">
        <v>3702</v>
      </c>
    </row>
    <row r="115" spans="1:12" s="1819" customFormat="1" ht="11.25" customHeight="1">
      <c r="B115" s="1817"/>
      <c r="C115" s="1817"/>
      <c r="D115" s="1817"/>
      <c r="E115" s="1825"/>
      <c r="F115" s="1860" t="s">
        <v>3448</v>
      </c>
      <c r="K115" s="1860"/>
      <c r="L115" s="1824" t="s">
        <v>3702</v>
      </c>
    </row>
    <row r="116" spans="1:12" s="1819" customFormat="1" ht="11.25" customHeight="1">
      <c r="B116" s="1817"/>
      <c r="C116" s="1817"/>
      <c r="D116" s="1834" t="s">
        <v>3442</v>
      </c>
      <c r="E116" s="1825" t="s">
        <v>2935</v>
      </c>
      <c r="F116" s="1860" t="s">
        <v>3449</v>
      </c>
      <c r="K116" s="1860"/>
      <c r="L116" s="1824" t="s">
        <v>3701</v>
      </c>
    </row>
    <row r="117" spans="1:12" s="1819" customFormat="1" ht="11.25" customHeight="1">
      <c r="B117" s="1817"/>
      <c r="C117" s="1817"/>
      <c r="D117" s="1834"/>
      <c r="E117" s="1825"/>
      <c r="F117" s="1892" t="s">
        <v>3450</v>
      </c>
      <c r="K117" s="1860"/>
      <c r="L117" s="1824" t="s">
        <v>3701</v>
      </c>
    </row>
    <row r="118" spans="1:12" s="1819" customFormat="1" ht="11.25" customHeight="1">
      <c r="B118" s="1817"/>
      <c r="C118" s="1817"/>
      <c r="D118" s="1834"/>
      <c r="E118" s="1825"/>
      <c r="F118" s="1860" t="s">
        <v>3451</v>
      </c>
      <c r="K118" s="1860"/>
      <c r="L118" s="1824" t="s">
        <v>3701</v>
      </c>
    </row>
    <row r="119" spans="1:12" s="1819" customFormat="1" ht="11.25" customHeight="1">
      <c r="A119" s="1816"/>
      <c r="B119" s="1817"/>
      <c r="C119" s="1817"/>
      <c r="D119" s="1817" t="s">
        <v>3443</v>
      </c>
      <c r="E119" s="1825" t="s">
        <v>2936</v>
      </c>
      <c r="F119" s="1819" t="s">
        <v>3452</v>
      </c>
      <c r="I119" s="1820"/>
      <c r="J119" s="1826"/>
      <c r="L119" s="1824" t="s">
        <v>3702</v>
      </c>
    </row>
    <row r="120" spans="1:12" s="1819" customFormat="1" ht="11.25" customHeight="1">
      <c r="A120" s="1816"/>
      <c r="B120" s="1817"/>
      <c r="C120" s="1817"/>
      <c r="D120" s="1817"/>
      <c r="E120" s="1825"/>
      <c r="F120" s="1892" t="s">
        <v>3450</v>
      </c>
      <c r="I120" s="1820"/>
      <c r="J120" s="1826"/>
      <c r="L120" s="1824" t="s">
        <v>3702</v>
      </c>
    </row>
    <row r="121" spans="1:12" s="1819" customFormat="1" ht="11.25" customHeight="1">
      <c r="A121" s="1873"/>
      <c r="B121" s="1817"/>
      <c r="C121" s="1817"/>
      <c r="D121" s="1817"/>
      <c r="E121" s="1825"/>
      <c r="F121" s="1819" t="s">
        <v>3453</v>
      </c>
      <c r="I121" s="1820"/>
      <c r="J121" s="1826"/>
      <c r="L121" s="1824" t="s">
        <v>3702</v>
      </c>
    </row>
    <row r="122" spans="1:12" s="1819" customFormat="1" ht="11.25" customHeight="1">
      <c r="A122" s="1855"/>
      <c r="B122" s="1856"/>
      <c r="C122" s="1856"/>
      <c r="D122" s="1856"/>
      <c r="E122" s="1850"/>
      <c r="F122" s="1857" t="s">
        <v>3454</v>
      </c>
      <c r="G122" s="1857"/>
      <c r="H122" s="1857"/>
      <c r="I122" s="1820"/>
      <c r="J122" s="1826"/>
      <c r="L122" s="1824" t="s">
        <v>3702</v>
      </c>
    </row>
    <row r="123" spans="1:12" s="1819" customFormat="1" ht="11.25" customHeight="1">
      <c r="A123" s="1873">
        <v>26</v>
      </c>
      <c r="B123" s="1859" t="s">
        <v>3109</v>
      </c>
      <c r="C123" s="1859"/>
      <c r="D123" s="1859"/>
      <c r="E123" s="1825" t="s">
        <v>2937</v>
      </c>
      <c r="F123" s="1860" t="s">
        <v>495</v>
      </c>
      <c r="G123" s="1860"/>
      <c r="H123" s="1860"/>
      <c r="I123" s="1845"/>
      <c r="J123" s="1846"/>
      <c r="K123" s="1833"/>
      <c r="L123" s="1824" t="s">
        <v>3702</v>
      </c>
    </row>
    <row r="124" spans="1:12" s="1819" customFormat="1" ht="21.75" customHeight="1">
      <c r="A124" s="1816"/>
      <c r="B124" s="1817"/>
      <c r="C124" s="1817"/>
      <c r="D124" s="1817"/>
      <c r="E124" s="1825" t="s">
        <v>2935</v>
      </c>
      <c r="F124" s="1875" t="s">
        <v>3110</v>
      </c>
      <c r="G124" s="1875"/>
      <c r="H124" s="1875"/>
      <c r="I124" s="1875"/>
      <c r="J124" s="1875"/>
      <c r="K124" s="1891"/>
      <c r="L124" s="1824" t="s">
        <v>3702</v>
      </c>
    </row>
    <row r="125" spans="1:12" s="1819" customFormat="1" ht="11.25" customHeight="1">
      <c r="A125" s="1816"/>
      <c r="B125" s="1817"/>
      <c r="C125" s="1817"/>
      <c r="D125" s="1817"/>
      <c r="E125" s="1825" t="s">
        <v>2936</v>
      </c>
      <c r="F125" s="1819" t="s">
        <v>3111</v>
      </c>
      <c r="I125" s="1820"/>
      <c r="J125" s="1826"/>
      <c r="L125" s="1824" t="s">
        <v>3702</v>
      </c>
    </row>
    <row r="126" spans="1:12" s="1819" customFormat="1" ht="11.25" customHeight="1">
      <c r="B126" s="1817"/>
      <c r="C126" s="1817"/>
      <c r="D126" s="1817"/>
      <c r="E126" s="1825" t="s">
        <v>2938</v>
      </c>
      <c r="F126" s="1819" t="s">
        <v>3112</v>
      </c>
      <c r="I126" s="1820"/>
      <c r="J126" s="1826"/>
      <c r="L126" s="1824" t="s">
        <v>3702</v>
      </c>
    </row>
    <row r="127" spans="1:12" s="1819" customFormat="1" ht="11.25" customHeight="1">
      <c r="A127" s="1855"/>
      <c r="B127" s="1856"/>
      <c r="C127" s="1856"/>
      <c r="D127" s="1856"/>
      <c r="E127" s="1850" t="s">
        <v>2939</v>
      </c>
      <c r="F127" s="1857" t="s">
        <v>3113</v>
      </c>
      <c r="G127" s="1857"/>
      <c r="H127" s="1857"/>
      <c r="I127" s="1820"/>
      <c r="J127" s="1826"/>
      <c r="L127" s="1824" t="s">
        <v>3702</v>
      </c>
    </row>
    <row r="128" spans="1:12" s="1819" customFormat="1" ht="12" customHeight="1">
      <c r="A128" s="1880">
        <v>27</v>
      </c>
      <c r="B128" s="1868" t="s">
        <v>3114</v>
      </c>
      <c r="C128" s="1868"/>
      <c r="D128" s="1832" t="s">
        <v>3202</v>
      </c>
      <c r="E128" s="1823" t="s">
        <v>2937</v>
      </c>
      <c r="F128" s="1833" t="s">
        <v>3429</v>
      </c>
      <c r="G128" s="1833"/>
      <c r="H128" s="1833"/>
      <c r="I128" s="1845"/>
      <c r="J128" s="1846"/>
      <c r="K128" s="1847"/>
      <c r="L128" s="1824" t="s">
        <v>3702</v>
      </c>
    </row>
    <row r="129" spans="1:12" s="1819" customFormat="1" ht="12" customHeight="1">
      <c r="B129" s="1869"/>
      <c r="C129" s="1869"/>
      <c r="D129" s="1817"/>
      <c r="E129" s="1825"/>
      <c r="F129" s="1819" t="s">
        <v>3172</v>
      </c>
      <c r="I129" s="1820"/>
      <c r="J129" s="1826"/>
      <c r="L129" s="1824" t="s">
        <v>3702</v>
      </c>
    </row>
    <row r="130" spans="1:12" s="1819" customFormat="1" ht="12" customHeight="1">
      <c r="A130" s="1816"/>
      <c r="C130" s="1817"/>
      <c r="D130" s="1817"/>
      <c r="E130" s="1825"/>
      <c r="F130" s="1819" t="s">
        <v>3173</v>
      </c>
      <c r="I130" s="1820"/>
      <c r="J130" s="1826"/>
      <c r="L130" s="1824" t="s">
        <v>3702</v>
      </c>
    </row>
    <row r="131" spans="1:12" s="1819" customFormat="1" ht="12" customHeight="1">
      <c r="A131" s="1816"/>
      <c r="C131" s="1817"/>
      <c r="D131" s="1817"/>
      <c r="E131" s="1825"/>
      <c r="F131" s="1893" t="s">
        <v>3174</v>
      </c>
      <c r="I131" s="1820"/>
      <c r="J131" s="1826"/>
      <c r="L131" s="1894"/>
    </row>
    <row r="132" spans="1:12" s="1819" customFormat="1" ht="12" customHeight="1">
      <c r="A132" s="1816"/>
      <c r="C132" s="1834"/>
      <c r="D132" s="1817" t="s">
        <v>3200</v>
      </c>
      <c r="E132" s="1825" t="s">
        <v>2935</v>
      </c>
      <c r="F132" s="1819" t="s">
        <v>3175</v>
      </c>
      <c r="I132" s="1820"/>
      <c r="J132" s="1826"/>
      <c r="L132" s="1824" t="s">
        <v>3702</v>
      </c>
    </row>
    <row r="133" spans="1:12" s="1819" customFormat="1" ht="12" customHeight="1">
      <c r="D133" s="1817"/>
      <c r="E133" s="1840"/>
      <c r="F133" s="1819" t="s">
        <v>3176</v>
      </c>
      <c r="I133" s="1820"/>
      <c r="J133" s="1826"/>
      <c r="L133" s="1824" t="s">
        <v>3702</v>
      </c>
    </row>
    <row r="134" spans="1:12" s="1819" customFormat="1" ht="12" customHeight="1">
      <c r="D134" s="1817"/>
      <c r="E134" s="1840"/>
      <c r="F134" s="1893" t="s">
        <v>3177</v>
      </c>
      <c r="I134" s="1820"/>
      <c r="J134" s="1826"/>
    </row>
    <row r="135" spans="1:12" s="1819" customFormat="1" ht="12" customHeight="1">
      <c r="C135" s="1834"/>
      <c r="D135" s="1817" t="s">
        <v>3049</v>
      </c>
      <c r="E135" s="1825" t="s">
        <v>2936</v>
      </c>
      <c r="F135" s="1819" t="s">
        <v>3178</v>
      </c>
      <c r="I135" s="1820"/>
      <c r="J135" s="1826"/>
      <c r="L135" s="1824" t="s">
        <v>3701</v>
      </c>
    </row>
    <row r="136" spans="1:12" s="1819" customFormat="1" ht="21.75" customHeight="1">
      <c r="A136" s="1816"/>
      <c r="B136" s="1817"/>
      <c r="C136" s="1817"/>
      <c r="D136" s="1817"/>
      <c r="E136" s="1840"/>
      <c r="F136" s="1835" t="s">
        <v>3430</v>
      </c>
      <c r="G136" s="1835"/>
      <c r="H136" s="1835"/>
      <c r="I136" s="1820"/>
      <c r="J136" s="1826"/>
      <c r="L136" s="1824" t="s">
        <v>3701</v>
      </c>
    </row>
    <row r="137" spans="1:12" s="1819" customFormat="1" ht="12" customHeight="1">
      <c r="A137" s="1831">
        <v>28</v>
      </c>
      <c r="B137" s="1868" t="s">
        <v>3199</v>
      </c>
      <c r="C137" s="1868"/>
      <c r="D137" s="1895"/>
      <c r="E137" s="1823" t="s">
        <v>2937</v>
      </c>
      <c r="F137" s="1833" t="s">
        <v>3115</v>
      </c>
      <c r="G137" s="1833"/>
      <c r="H137" s="1833"/>
      <c r="I137" s="1845"/>
      <c r="J137" s="1846"/>
      <c r="K137" s="1847"/>
      <c r="L137" s="1824" t="s">
        <v>3702</v>
      </c>
    </row>
    <row r="138" spans="1:12" s="1819" customFormat="1" ht="12" customHeight="1">
      <c r="A138" s="1873"/>
      <c r="B138" s="1869"/>
      <c r="C138" s="1869"/>
      <c r="D138" s="1859"/>
      <c r="E138" s="1825" t="s">
        <v>2935</v>
      </c>
      <c r="F138" s="1860" t="s">
        <v>3432</v>
      </c>
      <c r="G138" s="1860"/>
      <c r="H138" s="1860"/>
      <c r="I138" s="1861"/>
      <c r="J138" s="1862"/>
      <c r="K138" s="1860"/>
      <c r="L138" s="1824" t="s">
        <v>3702</v>
      </c>
    </row>
    <row r="139" spans="1:12" s="1819" customFormat="1" ht="12" customHeight="1">
      <c r="A139" s="1831">
        <v>29</v>
      </c>
      <c r="B139" s="1868" t="s">
        <v>3431</v>
      </c>
      <c r="C139" s="1868"/>
      <c r="D139" s="1832" t="s">
        <v>3074</v>
      </c>
      <c r="E139" s="1823" t="s">
        <v>2937</v>
      </c>
      <c r="F139" s="1889" t="s">
        <v>3617</v>
      </c>
      <c r="G139" s="1833"/>
      <c r="H139" s="1833"/>
      <c r="I139" s="1845"/>
      <c r="J139" s="1846"/>
      <c r="K139" s="1847"/>
      <c r="L139" s="1824" t="s">
        <v>3702</v>
      </c>
    </row>
    <row r="140" spans="1:12" s="1819" customFormat="1" ht="12" customHeight="1">
      <c r="A140" s="1816"/>
      <c r="B140" s="1869"/>
      <c r="C140" s="1869"/>
      <c r="E140" s="1840"/>
      <c r="F140" s="1819" t="s">
        <v>3433</v>
      </c>
      <c r="I140" s="1820"/>
      <c r="J140" s="1826"/>
      <c r="L140" s="1824" t="s">
        <v>3702</v>
      </c>
    </row>
    <row r="141" spans="1:12" s="1819" customFormat="1" ht="12" customHeight="1">
      <c r="A141" s="1816"/>
      <c r="B141" s="1896"/>
      <c r="C141" s="1896"/>
      <c r="E141" s="1840"/>
      <c r="F141" s="1819" t="s">
        <v>3434</v>
      </c>
      <c r="I141" s="1820"/>
      <c r="J141" s="1826"/>
      <c r="L141" s="1824" t="s">
        <v>3702</v>
      </c>
    </row>
    <row r="142" spans="1:12" s="1819" customFormat="1" ht="12" customHeight="1">
      <c r="A142" s="1816"/>
      <c r="B142" s="1896"/>
      <c r="E142" s="1840"/>
      <c r="F142" s="1819" t="s">
        <v>3435</v>
      </c>
      <c r="I142" s="1820"/>
      <c r="J142" s="1826"/>
      <c r="L142" s="1824" t="s">
        <v>3702</v>
      </c>
    </row>
    <row r="143" spans="1:12" s="1819" customFormat="1" ht="12" customHeight="1">
      <c r="A143" s="1816"/>
      <c r="B143" s="1896"/>
      <c r="C143" s="1817"/>
      <c r="D143" s="1816"/>
      <c r="E143" s="1840"/>
      <c r="F143" s="1819" t="s">
        <v>3436</v>
      </c>
      <c r="I143" s="1820"/>
      <c r="J143" s="1826"/>
      <c r="L143" s="1824" t="s">
        <v>3702</v>
      </c>
    </row>
    <row r="144" spans="1:12" s="1819" customFormat="1" ht="12" customHeight="1">
      <c r="A144" s="1816"/>
      <c r="C144" s="1834"/>
      <c r="E144" s="1840"/>
      <c r="F144" s="1819" t="s">
        <v>3437</v>
      </c>
      <c r="I144" s="1820"/>
      <c r="J144" s="1826"/>
      <c r="L144" s="1824" t="s">
        <v>3702</v>
      </c>
    </row>
    <row r="145" spans="1:12" s="1819" customFormat="1" ht="12" customHeight="1">
      <c r="A145" s="1816"/>
      <c r="C145" s="1817"/>
      <c r="D145" s="1816"/>
      <c r="E145" s="1840"/>
      <c r="F145" s="1819" t="s">
        <v>3438</v>
      </c>
      <c r="I145" s="1820"/>
      <c r="J145" s="1826"/>
      <c r="L145" s="1824" t="s">
        <v>3702</v>
      </c>
    </row>
    <row r="146" spans="1:12" s="1819" customFormat="1" ht="12" customHeight="1">
      <c r="A146" s="1816"/>
      <c r="D146" s="1817" t="s">
        <v>3049</v>
      </c>
      <c r="E146" s="1825" t="s">
        <v>2935</v>
      </c>
      <c r="F146" s="1819" t="s">
        <v>3439</v>
      </c>
      <c r="I146" s="1820"/>
      <c r="J146" s="1826"/>
      <c r="L146" s="1824" t="s">
        <v>3702</v>
      </c>
    </row>
    <row r="147" spans="1:12" s="1819" customFormat="1" ht="12" customHeight="1">
      <c r="A147" s="1816"/>
      <c r="B147" s="1817"/>
      <c r="C147" s="1817"/>
      <c r="D147" s="1816" t="s">
        <v>3077</v>
      </c>
      <c r="E147" s="1825" t="s">
        <v>2936</v>
      </c>
      <c r="F147" s="1819" t="s">
        <v>3440</v>
      </c>
      <c r="I147" s="1820"/>
      <c r="J147" s="1826"/>
      <c r="L147" s="1824" t="s">
        <v>3702</v>
      </c>
    </row>
    <row r="148" spans="1:12" s="1819" customFormat="1" ht="12" customHeight="1">
      <c r="A148" s="1816"/>
      <c r="B148" s="1817"/>
      <c r="C148" s="1817"/>
      <c r="D148" s="1817"/>
      <c r="E148" s="1840"/>
      <c r="F148" s="1819" t="s">
        <v>3441</v>
      </c>
      <c r="I148" s="1820"/>
      <c r="J148" s="1826"/>
      <c r="L148" s="1824" t="s">
        <v>3702</v>
      </c>
    </row>
    <row r="149" spans="1:12" s="1819" customFormat="1" ht="12" customHeight="1">
      <c r="A149" s="1831">
        <v>30</v>
      </c>
      <c r="B149" s="1868" t="s">
        <v>3457</v>
      </c>
      <c r="C149" s="1868"/>
      <c r="D149" s="1832" t="s">
        <v>3074</v>
      </c>
      <c r="E149" s="1823" t="s">
        <v>2937</v>
      </c>
      <c r="F149" s="1833" t="s">
        <v>3455</v>
      </c>
      <c r="G149" s="1833"/>
      <c r="H149" s="1833"/>
      <c r="I149" s="1845"/>
      <c r="J149" s="1846"/>
      <c r="K149" s="1847"/>
      <c r="L149" s="1824" t="s">
        <v>3702</v>
      </c>
    </row>
    <row r="150" spans="1:12" s="1819" customFormat="1">
      <c r="A150" s="1816"/>
      <c r="B150" s="1869"/>
      <c r="C150" s="1869"/>
      <c r="D150" s="1817"/>
      <c r="E150" s="1825"/>
      <c r="F150" s="1875" t="s">
        <v>3456</v>
      </c>
      <c r="G150" s="1875"/>
      <c r="H150" s="1875"/>
      <c r="I150" s="1875"/>
      <c r="J150" s="1875"/>
      <c r="K150" s="1891"/>
      <c r="L150" s="1824" t="s">
        <v>3702</v>
      </c>
    </row>
    <row r="151" spans="1:12" s="1819" customFormat="1">
      <c r="A151" s="1816"/>
      <c r="C151" s="1834"/>
      <c r="D151" s="1817" t="s">
        <v>3049</v>
      </c>
      <c r="E151" s="1825" t="s">
        <v>2935</v>
      </c>
      <c r="F151" s="1877" t="s">
        <v>3458</v>
      </c>
      <c r="G151" s="1878"/>
      <c r="H151" s="1878"/>
      <c r="I151" s="1878"/>
      <c r="J151" s="1878"/>
      <c r="K151" s="1879"/>
      <c r="L151" s="1824" t="s">
        <v>3701</v>
      </c>
    </row>
    <row r="152" spans="1:12" s="1819" customFormat="1" ht="12" customHeight="1">
      <c r="A152" s="1831">
        <v>31</v>
      </c>
      <c r="B152" s="1832" t="s">
        <v>3464</v>
      </c>
      <c r="C152" s="1832"/>
      <c r="D152" s="1832"/>
      <c r="E152" s="1823" t="s">
        <v>2937</v>
      </c>
      <c r="F152" s="1833" t="s">
        <v>3116</v>
      </c>
      <c r="G152" s="1833"/>
      <c r="H152" s="1833"/>
      <c r="I152" s="1845"/>
      <c r="J152" s="1846"/>
      <c r="K152" s="1847"/>
      <c r="L152" s="1824" t="s">
        <v>3702</v>
      </c>
    </row>
    <row r="153" spans="1:12" s="1819" customFormat="1" ht="12" customHeight="1">
      <c r="A153" s="1831">
        <v>32</v>
      </c>
      <c r="B153" s="1832" t="s">
        <v>3463</v>
      </c>
      <c r="C153" s="1832"/>
      <c r="D153" s="1832"/>
      <c r="E153" s="1823" t="s">
        <v>2937</v>
      </c>
      <c r="F153" s="1833" t="s">
        <v>3117</v>
      </c>
      <c r="G153" s="1833"/>
      <c r="H153" s="1833"/>
      <c r="I153" s="1845"/>
      <c r="J153" s="1846"/>
      <c r="K153" s="1847"/>
      <c r="L153" s="1824" t="s">
        <v>3702</v>
      </c>
    </row>
    <row r="154" spans="1:12" s="1819" customFormat="1" ht="12" customHeight="1">
      <c r="A154" s="1816"/>
      <c r="B154" s="1817"/>
      <c r="C154" s="1817"/>
      <c r="D154" s="1817"/>
      <c r="E154" s="1825" t="s">
        <v>2935</v>
      </c>
      <c r="F154" s="1819" t="s">
        <v>3459</v>
      </c>
      <c r="I154" s="1820"/>
      <c r="J154" s="1826"/>
      <c r="L154" s="1824" t="s">
        <v>3702</v>
      </c>
    </row>
    <row r="155" spans="1:12" s="1819" customFormat="1" ht="12" customHeight="1">
      <c r="A155" s="1816"/>
      <c r="B155" s="1817"/>
      <c r="C155" s="1817"/>
      <c r="D155" s="1817"/>
      <c r="E155" s="1825" t="s">
        <v>2936</v>
      </c>
      <c r="F155" s="1819" t="s">
        <v>3460</v>
      </c>
      <c r="I155" s="1820"/>
      <c r="J155" s="1826"/>
      <c r="L155" s="1824" t="s">
        <v>3702</v>
      </c>
    </row>
    <row r="156" spans="1:12" s="1819" customFormat="1" ht="12" customHeight="1">
      <c r="A156" s="1816"/>
      <c r="B156" s="1817"/>
      <c r="C156" s="1817"/>
      <c r="D156" s="1817"/>
      <c r="E156" s="1825" t="s">
        <v>2938</v>
      </c>
      <c r="F156" s="1819" t="s">
        <v>3461</v>
      </c>
      <c r="I156" s="1820"/>
      <c r="J156" s="1826"/>
      <c r="L156" s="1824" t="s">
        <v>3702</v>
      </c>
    </row>
    <row r="157" spans="1:12" s="1819" customFormat="1" ht="12" customHeight="1">
      <c r="A157" s="1816"/>
      <c r="B157" s="1817"/>
      <c r="C157" s="1817"/>
      <c r="D157" s="1817"/>
      <c r="E157" s="1825" t="s">
        <v>2939</v>
      </c>
      <c r="F157" s="1819" t="s">
        <v>3462</v>
      </c>
      <c r="I157" s="1820"/>
      <c r="J157" s="1826"/>
      <c r="L157" s="1824" t="s">
        <v>3702</v>
      </c>
    </row>
    <row r="158" spans="1:12" s="1819" customFormat="1" ht="12" customHeight="1">
      <c r="A158" s="1831">
        <v>33</v>
      </c>
      <c r="B158" s="1832" t="s">
        <v>3465</v>
      </c>
      <c r="C158" s="1832"/>
      <c r="D158" s="1832"/>
      <c r="E158" s="1897" t="s">
        <v>2937</v>
      </c>
      <c r="F158" s="1833" t="s">
        <v>3466</v>
      </c>
      <c r="G158" s="1833"/>
      <c r="H158" s="1833"/>
      <c r="I158" s="1845"/>
      <c r="J158" s="1846"/>
      <c r="K158" s="1847"/>
      <c r="L158" s="1824" t="s">
        <v>3701</v>
      </c>
    </row>
    <row r="159" spans="1:12" s="1819" customFormat="1" ht="11.25" customHeight="1">
      <c r="A159" s="1831">
        <v>34</v>
      </c>
      <c r="B159" s="1868" t="s">
        <v>3467</v>
      </c>
      <c r="C159" s="1868"/>
      <c r="D159" s="1832" t="s">
        <v>3077</v>
      </c>
      <c r="E159" s="1823" t="s">
        <v>2937</v>
      </c>
      <c r="F159" s="1819" t="s">
        <v>3618</v>
      </c>
      <c r="G159" s="1833"/>
      <c r="H159" s="1833"/>
      <c r="I159" s="1845"/>
      <c r="J159" s="1846"/>
      <c r="K159" s="1847"/>
      <c r="L159" s="1824" t="s">
        <v>3701</v>
      </c>
    </row>
    <row r="160" spans="1:12" s="1819" customFormat="1" ht="11.25" customHeight="1">
      <c r="A160" s="1816"/>
      <c r="B160" s="1869"/>
      <c r="C160" s="1869"/>
      <c r="D160" s="1817"/>
      <c r="E160" s="1825" t="s">
        <v>2935</v>
      </c>
      <c r="F160" s="1819" t="s">
        <v>3619</v>
      </c>
      <c r="I160" s="1820"/>
      <c r="J160" s="1826"/>
      <c r="L160" s="1824" t="s">
        <v>3701</v>
      </c>
    </row>
    <row r="161" spans="1:12" s="1819" customFormat="1" ht="11.25" customHeight="1">
      <c r="A161" s="1816"/>
      <c r="B161" s="1898"/>
      <c r="C161" s="1898"/>
      <c r="D161" s="1816"/>
      <c r="E161" s="1825" t="s">
        <v>2936</v>
      </c>
      <c r="F161" s="1819" t="s">
        <v>3620</v>
      </c>
      <c r="I161" s="1820"/>
      <c r="J161" s="1826"/>
      <c r="L161" s="1824" t="s">
        <v>3701</v>
      </c>
    </row>
    <row r="162" spans="1:12" s="1819" customFormat="1" ht="11.25" customHeight="1">
      <c r="A162" s="1816"/>
      <c r="B162" s="1817"/>
      <c r="C162" s="1817"/>
      <c r="D162" s="1817"/>
      <c r="E162" s="1825" t="s">
        <v>2938</v>
      </c>
      <c r="F162" s="1819" t="s">
        <v>3621</v>
      </c>
      <c r="I162" s="1820"/>
      <c r="J162" s="1826"/>
      <c r="L162" s="1824" t="s">
        <v>3702</v>
      </c>
    </row>
    <row r="163" spans="1:12" s="1819" customFormat="1" ht="11.25" customHeight="1">
      <c r="A163" s="1816"/>
      <c r="B163" s="1817"/>
      <c r="C163" s="1817"/>
      <c r="D163" s="1817"/>
      <c r="E163" s="1825" t="s">
        <v>2939</v>
      </c>
      <c r="F163" s="1819" t="s">
        <v>3622</v>
      </c>
      <c r="I163" s="1820"/>
      <c r="J163" s="1826"/>
      <c r="L163" s="1824" t="s">
        <v>3702</v>
      </c>
    </row>
    <row r="164" spans="1:12" s="1819" customFormat="1" ht="11.25" customHeight="1">
      <c r="A164" s="1855"/>
      <c r="B164" s="1856"/>
      <c r="C164" s="1856"/>
      <c r="D164" s="1857"/>
      <c r="E164" s="1850" t="s">
        <v>2940</v>
      </c>
      <c r="F164" s="1857" t="s">
        <v>3623</v>
      </c>
      <c r="G164" s="1857"/>
      <c r="H164" s="1857"/>
      <c r="I164" s="1820"/>
      <c r="J164" s="1826"/>
      <c r="L164" s="1824" t="s">
        <v>3702</v>
      </c>
    </row>
    <row r="165" spans="1:12" s="1819" customFormat="1" ht="11.25" customHeight="1">
      <c r="A165" s="1831">
        <v>35</v>
      </c>
      <c r="B165" s="1868" t="s">
        <v>3468</v>
      </c>
      <c r="C165" s="1832"/>
      <c r="D165" s="1832" t="s">
        <v>3074</v>
      </c>
      <c r="E165" s="1823" t="s">
        <v>2937</v>
      </c>
      <c r="F165" s="1833" t="s">
        <v>3180</v>
      </c>
      <c r="G165" s="1833"/>
      <c r="H165" s="1833"/>
      <c r="I165" s="1845"/>
      <c r="J165" s="1833"/>
      <c r="K165" s="1847"/>
      <c r="L165" s="1824" t="s">
        <v>3702</v>
      </c>
    </row>
    <row r="166" spans="1:12" s="1819" customFormat="1" ht="11.25" customHeight="1">
      <c r="A166" s="1816"/>
      <c r="B166" s="1869"/>
      <c r="C166" s="1817"/>
      <c r="D166" s="1817"/>
      <c r="E166" s="1840"/>
      <c r="F166" s="1819" t="s">
        <v>3181</v>
      </c>
      <c r="I166" s="1820"/>
      <c r="J166" s="1826"/>
      <c r="L166" s="1824" t="s">
        <v>3702</v>
      </c>
    </row>
    <row r="167" spans="1:12" s="1819" customFormat="1" ht="11.25" customHeight="1">
      <c r="A167" s="1816"/>
      <c r="B167" s="1869"/>
      <c r="C167" s="1817"/>
      <c r="D167" s="1817"/>
      <c r="E167" s="1840"/>
      <c r="F167" s="1819" t="s">
        <v>3182</v>
      </c>
      <c r="I167" s="1820"/>
      <c r="J167" s="1826"/>
      <c r="L167" s="1824" t="s">
        <v>3702</v>
      </c>
    </row>
    <row r="168" spans="1:12" s="1819" customFormat="1" ht="11.25" customHeight="1">
      <c r="A168" s="1816"/>
      <c r="B168" s="1817"/>
      <c r="C168" s="1817"/>
      <c r="D168" s="1817"/>
      <c r="E168" s="1840"/>
      <c r="F168" s="1819" t="s">
        <v>3183</v>
      </c>
      <c r="I168" s="1820"/>
      <c r="J168" s="1826"/>
      <c r="L168" s="1824" t="s">
        <v>3702</v>
      </c>
    </row>
    <row r="169" spans="1:12" s="1819" customFormat="1" ht="11.25" customHeight="1">
      <c r="A169" s="1816"/>
      <c r="B169" s="1817"/>
      <c r="C169" s="1817"/>
      <c r="D169" s="1817"/>
      <c r="E169" s="1840"/>
      <c r="F169" s="1819" t="s">
        <v>3184</v>
      </c>
      <c r="I169" s="1820"/>
      <c r="J169" s="1826"/>
      <c r="L169" s="1824" t="s">
        <v>3702</v>
      </c>
    </row>
    <row r="170" spans="1:12" s="1819" customFormat="1" ht="11.25" customHeight="1">
      <c r="A170" s="1816"/>
      <c r="B170" s="1817"/>
      <c r="C170" s="1817"/>
      <c r="D170" s="1817"/>
      <c r="E170" s="1840"/>
      <c r="F170" s="1819" t="s">
        <v>3185</v>
      </c>
      <c r="I170" s="1820"/>
      <c r="J170" s="1826"/>
      <c r="L170" s="1824" t="s">
        <v>3702</v>
      </c>
    </row>
    <row r="171" spans="1:12" s="1819" customFormat="1" ht="11.25" customHeight="1">
      <c r="A171" s="1816"/>
      <c r="C171" s="1834"/>
      <c r="D171" s="1817" t="s">
        <v>3049</v>
      </c>
      <c r="E171" s="1825" t="s">
        <v>2935</v>
      </c>
      <c r="F171" s="1819" t="s">
        <v>3186</v>
      </c>
      <c r="I171" s="1820"/>
      <c r="J171" s="1826"/>
      <c r="L171" s="1824" t="s">
        <v>3702</v>
      </c>
    </row>
    <row r="172" spans="1:12" s="1819" customFormat="1" ht="11.25" customHeight="1">
      <c r="A172" s="1816"/>
      <c r="B172" s="1817"/>
      <c r="C172" s="1817"/>
      <c r="D172" s="1817"/>
      <c r="E172" s="1840"/>
      <c r="F172" s="1819" t="s">
        <v>3187</v>
      </c>
      <c r="I172" s="1820"/>
      <c r="J172" s="1826"/>
      <c r="L172" s="1824" t="s">
        <v>3702</v>
      </c>
    </row>
    <row r="173" spans="1:12" s="1819" customFormat="1" ht="21.75" customHeight="1">
      <c r="A173" s="1831">
        <v>36</v>
      </c>
      <c r="B173" s="1868" t="s">
        <v>3469</v>
      </c>
      <c r="C173" s="1868"/>
      <c r="D173" s="1832" t="s">
        <v>3074</v>
      </c>
      <c r="E173" s="1823" t="s">
        <v>2937</v>
      </c>
      <c r="F173" s="1899" t="s">
        <v>3624</v>
      </c>
      <c r="G173" s="1900"/>
      <c r="H173" s="1900"/>
      <c r="I173" s="1900"/>
      <c r="J173" s="1900"/>
      <c r="K173" s="1901"/>
      <c r="L173" s="1824" t="s">
        <v>3702</v>
      </c>
    </row>
    <row r="174" spans="1:12" s="1819" customFormat="1" ht="11.25" customHeight="1">
      <c r="A174" s="1816"/>
      <c r="B174" s="1869"/>
      <c r="C174" s="1869"/>
      <c r="D174" s="1817"/>
      <c r="E174" s="1825" t="s">
        <v>2935</v>
      </c>
      <c r="F174" s="1902" t="s">
        <v>3625</v>
      </c>
      <c r="G174" s="1902"/>
      <c r="H174" s="1902"/>
      <c r="I174" s="1820"/>
      <c r="J174" s="1826"/>
      <c r="L174" s="1824" t="s">
        <v>3702</v>
      </c>
    </row>
    <row r="175" spans="1:12" s="1819" customFormat="1" ht="11.25" customHeight="1">
      <c r="A175" s="1831">
        <v>37</v>
      </c>
      <c r="B175" s="1868" t="s">
        <v>3470</v>
      </c>
      <c r="C175" s="1868"/>
      <c r="D175" s="1832" t="s">
        <v>3074</v>
      </c>
      <c r="E175" s="1823" t="s">
        <v>2937</v>
      </c>
      <c r="F175" s="1833" t="s">
        <v>494</v>
      </c>
      <c r="G175" s="1833"/>
      <c r="H175" s="1833"/>
      <c r="I175" s="1845"/>
      <c r="J175" s="1846"/>
      <c r="K175" s="1847"/>
      <c r="L175" s="1824" t="s">
        <v>3702</v>
      </c>
    </row>
    <row r="176" spans="1:12" s="1819" customFormat="1" ht="11.25" customHeight="1">
      <c r="A176" s="1816"/>
      <c r="B176" s="1869"/>
      <c r="C176" s="1869"/>
      <c r="D176" s="1817"/>
      <c r="E176" s="1825" t="s">
        <v>2935</v>
      </c>
      <c r="F176" s="1819" t="s">
        <v>448</v>
      </c>
      <c r="I176" s="1820"/>
      <c r="J176" s="1826"/>
      <c r="L176" s="1824" t="s">
        <v>3702</v>
      </c>
    </row>
    <row r="177" spans="1:12" s="1819" customFormat="1" ht="11.25" customHeight="1">
      <c r="A177" s="1816"/>
      <c r="B177" s="1817"/>
      <c r="C177" s="1817"/>
      <c r="D177" s="1817"/>
      <c r="E177" s="1825" t="s">
        <v>2936</v>
      </c>
      <c r="F177" s="1819" t="s">
        <v>3118</v>
      </c>
      <c r="I177" s="1820"/>
      <c r="J177" s="1826"/>
      <c r="L177" s="1824" t="s">
        <v>3702</v>
      </c>
    </row>
    <row r="178" spans="1:12" s="1819" customFormat="1" ht="11.25" customHeight="1">
      <c r="A178" s="1816"/>
      <c r="B178" s="1817"/>
      <c r="C178" s="1817"/>
      <c r="D178" s="1817"/>
      <c r="E178" s="1825" t="s">
        <v>2938</v>
      </c>
      <c r="F178" s="1819" t="s">
        <v>3471</v>
      </c>
      <c r="I178" s="1820"/>
      <c r="J178" s="1826"/>
      <c r="L178" s="1824" t="s">
        <v>3702</v>
      </c>
    </row>
    <row r="179" spans="1:12" s="1819" customFormat="1" ht="11.25" customHeight="1">
      <c r="A179" s="1816"/>
      <c r="C179" s="1834"/>
      <c r="D179" s="1834" t="s">
        <v>3472</v>
      </c>
      <c r="E179" s="1825" t="s">
        <v>2939</v>
      </c>
      <c r="F179" s="1819" t="s">
        <v>3119</v>
      </c>
      <c r="I179" s="1820"/>
      <c r="J179" s="1826"/>
      <c r="L179" s="1824" t="s">
        <v>3702</v>
      </c>
    </row>
    <row r="180" spans="1:12" s="1819" customFormat="1" ht="11.25" customHeight="1">
      <c r="A180" s="1831">
        <v>38</v>
      </c>
      <c r="B180" s="1832" t="s">
        <v>3473</v>
      </c>
      <c r="C180" s="1832"/>
      <c r="D180" s="1903" t="s">
        <v>3472</v>
      </c>
      <c r="E180" s="1823" t="s">
        <v>2937</v>
      </c>
      <c r="F180" s="1833" t="s">
        <v>3474</v>
      </c>
      <c r="G180" s="1833"/>
      <c r="H180" s="1833"/>
      <c r="I180" s="1845"/>
      <c r="J180" s="1846"/>
      <c r="K180" s="1847"/>
      <c r="L180" s="1824" t="s">
        <v>3702</v>
      </c>
    </row>
    <row r="181" spans="1:12" s="1819" customFormat="1" ht="11.25" customHeight="1">
      <c r="A181" s="1816"/>
      <c r="C181" s="1834"/>
      <c r="D181" s="1817" t="s">
        <v>3443</v>
      </c>
      <c r="E181" s="1825" t="s">
        <v>2936</v>
      </c>
      <c r="F181" s="1819" t="s">
        <v>3475</v>
      </c>
      <c r="I181" s="1820"/>
      <c r="J181" s="1826"/>
      <c r="L181" s="1824" t="s">
        <v>3702</v>
      </c>
    </row>
    <row r="182" spans="1:12" s="1819" customFormat="1" ht="11.25" customHeight="1">
      <c r="A182" s="1816"/>
      <c r="C182" s="1834"/>
      <c r="D182" s="1817" t="s">
        <v>3092</v>
      </c>
      <c r="E182" s="1825" t="s">
        <v>2938</v>
      </c>
      <c r="F182" s="1819" t="s">
        <v>3631</v>
      </c>
      <c r="I182" s="1820"/>
      <c r="J182" s="1826"/>
      <c r="L182" s="1824" t="s">
        <v>3702</v>
      </c>
    </row>
    <row r="183" spans="1:12" s="1819" customFormat="1" ht="11.25" customHeight="1">
      <c r="A183" s="1831" t="s">
        <v>3476</v>
      </c>
      <c r="B183" s="1832" t="s">
        <v>3477</v>
      </c>
      <c r="C183" s="1832"/>
      <c r="D183" s="1832"/>
      <c r="E183" s="1823" t="s">
        <v>2937</v>
      </c>
      <c r="F183" s="1833" t="s">
        <v>3629</v>
      </c>
      <c r="G183" s="1833"/>
      <c r="H183" s="1833"/>
      <c r="I183" s="1845"/>
      <c r="J183" s="1846"/>
      <c r="K183" s="1847"/>
      <c r="L183" s="1824" t="s">
        <v>3702</v>
      </c>
    </row>
    <row r="184" spans="1:12" s="1819" customFormat="1" ht="11.25" customHeight="1">
      <c r="A184" s="1873"/>
      <c r="B184" s="1859"/>
      <c r="C184" s="1859"/>
      <c r="D184" s="1817"/>
      <c r="E184" s="1825" t="s">
        <v>2935</v>
      </c>
      <c r="F184" s="1819" t="s">
        <v>3630</v>
      </c>
      <c r="I184" s="1820"/>
      <c r="J184" s="1826"/>
      <c r="L184" s="1824" t="s">
        <v>3702</v>
      </c>
    </row>
    <row r="185" spans="1:12" s="1819" customFormat="1" ht="11.25" customHeight="1">
      <c r="A185" s="1816"/>
      <c r="B185" s="1817"/>
      <c r="C185" s="1817"/>
      <c r="D185" s="1817"/>
      <c r="E185" s="1825" t="s">
        <v>2936</v>
      </c>
      <c r="F185" s="1819" t="s">
        <v>3478</v>
      </c>
      <c r="I185" s="1820"/>
      <c r="L185" s="1824" t="s">
        <v>3702</v>
      </c>
    </row>
    <row r="186" spans="1:12" s="1819" customFormat="1" ht="11.25" customHeight="1">
      <c r="A186" s="1831" t="s">
        <v>3479</v>
      </c>
      <c r="B186" s="1832" t="s">
        <v>3480</v>
      </c>
      <c r="C186" s="1832"/>
      <c r="D186" s="1832"/>
      <c r="E186" s="1897" t="s">
        <v>2937</v>
      </c>
      <c r="F186" s="1833" t="s">
        <v>3481</v>
      </c>
      <c r="G186" s="1833"/>
      <c r="H186" s="1833"/>
      <c r="I186" s="1845"/>
      <c r="J186" s="1846"/>
      <c r="K186" s="1847"/>
      <c r="L186" s="1824" t="s">
        <v>3701</v>
      </c>
    </row>
    <row r="187" spans="1:12" s="1819" customFormat="1" ht="11.25" customHeight="1">
      <c r="A187" s="1831" t="s">
        <v>3482</v>
      </c>
      <c r="B187" s="1832" t="s">
        <v>3483</v>
      </c>
      <c r="C187" s="1832"/>
      <c r="D187" s="1832"/>
      <c r="E187" s="1897" t="s">
        <v>2937</v>
      </c>
      <c r="F187" s="1833" t="s">
        <v>3484</v>
      </c>
      <c r="G187" s="1833"/>
      <c r="H187" s="1833"/>
      <c r="I187" s="1845"/>
      <c r="J187" s="1846"/>
      <c r="K187" s="1847"/>
      <c r="L187" s="1824" t="s">
        <v>3702</v>
      </c>
    </row>
    <row r="188" spans="1:12" s="1819" customFormat="1" ht="11.25" customHeight="1">
      <c r="A188" s="1904" t="s">
        <v>3485</v>
      </c>
      <c r="B188" s="1905" t="s">
        <v>3217</v>
      </c>
      <c r="C188" s="1905"/>
      <c r="D188" s="1905"/>
      <c r="E188" s="1906" t="s">
        <v>3025</v>
      </c>
      <c r="F188" s="1907"/>
      <c r="G188" s="1908" t="s">
        <v>3218</v>
      </c>
      <c r="H188" s="1907"/>
      <c r="I188" s="1907"/>
      <c r="J188" s="1907"/>
      <c r="K188" s="1907"/>
    </row>
    <row r="189" spans="1:12" s="1819" customFormat="1" ht="11.25" customHeight="1">
      <c r="A189" s="1873"/>
      <c r="B189" s="1909" t="s">
        <v>3203</v>
      </c>
      <c r="C189" s="1909"/>
      <c r="D189" s="1910" t="s">
        <v>3204</v>
      </c>
      <c r="E189" s="1911"/>
      <c r="F189" s="1912" t="s">
        <v>3216</v>
      </c>
      <c r="G189" s="1913"/>
      <c r="H189" s="1913"/>
      <c r="I189" s="1913"/>
      <c r="J189" s="1913"/>
      <c r="K189" s="1913"/>
    </row>
    <row r="190" spans="1:12" s="1819" customFormat="1" ht="11.25" customHeight="1">
      <c r="A190" s="1873"/>
      <c r="B190" s="1914"/>
      <c r="C190" s="1915"/>
      <c r="D190" s="1916"/>
      <c r="E190" s="1917" t="s">
        <v>2937</v>
      </c>
      <c r="F190" s="1918" t="s">
        <v>3703</v>
      </c>
      <c r="G190" s="1918"/>
      <c r="H190" s="1918"/>
      <c r="I190" s="1918"/>
      <c r="J190" s="1918"/>
      <c r="K190" s="1918"/>
      <c r="L190" s="1824" t="s">
        <v>3701</v>
      </c>
    </row>
    <row r="191" spans="1:12" s="1819" customFormat="1" ht="11.25" customHeight="1">
      <c r="A191" s="1816"/>
      <c r="B191" s="1919"/>
      <c r="C191" s="1920"/>
      <c r="D191" s="1921"/>
      <c r="E191" s="1922" t="s">
        <v>2935</v>
      </c>
      <c r="F191" s="1918"/>
      <c r="G191" s="1918"/>
      <c r="H191" s="1918"/>
      <c r="I191" s="1918"/>
      <c r="J191" s="1918"/>
      <c r="K191" s="1918"/>
      <c r="L191" s="1824"/>
    </row>
    <row r="192" spans="1:12" s="1819" customFormat="1" ht="11.25" customHeight="1">
      <c r="A192" s="1816"/>
      <c r="B192" s="1919"/>
      <c r="C192" s="1920"/>
      <c r="D192" s="1921"/>
      <c r="E192" s="1922" t="s">
        <v>2936</v>
      </c>
      <c r="F192" s="1918"/>
      <c r="G192" s="1918"/>
      <c r="H192" s="1918"/>
      <c r="I192" s="1918"/>
      <c r="J192" s="1918"/>
      <c r="K192" s="1918"/>
      <c r="L192" s="1824"/>
    </row>
    <row r="193" spans="1:12" s="1819" customFormat="1" ht="11.25" customHeight="1">
      <c r="A193" s="1816"/>
      <c r="B193" s="1919"/>
      <c r="C193" s="1920"/>
      <c r="D193" s="1921"/>
      <c r="E193" s="1922" t="s">
        <v>2938</v>
      </c>
      <c r="F193" s="1918"/>
      <c r="G193" s="1918"/>
      <c r="H193" s="1918"/>
      <c r="I193" s="1918"/>
      <c r="J193" s="1918"/>
      <c r="K193" s="1918"/>
      <c r="L193" s="1824"/>
    </row>
    <row r="194" spans="1:12" s="1819" customFormat="1" ht="11.25" customHeight="1">
      <c r="A194" s="1816"/>
      <c r="B194" s="1919"/>
      <c r="C194" s="1920"/>
      <c r="D194" s="1921"/>
      <c r="E194" s="1922" t="s">
        <v>2939</v>
      </c>
      <c r="F194" s="1918"/>
      <c r="G194" s="1918"/>
      <c r="H194" s="1918"/>
      <c r="I194" s="1918"/>
      <c r="J194" s="1918"/>
      <c r="K194" s="1918"/>
      <c r="L194" s="1824"/>
    </row>
    <row r="195" spans="1:12" s="1819" customFormat="1" ht="11.25" customHeight="1">
      <c r="A195" s="1816"/>
      <c r="B195" s="1919"/>
      <c r="C195" s="1920"/>
      <c r="D195" s="1921"/>
      <c r="E195" s="1922" t="s">
        <v>2940</v>
      </c>
      <c r="F195" s="1918"/>
      <c r="G195" s="1918"/>
      <c r="H195" s="1918"/>
      <c r="I195" s="1918"/>
      <c r="J195" s="1918"/>
      <c r="K195" s="1918"/>
      <c r="L195" s="1824"/>
    </row>
    <row r="196" spans="1:12" s="1819" customFormat="1" ht="11.25" customHeight="1">
      <c r="A196" s="1816"/>
      <c r="B196" s="1919"/>
      <c r="C196" s="1920"/>
      <c r="D196" s="1921"/>
      <c r="E196" s="1922" t="s">
        <v>2941</v>
      </c>
      <c r="F196" s="1918"/>
      <c r="G196" s="1918"/>
      <c r="H196" s="1918"/>
      <c r="I196" s="1918"/>
      <c r="J196" s="1918"/>
      <c r="K196" s="1918"/>
      <c r="L196" s="1824"/>
    </row>
    <row r="197" spans="1:12" s="1819" customFormat="1" ht="11.25" customHeight="1">
      <c r="A197" s="1816"/>
      <c r="B197" s="1919"/>
      <c r="C197" s="1920"/>
      <c r="D197" s="1921"/>
      <c r="E197" s="1922" t="s">
        <v>3142</v>
      </c>
      <c r="F197" s="1918"/>
      <c r="G197" s="1918"/>
      <c r="H197" s="1918"/>
      <c r="I197" s="1918"/>
      <c r="J197" s="1918"/>
      <c r="K197" s="1918"/>
      <c r="L197" s="1824"/>
    </row>
    <row r="198" spans="1:12" s="1819" customFormat="1" ht="11.25" customHeight="1">
      <c r="A198" s="1816"/>
      <c r="B198" s="1919"/>
      <c r="C198" s="1920"/>
      <c r="D198" s="1921"/>
      <c r="E198" s="1922" t="s">
        <v>3143</v>
      </c>
      <c r="F198" s="1918"/>
      <c r="G198" s="1918"/>
      <c r="H198" s="1918"/>
      <c r="I198" s="1918"/>
      <c r="J198" s="1918"/>
      <c r="K198" s="1918"/>
      <c r="L198" s="1824"/>
    </row>
    <row r="199" spans="1:12" s="1819" customFormat="1" ht="11.25" customHeight="1">
      <c r="A199" s="1816"/>
      <c r="B199" s="1923"/>
      <c r="C199" s="1924"/>
      <c r="D199" s="1925"/>
      <c r="E199" s="1926" t="s">
        <v>3201</v>
      </c>
      <c r="F199" s="1927"/>
      <c r="G199" s="1927"/>
      <c r="H199" s="1927"/>
      <c r="I199" s="1927"/>
      <c r="J199" s="1927"/>
      <c r="K199" s="1927"/>
      <c r="L199" s="1824"/>
    </row>
    <row r="200" spans="1:12" s="1819" customFormat="1" ht="39" customHeight="1">
      <c r="A200" s="1928" t="s">
        <v>3219</v>
      </c>
      <c r="B200" s="1928"/>
      <c r="C200" s="1928"/>
      <c r="D200" s="1928"/>
      <c r="E200" s="1928"/>
      <c r="F200" s="1928"/>
      <c r="G200" s="1928"/>
      <c r="H200" s="1928"/>
      <c r="I200" s="1928"/>
      <c r="J200" s="1928"/>
      <c r="K200" s="1928"/>
      <c r="L200" s="1928"/>
    </row>
    <row r="201" spans="1:12" s="1819" customFormat="1">
      <c r="A201" s="1816"/>
      <c r="B201" s="1817"/>
      <c r="C201" s="1817"/>
      <c r="D201" s="1817"/>
      <c r="E201" s="1843"/>
      <c r="I201" s="1820"/>
    </row>
    <row r="202" spans="1:12" s="1819" customFormat="1">
      <c r="A202" s="1816"/>
      <c r="B202" s="1817"/>
      <c r="C202" s="1817"/>
      <c r="D202" s="1817"/>
      <c r="E202" s="1843"/>
      <c r="I202" s="1820"/>
    </row>
    <row r="203" spans="1:12" s="1819" customFormat="1">
      <c r="A203" s="1816"/>
      <c r="B203" s="1817"/>
      <c r="C203" s="1817"/>
      <c r="D203" s="1817"/>
      <c r="E203" s="1843"/>
      <c r="I203" s="1820"/>
    </row>
    <row r="204" spans="1:12" s="1819" customFormat="1">
      <c r="A204" s="1816"/>
      <c r="B204" s="1817"/>
      <c r="C204" s="1817"/>
      <c r="D204" s="1817"/>
      <c r="E204" s="1843"/>
      <c r="I204" s="1820"/>
    </row>
    <row r="205" spans="1:12" s="1819" customFormat="1">
      <c r="A205" s="1816"/>
      <c r="B205" s="1817"/>
      <c r="C205" s="1817"/>
      <c r="D205" s="1817"/>
      <c r="E205" s="1843"/>
      <c r="I205" s="1820"/>
    </row>
    <row r="206" spans="1:12" s="1819" customFormat="1">
      <c r="A206" s="1816"/>
      <c r="B206" s="1817"/>
      <c r="C206" s="1817"/>
      <c r="D206" s="1817"/>
      <c r="E206" s="1843"/>
      <c r="I206" s="1820"/>
    </row>
    <row r="207" spans="1:12" s="1819" customFormat="1">
      <c r="A207" s="1816"/>
      <c r="B207" s="1817"/>
      <c r="C207" s="1817"/>
      <c r="D207" s="1817"/>
      <c r="E207" s="1843"/>
      <c r="I207" s="1820"/>
    </row>
    <row r="208" spans="1:12" s="1819" customFormat="1">
      <c r="A208" s="1816"/>
      <c r="B208" s="1817"/>
      <c r="C208" s="1817"/>
      <c r="D208" s="1817"/>
      <c r="E208" s="1843"/>
      <c r="I208" s="1820"/>
    </row>
    <row r="209" spans="1:9" s="1819" customFormat="1">
      <c r="A209" s="1816"/>
      <c r="B209" s="1817"/>
      <c r="C209" s="1817"/>
      <c r="D209" s="1817"/>
      <c r="E209" s="1843"/>
      <c r="I209" s="1820"/>
    </row>
    <row r="210" spans="1:9" s="1819" customFormat="1">
      <c r="A210" s="1816"/>
      <c r="B210" s="1817"/>
      <c r="C210" s="1817"/>
      <c r="D210" s="1817"/>
      <c r="E210" s="1843"/>
      <c r="I210" s="1820"/>
    </row>
    <row r="211" spans="1:9" s="1819" customFormat="1">
      <c r="A211" s="1816"/>
      <c r="B211" s="1817"/>
      <c r="C211" s="1817"/>
      <c r="D211" s="1817"/>
      <c r="E211" s="1843"/>
      <c r="I211" s="1820"/>
    </row>
    <row r="212" spans="1:9" s="1819" customFormat="1">
      <c r="A212" s="1816"/>
      <c r="B212" s="1817"/>
      <c r="C212" s="1817"/>
      <c r="D212" s="1817"/>
      <c r="E212" s="1843"/>
      <c r="I212" s="1820"/>
    </row>
    <row r="213" spans="1:9" s="1819" customFormat="1">
      <c r="A213" s="1816"/>
      <c r="B213" s="1817"/>
      <c r="C213" s="1817"/>
      <c r="D213" s="1817"/>
      <c r="E213" s="1843"/>
      <c r="I213" s="1820"/>
    </row>
    <row r="214" spans="1:9" s="1819" customFormat="1">
      <c r="A214" s="1816"/>
      <c r="B214" s="1817"/>
      <c r="C214" s="1817"/>
      <c r="D214" s="1817"/>
      <c r="E214" s="1843"/>
      <c r="I214" s="1820"/>
    </row>
    <row r="215" spans="1:9" s="1819" customFormat="1">
      <c r="A215" s="1816"/>
      <c r="B215" s="1817"/>
      <c r="C215" s="1817"/>
      <c r="D215" s="1817"/>
      <c r="E215" s="1843"/>
      <c r="I215" s="1820"/>
    </row>
    <row r="216" spans="1:9" s="1819" customFormat="1">
      <c r="A216" s="1816"/>
      <c r="B216" s="1817"/>
      <c r="C216" s="1817"/>
      <c r="D216" s="1817"/>
      <c r="E216" s="1843"/>
      <c r="I216" s="1820"/>
    </row>
    <row r="217" spans="1:9" s="1819" customFormat="1">
      <c r="A217" s="1816"/>
      <c r="B217" s="1817"/>
      <c r="C217" s="1817"/>
      <c r="D217" s="1817"/>
      <c r="E217" s="1843"/>
      <c r="I217" s="1820"/>
    </row>
    <row r="218" spans="1:9" s="1819" customFormat="1">
      <c r="A218" s="1816"/>
      <c r="B218" s="1817"/>
      <c r="C218" s="1817"/>
      <c r="D218" s="1817"/>
      <c r="E218" s="1843"/>
      <c r="I218" s="1820"/>
    </row>
    <row r="219" spans="1:9" s="1819" customFormat="1">
      <c r="A219" s="1816"/>
      <c r="B219" s="1817"/>
      <c r="C219" s="1817"/>
      <c r="D219" s="1817"/>
      <c r="E219" s="1843"/>
      <c r="I219" s="1820"/>
    </row>
    <row r="220" spans="1:9" s="1819" customFormat="1">
      <c r="A220" s="1816"/>
      <c r="B220" s="1817"/>
      <c r="C220" s="1817"/>
      <c r="D220" s="1817"/>
      <c r="E220" s="1843"/>
      <c r="I220" s="1820"/>
    </row>
    <row r="221" spans="1:9" s="1819" customFormat="1">
      <c r="A221" s="1816"/>
      <c r="B221" s="1817"/>
      <c r="C221" s="1817"/>
      <c r="D221" s="1817"/>
      <c r="E221" s="1843"/>
      <c r="I221" s="1820"/>
    </row>
    <row r="222" spans="1:9" s="1819" customFormat="1">
      <c r="A222" s="1816"/>
      <c r="B222" s="1817"/>
      <c r="C222" s="1817"/>
      <c r="D222" s="1817"/>
      <c r="E222" s="1843"/>
      <c r="I222" s="1820"/>
    </row>
    <row r="223" spans="1:9" s="1819" customFormat="1">
      <c r="A223" s="1816"/>
      <c r="B223" s="1817"/>
      <c r="C223" s="1817"/>
      <c r="D223" s="1817"/>
      <c r="E223" s="1843"/>
      <c r="I223" s="1820"/>
    </row>
    <row r="224" spans="1:9" s="1819" customFormat="1">
      <c r="A224" s="1816"/>
      <c r="B224" s="1817"/>
      <c r="C224" s="1817"/>
      <c r="D224" s="1817"/>
      <c r="E224" s="1843"/>
      <c r="I224" s="1820"/>
    </row>
    <row r="225" spans="1:9" s="1819" customFormat="1">
      <c r="A225" s="1816"/>
      <c r="B225" s="1817"/>
      <c r="C225" s="1817"/>
      <c r="D225" s="1817"/>
      <c r="E225" s="1843"/>
      <c r="I225" s="1820"/>
    </row>
    <row r="226" spans="1:9" s="1819" customFormat="1">
      <c r="A226" s="1816"/>
      <c r="B226" s="1817"/>
      <c r="C226" s="1817"/>
      <c r="D226" s="1817"/>
      <c r="E226" s="1843"/>
      <c r="I226" s="1820"/>
    </row>
    <row r="227" spans="1:9" s="1819" customFormat="1">
      <c r="A227" s="1816"/>
      <c r="B227" s="1817"/>
      <c r="C227" s="1817"/>
      <c r="D227" s="1817"/>
      <c r="E227" s="1843"/>
      <c r="I227" s="1820"/>
    </row>
    <row r="228" spans="1:9" s="1819" customFormat="1">
      <c r="A228" s="1816"/>
      <c r="B228" s="1817"/>
      <c r="C228" s="1817"/>
      <c r="D228" s="1817"/>
      <c r="E228" s="1843"/>
      <c r="I228" s="1820"/>
    </row>
    <row r="229" spans="1:9" s="1819" customFormat="1">
      <c r="A229" s="1816"/>
      <c r="B229" s="1817"/>
      <c r="C229" s="1817"/>
      <c r="D229" s="1817"/>
      <c r="E229" s="1843"/>
      <c r="I229" s="1820"/>
    </row>
    <row r="230" spans="1:9" s="1819" customFormat="1">
      <c r="A230" s="1816"/>
      <c r="B230" s="1817"/>
      <c r="C230" s="1817"/>
      <c r="D230" s="1817"/>
      <c r="E230" s="1843"/>
      <c r="I230" s="1820"/>
    </row>
    <row r="231" spans="1:9" s="1819" customFormat="1">
      <c r="A231" s="1816"/>
      <c r="B231" s="1817"/>
      <c r="C231" s="1817"/>
      <c r="D231" s="1817"/>
      <c r="E231" s="1843"/>
      <c r="I231" s="1820"/>
    </row>
    <row r="232" spans="1:9" s="1819" customFormat="1">
      <c r="A232" s="1816"/>
      <c r="B232" s="1817"/>
      <c r="C232" s="1817"/>
      <c r="D232" s="1817"/>
      <c r="E232" s="1843"/>
      <c r="I232" s="1820"/>
    </row>
    <row r="233" spans="1:9" s="1819" customFormat="1">
      <c r="A233" s="1816"/>
      <c r="B233" s="1817"/>
      <c r="C233" s="1817"/>
      <c r="D233" s="1817"/>
      <c r="E233" s="1843"/>
      <c r="I233" s="1820"/>
    </row>
    <row r="234" spans="1:9" s="1819" customFormat="1">
      <c r="A234" s="1816"/>
      <c r="B234" s="1817"/>
      <c r="C234" s="1817"/>
      <c r="D234" s="1817"/>
      <c r="E234" s="1843"/>
      <c r="I234" s="1820"/>
    </row>
    <row r="235" spans="1:9" s="1819" customFormat="1">
      <c r="A235" s="1816"/>
      <c r="B235" s="1817"/>
      <c r="C235" s="1817"/>
      <c r="D235" s="1817"/>
      <c r="E235" s="1843"/>
      <c r="I235" s="1820"/>
    </row>
    <row r="236" spans="1:9" s="1819" customFormat="1">
      <c r="A236" s="1816"/>
      <c r="B236" s="1817"/>
      <c r="C236" s="1817"/>
      <c r="D236" s="1817"/>
      <c r="E236" s="1843"/>
      <c r="I236" s="1820"/>
    </row>
    <row r="237" spans="1:9" s="1819" customFormat="1">
      <c r="A237" s="1816"/>
      <c r="B237" s="1817"/>
      <c r="C237" s="1817"/>
      <c r="D237" s="1817"/>
      <c r="E237" s="1843"/>
      <c r="I237" s="1820"/>
    </row>
    <row r="238" spans="1:9" s="1819" customFormat="1">
      <c r="A238" s="1816"/>
      <c r="B238" s="1817"/>
      <c r="C238" s="1817"/>
      <c r="D238" s="1817"/>
      <c r="E238" s="1843"/>
      <c r="I238" s="1820"/>
    </row>
    <row r="239" spans="1:9" s="1819" customFormat="1">
      <c r="A239" s="1816"/>
      <c r="B239" s="1817"/>
      <c r="C239" s="1817"/>
      <c r="D239" s="1817"/>
      <c r="E239" s="1843"/>
      <c r="I239" s="1820"/>
    </row>
    <row r="240" spans="1:9" s="1819" customFormat="1">
      <c r="A240" s="1816"/>
      <c r="B240" s="1817"/>
      <c r="C240" s="1817"/>
      <c r="D240" s="1817"/>
      <c r="E240" s="1843"/>
      <c r="I240" s="1820"/>
    </row>
    <row r="241" spans="1:9" s="1819" customFormat="1">
      <c r="A241" s="1816"/>
      <c r="B241" s="1817"/>
      <c r="C241" s="1817"/>
      <c r="D241" s="1817"/>
      <c r="E241" s="1843"/>
      <c r="I241" s="1820"/>
    </row>
    <row r="242" spans="1:9" s="1819" customFormat="1">
      <c r="A242" s="1816"/>
      <c r="B242" s="1817"/>
      <c r="C242" s="1817"/>
      <c r="D242" s="1817"/>
      <c r="E242" s="1843"/>
      <c r="I242" s="1820"/>
    </row>
    <row r="243" spans="1:9" s="1819" customFormat="1">
      <c r="A243" s="1816"/>
      <c r="B243" s="1817"/>
      <c r="C243" s="1817"/>
      <c r="D243" s="1817"/>
      <c r="E243" s="1843"/>
      <c r="I243" s="1820"/>
    </row>
    <row r="244" spans="1:9" s="1819" customFormat="1">
      <c r="A244" s="1816"/>
      <c r="B244" s="1817"/>
      <c r="C244" s="1817"/>
      <c r="D244" s="1817"/>
      <c r="E244" s="1843"/>
      <c r="I244" s="1820"/>
    </row>
    <row r="245" spans="1:9" s="1819" customFormat="1">
      <c r="A245" s="1816"/>
      <c r="B245" s="1817"/>
      <c r="C245" s="1817"/>
      <c r="D245" s="1817"/>
      <c r="E245" s="1843"/>
      <c r="I245" s="1820"/>
    </row>
    <row r="246" spans="1:9" s="1819" customFormat="1">
      <c r="A246" s="1816"/>
      <c r="B246" s="1817"/>
      <c r="C246" s="1817"/>
      <c r="D246" s="1817"/>
      <c r="E246" s="1843"/>
      <c r="I246" s="1820"/>
    </row>
    <row r="247" spans="1:9" s="1819" customFormat="1">
      <c r="A247" s="1816"/>
      <c r="B247" s="1817"/>
      <c r="C247" s="1817"/>
      <c r="D247" s="1817"/>
      <c r="E247" s="1843"/>
      <c r="I247" s="1820"/>
    </row>
    <row r="248" spans="1:9" s="1819" customFormat="1">
      <c r="A248" s="1816"/>
      <c r="B248" s="1817"/>
      <c r="C248" s="1817"/>
      <c r="D248" s="1817"/>
      <c r="E248" s="1843"/>
      <c r="I248" s="1820"/>
    </row>
    <row r="249" spans="1:9" s="1819" customFormat="1">
      <c r="A249" s="1816"/>
      <c r="B249" s="1817"/>
      <c r="C249" s="1817"/>
      <c r="D249" s="1817"/>
      <c r="E249" s="1843"/>
      <c r="I249" s="1820"/>
    </row>
    <row r="250" spans="1:9" s="1819" customFormat="1">
      <c r="A250" s="1816"/>
      <c r="B250" s="1817"/>
      <c r="C250" s="1817"/>
      <c r="D250" s="1817"/>
      <c r="E250" s="1843"/>
      <c r="I250" s="1820"/>
    </row>
    <row r="251" spans="1:9" s="1819" customFormat="1">
      <c r="A251" s="1816"/>
      <c r="B251" s="1817"/>
      <c r="C251" s="1817"/>
      <c r="D251" s="1817"/>
      <c r="E251" s="1843"/>
      <c r="I251" s="1820"/>
    </row>
    <row r="252" spans="1:9" s="1819" customFormat="1">
      <c r="A252" s="1816"/>
      <c r="B252" s="1817"/>
      <c r="C252" s="1817"/>
      <c r="D252" s="1817"/>
      <c r="E252" s="1843"/>
      <c r="I252" s="1820"/>
    </row>
    <row r="253" spans="1:9" s="1819" customFormat="1">
      <c r="A253" s="1816"/>
      <c r="B253" s="1817"/>
      <c r="C253" s="1817"/>
      <c r="D253" s="1817"/>
      <c r="E253" s="1843"/>
      <c r="I253" s="1820"/>
    </row>
    <row r="254" spans="1:9" s="1819" customFormat="1">
      <c r="A254" s="1816"/>
      <c r="B254" s="1817"/>
      <c r="C254" s="1817"/>
      <c r="D254" s="1817"/>
      <c r="E254" s="1843"/>
      <c r="I254" s="1820"/>
    </row>
    <row r="255" spans="1:9" s="1819" customFormat="1">
      <c r="A255" s="1816"/>
      <c r="B255" s="1817"/>
      <c r="C255" s="1817"/>
      <c r="D255" s="1817"/>
      <c r="E255" s="1843"/>
      <c r="I255" s="1820"/>
    </row>
    <row r="256" spans="1:9" s="1819" customFormat="1">
      <c r="A256" s="1816"/>
      <c r="B256" s="1817"/>
      <c r="C256" s="1817"/>
      <c r="D256" s="1817"/>
      <c r="E256" s="1843"/>
      <c r="I256" s="1820"/>
    </row>
    <row r="257" spans="1:9" s="1819" customFormat="1">
      <c r="A257" s="1816"/>
      <c r="B257" s="1817"/>
      <c r="C257" s="1817"/>
      <c r="D257" s="1817"/>
      <c r="E257" s="1843"/>
      <c r="I257" s="1820"/>
    </row>
    <row r="258" spans="1:9" s="1819" customFormat="1">
      <c r="A258" s="1816"/>
      <c r="B258" s="1817"/>
      <c r="C258" s="1817"/>
      <c r="D258" s="1817"/>
      <c r="E258" s="1843"/>
      <c r="I258" s="1820"/>
    </row>
    <row r="259" spans="1:9">
      <c r="A259" s="1929"/>
      <c r="B259" s="1930"/>
      <c r="C259" s="1930"/>
      <c r="D259" s="1930"/>
      <c r="E259" s="1931"/>
    </row>
    <row r="260" spans="1:9">
      <c r="A260" s="1929"/>
      <c r="B260" s="1930"/>
      <c r="C260" s="1930"/>
      <c r="D260" s="1930"/>
      <c r="E260" s="1931"/>
    </row>
    <row r="261" spans="1:9">
      <c r="A261" s="1929"/>
      <c r="B261" s="1930"/>
      <c r="C261" s="1930"/>
      <c r="D261" s="1930"/>
      <c r="E261" s="1931"/>
    </row>
    <row r="262" spans="1:9">
      <c r="A262" s="1929"/>
      <c r="B262" s="1930"/>
      <c r="C262" s="1930"/>
      <c r="D262" s="1930"/>
      <c r="E262" s="1931"/>
    </row>
    <row r="263" spans="1:9">
      <c r="A263" s="1929"/>
      <c r="B263" s="1930"/>
      <c r="C263" s="1930"/>
      <c r="D263" s="1930"/>
      <c r="E263" s="1931"/>
    </row>
    <row r="264" spans="1:9">
      <c r="A264" s="1929"/>
      <c r="B264" s="1930"/>
      <c r="C264" s="1930"/>
      <c r="D264" s="1930"/>
      <c r="E264" s="1931"/>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4" zoomScaleNormal="100" workbookViewId="0">
      <selection activeCell="A4"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8" customWidth="1"/>
    <col min="76" max="81" width="12.5703125" style="568" customWidth="1"/>
    <col min="82" max="180" width="9.140625" style="568" customWidth="1"/>
    <col min="181" max="197" width="9.140625" style="577" customWidth="1"/>
    <col min="198" max="203" width="9.140625" style="568" customWidth="1"/>
    <col min="204" max="204" width="9.140625" style="581" customWidth="1"/>
    <col min="205" max="219" width="9.140625" style="568" customWidth="1"/>
    <col min="220" max="221" width="9.140625" style="581" customWidth="1"/>
    <col min="222" max="223" width="9.140625" style="568"/>
    <col min="224" max="255" width="9.140625" style="175"/>
    <col min="256" max="16384" width="9.140625" style="96"/>
  </cols>
  <sheetData>
    <row r="1" spans="1:255" s="105" customFormat="1" ht="13.9" customHeight="1">
      <c r="A1" s="1297" t="str">
        <f>CONCATENATE("PART SIX - PROJECTED REVENUES &amp; EXPENSES","  -  ",'Part I-Project Information'!$O$4," ",'Part I-Project Information'!$F$23,", ",'Part I-Project Information'!F27,", ",'Part I-Project Information'!J28," County")</f>
        <v>PART SIX - PROJECTED REVENUES &amp; EXPENSES  -  2014-039 Willingham Village II, Rome, Floyd County</v>
      </c>
      <c r="B1" s="1298"/>
      <c r="C1" s="1298"/>
      <c r="D1" s="1298"/>
      <c r="E1" s="1298"/>
      <c r="F1" s="1298"/>
      <c r="G1" s="1298"/>
      <c r="H1" s="1298"/>
      <c r="I1" s="1298"/>
      <c r="J1" s="1298"/>
      <c r="K1" s="1298"/>
      <c r="L1" s="1298"/>
      <c r="M1" s="1298"/>
      <c r="N1" s="1298"/>
      <c r="O1" s="1298"/>
      <c r="P1" s="1299"/>
      <c r="T1" s="1386" t="str">
        <f>A1</f>
        <v>PART SIX - PROJECTED REVENUES &amp; EXPENSES  -  2014-039 Willingham Village II, Rome, Floyd County</v>
      </c>
      <c r="U1" s="1386"/>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0"/>
      <c r="BI1" s="570"/>
      <c r="BJ1" s="570"/>
      <c r="BK1" s="570"/>
      <c r="BL1" s="570"/>
      <c r="BM1" s="570"/>
      <c r="BN1" s="570"/>
      <c r="BO1" s="570"/>
      <c r="BP1" s="570"/>
      <c r="BQ1" s="570"/>
      <c r="BR1" s="570"/>
      <c r="BS1" s="570"/>
      <c r="BT1" s="570"/>
      <c r="BU1" s="570"/>
      <c r="BV1" s="570"/>
      <c r="BW1" s="570"/>
      <c r="BX1" s="570"/>
      <c r="BY1" s="570"/>
      <c r="BZ1" s="570"/>
      <c r="CA1" s="570"/>
      <c r="CB1" s="570"/>
      <c r="CC1" s="570"/>
      <c r="CD1" s="570"/>
      <c r="CE1" s="570"/>
      <c r="CF1" s="570"/>
      <c r="CG1" s="570"/>
      <c r="CH1" s="570"/>
      <c r="CI1" s="570"/>
      <c r="CJ1" s="570"/>
      <c r="CK1" s="570"/>
      <c r="CL1" s="570"/>
      <c r="CM1" s="570"/>
      <c r="CN1" s="570"/>
      <c r="CO1" s="570"/>
      <c r="CP1" s="570"/>
      <c r="CQ1" s="570"/>
      <c r="CR1" s="570"/>
      <c r="CS1" s="570"/>
      <c r="CT1" s="570"/>
      <c r="CU1" s="570"/>
      <c r="CV1" s="570"/>
      <c r="CW1" s="570"/>
      <c r="CX1" s="570"/>
      <c r="CY1" s="570"/>
      <c r="CZ1" s="570"/>
      <c r="DA1" s="570"/>
      <c r="DB1" s="570"/>
      <c r="DC1" s="570"/>
      <c r="DD1" s="570"/>
      <c r="DE1" s="570"/>
      <c r="DF1" s="570"/>
      <c r="DG1" s="570"/>
      <c r="DH1" s="570"/>
      <c r="DI1" s="570"/>
      <c r="DJ1" s="570"/>
      <c r="DK1" s="570"/>
      <c r="DL1" s="570"/>
      <c r="DM1" s="570"/>
      <c r="DN1" s="570"/>
      <c r="DO1" s="570"/>
      <c r="DP1" s="570"/>
      <c r="DQ1" s="570"/>
      <c r="DR1" s="570"/>
      <c r="DS1" s="570"/>
      <c r="DT1" s="570"/>
      <c r="DU1" s="570"/>
      <c r="DV1" s="570"/>
      <c r="DW1" s="570"/>
      <c r="DX1" s="570"/>
      <c r="DY1" s="570"/>
      <c r="DZ1" s="570"/>
      <c r="EA1" s="570"/>
      <c r="EB1" s="570"/>
      <c r="EC1" s="570"/>
      <c r="ED1" s="570"/>
      <c r="EE1" s="570"/>
      <c r="EF1" s="570"/>
      <c r="EG1" s="570"/>
      <c r="EH1" s="570"/>
      <c r="EI1" s="570"/>
      <c r="EJ1" s="570"/>
      <c r="EK1" s="570"/>
      <c r="EL1" s="570"/>
      <c r="EM1" s="570"/>
      <c r="EN1" s="570"/>
      <c r="EO1" s="570"/>
      <c r="EP1" s="570"/>
      <c r="EQ1" s="570"/>
      <c r="ER1" s="570"/>
      <c r="ES1" s="570"/>
      <c r="ET1" s="571"/>
      <c r="EU1" s="571"/>
      <c r="EV1" s="571"/>
      <c r="EW1" s="571"/>
      <c r="EX1" s="571"/>
      <c r="EY1" s="571"/>
      <c r="EZ1" s="571"/>
      <c r="FA1" s="571"/>
      <c r="FB1" s="571"/>
      <c r="FC1" s="571"/>
      <c r="FD1" s="571"/>
      <c r="FE1" s="571"/>
      <c r="FF1" s="571"/>
      <c r="FG1" s="571"/>
      <c r="FH1" s="571"/>
      <c r="FI1" s="571"/>
      <c r="FJ1" s="571"/>
      <c r="FK1" s="571"/>
      <c r="FL1" s="571"/>
      <c r="FM1" s="571"/>
      <c r="FN1" s="571"/>
      <c r="FO1" s="571"/>
      <c r="FP1" s="571"/>
      <c r="FQ1" s="571"/>
      <c r="FR1" s="571"/>
      <c r="FS1" s="571"/>
      <c r="FT1" s="571"/>
      <c r="FU1" s="571"/>
      <c r="FV1" s="571"/>
      <c r="FW1" s="571"/>
      <c r="FX1" s="571"/>
      <c r="FY1" s="571"/>
      <c r="FZ1" s="571"/>
      <c r="GA1" s="571"/>
      <c r="GB1" s="571"/>
      <c r="GC1" s="571"/>
      <c r="GD1" s="571"/>
      <c r="GE1" s="571"/>
      <c r="GF1" s="571"/>
      <c r="GG1" s="571"/>
      <c r="GH1" s="570"/>
      <c r="GI1" s="570"/>
      <c r="GJ1" s="570"/>
      <c r="GK1" s="570"/>
      <c r="GL1" s="572"/>
      <c r="GM1" s="570"/>
      <c r="GN1" s="570"/>
      <c r="GO1" s="570"/>
      <c r="GP1" s="570"/>
      <c r="GQ1" s="570"/>
      <c r="GR1" s="570"/>
      <c r="GS1" s="570"/>
      <c r="GT1" s="570"/>
      <c r="GU1" s="570"/>
      <c r="GV1" s="570"/>
      <c r="GW1" s="570"/>
      <c r="GX1" s="570"/>
      <c r="GY1" s="570"/>
      <c r="GZ1" s="570"/>
      <c r="HA1" s="570"/>
      <c r="HB1" s="570"/>
      <c r="HC1" s="570"/>
      <c r="HD1" s="570"/>
      <c r="HE1" s="570"/>
      <c r="HF1" s="570"/>
      <c r="HG1" s="570"/>
      <c r="HH1" s="570"/>
      <c r="HI1" s="570"/>
      <c r="HJ1" s="570"/>
      <c r="HK1" s="570"/>
      <c r="HL1" s="570"/>
      <c r="HM1" s="570"/>
      <c r="HN1" s="570"/>
      <c r="HO1" s="570"/>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3"/>
      <c r="BW2" s="573"/>
      <c r="BX2" s="573"/>
      <c r="BY2" s="573"/>
      <c r="BZ2" s="573"/>
      <c r="CA2" s="573"/>
      <c r="CB2" s="573"/>
      <c r="CC2" s="573"/>
      <c r="CD2" s="573"/>
      <c r="CE2" s="573"/>
      <c r="CF2" s="573"/>
      <c r="CG2" s="573"/>
      <c r="CH2" s="573"/>
      <c r="CI2" s="573"/>
      <c r="CJ2" s="573"/>
      <c r="CK2" s="573"/>
      <c r="CL2" s="573"/>
      <c r="CM2" s="573"/>
      <c r="CN2" s="573"/>
      <c r="CO2" s="573"/>
      <c r="CP2" s="573"/>
      <c r="CQ2" s="573"/>
      <c r="CR2" s="573"/>
      <c r="CS2" s="573"/>
      <c r="CT2" s="573"/>
      <c r="CU2" s="573"/>
      <c r="CV2" s="573"/>
      <c r="CW2" s="573"/>
      <c r="CX2" s="573"/>
      <c r="CY2" s="573"/>
      <c r="CZ2" s="573"/>
      <c r="DA2" s="573"/>
      <c r="DB2" s="573"/>
      <c r="DC2" s="573"/>
      <c r="DD2" s="573"/>
      <c r="DE2" s="573"/>
      <c r="DF2" s="573"/>
      <c r="DG2" s="573"/>
      <c r="DH2" s="573"/>
      <c r="DI2" s="573"/>
      <c r="DJ2" s="573"/>
      <c r="DK2" s="573"/>
      <c r="DL2" s="573"/>
      <c r="DM2" s="573"/>
      <c r="DN2" s="573"/>
      <c r="DO2" s="573"/>
      <c r="DP2" s="573"/>
      <c r="DQ2" s="573"/>
      <c r="DR2" s="573"/>
      <c r="DS2" s="573"/>
      <c r="DT2" s="573"/>
      <c r="DU2" s="573"/>
      <c r="DV2" s="573"/>
      <c r="DW2" s="573"/>
      <c r="DX2" s="573"/>
      <c r="DY2" s="573"/>
      <c r="DZ2" s="573"/>
      <c r="EA2" s="573"/>
      <c r="EB2" s="573"/>
      <c r="EC2" s="573"/>
      <c r="ED2" s="573"/>
      <c r="EE2" s="573"/>
      <c r="EF2" s="573"/>
      <c r="EG2" s="573"/>
      <c r="EH2" s="573"/>
      <c r="EI2" s="573"/>
      <c r="EJ2" s="573"/>
      <c r="EK2" s="573"/>
      <c r="EL2" s="573"/>
      <c r="EM2" s="573"/>
      <c r="EN2" s="573"/>
      <c r="EO2" s="573"/>
      <c r="EP2" s="573"/>
      <c r="EQ2" s="573"/>
      <c r="ER2" s="573"/>
      <c r="ES2" s="573"/>
      <c r="ET2" s="573"/>
      <c r="EU2" s="573"/>
      <c r="EV2" s="574"/>
      <c r="EW2" s="574"/>
      <c r="EX2" s="574"/>
      <c r="EY2" s="574"/>
      <c r="EZ2" s="574"/>
      <c r="FA2" s="574"/>
      <c r="FB2" s="574"/>
      <c r="FC2" s="574"/>
      <c r="FD2" s="574"/>
      <c r="FE2" s="574"/>
      <c r="FF2" s="574"/>
      <c r="FG2" s="574"/>
      <c r="FH2" s="574"/>
      <c r="FI2" s="574"/>
      <c r="FJ2" s="574"/>
      <c r="FK2" s="574"/>
      <c r="FL2" s="574"/>
      <c r="FM2" s="574"/>
      <c r="FN2" s="574"/>
      <c r="FO2" s="574"/>
      <c r="FP2" s="574"/>
      <c r="FQ2" s="574"/>
      <c r="FR2" s="574"/>
      <c r="FS2" s="574"/>
      <c r="FT2" s="574"/>
      <c r="FU2" s="574"/>
      <c r="FV2" s="574"/>
      <c r="FW2" s="574"/>
      <c r="FX2" s="574"/>
      <c r="FY2" s="574"/>
      <c r="FZ2" s="574"/>
      <c r="GA2" s="574"/>
      <c r="GB2" s="574"/>
      <c r="GC2" s="574"/>
      <c r="GD2" s="574"/>
      <c r="GE2" s="574"/>
      <c r="GF2" s="574"/>
      <c r="GG2" s="574"/>
      <c r="GH2" s="574"/>
      <c r="GI2" s="574"/>
      <c r="GJ2" s="573"/>
      <c r="GK2" s="573"/>
      <c r="GL2" s="573"/>
      <c r="GM2" s="573"/>
      <c r="GN2" s="573"/>
      <c r="GO2" s="568"/>
      <c r="GT2" s="573"/>
      <c r="GU2" s="573"/>
      <c r="GV2" s="573"/>
      <c r="GW2" s="573"/>
      <c r="GX2" s="573"/>
      <c r="GY2" s="573"/>
      <c r="GZ2" s="573"/>
      <c r="HA2" s="573"/>
      <c r="HB2" s="573"/>
      <c r="HC2" s="573"/>
      <c r="HD2" s="573"/>
      <c r="HE2" s="573"/>
      <c r="HF2" s="573"/>
      <c r="HG2" s="573"/>
      <c r="HH2" s="573"/>
      <c r="HI2" s="573"/>
      <c r="HJ2" s="573"/>
      <c r="HK2" s="573"/>
      <c r="HL2" s="573"/>
      <c r="HM2" s="573"/>
    </row>
    <row r="3" spans="1:255" s="105" customFormat="1" ht="12.6" customHeight="1">
      <c r="A3" s="5" t="s">
        <v>657</v>
      </c>
      <c r="B3" s="5" t="s">
        <v>2520</v>
      </c>
      <c r="C3" s="1"/>
      <c r="E3" s="162" t="s">
        <v>2903</v>
      </c>
      <c r="F3" s="1"/>
      <c r="G3" s="145"/>
      <c r="H3" s="145"/>
      <c r="I3" s="145"/>
      <c r="J3" s="145"/>
      <c r="K3" s="145"/>
      <c r="L3" s="145"/>
      <c r="Q3" s="358"/>
      <c r="R3" s="358"/>
      <c r="S3" s="358"/>
      <c r="T3" s="5" t="str">
        <f>B3</f>
        <v>RENT SCHEDULE</v>
      </c>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5"/>
      <c r="DI3" s="575"/>
      <c r="DJ3" s="575"/>
      <c r="DK3" s="575"/>
      <c r="DL3" s="575"/>
      <c r="DM3" s="575"/>
      <c r="DN3" s="575"/>
      <c r="DO3" s="575"/>
      <c r="DP3" s="575"/>
      <c r="DQ3" s="575"/>
      <c r="DR3" s="575"/>
      <c r="DS3" s="575"/>
      <c r="DT3" s="575"/>
      <c r="DU3" s="575"/>
      <c r="DV3" s="575"/>
      <c r="DW3" s="575"/>
      <c r="DX3" s="575"/>
      <c r="DY3" s="575"/>
      <c r="DZ3" s="575"/>
      <c r="EA3" s="575"/>
      <c r="EB3" s="575"/>
      <c r="EC3" s="575"/>
      <c r="ED3" s="575"/>
      <c r="EE3" s="575"/>
      <c r="EF3" s="575"/>
      <c r="EG3" s="575"/>
      <c r="EH3" s="575"/>
      <c r="EI3" s="575"/>
      <c r="EJ3" s="575"/>
      <c r="EK3" s="575"/>
      <c r="EL3" s="575"/>
      <c r="EM3" s="575"/>
      <c r="EN3" s="575"/>
      <c r="EO3" s="575"/>
      <c r="EP3" s="575"/>
      <c r="EQ3" s="575"/>
      <c r="ER3" s="575"/>
      <c r="ES3" s="575"/>
      <c r="ET3" s="575"/>
      <c r="EU3" s="575"/>
      <c r="EV3" s="576"/>
      <c r="EW3" s="576"/>
      <c r="EX3" s="576"/>
      <c r="EY3" s="576"/>
      <c r="EZ3" s="576"/>
      <c r="FA3" s="574" t="s">
        <v>516</v>
      </c>
      <c r="FB3" s="574" t="s">
        <v>2604</v>
      </c>
      <c r="FC3" s="574" t="s">
        <v>2605</v>
      </c>
      <c r="FD3" s="574" t="s">
        <v>2606</v>
      </c>
      <c r="FE3" s="574" t="s">
        <v>2607</v>
      </c>
      <c r="FF3" s="576"/>
      <c r="FG3" s="576"/>
      <c r="FH3" s="576"/>
      <c r="FI3" s="576"/>
      <c r="FJ3" s="576"/>
      <c r="FK3" s="574" t="s">
        <v>516</v>
      </c>
      <c r="FL3" s="574" t="s">
        <v>2604</v>
      </c>
      <c r="FM3" s="574" t="s">
        <v>2605</v>
      </c>
      <c r="FN3" s="574" t="s">
        <v>2606</v>
      </c>
      <c r="FO3" s="574" t="s">
        <v>2607</v>
      </c>
      <c r="FP3" s="574" t="s">
        <v>516</v>
      </c>
      <c r="FQ3" s="574" t="s">
        <v>2604</v>
      </c>
      <c r="FR3" s="574" t="s">
        <v>2605</v>
      </c>
      <c r="FS3" s="574" t="s">
        <v>2606</v>
      </c>
      <c r="FT3" s="574" t="s">
        <v>2607</v>
      </c>
      <c r="FU3" s="574" t="s">
        <v>516</v>
      </c>
      <c r="FV3" s="574" t="s">
        <v>2604</v>
      </c>
      <c r="FW3" s="574" t="s">
        <v>2605</v>
      </c>
      <c r="FX3" s="574" t="s">
        <v>2606</v>
      </c>
      <c r="FY3" s="574" t="s">
        <v>2607</v>
      </c>
      <c r="FZ3" s="574" t="s">
        <v>516</v>
      </c>
      <c r="GA3" s="574" t="s">
        <v>2604</v>
      </c>
      <c r="GB3" s="574" t="s">
        <v>2605</v>
      </c>
      <c r="GC3" s="574" t="s">
        <v>2606</v>
      </c>
      <c r="GD3" s="574" t="s">
        <v>2607</v>
      </c>
      <c r="GE3" s="574" t="s">
        <v>516</v>
      </c>
      <c r="GF3" s="574" t="s">
        <v>2604</v>
      </c>
      <c r="GG3" s="574" t="s">
        <v>2605</v>
      </c>
      <c r="GH3" s="574" t="s">
        <v>2606</v>
      </c>
      <c r="GI3" s="574" t="s">
        <v>2607</v>
      </c>
      <c r="GJ3" s="574" t="s">
        <v>516</v>
      </c>
      <c r="GK3" s="574" t="s">
        <v>2604</v>
      </c>
      <c r="GL3" s="574" t="s">
        <v>2605</v>
      </c>
      <c r="GM3" s="574" t="s">
        <v>2606</v>
      </c>
      <c r="GN3" s="574" t="s">
        <v>2607</v>
      </c>
      <c r="GO3" s="570"/>
      <c r="GP3" s="570"/>
      <c r="GQ3" s="570"/>
      <c r="GR3" s="570"/>
      <c r="GS3" s="570"/>
      <c r="GT3" s="575"/>
      <c r="GU3" s="575"/>
      <c r="GV3" s="575"/>
      <c r="GW3" s="575"/>
      <c r="GX3" s="575"/>
      <c r="GY3" s="575"/>
      <c r="GZ3" s="575"/>
      <c r="HA3" s="575"/>
      <c r="HB3" s="575"/>
      <c r="HC3" s="575"/>
      <c r="HD3" s="575"/>
      <c r="HE3" s="575"/>
      <c r="HF3" s="575"/>
      <c r="HG3" s="575"/>
      <c r="HH3" s="575"/>
      <c r="HI3" s="575"/>
      <c r="HJ3" s="575"/>
      <c r="HK3" s="575"/>
      <c r="HL3" s="575"/>
      <c r="HM3" s="575"/>
      <c r="HN3" s="570"/>
      <c r="HO3" s="570"/>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3"/>
      <c r="Q4" s="514"/>
      <c r="R4" s="514"/>
      <c r="S4" s="514"/>
      <c r="T4" s="514"/>
      <c r="U4" s="515"/>
      <c r="V4" s="1389" t="s">
        <v>975</v>
      </c>
      <c r="W4" s="1389" t="s">
        <v>806</v>
      </c>
      <c r="X4" s="1389" t="s">
        <v>807</v>
      </c>
      <c r="Y4" s="1389" t="s">
        <v>808</v>
      </c>
      <c r="Z4" s="1389" t="s">
        <v>809</v>
      </c>
      <c r="AA4" s="1389" t="s">
        <v>976</v>
      </c>
      <c r="AB4" s="1389" t="s">
        <v>2459</v>
      </c>
      <c r="AC4" s="1389" t="s">
        <v>2460</v>
      </c>
      <c r="AD4" s="1389" t="s">
        <v>2461</v>
      </c>
      <c r="AE4" s="1389" t="s">
        <v>2462</v>
      </c>
      <c r="AF4" s="1389" t="s">
        <v>977</v>
      </c>
      <c r="AG4" s="1389" t="s">
        <v>2463</v>
      </c>
      <c r="AH4" s="1389" t="s">
        <v>2464</v>
      </c>
      <c r="AI4" s="1389" t="s">
        <v>2465</v>
      </c>
      <c r="AJ4" s="1389" t="s">
        <v>2466</v>
      </c>
      <c r="AK4" s="1389" t="s">
        <v>132</v>
      </c>
      <c r="AL4" s="1389" t="s">
        <v>2467</v>
      </c>
      <c r="AM4" s="1389" t="s">
        <v>2468</v>
      </c>
      <c r="AN4" s="1389" t="s">
        <v>2469</v>
      </c>
      <c r="AO4" s="1389" t="s">
        <v>1217</v>
      </c>
      <c r="AP4" s="1389" t="s">
        <v>589</v>
      </c>
      <c r="AQ4" s="1389" t="s">
        <v>590</v>
      </c>
      <c r="AR4" s="1389" t="s">
        <v>614</v>
      </c>
      <c r="AS4" s="1389" t="s">
        <v>615</v>
      </c>
      <c r="AT4" s="1389" t="s">
        <v>616</v>
      </c>
      <c r="AU4" s="1389" t="s">
        <v>617</v>
      </c>
      <c r="AV4" s="1389" t="s">
        <v>618</v>
      </c>
      <c r="AW4" s="1389" t="s">
        <v>619</v>
      </c>
      <c r="AX4" s="1389" t="s">
        <v>620</v>
      </c>
      <c r="AY4" s="1389" t="s">
        <v>621</v>
      </c>
      <c r="AZ4" s="1389" t="s">
        <v>622</v>
      </c>
      <c r="BA4" s="1389" t="s">
        <v>623</v>
      </c>
      <c r="BB4" s="1389" t="s">
        <v>987</v>
      </c>
      <c r="BC4" s="1389" t="s">
        <v>988</v>
      </c>
      <c r="BD4" s="1389" t="s">
        <v>989</v>
      </c>
      <c r="BE4" s="1389" t="s">
        <v>528</v>
      </c>
      <c r="BF4" s="1389" t="s">
        <v>529</v>
      </c>
      <c r="BG4" s="1389" t="s">
        <v>530</v>
      </c>
      <c r="BH4" s="1389" t="s">
        <v>531</v>
      </c>
      <c r="BI4" s="1389" t="s">
        <v>532</v>
      </c>
      <c r="BJ4" s="1389" t="s">
        <v>935</v>
      </c>
      <c r="BK4" s="1389" t="s">
        <v>936</v>
      </c>
      <c r="BL4" s="1389" t="s">
        <v>937</v>
      </c>
      <c r="BM4" s="1389" t="s">
        <v>938</v>
      </c>
      <c r="BN4" s="1389" t="s">
        <v>939</v>
      </c>
      <c r="BO4" s="1389" t="s">
        <v>940</v>
      </c>
      <c r="BP4" s="1389" t="s">
        <v>941</v>
      </c>
      <c r="BQ4" s="1389" t="s">
        <v>942</v>
      </c>
      <c r="BR4" s="1389" t="s">
        <v>943</v>
      </c>
      <c r="BS4" s="1389" t="s">
        <v>944</v>
      </c>
      <c r="BT4" s="1389" t="s">
        <v>2594</v>
      </c>
      <c r="BU4" s="1389" t="s">
        <v>2595</v>
      </c>
      <c r="BV4" s="1389" t="s">
        <v>2596</v>
      </c>
      <c r="BW4" s="1389" t="s">
        <v>2597</v>
      </c>
      <c r="BX4" s="1389" t="s">
        <v>2598</v>
      </c>
      <c r="BY4" s="1389" t="s">
        <v>120</v>
      </c>
      <c r="BZ4" s="1389" t="s">
        <v>1220</v>
      </c>
      <c r="CA4" s="1389" t="s">
        <v>1221</v>
      </c>
      <c r="CB4" s="1389" t="s">
        <v>1290</v>
      </c>
      <c r="CC4" s="1389" t="s">
        <v>1291</v>
      </c>
      <c r="CD4" s="1388" t="s">
        <v>135</v>
      </c>
      <c r="CE4" s="1388" t="s">
        <v>1292</v>
      </c>
      <c r="CF4" s="1388" t="s">
        <v>1293</v>
      </c>
      <c r="CG4" s="1388" t="s">
        <v>1294</v>
      </c>
      <c r="CH4" s="1388" t="s">
        <v>1295</v>
      </c>
      <c r="CI4" s="1388" t="s">
        <v>134</v>
      </c>
      <c r="CJ4" s="1388" t="s">
        <v>967</v>
      </c>
      <c r="CK4" s="1388" t="s">
        <v>968</v>
      </c>
      <c r="CL4" s="1388" t="s">
        <v>969</v>
      </c>
      <c r="CM4" s="1388" t="s">
        <v>970</v>
      </c>
      <c r="CN4" s="1388" t="s">
        <v>133</v>
      </c>
      <c r="CO4" s="1388" t="s">
        <v>971</v>
      </c>
      <c r="CP4" s="1388" t="s">
        <v>972</v>
      </c>
      <c r="CQ4" s="1388" t="s">
        <v>973</v>
      </c>
      <c r="CR4" s="1388" t="s">
        <v>974</v>
      </c>
      <c r="CS4" s="1388" t="s">
        <v>863</v>
      </c>
      <c r="CT4" s="1388" t="s">
        <v>864</v>
      </c>
      <c r="CU4" s="1388" t="s">
        <v>865</v>
      </c>
      <c r="CV4" s="1388" t="s">
        <v>866</v>
      </c>
      <c r="CW4" s="1388" t="s">
        <v>867</v>
      </c>
      <c r="CX4" s="1388" t="s">
        <v>1014</v>
      </c>
      <c r="CY4" s="1388" t="s">
        <v>1015</v>
      </c>
      <c r="CZ4" s="1388" t="s">
        <v>1016</v>
      </c>
      <c r="DA4" s="1388" t="s">
        <v>1017</v>
      </c>
      <c r="DB4" s="1388" t="s">
        <v>2593</v>
      </c>
      <c r="DC4" s="1388" t="s">
        <v>1527</v>
      </c>
      <c r="DD4" s="1388" t="s">
        <v>1528</v>
      </c>
      <c r="DE4" s="1388" t="s">
        <v>1529</v>
      </c>
      <c r="DF4" s="1388" t="s">
        <v>1530</v>
      </c>
      <c r="DG4" s="1388" t="s">
        <v>1531</v>
      </c>
      <c r="DH4" s="1388" t="s">
        <v>458</v>
      </c>
      <c r="DI4" s="1388" t="s">
        <v>459</v>
      </c>
      <c r="DJ4" s="1388" t="s">
        <v>460</v>
      </c>
      <c r="DK4" s="1388" t="s">
        <v>461</v>
      </c>
      <c r="DL4" s="1388" t="s">
        <v>462</v>
      </c>
      <c r="DM4" s="1388" t="s">
        <v>18</v>
      </c>
      <c r="DN4" s="1388" t="s">
        <v>19</v>
      </c>
      <c r="DO4" s="1388" t="s">
        <v>20</v>
      </c>
      <c r="DP4" s="1388" t="s">
        <v>21</v>
      </c>
      <c r="DQ4" s="1388" t="s">
        <v>22</v>
      </c>
      <c r="DR4" s="1388" t="s">
        <v>233</v>
      </c>
      <c r="DS4" s="1388" t="s">
        <v>234</v>
      </c>
      <c r="DT4" s="1388" t="s">
        <v>235</v>
      </c>
      <c r="DU4" s="1388" t="s">
        <v>1938</v>
      </c>
      <c r="DV4" s="1388" t="s">
        <v>1939</v>
      </c>
      <c r="DW4" s="1388" t="s">
        <v>1940</v>
      </c>
      <c r="DX4" s="1388" t="s">
        <v>630</v>
      </c>
      <c r="DY4" s="1388" t="s">
        <v>631</v>
      </c>
      <c r="DZ4" s="1388" t="s">
        <v>632</v>
      </c>
      <c r="EA4" s="1388" t="s">
        <v>633</v>
      </c>
      <c r="EB4" s="1388" t="s">
        <v>23</v>
      </c>
      <c r="EC4" s="1388" t="s">
        <v>24</v>
      </c>
      <c r="ED4" s="1388" t="s">
        <v>25</v>
      </c>
      <c r="EE4" s="1388" t="s">
        <v>26</v>
      </c>
      <c r="EF4" s="1388" t="s">
        <v>27</v>
      </c>
      <c r="EG4" s="1388" t="s">
        <v>527</v>
      </c>
      <c r="EH4" s="1388" t="s">
        <v>454</v>
      </c>
      <c r="EI4" s="1388" t="s">
        <v>455</v>
      </c>
      <c r="EJ4" s="1388" t="s">
        <v>456</v>
      </c>
      <c r="EK4" s="1388" t="s">
        <v>457</v>
      </c>
      <c r="EL4" s="1388" t="s">
        <v>2351</v>
      </c>
      <c r="EM4" s="1388" t="s">
        <v>2352</v>
      </c>
      <c r="EN4" s="1388" t="s">
        <v>2353</v>
      </c>
      <c r="EO4" s="1388" t="s">
        <v>1578</v>
      </c>
      <c r="EP4" s="1388" t="s">
        <v>1579</v>
      </c>
      <c r="EQ4" s="1388" t="s">
        <v>28</v>
      </c>
      <c r="ER4" s="1388" t="s">
        <v>29</v>
      </c>
      <c r="ES4" s="1388" t="s">
        <v>30</v>
      </c>
      <c r="ET4" s="1388" t="s">
        <v>31</v>
      </c>
      <c r="EU4" s="1388" t="s">
        <v>32</v>
      </c>
      <c r="EV4" s="571"/>
      <c r="EW4" s="571"/>
      <c r="EX4" s="571"/>
      <c r="EY4" s="571"/>
      <c r="EZ4" s="571"/>
      <c r="FA4" s="571"/>
      <c r="FB4" s="571"/>
      <c r="FC4" s="571"/>
      <c r="FD4" s="571"/>
      <c r="FE4" s="571"/>
      <c r="FF4" s="571"/>
      <c r="FG4" s="571"/>
      <c r="FH4" s="571"/>
      <c r="FI4" s="571"/>
      <c r="FJ4" s="571"/>
      <c r="FK4" s="571"/>
      <c r="FL4" s="571"/>
      <c r="FM4" s="571"/>
      <c r="FN4" s="571"/>
      <c r="FO4" s="571"/>
      <c r="FP4" s="571"/>
      <c r="FQ4" s="571"/>
      <c r="FR4" s="571"/>
      <c r="FS4" s="571"/>
      <c r="FT4" s="571"/>
      <c r="FU4" s="571"/>
      <c r="FV4" s="571"/>
      <c r="FW4" s="571"/>
      <c r="FX4" s="571"/>
      <c r="FY4" s="571"/>
      <c r="FZ4" s="571"/>
      <c r="GA4" s="571"/>
      <c r="GB4" s="571"/>
      <c r="GC4" s="571"/>
      <c r="GD4" s="571"/>
      <c r="GE4" s="571"/>
      <c r="GF4" s="571"/>
      <c r="GG4" s="571"/>
      <c r="GH4" s="571"/>
      <c r="GI4" s="571"/>
      <c r="GJ4" s="570"/>
      <c r="GK4" s="570"/>
      <c r="GL4" s="570"/>
      <c r="GM4" s="570"/>
      <c r="GN4" s="570"/>
      <c r="GO4" s="1388" t="s">
        <v>1735</v>
      </c>
      <c r="GP4" s="1388" t="s">
        <v>2696</v>
      </c>
      <c r="GQ4" s="1388" t="s">
        <v>2697</v>
      </c>
      <c r="GR4" s="1388" t="s">
        <v>405</v>
      </c>
      <c r="GS4" s="1388" t="s">
        <v>406</v>
      </c>
      <c r="GT4" s="1388" t="s">
        <v>407</v>
      </c>
      <c r="GU4" s="1388" t="s">
        <v>408</v>
      </c>
      <c r="GV4" s="1388" t="s">
        <v>409</v>
      </c>
      <c r="GW4" s="1388" t="s">
        <v>410</v>
      </c>
      <c r="GX4" s="1388" t="s">
        <v>411</v>
      </c>
      <c r="GY4" s="1388" t="s">
        <v>210</v>
      </c>
      <c r="GZ4" s="1388" t="s">
        <v>211</v>
      </c>
      <c r="HA4" s="1388" t="s">
        <v>212</v>
      </c>
      <c r="HB4" s="1388" t="s">
        <v>213</v>
      </c>
      <c r="HC4" s="1388" t="s">
        <v>214</v>
      </c>
      <c r="HD4" s="1388" t="s">
        <v>215</v>
      </c>
      <c r="HE4" s="1388" t="s">
        <v>216</v>
      </c>
      <c r="HF4" s="1388" t="s">
        <v>217</v>
      </c>
      <c r="HG4" s="1388" t="s">
        <v>218</v>
      </c>
      <c r="HH4" s="1388" t="s">
        <v>219</v>
      </c>
      <c r="HI4" s="1388" t="s">
        <v>220</v>
      </c>
      <c r="HJ4" s="1388" t="s">
        <v>221</v>
      </c>
      <c r="HK4" s="1388" t="s">
        <v>222</v>
      </c>
      <c r="HL4" s="1388" t="s">
        <v>223</v>
      </c>
      <c r="HM4" s="1388" t="s">
        <v>224</v>
      </c>
      <c r="HN4" s="570"/>
      <c r="HO4" s="570"/>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738"/>
      <c r="N5" s="1168" t="s">
        <v>613</v>
      </c>
      <c r="P5" s="1161" t="s">
        <v>1097</v>
      </c>
      <c r="Q5" s="515"/>
      <c r="R5" s="515"/>
      <c r="S5" s="515"/>
      <c r="V5" s="1389"/>
      <c r="W5" s="1389"/>
      <c r="X5" s="1389"/>
      <c r="Y5" s="1389"/>
      <c r="Z5" s="1389"/>
      <c r="AA5" s="1389"/>
      <c r="AB5" s="1389"/>
      <c r="AC5" s="1389"/>
      <c r="AD5" s="1389"/>
      <c r="AE5" s="1389"/>
      <c r="AF5" s="1389"/>
      <c r="AG5" s="1389"/>
      <c r="AH5" s="1389"/>
      <c r="AI5" s="1389"/>
      <c r="AJ5" s="1389"/>
      <c r="AK5" s="1389"/>
      <c r="AL5" s="1389"/>
      <c r="AM5" s="1389"/>
      <c r="AN5" s="1389"/>
      <c r="AO5" s="1389"/>
      <c r="AP5" s="1389"/>
      <c r="AQ5" s="1389"/>
      <c r="AR5" s="1389"/>
      <c r="AS5" s="1389"/>
      <c r="AT5" s="1389"/>
      <c r="AU5" s="1389"/>
      <c r="AV5" s="1389"/>
      <c r="AW5" s="1389"/>
      <c r="AX5" s="1389"/>
      <c r="AY5" s="1389"/>
      <c r="AZ5" s="1389"/>
      <c r="BA5" s="1389"/>
      <c r="BB5" s="1389"/>
      <c r="BC5" s="1389"/>
      <c r="BD5" s="1389"/>
      <c r="BE5" s="1389"/>
      <c r="BF5" s="1389"/>
      <c r="BG5" s="1389"/>
      <c r="BH5" s="1389"/>
      <c r="BI5" s="1389"/>
      <c r="BJ5" s="1389"/>
      <c r="BK5" s="1389"/>
      <c r="BL5" s="1389"/>
      <c r="BM5" s="1389"/>
      <c r="BN5" s="1389"/>
      <c r="BO5" s="1389"/>
      <c r="BP5" s="1389"/>
      <c r="BQ5" s="1389"/>
      <c r="BR5" s="1389"/>
      <c r="BS5" s="1389"/>
      <c r="BT5" s="1389"/>
      <c r="BU5" s="1389"/>
      <c r="BV5" s="1389"/>
      <c r="BW5" s="1389"/>
      <c r="BX5" s="1389"/>
      <c r="BY5" s="1389"/>
      <c r="BZ5" s="1389"/>
      <c r="CA5" s="1389"/>
      <c r="CB5" s="1389"/>
      <c r="CC5" s="1389"/>
      <c r="CD5" s="1388"/>
      <c r="CE5" s="1388"/>
      <c r="CF5" s="1388"/>
      <c r="CG5" s="1388"/>
      <c r="CH5" s="1388"/>
      <c r="CI5" s="1388"/>
      <c r="CJ5" s="1388"/>
      <c r="CK5" s="1388"/>
      <c r="CL5" s="1388"/>
      <c r="CM5" s="1388"/>
      <c r="CN5" s="1388"/>
      <c r="CO5" s="1388"/>
      <c r="CP5" s="1388"/>
      <c r="CQ5" s="1388"/>
      <c r="CR5" s="1388"/>
      <c r="CS5" s="1388"/>
      <c r="CT5" s="1388"/>
      <c r="CU5" s="1388"/>
      <c r="CV5" s="1388"/>
      <c r="CW5" s="1388"/>
      <c r="CX5" s="1388"/>
      <c r="CY5" s="1388"/>
      <c r="CZ5" s="1388"/>
      <c r="DA5" s="1388"/>
      <c r="DB5" s="1388"/>
      <c r="DC5" s="1388"/>
      <c r="DD5" s="1388"/>
      <c r="DE5" s="1388"/>
      <c r="DF5" s="1388"/>
      <c r="DG5" s="1388"/>
      <c r="DH5" s="1388"/>
      <c r="DI5" s="1388"/>
      <c r="DJ5" s="1388"/>
      <c r="DK5" s="1388"/>
      <c r="DL5" s="1388"/>
      <c r="DM5" s="1388"/>
      <c r="DN5" s="1388"/>
      <c r="DO5" s="1388"/>
      <c r="DP5" s="1388"/>
      <c r="DQ5" s="1388"/>
      <c r="DR5" s="1388"/>
      <c r="DS5" s="1388"/>
      <c r="DT5" s="1388"/>
      <c r="DU5" s="1388"/>
      <c r="DV5" s="1388"/>
      <c r="DW5" s="1388"/>
      <c r="DX5" s="1388"/>
      <c r="DY5" s="1388"/>
      <c r="DZ5" s="1388"/>
      <c r="EA5" s="1388"/>
      <c r="EB5" s="1388"/>
      <c r="EC5" s="1388"/>
      <c r="ED5" s="1388"/>
      <c r="EE5" s="1388"/>
      <c r="EF5" s="1388"/>
      <c r="EG5" s="1388"/>
      <c r="EH5" s="1388"/>
      <c r="EI5" s="1388"/>
      <c r="EJ5" s="1388"/>
      <c r="EK5" s="1388"/>
      <c r="EL5" s="1388"/>
      <c r="EM5" s="1388"/>
      <c r="EN5" s="1388"/>
      <c r="EO5" s="1388"/>
      <c r="EP5" s="1388"/>
      <c r="EQ5" s="1388"/>
      <c r="ER5" s="1388"/>
      <c r="ES5" s="1388"/>
      <c r="ET5" s="1388"/>
      <c r="EU5" s="1388"/>
      <c r="EV5" s="571"/>
      <c r="EW5" s="571"/>
      <c r="EX5" s="571"/>
      <c r="EY5" s="571"/>
      <c r="EZ5" s="571"/>
      <c r="FA5" s="571"/>
      <c r="FB5" s="571"/>
      <c r="FC5" s="571"/>
      <c r="FD5" s="571"/>
      <c r="FE5" s="571"/>
      <c r="FF5" s="571"/>
      <c r="FG5" s="571"/>
      <c r="FH5" s="571"/>
      <c r="FI5" s="571"/>
      <c r="FJ5" s="571"/>
      <c r="FK5" s="571"/>
      <c r="FL5" s="571"/>
      <c r="FM5" s="571"/>
      <c r="FN5" s="571"/>
      <c r="FO5" s="571"/>
      <c r="FP5" s="571"/>
      <c r="FQ5" s="571"/>
      <c r="FR5" s="571"/>
      <c r="FS5" s="571"/>
      <c r="FT5" s="571"/>
      <c r="FU5" s="571"/>
      <c r="FV5" s="571"/>
      <c r="FW5" s="571"/>
      <c r="FX5" s="571"/>
      <c r="FY5" s="571"/>
      <c r="FZ5" s="571"/>
      <c r="GA5" s="571"/>
      <c r="GB5" s="571"/>
      <c r="GC5" s="571"/>
      <c r="GD5" s="571"/>
      <c r="GE5" s="571"/>
      <c r="GF5" s="571"/>
      <c r="GG5" s="571"/>
      <c r="GH5" s="571"/>
      <c r="GI5" s="571"/>
      <c r="GJ5" s="570"/>
      <c r="GK5" s="570"/>
      <c r="GL5" s="570"/>
      <c r="GM5" s="570"/>
      <c r="GN5" s="570"/>
      <c r="GO5" s="1388"/>
      <c r="GP5" s="1388"/>
      <c r="GQ5" s="1388"/>
      <c r="GR5" s="1388"/>
      <c r="GS5" s="1388"/>
      <c r="GT5" s="1388"/>
      <c r="GU5" s="1388"/>
      <c r="GV5" s="1388"/>
      <c r="GW5" s="1388"/>
      <c r="GX5" s="1388"/>
      <c r="GY5" s="1388"/>
      <c r="GZ5" s="1388"/>
      <c r="HA5" s="1388"/>
      <c r="HB5" s="1388"/>
      <c r="HC5" s="1388"/>
      <c r="HD5" s="1388"/>
      <c r="HE5" s="1388"/>
      <c r="HF5" s="1388"/>
      <c r="HG5" s="1388"/>
      <c r="HH5" s="1388"/>
      <c r="HI5" s="1388"/>
      <c r="HJ5" s="1388"/>
      <c r="HK5" s="1388"/>
      <c r="HL5" s="1388"/>
      <c r="HM5" s="1388"/>
      <c r="HN5" s="570"/>
      <c r="HO5" s="570"/>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739" t="s">
        <v>3701</v>
      </c>
      <c r="J6" s="1159" t="s">
        <v>2567</v>
      </c>
      <c r="N6" s="1392" t="str">
        <f>'Part I-Project Information'!$O$29</f>
        <v>Rome</v>
      </c>
      <c r="O6" s="1392"/>
      <c r="P6" s="518">
        <f>VLOOKUP('Part I-Project Information'!$O$29,'DCA Underwriting Assumptions'!$C$82:$D$192,2)</f>
        <v>52300</v>
      </c>
      <c r="Q6" s="570"/>
      <c r="R6" s="1394" t="s">
        <v>2930</v>
      </c>
      <c r="S6" s="1394"/>
      <c r="V6" s="1389"/>
      <c r="W6" s="1389"/>
      <c r="X6" s="1389"/>
      <c r="Y6" s="1389"/>
      <c r="Z6" s="1389"/>
      <c r="AA6" s="1389"/>
      <c r="AB6" s="1389"/>
      <c r="AC6" s="1389"/>
      <c r="AD6" s="1389"/>
      <c r="AE6" s="1389"/>
      <c r="AF6" s="1389"/>
      <c r="AG6" s="1389"/>
      <c r="AH6" s="1389"/>
      <c r="AI6" s="1389"/>
      <c r="AJ6" s="1389"/>
      <c r="AK6" s="1389"/>
      <c r="AL6" s="1389"/>
      <c r="AM6" s="1389"/>
      <c r="AN6" s="1389"/>
      <c r="AO6" s="1389"/>
      <c r="AP6" s="1389"/>
      <c r="AQ6" s="1389"/>
      <c r="AR6" s="1389"/>
      <c r="AS6" s="1389"/>
      <c r="AT6" s="1389"/>
      <c r="AU6" s="1389"/>
      <c r="AV6" s="1389"/>
      <c r="AW6" s="1389"/>
      <c r="AX6" s="1389"/>
      <c r="AY6" s="1389"/>
      <c r="AZ6" s="1389"/>
      <c r="BA6" s="1389"/>
      <c r="BB6" s="1389"/>
      <c r="BC6" s="1389"/>
      <c r="BD6" s="1389"/>
      <c r="BE6" s="1389"/>
      <c r="BF6" s="1389"/>
      <c r="BG6" s="1389"/>
      <c r="BH6" s="1389"/>
      <c r="BI6" s="1389"/>
      <c r="BJ6" s="1389"/>
      <c r="BK6" s="1389"/>
      <c r="BL6" s="1389"/>
      <c r="BM6" s="1389"/>
      <c r="BN6" s="1389"/>
      <c r="BO6" s="1389"/>
      <c r="BP6" s="1389"/>
      <c r="BQ6" s="1389"/>
      <c r="BR6" s="1389"/>
      <c r="BS6" s="1389"/>
      <c r="BT6" s="1389"/>
      <c r="BU6" s="1389"/>
      <c r="BV6" s="1389"/>
      <c r="BW6" s="1389"/>
      <c r="BX6" s="1389"/>
      <c r="BY6" s="1389"/>
      <c r="BZ6" s="1389"/>
      <c r="CA6" s="1389"/>
      <c r="CB6" s="1389"/>
      <c r="CC6" s="1389"/>
      <c r="CD6" s="1388"/>
      <c r="CE6" s="1388"/>
      <c r="CF6" s="1388"/>
      <c r="CG6" s="1388"/>
      <c r="CH6" s="1388"/>
      <c r="CI6" s="1388"/>
      <c r="CJ6" s="1388"/>
      <c r="CK6" s="1388"/>
      <c r="CL6" s="1388"/>
      <c r="CM6" s="1388"/>
      <c r="CN6" s="1388"/>
      <c r="CO6" s="1388"/>
      <c r="CP6" s="1388"/>
      <c r="CQ6" s="1388"/>
      <c r="CR6" s="1388"/>
      <c r="CS6" s="1388"/>
      <c r="CT6" s="1388"/>
      <c r="CU6" s="1388"/>
      <c r="CV6" s="1388"/>
      <c r="CW6" s="1388"/>
      <c r="CX6" s="1388"/>
      <c r="CY6" s="1388"/>
      <c r="CZ6" s="1388"/>
      <c r="DA6" s="1388"/>
      <c r="DB6" s="1388"/>
      <c r="DC6" s="1388"/>
      <c r="DD6" s="1388"/>
      <c r="DE6" s="1388"/>
      <c r="DF6" s="1388"/>
      <c r="DG6" s="1388"/>
      <c r="DH6" s="1388"/>
      <c r="DI6" s="1388"/>
      <c r="DJ6" s="1388"/>
      <c r="DK6" s="1388"/>
      <c r="DL6" s="1388"/>
      <c r="DM6" s="1388"/>
      <c r="DN6" s="1388"/>
      <c r="DO6" s="1388"/>
      <c r="DP6" s="1388"/>
      <c r="DQ6" s="1388"/>
      <c r="DR6" s="1388"/>
      <c r="DS6" s="1388"/>
      <c r="DT6" s="1388"/>
      <c r="DU6" s="1388"/>
      <c r="DV6" s="1388"/>
      <c r="DW6" s="1388"/>
      <c r="DX6" s="1388"/>
      <c r="DY6" s="1388"/>
      <c r="DZ6" s="1388"/>
      <c r="EA6" s="1388"/>
      <c r="EB6" s="1388"/>
      <c r="EC6" s="1388"/>
      <c r="ED6" s="1388"/>
      <c r="EE6" s="1388"/>
      <c r="EF6" s="1388"/>
      <c r="EG6" s="1388"/>
      <c r="EH6" s="1388"/>
      <c r="EI6" s="1388"/>
      <c r="EJ6" s="1388"/>
      <c r="EK6" s="1388"/>
      <c r="EL6" s="1388"/>
      <c r="EM6" s="1388"/>
      <c r="EN6" s="1388"/>
      <c r="EO6" s="1388"/>
      <c r="EP6" s="1388"/>
      <c r="EQ6" s="1388"/>
      <c r="ER6" s="1388"/>
      <c r="ES6" s="1388"/>
      <c r="ET6" s="1388"/>
      <c r="EU6" s="1388"/>
      <c r="EV6" s="571"/>
      <c r="EW6" s="571"/>
      <c r="EX6" s="571"/>
      <c r="EY6" s="571"/>
      <c r="EZ6" s="571"/>
      <c r="FA6" s="571"/>
      <c r="FB6" s="571"/>
      <c r="FC6" s="571"/>
      <c r="FD6" s="571"/>
      <c r="FE6" s="571"/>
      <c r="FF6" s="571"/>
      <c r="FG6" s="571"/>
      <c r="FH6" s="571"/>
      <c r="FI6" s="571"/>
      <c r="FJ6" s="571"/>
      <c r="FK6" s="571"/>
      <c r="FL6" s="571"/>
      <c r="FM6" s="571"/>
      <c r="FN6" s="571"/>
      <c r="FO6" s="571"/>
      <c r="FP6" s="571"/>
      <c r="FQ6" s="571"/>
      <c r="FR6" s="571"/>
      <c r="FS6" s="571"/>
      <c r="FT6" s="571"/>
      <c r="FU6" s="571"/>
      <c r="FV6" s="571"/>
      <c r="FW6" s="571"/>
      <c r="FX6" s="571"/>
      <c r="FY6" s="571"/>
      <c r="FZ6" s="571"/>
      <c r="GA6" s="571"/>
      <c r="GB6" s="571"/>
      <c r="GC6" s="571"/>
      <c r="GD6" s="571"/>
      <c r="GE6" s="571"/>
      <c r="GF6" s="571"/>
      <c r="GG6" s="571"/>
      <c r="GH6" s="571"/>
      <c r="GI6" s="571"/>
      <c r="GJ6" s="570"/>
      <c r="GK6" s="570"/>
      <c r="GL6" s="570"/>
      <c r="GM6" s="570"/>
      <c r="GN6" s="570"/>
      <c r="GO6" s="1388"/>
      <c r="GP6" s="1388"/>
      <c r="GQ6" s="1388"/>
      <c r="GR6" s="1388"/>
      <c r="GS6" s="1388"/>
      <c r="GT6" s="1388"/>
      <c r="GU6" s="1388"/>
      <c r="GV6" s="1388"/>
      <c r="GW6" s="1388"/>
      <c r="GX6" s="1388"/>
      <c r="GY6" s="1388"/>
      <c r="GZ6" s="1388"/>
      <c r="HA6" s="1388"/>
      <c r="HB6" s="1388"/>
      <c r="HC6" s="1388"/>
      <c r="HD6" s="1388"/>
      <c r="HE6" s="1388"/>
      <c r="HF6" s="1388"/>
      <c r="HG6" s="1388"/>
      <c r="HH6" s="1388"/>
      <c r="HI6" s="1388"/>
      <c r="HJ6" s="1388"/>
      <c r="HK6" s="1388"/>
      <c r="HL6" s="1388"/>
      <c r="HM6" s="1388"/>
      <c r="HN6" s="570"/>
      <c r="HO6" s="570"/>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391" t="str">
        <f>IF(A48&gt;0,"Finish!","")</f>
        <v/>
      </c>
      <c r="B7" s="5"/>
      <c r="C7" s="1"/>
      <c r="D7" s="5"/>
      <c r="E7" s="1"/>
      <c r="F7" s="1"/>
      <c r="G7" s="1"/>
      <c r="H7" s="1"/>
      <c r="I7" s="1"/>
      <c r="J7" s="1159" t="s">
        <v>2568</v>
      </c>
      <c r="K7" s="1"/>
      <c r="L7" s="1"/>
      <c r="M7" s="1"/>
      <c r="N7" s="37"/>
      <c r="O7" s="37"/>
      <c r="P7" s="1179"/>
      <c r="Q7" s="1179"/>
      <c r="R7" s="604"/>
      <c r="S7" s="1181" t="s">
        <v>2927</v>
      </c>
      <c r="T7" s="514"/>
      <c r="U7" s="515"/>
      <c r="V7" s="1389"/>
      <c r="W7" s="1389"/>
      <c r="X7" s="1389"/>
      <c r="Y7" s="1389"/>
      <c r="Z7" s="1389"/>
      <c r="AA7" s="1389"/>
      <c r="AB7" s="1389"/>
      <c r="AC7" s="1389"/>
      <c r="AD7" s="1389"/>
      <c r="AE7" s="1389"/>
      <c r="AF7" s="1389"/>
      <c r="AG7" s="1389"/>
      <c r="AH7" s="1389"/>
      <c r="AI7" s="1389"/>
      <c r="AJ7" s="1389"/>
      <c r="AK7" s="1389"/>
      <c r="AL7" s="1389"/>
      <c r="AM7" s="1389"/>
      <c r="AN7" s="1389"/>
      <c r="AO7" s="1389"/>
      <c r="AP7" s="1389"/>
      <c r="AQ7" s="1389"/>
      <c r="AR7" s="1389"/>
      <c r="AS7" s="1389"/>
      <c r="AT7" s="1389"/>
      <c r="AU7" s="1389"/>
      <c r="AV7" s="1389"/>
      <c r="AW7" s="1389"/>
      <c r="AX7" s="1389"/>
      <c r="AY7" s="1389"/>
      <c r="AZ7" s="1389"/>
      <c r="BA7" s="1389"/>
      <c r="BB7" s="1389"/>
      <c r="BC7" s="1389"/>
      <c r="BD7" s="1389"/>
      <c r="BE7" s="1389"/>
      <c r="BF7" s="1389"/>
      <c r="BG7" s="1389"/>
      <c r="BH7" s="1389"/>
      <c r="BI7" s="1389"/>
      <c r="BJ7" s="1389"/>
      <c r="BK7" s="1389"/>
      <c r="BL7" s="1389"/>
      <c r="BM7" s="1389"/>
      <c r="BN7" s="1389"/>
      <c r="BO7" s="1389"/>
      <c r="BP7" s="1389"/>
      <c r="BQ7" s="1389"/>
      <c r="BR7" s="1389"/>
      <c r="BS7" s="1389"/>
      <c r="BT7" s="1389"/>
      <c r="BU7" s="1389"/>
      <c r="BV7" s="1389"/>
      <c r="BW7" s="1389"/>
      <c r="BX7" s="1389"/>
      <c r="BY7" s="1389"/>
      <c r="BZ7" s="1389"/>
      <c r="CA7" s="1389"/>
      <c r="CB7" s="1389"/>
      <c r="CC7" s="1389"/>
      <c r="CD7" s="1388"/>
      <c r="CE7" s="1388"/>
      <c r="CF7" s="1388"/>
      <c r="CG7" s="1388"/>
      <c r="CH7" s="1388"/>
      <c r="CI7" s="1388"/>
      <c r="CJ7" s="1388"/>
      <c r="CK7" s="1388"/>
      <c r="CL7" s="1388"/>
      <c r="CM7" s="1388"/>
      <c r="CN7" s="1388"/>
      <c r="CO7" s="1388"/>
      <c r="CP7" s="1388"/>
      <c r="CQ7" s="1388"/>
      <c r="CR7" s="1388"/>
      <c r="CS7" s="1388"/>
      <c r="CT7" s="1388"/>
      <c r="CU7" s="1388"/>
      <c r="CV7" s="1388"/>
      <c r="CW7" s="1388"/>
      <c r="CX7" s="1388"/>
      <c r="CY7" s="1388"/>
      <c r="CZ7" s="1388"/>
      <c r="DA7" s="1388"/>
      <c r="DB7" s="1388"/>
      <c r="DC7" s="1388"/>
      <c r="DD7" s="1388"/>
      <c r="DE7" s="1388"/>
      <c r="DF7" s="1388"/>
      <c r="DG7" s="1388"/>
      <c r="DH7" s="1388"/>
      <c r="DI7" s="1388"/>
      <c r="DJ7" s="1388"/>
      <c r="DK7" s="1388"/>
      <c r="DL7" s="1388"/>
      <c r="DM7" s="1388"/>
      <c r="DN7" s="1388"/>
      <c r="DO7" s="1388"/>
      <c r="DP7" s="1388"/>
      <c r="DQ7" s="1388"/>
      <c r="DR7" s="1388"/>
      <c r="DS7" s="1388"/>
      <c r="DT7" s="1388"/>
      <c r="DU7" s="1388"/>
      <c r="DV7" s="1388"/>
      <c r="DW7" s="1388"/>
      <c r="DX7" s="1388"/>
      <c r="DY7" s="1388"/>
      <c r="DZ7" s="1388"/>
      <c r="EA7" s="1388"/>
      <c r="EB7" s="1388"/>
      <c r="EC7" s="1388"/>
      <c r="ED7" s="1388"/>
      <c r="EE7" s="1388"/>
      <c r="EF7" s="1388"/>
      <c r="EG7" s="1388"/>
      <c r="EH7" s="1388"/>
      <c r="EI7" s="1388"/>
      <c r="EJ7" s="1388"/>
      <c r="EK7" s="1388"/>
      <c r="EL7" s="1388"/>
      <c r="EM7" s="1388"/>
      <c r="EN7" s="1388"/>
      <c r="EO7" s="1388"/>
      <c r="EP7" s="1388"/>
      <c r="EQ7" s="1388"/>
      <c r="ER7" s="1388"/>
      <c r="ES7" s="1388"/>
      <c r="ET7" s="1388"/>
      <c r="EU7" s="1388"/>
      <c r="EV7" s="571"/>
      <c r="EW7" s="571"/>
      <c r="EX7" s="571"/>
      <c r="EY7" s="571"/>
      <c r="EZ7" s="571"/>
      <c r="FA7" s="571"/>
      <c r="FB7" s="571"/>
      <c r="FC7" s="571"/>
      <c r="FD7" s="571"/>
      <c r="FE7" s="571"/>
      <c r="FF7" s="571"/>
      <c r="FG7" s="571"/>
      <c r="FH7" s="571"/>
      <c r="FI7" s="571"/>
      <c r="FJ7" s="571"/>
      <c r="FK7" s="571"/>
      <c r="FL7" s="571"/>
      <c r="FM7" s="571"/>
      <c r="FN7" s="571"/>
      <c r="FO7" s="571"/>
      <c r="FP7" s="571"/>
      <c r="FQ7" s="571"/>
      <c r="FR7" s="571"/>
      <c r="FS7" s="571"/>
      <c r="FT7" s="571"/>
      <c r="FU7" s="571"/>
      <c r="FV7" s="571"/>
      <c r="FW7" s="571"/>
      <c r="FX7" s="571"/>
      <c r="FY7" s="571"/>
      <c r="FZ7" s="571"/>
      <c r="GA7" s="571"/>
      <c r="GB7" s="571"/>
      <c r="GC7" s="571"/>
      <c r="GD7" s="571"/>
      <c r="GE7" s="571"/>
      <c r="GF7" s="571"/>
      <c r="GG7" s="571"/>
      <c r="GH7" s="571"/>
      <c r="GI7" s="571"/>
      <c r="GJ7" s="570"/>
      <c r="GK7" s="570"/>
      <c r="GL7" s="570"/>
      <c r="GM7" s="570"/>
      <c r="GN7" s="570"/>
      <c r="GO7" s="1388"/>
      <c r="GP7" s="1388"/>
      <c r="GQ7" s="1388"/>
      <c r="GR7" s="1388"/>
      <c r="GS7" s="1388"/>
      <c r="GT7" s="1388"/>
      <c r="GU7" s="1388"/>
      <c r="GV7" s="1388"/>
      <c r="GW7" s="1388"/>
      <c r="GX7" s="1388"/>
      <c r="GY7" s="1388"/>
      <c r="GZ7" s="1388"/>
      <c r="HA7" s="1388"/>
      <c r="HB7" s="1388"/>
      <c r="HC7" s="1388"/>
      <c r="HD7" s="1388"/>
      <c r="HE7" s="1388"/>
      <c r="HF7" s="1388"/>
      <c r="HG7" s="1388"/>
      <c r="HH7" s="1388"/>
      <c r="HI7" s="1388"/>
      <c r="HJ7" s="1388"/>
      <c r="HK7" s="1388"/>
      <c r="HL7" s="1388"/>
      <c r="HM7" s="1388"/>
      <c r="HN7" s="570"/>
      <c r="HO7" s="570"/>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391"/>
      <c r="B8" s="192" t="s">
        <v>1577</v>
      </c>
      <c r="C8" s="1159" t="s">
        <v>179</v>
      </c>
      <c r="D8" s="1159" t="s">
        <v>578</v>
      </c>
      <c r="E8" s="1159" t="s">
        <v>1575</v>
      </c>
      <c r="F8" s="1159" t="s">
        <v>1575</v>
      </c>
      <c r="G8" s="1159" t="s">
        <v>2545</v>
      </c>
      <c r="H8" s="1159" t="s">
        <v>2543</v>
      </c>
      <c r="I8" s="1159" t="s">
        <v>852</v>
      </c>
      <c r="J8" s="1159" t="s">
        <v>2569</v>
      </c>
      <c r="K8" s="1390" t="s">
        <v>148</v>
      </c>
      <c r="L8" s="1390"/>
      <c r="M8" s="1159" t="s">
        <v>2521</v>
      </c>
      <c r="N8" s="1159" t="s">
        <v>565</v>
      </c>
      <c r="O8" s="1159" t="s">
        <v>402</v>
      </c>
      <c r="P8" s="1393" t="s">
        <v>1104</v>
      </c>
      <c r="Q8" s="1393"/>
      <c r="R8" s="1160" t="s">
        <v>2926</v>
      </c>
      <c r="S8" s="1160" t="s">
        <v>2928</v>
      </c>
      <c r="T8" s="516"/>
      <c r="U8" s="517"/>
      <c r="V8" s="1389"/>
      <c r="W8" s="1389"/>
      <c r="X8" s="1389"/>
      <c r="Y8" s="1389"/>
      <c r="Z8" s="1389"/>
      <c r="AA8" s="1389"/>
      <c r="AB8" s="1389"/>
      <c r="AC8" s="1389"/>
      <c r="AD8" s="1389"/>
      <c r="AE8" s="1389"/>
      <c r="AF8" s="1389"/>
      <c r="AG8" s="1389"/>
      <c r="AH8" s="1389"/>
      <c r="AI8" s="1389"/>
      <c r="AJ8" s="1389"/>
      <c r="AK8" s="1389"/>
      <c r="AL8" s="1389"/>
      <c r="AM8" s="1389"/>
      <c r="AN8" s="1389"/>
      <c r="AO8" s="1389"/>
      <c r="AP8" s="1389"/>
      <c r="AQ8" s="1389"/>
      <c r="AR8" s="1389"/>
      <c r="AS8" s="1389"/>
      <c r="AT8" s="1389"/>
      <c r="AU8" s="1389"/>
      <c r="AV8" s="1389"/>
      <c r="AW8" s="1389"/>
      <c r="AX8" s="1389"/>
      <c r="AY8" s="1389"/>
      <c r="AZ8" s="1389"/>
      <c r="BA8" s="1389"/>
      <c r="BB8" s="1389"/>
      <c r="BC8" s="1389"/>
      <c r="BD8" s="1389"/>
      <c r="BE8" s="1389"/>
      <c r="BF8" s="1389"/>
      <c r="BG8" s="1389"/>
      <c r="BH8" s="1389"/>
      <c r="BI8" s="1389"/>
      <c r="BJ8" s="1389"/>
      <c r="BK8" s="1389"/>
      <c r="BL8" s="1389"/>
      <c r="BM8" s="1389"/>
      <c r="BN8" s="1389"/>
      <c r="BO8" s="1389"/>
      <c r="BP8" s="1389"/>
      <c r="BQ8" s="1389"/>
      <c r="BR8" s="1389"/>
      <c r="BS8" s="1389"/>
      <c r="BT8" s="1389"/>
      <c r="BU8" s="1389"/>
      <c r="BV8" s="1389"/>
      <c r="BW8" s="1389"/>
      <c r="BX8" s="1389"/>
      <c r="BY8" s="1389"/>
      <c r="BZ8" s="1389"/>
      <c r="CA8" s="1389"/>
      <c r="CB8" s="1389"/>
      <c r="CC8" s="1389"/>
      <c r="CD8" s="1388"/>
      <c r="CE8" s="1388"/>
      <c r="CF8" s="1388"/>
      <c r="CG8" s="1388"/>
      <c r="CH8" s="1388"/>
      <c r="CI8" s="1388"/>
      <c r="CJ8" s="1388"/>
      <c r="CK8" s="1388"/>
      <c r="CL8" s="1388"/>
      <c r="CM8" s="1388"/>
      <c r="CN8" s="1388"/>
      <c r="CO8" s="1388"/>
      <c r="CP8" s="1388"/>
      <c r="CQ8" s="1388"/>
      <c r="CR8" s="1388"/>
      <c r="CS8" s="1388"/>
      <c r="CT8" s="1388"/>
      <c r="CU8" s="1388"/>
      <c r="CV8" s="1388"/>
      <c r="CW8" s="1388"/>
      <c r="CX8" s="1388"/>
      <c r="CY8" s="1388"/>
      <c r="CZ8" s="1388"/>
      <c r="DA8" s="1388"/>
      <c r="DB8" s="1388"/>
      <c r="DC8" s="1388"/>
      <c r="DD8" s="1388"/>
      <c r="DE8" s="1388"/>
      <c r="DF8" s="1388"/>
      <c r="DG8" s="1388"/>
      <c r="DH8" s="1388"/>
      <c r="DI8" s="1388"/>
      <c r="DJ8" s="1388"/>
      <c r="DK8" s="1388"/>
      <c r="DL8" s="1388"/>
      <c r="DM8" s="1388"/>
      <c r="DN8" s="1388"/>
      <c r="DO8" s="1388"/>
      <c r="DP8" s="1388"/>
      <c r="DQ8" s="1388"/>
      <c r="DR8" s="1388"/>
      <c r="DS8" s="1388"/>
      <c r="DT8" s="1388"/>
      <c r="DU8" s="1388"/>
      <c r="DV8" s="1388"/>
      <c r="DW8" s="1388"/>
      <c r="DX8" s="1388"/>
      <c r="DY8" s="1388"/>
      <c r="DZ8" s="1388"/>
      <c r="EA8" s="1388"/>
      <c r="EB8" s="1388"/>
      <c r="EC8" s="1388"/>
      <c r="ED8" s="1388"/>
      <c r="EE8" s="1388"/>
      <c r="EF8" s="1388"/>
      <c r="EG8" s="1388"/>
      <c r="EH8" s="1388"/>
      <c r="EI8" s="1388"/>
      <c r="EJ8" s="1388"/>
      <c r="EK8" s="1388"/>
      <c r="EL8" s="1388"/>
      <c r="EM8" s="1388"/>
      <c r="EN8" s="1388"/>
      <c r="EO8" s="1388"/>
      <c r="EP8" s="1388"/>
      <c r="EQ8" s="1388"/>
      <c r="ER8" s="1388"/>
      <c r="ES8" s="1388"/>
      <c r="ET8" s="1388"/>
      <c r="EU8" s="1388"/>
      <c r="EV8" s="1388" t="s">
        <v>1558</v>
      </c>
      <c r="EW8" s="577" t="s">
        <v>2604</v>
      </c>
      <c r="EX8" s="577" t="s">
        <v>2605</v>
      </c>
      <c r="EY8" s="577" t="s">
        <v>2606</v>
      </c>
      <c r="EZ8" s="577" t="s">
        <v>2607</v>
      </c>
      <c r="FA8" s="1388" t="s">
        <v>2665</v>
      </c>
      <c r="FB8" s="1388" t="s">
        <v>2665</v>
      </c>
      <c r="FC8" s="1388" t="s">
        <v>2665</v>
      </c>
      <c r="FD8" s="1388" t="s">
        <v>2665</v>
      </c>
      <c r="FE8" s="1388" t="s">
        <v>2665</v>
      </c>
      <c r="FF8" s="577" t="s">
        <v>516</v>
      </c>
      <c r="FG8" s="577" t="s">
        <v>2604</v>
      </c>
      <c r="FH8" s="577" t="s">
        <v>2605</v>
      </c>
      <c r="FI8" s="577" t="s">
        <v>2606</v>
      </c>
      <c r="FJ8" s="577" t="s">
        <v>2607</v>
      </c>
      <c r="FK8" s="1388" t="s">
        <v>2667</v>
      </c>
      <c r="FL8" s="1388" t="s">
        <v>2667</v>
      </c>
      <c r="FM8" s="1388" t="s">
        <v>2667</v>
      </c>
      <c r="FN8" s="1388" t="s">
        <v>2667</v>
      </c>
      <c r="FO8" s="1388" t="s">
        <v>2667</v>
      </c>
      <c r="FP8" s="1388" t="s">
        <v>377</v>
      </c>
      <c r="FQ8" s="1388" t="s">
        <v>377</v>
      </c>
      <c r="FR8" s="1388" t="s">
        <v>377</v>
      </c>
      <c r="FS8" s="1388" t="s">
        <v>377</v>
      </c>
      <c r="FT8" s="1388" t="s">
        <v>377</v>
      </c>
      <c r="FU8" s="1388" t="s">
        <v>378</v>
      </c>
      <c r="FV8" s="1388" t="s">
        <v>378</v>
      </c>
      <c r="FW8" s="1388" t="s">
        <v>378</v>
      </c>
      <c r="FX8" s="1388" t="s">
        <v>378</v>
      </c>
      <c r="FY8" s="1388" t="s">
        <v>378</v>
      </c>
      <c r="FZ8" s="1388" t="s">
        <v>379</v>
      </c>
      <c r="GA8" s="1388" t="s">
        <v>379</v>
      </c>
      <c r="GB8" s="1388" t="s">
        <v>379</v>
      </c>
      <c r="GC8" s="1388" t="s">
        <v>379</v>
      </c>
      <c r="GD8" s="1388" t="s">
        <v>379</v>
      </c>
      <c r="GE8" s="1388" t="s">
        <v>380</v>
      </c>
      <c r="GF8" s="1388" t="s">
        <v>380</v>
      </c>
      <c r="GG8" s="1388" t="s">
        <v>380</v>
      </c>
      <c r="GH8" s="1388" t="s">
        <v>380</v>
      </c>
      <c r="GI8" s="1388" t="s">
        <v>380</v>
      </c>
      <c r="GJ8" s="1388" t="s">
        <v>1557</v>
      </c>
      <c r="GK8" s="1388" t="s">
        <v>1557</v>
      </c>
      <c r="GL8" s="1388" t="s">
        <v>1557</v>
      </c>
      <c r="GM8" s="1388" t="s">
        <v>1557</v>
      </c>
      <c r="GN8" s="1388" t="s">
        <v>1557</v>
      </c>
      <c r="GO8" s="1388"/>
      <c r="GP8" s="1388"/>
      <c r="GQ8" s="1388"/>
      <c r="GR8" s="1388"/>
      <c r="GS8" s="1388"/>
      <c r="GT8" s="1388"/>
      <c r="GU8" s="1388"/>
      <c r="GV8" s="1388"/>
      <c r="GW8" s="1388"/>
      <c r="GX8" s="1388"/>
      <c r="GY8" s="1388"/>
      <c r="GZ8" s="1388"/>
      <c r="HA8" s="1388"/>
      <c r="HB8" s="1388"/>
      <c r="HC8" s="1388"/>
      <c r="HD8" s="1388"/>
      <c r="HE8" s="1388"/>
      <c r="HF8" s="1388"/>
      <c r="HG8" s="1388"/>
      <c r="HH8" s="1388"/>
      <c r="HI8" s="1388"/>
      <c r="HJ8" s="1388"/>
      <c r="HK8" s="1388"/>
      <c r="HL8" s="1388"/>
      <c r="HM8" s="1388"/>
      <c r="HN8" s="573"/>
      <c r="HO8" s="573"/>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391"/>
      <c r="B9" s="192" t="s">
        <v>1382</v>
      </c>
      <c r="C9" s="1159" t="s">
        <v>178</v>
      </c>
      <c r="D9" s="1159" t="s">
        <v>180</v>
      </c>
      <c r="E9" s="1159" t="s">
        <v>1576</v>
      </c>
      <c r="F9" s="1159" t="s">
        <v>1359</v>
      </c>
      <c r="G9" s="1159" t="s">
        <v>1360</v>
      </c>
      <c r="H9" s="1159" t="s">
        <v>2544</v>
      </c>
      <c r="I9" s="1159" t="s">
        <v>853</v>
      </c>
      <c r="J9" s="569" t="s">
        <v>368</v>
      </c>
      <c r="K9" s="1159" t="s">
        <v>1636</v>
      </c>
      <c r="L9" s="1159" t="s">
        <v>572</v>
      </c>
      <c r="M9" s="1159" t="s">
        <v>1575</v>
      </c>
      <c r="N9" s="1159" t="s">
        <v>1382</v>
      </c>
      <c r="O9" s="1159" t="s">
        <v>403</v>
      </c>
      <c r="P9" s="1160" t="s">
        <v>1102</v>
      </c>
      <c r="Q9" s="1160" t="s">
        <v>1103</v>
      </c>
      <c r="R9" s="1160" t="s">
        <v>1577</v>
      </c>
      <c r="S9" s="1160" t="s">
        <v>2929</v>
      </c>
      <c r="T9" s="1260" t="s">
        <v>1974</v>
      </c>
      <c r="U9" s="1260"/>
      <c r="V9" s="1389"/>
      <c r="W9" s="1389"/>
      <c r="X9" s="1389"/>
      <c r="Y9" s="1389"/>
      <c r="Z9" s="1389"/>
      <c r="AA9" s="1389"/>
      <c r="AB9" s="1389"/>
      <c r="AC9" s="1389"/>
      <c r="AD9" s="1389"/>
      <c r="AE9" s="1389"/>
      <c r="AF9" s="1389"/>
      <c r="AG9" s="1389"/>
      <c r="AH9" s="1389"/>
      <c r="AI9" s="1389"/>
      <c r="AJ9" s="1389"/>
      <c r="AK9" s="1389"/>
      <c r="AL9" s="1389"/>
      <c r="AM9" s="1389"/>
      <c r="AN9" s="1389"/>
      <c r="AO9" s="1389"/>
      <c r="AP9" s="1389"/>
      <c r="AQ9" s="1389"/>
      <c r="AR9" s="1389"/>
      <c r="AS9" s="1389"/>
      <c r="AT9" s="1389"/>
      <c r="AU9" s="1389"/>
      <c r="AV9" s="1389"/>
      <c r="AW9" s="1389"/>
      <c r="AX9" s="1389"/>
      <c r="AY9" s="1389"/>
      <c r="AZ9" s="1389"/>
      <c r="BA9" s="1389"/>
      <c r="BB9" s="1389"/>
      <c r="BC9" s="1389"/>
      <c r="BD9" s="1389"/>
      <c r="BE9" s="1389"/>
      <c r="BF9" s="1389"/>
      <c r="BG9" s="1389"/>
      <c r="BH9" s="1389"/>
      <c r="BI9" s="1389"/>
      <c r="BJ9" s="1389"/>
      <c r="BK9" s="1389"/>
      <c r="BL9" s="1389"/>
      <c r="BM9" s="1389"/>
      <c r="BN9" s="1389"/>
      <c r="BO9" s="1389"/>
      <c r="BP9" s="1389"/>
      <c r="BQ9" s="1389"/>
      <c r="BR9" s="1389"/>
      <c r="BS9" s="1389"/>
      <c r="BT9" s="1389"/>
      <c r="BU9" s="1389"/>
      <c r="BV9" s="1389"/>
      <c r="BW9" s="1389"/>
      <c r="BX9" s="1389"/>
      <c r="BY9" s="1389"/>
      <c r="BZ9" s="1389"/>
      <c r="CA9" s="1389"/>
      <c r="CB9" s="1389"/>
      <c r="CC9" s="1389"/>
      <c r="CD9" s="1388"/>
      <c r="CE9" s="1388"/>
      <c r="CF9" s="1388"/>
      <c r="CG9" s="1388"/>
      <c r="CH9" s="1388"/>
      <c r="CI9" s="1388"/>
      <c r="CJ9" s="1388"/>
      <c r="CK9" s="1388"/>
      <c r="CL9" s="1388"/>
      <c r="CM9" s="1388"/>
      <c r="CN9" s="1388"/>
      <c r="CO9" s="1388"/>
      <c r="CP9" s="1388"/>
      <c r="CQ9" s="1388"/>
      <c r="CR9" s="1388"/>
      <c r="CS9" s="1388"/>
      <c r="CT9" s="1388"/>
      <c r="CU9" s="1388"/>
      <c r="CV9" s="1388"/>
      <c r="CW9" s="1388"/>
      <c r="CX9" s="1388"/>
      <c r="CY9" s="1388"/>
      <c r="CZ9" s="1388"/>
      <c r="DA9" s="1388"/>
      <c r="DB9" s="1388"/>
      <c r="DC9" s="1388"/>
      <c r="DD9" s="1388"/>
      <c r="DE9" s="1388"/>
      <c r="DF9" s="1388"/>
      <c r="DG9" s="1388"/>
      <c r="DH9" s="1388"/>
      <c r="DI9" s="1388"/>
      <c r="DJ9" s="1388"/>
      <c r="DK9" s="1388"/>
      <c r="DL9" s="1388"/>
      <c r="DM9" s="1388"/>
      <c r="DN9" s="1388"/>
      <c r="DO9" s="1388"/>
      <c r="DP9" s="1388"/>
      <c r="DQ9" s="1388"/>
      <c r="DR9" s="1388"/>
      <c r="DS9" s="1388"/>
      <c r="DT9" s="1388"/>
      <c r="DU9" s="1388"/>
      <c r="DV9" s="1388"/>
      <c r="DW9" s="1388"/>
      <c r="DX9" s="1388"/>
      <c r="DY9" s="1388"/>
      <c r="DZ9" s="1388"/>
      <c r="EA9" s="1388"/>
      <c r="EB9" s="1388"/>
      <c r="EC9" s="1388"/>
      <c r="ED9" s="1388"/>
      <c r="EE9" s="1388"/>
      <c r="EF9" s="1388"/>
      <c r="EG9" s="1388"/>
      <c r="EH9" s="1388"/>
      <c r="EI9" s="1388"/>
      <c r="EJ9" s="1388"/>
      <c r="EK9" s="1388"/>
      <c r="EL9" s="1388"/>
      <c r="EM9" s="1388"/>
      <c r="EN9" s="1388"/>
      <c r="EO9" s="1388"/>
      <c r="EP9" s="1388"/>
      <c r="EQ9" s="1388"/>
      <c r="ER9" s="1388"/>
      <c r="ES9" s="1388"/>
      <c r="ET9" s="1388"/>
      <c r="EU9" s="1388"/>
      <c r="EV9" s="1388"/>
      <c r="EW9" s="577" t="s">
        <v>2664</v>
      </c>
      <c r="EX9" s="577" t="s">
        <v>2664</v>
      </c>
      <c r="EY9" s="577" t="s">
        <v>2664</v>
      </c>
      <c r="EZ9" s="577" t="s">
        <v>2664</v>
      </c>
      <c r="FA9" s="1388"/>
      <c r="FB9" s="1388"/>
      <c r="FC9" s="1388"/>
      <c r="FD9" s="1388"/>
      <c r="FE9" s="1388"/>
      <c r="FF9" s="577" t="s">
        <v>2666</v>
      </c>
      <c r="FG9" s="577" t="s">
        <v>2666</v>
      </c>
      <c r="FH9" s="577" t="s">
        <v>2666</v>
      </c>
      <c r="FI9" s="577" t="s">
        <v>2666</v>
      </c>
      <c r="FJ9" s="577" t="s">
        <v>2666</v>
      </c>
      <c r="FK9" s="1388"/>
      <c r="FL9" s="1388"/>
      <c r="FM9" s="1388"/>
      <c r="FN9" s="1388"/>
      <c r="FO9" s="1388"/>
      <c r="FP9" s="1388"/>
      <c r="FQ9" s="1388"/>
      <c r="FR9" s="1388"/>
      <c r="FS9" s="1388"/>
      <c r="FT9" s="1388"/>
      <c r="FU9" s="1388"/>
      <c r="FV9" s="1388"/>
      <c r="FW9" s="1388"/>
      <c r="FX9" s="1388"/>
      <c r="FY9" s="1388"/>
      <c r="FZ9" s="1388"/>
      <c r="GA9" s="1388"/>
      <c r="GB9" s="1388"/>
      <c r="GC9" s="1388"/>
      <c r="GD9" s="1388"/>
      <c r="GE9" s="1388"/>
      <c r="GF9" s="1388"/>
      <c r="GG9" s="1388"/>
      <c r="GH9" s="1388"/>
      <c r="GI9" s="1388"/>
      <c r="GJ9" s="1388"/>
      <c r="GK9" s="1388"/>
      <c r="GL9" s="1388"/>
      <c r="GM9" s="1388"/>
      <c r="GN9" s="1388"/>
      <c r="GO9" s="1388"/>
      <c r="GP9" s="1388"/>
      <c r="GQ9" s="1388"/>
      <c r="GR9" s="1388"/>
      <c r="GS9" s="1388"/>
      <c r="GT9" s="1388"/>
      <c r="GU9" s="1388"/>
      <c r="GV9" s="1388"/>
      <c r="GW9" s="1388"/>
      <c r="GX9" s="1388"/>
      <c r="GY9" s="1388"/>
      <c r="GZ9" s="1388"/>
      <c r="HA9" s="1388"/>
      <c r="HB9" s="1388"/>
      <c r="HC9" s="1388"/>
      <c r="HD9" s="1388"/>
      <c r="HE9" s="1388"/>
      <c r="HF9" s="1388"/>
      <c r="HG9" s="1388"/>
      <c r="HH9" s="1388"/>
      <c r="HI9" s="1388"/>
      <c r="HJ9" s="1388"/>
      <c r="HK9" s="1388"/>
      <c r="HL9" s="1388"/>
      <c r="HM9" s="1388"/>
      <c r="HN9" s="573"/>
      <c r="HO9" s="573"/>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0" t="s">
        <v>1218</v>
      </c>
      <c r="C10" s="1741">
        <v>1</v>
      </c>
      <c r="D10" s="1742">
        <v>1</v>
      </c>
      <c r="E10" s="1743">
        <v>12</v>
      </c>
      <c r="F10" s="1743">
        <v>826</v>
      </c>
      <c r="G10" s="1743">
        <v>589</v>
      </c>
      <c r="H10" s="1743">
        <v>564</v>
      </c>
      <c r="I10" s="1743">
        <v>115</v>
      </c>
      <c r="J10" s="1744" t="s">
        <v>3779</v>
      </c>
      <c r="K10" s="198">
        <f>MAX(0,H10-I10)</f>
        <v>449</v>
      </c>
      <c r="L10" s="198">
        <f t="shared" ref="L10:L47" si="0">MAX(0,E10*K10)</f>
        <v>5388</v>
      </c>
      <c r="M10" s="1745" t="s">
        <v>3702</v>
      </c>
      <c r="N10" s="1745" t="s">
        <v>598</v>
      </c>
      <c r="O10" s="1745" t="s">
        <v>3780</v>
      </c>
      <c r="P10" s="519">
        <f>IF(H10="","",H10*12/0.3)</f>
        <v>22560</v>
      </c>
      <c r="Q10" s="520">
        <f>IF(H10="","",P10/($P$6*VLOOKUP(C10,'DCA Underwriting Assumptions'!$J$82:$K$87,2,FALSE)))</f>
        <v>0.57514340344168258</v>
      </c>
      <c r="R10" s="605"/>
      <c r="S10" s="520"/>
      <c r="T10" s="1746"/>
      <c r="U10" s="1747"/>
      <c r="V10" s="568" t="str">
        <f t="shared" ref="V10:V47" si="1">IF(AND(C10="Efficiency",B10="60% AMI",NOT(M10="Common")),E10,"")</f>
        <v/>
      </c>
      <c r="W10" s="568">
        <f t="shared" ref="W10:W47" si="2">IF(AND(C10=1,B10="60% AMI",NOT(M10="Common")),E10,"")</f>
        <v>12</v>
      </c>
      <c r="X10" s="568" t="str">
        <f t="shared" ref="X10:X47" si="3">IF(AND(C10=2,B10="60% AMI",NOT(M10="Common")),E10,"")</f>
        <v/>
      </c>
      <c r="Y10" s="568" t="str">
        <f t="shared" ref="Y10:Y47" si="4">IF(AND(C10=3,B10="60% AMI",NOT(M10="Common")),E10,"")</f>
        <v/>
      </c>
      <c r="Z10" s="568" t="str">
        <f t="shared" ref="Z10:Z47" si="5">IF(AND(C10=4,B10="60% AMI",NOT(M10="Common")),E10,"")</f>
        <v/>
      </c>
      <c r="AA10" s="568" t="str">
        <f t="shared" ref="AA10:AA47" si="6">IF(AND(C10="Efficiency",B10="50% AMI",NOT(M10="Common")),E10,"")</f>
        <v/>
      </c>
      <c r="AB10" s="568" t="str">
        <f t="shared" ref="AB10:AB47" si="7">IF(AND(C10=1,B10="50% AMI",NOT(M10="Common")),E10,"")</f>
        <v/>
      </c>
      <c r="AC10" s="568" t="str">
        <f t="shared" ref="AC10:AC47" si="8">IF(AND(C10=2,B10="50% AMI",NOT(M10="Common")),E10,"")</f>
        <v/>
      </c>
      <c r="AD10" s="568" t="str">
        <f t="shared" ref="AD10:AD47" si="9">IF(AND(C10=3,B10="50% AMI",NOT(M10="Common")),E10,"")</f>
        <v/>
      </c>
      <c r="AE10" s="568" t="str">
        <f t="shared" ref="AE10:AE47" si="10">IF(AND(C10=4,B10="50% AMI",NOT(M10="Common")),E10,"")</f>
        <v/>
      </c>
      <c r="AF10" s="568" t="str">
        <f t="shared" ref="AF10:AF47" si="11">IF(AND(C10="Efficiency",B10="30% AMI",NOT(M10="Common")),E10,"")</f>
        <v/>
      </c>
      <c r="AG10" s="568" t="str">
        <f t="shared" ref="AG10:AG47" si="12">IF(AND(C10=1,B10="30% AMI",NOT(M10="Common")),E10,"")</f>
        <v/>
      </c>
      <c r="AH10" s="568" t="str">
        <f t="shared" ref="AH10:AH47" si="13">IF(AND(C10=2,B10="30% AMI",NOT(M10="Common")),E10,"")</f>
        <v/>
      </c>
      <c r="AI10" s="568" t="str">
        <f t="shared" ref="AI10:AI47" si="14">IF(AND(C10=3,B10="30% AMI",NOT(M10="Common")),E10,"")</f>
        <v/>
      </c>
      <c r="AJ10" s="568" t="str">
        <f t="shared" ref="AJ10:AJ47" si="15">IF(AND(C10=4,B10="30% AMI",NOT(M10="Common")),E10,"")</f>
        <v/>
      </c>
      <c r="AK10" s="568" t="str">
        <f t="shared" ref="AK10:AK47" si="16">IF(AND(C10="Efficiency",B10="Unrestricted",NOT(M10="Common")),E10,"")</f>
        <v/>
      </c>
      <c r="AL10" s="568" t="str">
        <f t="shared" ref="AL10:AL47" si="17">IF(AND(C10=1,B10="Unrestricted",NOT(M10="Common")),E10,"")</f>
        <v/>
      </c>
      <c r="AM10" s="568" t="str">
        <f t="shared" ref="AM10:AM47" si="18">IF(AND(C10=2,B10="Unrestricted",NOT(M10="Common")),E10,"")</f>
        <v/>
      </c>
      <c r="AN10" s="568" t="str">
        <f t="shared" ref="AN10:AN47" si="19">IF(AND(C10=3,B10="Unrestricted",NOT(M10="Common")),E10,"")</f>
        <v/>
      </c>
      <c r="AO10" s="568" t="str">
        <f t="shared" ref="AO10:AO47" si="20">IF(AND(C10=4,B10="Unrestricted",NOT(M10="Common")),E10,"")</f>
        <v/>
      </c>
      <c r="AP10" s="568" t="str">
        <f>IF(OR(AND($C10="Efficiency",NOT($J10=""),NOT($J10="PHA Oper Sub"),$B10="30% AMI",NOT($M10="Common")),AND($C10="Efficiency",NOT($J10=""),NOT($J10="PHA Oper Sub"),$B10="HOME 30% AMI",NOT($M10="Common"))),$E10,"")</f>
        <v/>
      </c>
      <c r="AQ10" s="568" t="str">
        <f>IF(OR(AND($C10=1,NOT($J10=""),NOT($J10="PHA Oper Sub"),$B10="30% AMI",NOT($M10="Common")),AND($C10=1,NOT($J10=""),NOT($J10="PHA Oper Sub"),$B10="HOME 30% AMI",NOT($M10="Common"))),$E10,"")</f>
        <v/>
      </c>
      <c r="AR10" s="568" t="str">
        <f>IF(OR(AND($C10=2,NOT($J10=""),NOT($J10="PHA Oper Sub"),$B10="30% AMI",NOT($M10="Common")),AND($C10=2,NOT($J10=""),NOT($J10="PHA Oper Sub"),$B10="HOME 30% AMI",NOT($M10="Common"))),$E10,"")</f>
        <v/>
      </c>
      <c r="AS10" s="568" t="str">
        <f>IF(OR(AND($C10=3,NOT($J10=""),NOT($J10="PHA Oper Sub"),$B10="30% AMI",NOT($M10="Common")),AND($C10=3,NOT($J10=""),NOT($J10="PHA Oper Sub"),$B10="HOME 30% AMI",NOT($M10="Common"))),$E10,"")</f>
        <v/>
      </c>
      <c r="AT10" s="568" t="str">
        <f>IF(OR(AND($C10=4,NOT($J10=""),NOT($J10="PHA Oper Sub"),$B10="30% AMI",NOT($M10="Common")),AND($C10=4,NOT($J10=""),NOT($J10="PHA Oper Sub"),$B10="HOME 30% AMI",NOT($M10="Common"))),$E10,"")</f>
        <v/>
      </c>
      <c r="AU10" s="568" t="str">
        <f>IF(OR(AND($C10="Efficiency",NOT($J10=""),NOT($J10="PHA Oper Sub"),NOT($J10=0),$B10="50% AMI",NOT($M10="Common")),AND($C10="Efficiency",NOT($J10=""),NOT($J10=0),NOT($J10="PHA Oper Sub"),$B10="HOME 50% AMI",NOT($M10="Common"))),$E10,"")</f>
        <v/>
      </c>
      <c r="AV10" s="568" t="str">
        <f>IF(OR(AND($C10=1,NOT($J10=""),NOT($J10=0),NOT($J10="PHA Oper Sub"),$B10="50% AMI",NOT($M10="Common")),AND($C10=1,NOT($J10=""),NOT($J10=0),NOT($J10="PHA Oper Sub"),$B10="HOME 50% AMI",NOT($M10="Common"))),$E10,"")</f>
        <v/>
      </c>
      <c r="AW10" s="568" t="str">
        <f>IF(OR(AND($C10=2,NOT($J10=""),NOT($J10=0),NOT($J10="PHA Oper Sub"),$B10="50% AMI",NOT($M10="Common")),AND($C10=2,NOT($J10=""),NOT($J10=0),NOT($J10="PHA Oper Sub"),$B10="HOME 50% AMI",NOT($M10="Common"))),$E10,"")</f>
        <v/>
      </c>
      <c r="AX10" s="568" t="str">
        <f>IF(OR(AND($C10=3,NOT($J10=""),NOT($J10=0),NOT($J10="PHA Oper Sub"),$B10="50% AMI",NOT($M10="Common")),AND($C10=3,NOT($J10=""),NOT($J10=0),NOT($J10="PHA Oper Sub"),$B10="HOME 50% AMI",NOT($M10="Common"))),$E10,"")</f>
        <v/>
      </c>
      <c r="AY10" s="568" t="str">
        <f>IF(OR(AND($C10=4,NOT($J10=""),NOT($J10=0),NOT($J10="PHA Oper Sub"),$B10="50% AMI",NOT($M10="Common")),AND($C10=4,NOT($J10=""),NOT($J10=0),NOT($J10="PHA Oper Sub"),$B10="HOME 50% AMI",NOT($M10="Common"))),$E10,"")</f>
        <v/>
      </c>
      <c r="AZ10" s="568" t="str">
        <f>IF(OR(AND($C10="Efficiency",NOT($J10=""),NOT($J10=0),NOT($J10="PHA Oper Sub"),$B10="60% AMI",NOT($M10="Common")),AND($C10="Efficiency",NOT($J10=""),NOT($J10=0),NOT($J10="PHA Oper Sub"),$B10="HOME 60% AMI",NOT($M10="Common"))),$E10,"")</f>
        <v/>
      </c>
      <c r="BA10" s="568">
        <f>IF(OR(AND($C10=1,NOT($J10=""),NOT($J10=0),NOT($J10="PHA Oper Sub"),$B10="60% AMI",NOT($M10="Common")),AND($C10=1,NOT($J10=""),NOT($J10=0),NOT($J10="PHA Oper Sub"),$B10="HOME 60% AMI",NOT($M10="Common"))),$E10,"")</f>
        <v>12</v>
      </c>
      <c r="BB10" s="568" t="str">
        <f>IF(OR(AND($C10=2,NOT($J10=""),NOT($J10=0),NOT($J10="PHA Oper Sub"),$B10="60% AMI",NOT($M10="Common")),AND($C10=2,NOT($J10=""),NOT($J10=0),NOT($J10="PHA Oper Sub"),$B10="HOME 60% AMI",NOT($M10="Common"))),$E10,"")</f>
        <v/>
      </c>
      <c r="BC10" s="568" t="str">
        <f>IF(OR(AND($C10=3,NOT($J10=""),NOT($J10=0),NOT($J10="PHA Oper Sub"),$B10="60% AMI",NOT($M10="Common")),AND($C10=3,NOT($J10=""),NOT($J10=0),NOT($J10="PHA Oper Sub"),$B10="HOME 60% AMI",NOT($M10="Common"))),$E10,"")</f>
        <v/>
      </c>
      <c r="BD10" s="568" t="str">
        <f>IF(OR(AND($C10=4,NOT($J10=""),NOT($J10=0),NOT($J10="PHA Oper Sub"),$B10="60% AMI",NOT($M10="Common")),AND($C10=4,NOT($J10=""),NOT($J10=0),NOT($J10="PHA Oper Sub"),$B10="HOME 60% AMI",NOT($M10="Common"))),$E10,"")</f>
        <v/>
      </c>
      <c r="BE10" s="568" t="str">
        <f>IF(OR(AND($C10="Efficiency",$J10="PHA Oper Sub",$B10="30% AMI",NOT($M10="Common")),AND($C10="Efficiency",$J10="PHA Oper Sub",$B10="HOME 30% AMI",NOT($M10="Common"))),$E10,"")</f>
        <v/>
      </c>
      <c r="BF10" s="568" t="str">
        <f>IF(OR(AND($C10=1,$J10="PHA Oper Sub",$B10="30% AMI",NOT($M10="Common")),AND($C10=1,$J10="PHA Oper Sub",$B10="HOME 30% AMI",NOT($M10="Common"))),$E10,"")</f>
        <v/>
      </c>
      <c r="BG10" s="568" t="str">
        <f>IF(OR(AND($C10=2,$J10="PHA Oper Sub",$B10="30% AMI",NOT($M10="Common")),AND($C10=2,$J10="PHA Oper Sub",$B10="HOME 30% AMI",NOT($M10="Common"))),$E10,"")</f>
        <v/>
      </c>
      <c r="BH10" s="568" t="str">
        <f>IF(OR(AND($C10=3,$J10="PHA Oper Sub",$B10="30% AMI",NOT($M10="Common")),AND($C10=3,$J10="PHA Oper Sub",$B10="HOME 30% AMI",NOT($M10="Common"))),$E10,"")</f>
        <v/>
      </c>
      <c r="BI10" s="568" t="str">
        <f>IF(OR(AND($C10=4,$J10="PHA Oper Sub",$B10="30% AMI",NOT($M10="Common")),AND($C10=4,$J10="PHA Oper Sub",$B10="HOME 30% AMI",NOT($M10="Common"))),$E10,"")</f>
        <v/>
      </c>
      <c r="BJ10" s="568" t="str">
        <f>IF(OR(AND($C10="Efficiency",$J10="PHA Oper Sub",$B10="50% AMI",NOT($M10="Common")),AND($C10="Efficiency",$J10="PHA Oper Sub",$B10="HOME 50% AMI",NOT($M10="Common"))),$E10,"")</f>
        <v/>
      </c>
      <c r="BK10" s="568" t="str">
        <f>IF(OR(AND($C10=1,$J10="PHA Oper Sub",$B10="50% AMI",NOT($M10="Common")),AND($C10=1,$J10="PHA Oper Sub",$B10="HOME 50% AMI",NOT($M10="Common"))),$E10,"")</f>
        <v/>
      </c>
      <c r="BL10" s="568" t="str">
        <f>IF(OR(AND($C10=2,$J10="PHA Oper Sub",$B10="50% AMI",NOT($M10="Common")),AND($C10=2,$J10="PHA Oper Sub",$B10="HOME 50% AMI",NOT($M10="Common"))),$E10,"")</f>
        <v/>
      </c>
      <c r="BM10" s="568" t="str">
        <f>IF(OR(AND($C10=3,$J10="PHA Oper Sub",$B10="50% AMI",NOT($M10="Common")),AND($C10=3,$J10="PHA Oper Sub",$B10="HOME 50% AMI",NOT($M10="Common"))),$E10,"")</f>
        <v/>
      </c>
      <c r="BN10" s="568" t="str">
        <f>IF(OR(AND($C10=4,$J10="PHA Oper Sub",$B10="50% AMI",NOT($M10="Common")),AND($C10=4,$J10="PHA Oper Sub",$B10="HOME 50% AMI",NOT($M10="Common"))),$E10,"")</f>
        <v/>
      </c>
      <c r="BO10" s="568" t="str">
        <f>IF(OR(AND($C10="Efficiency",$J10="PHA Oper Sub",$B10="60% AMI",NOT($M10="Common")),AND($C10="Efficiency",$J10="PHA Oper Sub",$B10="HOME 60% AMI",NOT($M10="Common"))),$E10,"")</f>
        <v/>
      </c>
      <c r="BP10" s="568" t="str">
        <f>IF(OR(AND($C10=1,$J10="PHA Oper Sub",$B10="60% AMI",NOT($M10="Common")),AND($C10=1,$J10="PHA Oper Sub",$B10="HOME 60% AMI",NOT($M10="Common"))),$E10,"")</f>
        <v/>
      </c>
      <c r="BQ10" s="568" t="str">
        <f>IF(OR(AND($C10=2,$J10="PHA Oper Sub",$B10="60% AMI",NOT($M10="Common")),AND($C10=2,$J10="PHA Oper Sub",$B10="HOME 60% AMI",NOT($M10="Common"))),$E10,"")</f>
        <v/>
      </c>
      <c r="BR10" s="568" t="str">
        <f>IF(OR(AND($C10=3,$J10="PHA Oper Sub",$B10="60% AMI",NOT($M10="Common")),AND($C10=3,$J10="PHA Oper Sub",$B10="HOME 60% AMI",NOT($M10="Common"))),$E10,"")</f>
        <v/>
      </c>
      <c r="BS10" s="568" t="str">
        <f>IF(OR(AND($C10=4,$J10="PHA Oper Sub",$B10="60% AMI",NOT($M10="Common")),AND($C10=4,$J10="PHA Oper Sub",$B10="HOME 60% AMI",NOT($M10="Common"))),$E10,"")</f>
        <v/>
      </c>
      <c r="BT10" s="568" t="str">
        <f t="shared" ref="BT10:BT47" si="21">IF(AND(C10="Efficiency",M10="Common"),E10,"")</f>
        <v/>
      </c>
      <c r="BU10" s="568" t="str">
        <f t="shared" ref="BU10:BU47" si="22">IF(AND(C10=1,M10="Common"),E10,"")</f>
        <v/>
      </c>
      <c r="BV10" s="568" t="str">
        <f t="shared" ref="BV10:BV47" si="23">IF(AND(C10=2,M10="Common"),E10,"")</f>
        <v/>
      </c>
      <c r="BW10" s="568" t="str">
        <f t="shared" ref="BW10:BW47" si="24">IF(AND(C10=3,M10="Common"),E10,"")</f>
        <v/>
      </c>
      <c r="BX10" s="568" t="str">
        <f t="shared" ref="BX10:BX47" si="25">IF(AND(C10=4,M10="Common"),E10,"")</f>
        <v/>
      </c>
      <c r="BY10" s="568" t="str">
        <f t="shared" ref="BY10:BY47" si="26">IF(OR(AND(C10="Efficiency",B10="60% AMI",NOT(M10="Common")),AND(C10="Efficiency",B10="HOME 60% AMI",NOT(M10="Common"))),E10*F10,"")</f>
        <v/>
      </c>
      <c r="BZ10" s="568">
        <f t="shared" ref="BZ10:BZ47" si="27">IF(OR(AND(C10=1,B10="60% AMI",NOT(M10="Common")),AND(C10=1,B10="HOME 60% AMI",NOT(M10="Common"))),E10*F10,"")</f>
        <v>9912</v>
      </c>
      <c r="CA10" s="568" t="str">
        <f t="shared" ref="CA10:CA47" si="28">IF(OR(AND(C10=2,B10="60% AMI",NOT(M10="Common")),AND(C10=2,B10="HOME 60% AMI",NOT(M10="Common"))),E10*F10,"")</f>
        <v/>
      </c>
      <c r="CB10" s="568" t="str">
        <f t="shared" ref="CB10:CB47" si="29">IF(OR(AND(C10=3,B10="60% AMI",NOT(M10="Common")),AND(C10=3,B10="HOME 60% AMI",NOT(M10="Common"))),E10*F10,"")</f>
        <v/>
      </c>
      <c r="CC10" s="568" t="str">
        <f t="shared" ref="CC10:CC47" si="30">IF(OR(AND(C10=4,B10="60% AMI",NOT(M10="Common")),AND(C10=4,B10="HOME 60% AMI",NOT(M10="Common"))),E10*F10,"")</f>
        <v/>
      </c>
      <c r="CD10" s="568" t="str">
        <f t="shared" ref="CD10:CD47" si="31">IF(OR(AND(C10="Efficiency",B10="50% AMI",NOT(M10="Common")),AND(C10="Efficiency",B10="HOME 50% AMI",NOT(M10="Common"))),E10*F10,"")</f>
        <v/>
      </c>
      <c r="CE10" s="568" t="str">
        <f t="shared" ref="CE10:CE47" si="32">IF(OR(AND(C10=1,B10="50% AMI",NOT(M10="Common")),AND(C10=1,B10="HOME 50% AMI",NOT(M10="Common"))),E10*F10,"")</f>
        <v/>
      </c>
      <c r="CF10" s="568" t="str">
        <f t="shared" ref="CF10:CF47" si="33">IF(OR(AND(C10=2,B10="50% AMI",NOT(M10="Common")),AND(C10=2,B10="HOME 50% AMI",NOT(M10="Common"))),E10*F10,"")</f>
        <v/>
      </c>
      <c r="CG10" s="568" t="str">
        <f t="shared" ref="CG10:CG47" si="34">IF(OR(AND(C10=3,B10="50% AMI",NOT(M10="Common")),AND(C10=3,B10="HOME 50% AMI",NOT(M10="Common"))),E10*F10,"")</f>
        <v/>
      </c>
      <c r="CH10" s="568" t="str">
        <f t="shared" ref="CH10:CH47" si="35">IF(OR(AND(C10=4,B10="50% AMI",NOT(M10="Common")),AND(C10=4,B10="HOME 50% AMI",NOT(M10="Common"))),E10*F10,"")</f>
        <v/>
      </c>
      <c r="CI10" s="568" t="str">
        <f t="shared" ref="CI10:CI47" si="36">IF(OR(AND(C10="Efficiency",B10="30% AMI",NOT(M10="Common")),AND(C10="Efficiency",B10="HOME 30% AMI",NOT(M10="Common"))),E10*F10,"")</f>
        <v/>
      </c>
      <c r="CJ10" s="568" t="str">
        <f t="shared" ref="CJ10:CJ47" si="37">IF(OR(AND(C10=1,B10="30% AMI",NOT(M10="Common")),AND(C10=1,B10="HOME 30% AMI",NOT(M10="Common"))),E10*F10,"")</f>
        <v/>
      </c>
      <c r="CK10" s="568" t="str">
        <f t="shared" ref="CK10:CK47" si="38">IF(OR(AND(C10=2,B10="30% AMI",NOT(M10="Common")),AND(C10=2,B10="HOME 30% AMI",NOT(M10="Common"))),E10*F10,"")</f>
        <v/>
      </c>
      <c r="CL10" s="568" t="str">
        <f t="shared" ref="CL10:CL47" si="39">IF(OR(AND(C10=3,B10="30% AMI",NOT(M10="Common")),AND(C10=3,B10="HOME 30% AMI",NOT(M10="Common"))),E10*F10,"")</f>
        <v/>
      </c>
      <c r="CM10" s="568" t="str">
        <f t="shared" ref="CM10:CM47" si="40">IF(OR(AND(C10=4,B10="30% AMI",NOT(M10="Common")),AND(C10=4,B10="HOME 30% AMI",NOT(M10="Common"))),E10*F10,"")</f>
        <v/>
      </c>
      <c r="CN10" s="568" t="str">
        <f t="shared" ref="CN10:CN47" si="41">IF(AND(C10="Efficiency",B10="Unrestricted",NOT(M10="Common")),E10*F10,"")</f>
        <v/>
      </c>
      <c r="CO10" s="568" t="str">
        <f t="shared" ref="CO10:CO47" si="42">IF(AND(C10=1,B10="Unrestricted",NOT(M10="Common")),E10*F10,"")</f>
        <v/>
      </c>
      <c r="CP10" s="568" t="str">
        <f t="shared" ref="CP10:CP47" si="43">IF(AND(C10=2,B10="Unrestricted",NOT(M10="Common")),E10*F10,"")</f>
        <v/>
      </c>
      <c r="CQ10" s="568" t="str">
        <f t="shared" ref="CQ10:CQ47" si="44">IF(AND(C10=3,B10="Unrestricted",NOT(M10="Common")),E10*F10,"")</f>
        <v/>
      </c>
      <c r="CR10" s="568" t="str">
        <f t="shared" ref="CR10:CR47" si="45">IF(AND(C10=4,B10="Unrestricted",NOT(M10="Common")),E10*F10,"")</f>
        <v/>
      </c>
      <c r="CS10" s="568" t="str">
        <f t="shared" ref="CS10:CS47" si="46">IF(AND(C10="Efficiency",NOT(J10=""),NOT($J10=0),NOT(M10="Common")),E10*F10,"")</f>
        <v/>
      </c>
      <c r="CT10" s="568">
        <f t="shared" ref="CT10:CT47" si="47">IF(AND(C10=1,NOT(J10=""),NOT($J10=0),NOT(M10="Common")),E10*F10,"")</f>
        <v>9912</v>
      </c>
      <c r="CU10" s="568" t="str">
        <f t="shared" ref="CU10:CU47" si="48">IF(AND(C10=2,NOT(J10=""),NOT($J10=0),NOT(M10="Common")),E10*F10,"")</f>
        <v/>
      </c>
      <c r="CV10" s="568" t="str">
        <f t="shared" ref="CV10:CV47" si="49">IF(AND(C10=3,NOT(J10=""),NOT($J10=0),NOT(M10="Common")),E10*F10,"")</f>
        <v/>
      </c>
      <c r="CW10" s="568" t="str">
        <f t="shared" ref="CW10:CW47" si="50">IF(AND(C10=4,NOT(J10=""),NOT($J10=0),NOT(M10="Common")),E10*F10,"")</f>
        <v/>
      </c>
      <c r="CX10" s="568" t="str">
        <f t="shared" ref="CX10:CX47" si="51">IF(AND(C10="Efficiency",M10="Common"),E10*F10,"")</f>
        <v/>
      </c>
      <c r="CY10" s="568" t="str">
        <f t="shared" ref="CY10:CY47" si="52">IF(AND(C10=1,M10="Common"),E10*F10,"")</f>
        <v/>
      </c>
      <c r="CZ10" s="568" t="str">
        <f t="shared" ref="CZ10:CZ47" si="53">IF(AND(C10=2,M10="Common"),E10*F10,"")</f>
        <v/>
      </c>
      <c r="DA10" s="568" t="str">
        <f t="shared" ref="DA10:DA47" si="54">IF(AND(C10=3,M10="Common"),E10*F10,"")</f>
        <v/>
      </c>
      <c r="DB10" s="568" t="str">
        <f t="shared" ref="DB10:DB47" si="55">IF(AND(C10=4,M10="Common"),E10*F10,"")</f>
        <v/>
      </c>
      <c r="DC10" s="568" t="str">
        <f t="shared" ref="DC10:DC47" si="56">IF(AND($C10="Efficiency", $O10="New Construction",NOT($B10="Unrestricted"),NOT($B10="NSP 120% AMI"),NOT($B10="N/A-CS"),NOT($M10="Common")),$E10,"")</f>
        <v/>
      </c>
      <c r="DD10" s="568" t="str">
        <f t="shared" ref="DD10:DD47" si="57">IF(AND($C10=1, $O10="New Construction",NOT($B10="Unrestricted"),NOT($B10="NSP 120% AMI"),NOT($B10="N/A-CS"),NOT($M10="Common")),$E10,"")</f>
        <v/>
      </c>
      <c r="DE10" s="568" t="str">
        <f t="shared" ref="DE10:DE47" si="58">IF(AND($C10=2, $O10="New Construction",NOT($B10="Unrestricted"),NOT($B10="NSP 120% AMI"),NOT($B10="N/A-CS"),NOT($M10="Common")),$E10,"")</f>
        <v/>
      </c>
      <c r="DF10" s="568" t="str">
        <f t="shared" ref="DF10:DF47" si="59">IF(AND($C10=3, $O10="New Construction",NOT($B10="Unrestricted"),NOT($B10="NSP 120% AMI"),NOT($B10="N/A-CS"),NOT($M10="Common")),$E10,"")</f>
        <v/>
      </c>
      <c r="DG10" s="568" t="str">
        <f t="shared" ref="DG10:DG47" si="60">IF(AND($C10=4, $O10="New Construction",NOT($B10="Unrestricted"),NOT($B10="NSP 120% AMI"),NOT($B10="N/A-CS"),NOT($M10="Common")),$E10,"")</f>
        <v/>
      </c>
      <c r="DH10" s="568" t="str">
        <f t="shared" ref="DH10:DH47" si="61">IF(AND($C10="Efficiency", $O10="New Construction",$B10="Unrestricted",NOT($B10="N/A-CS"),NOT($M10="Common")),$E10,"")</f>
        <v/>
      </c>
      <c r="DI10" s="568" t="str">
        <f t="shared" ref="DI10:DI47" si="62">IF(AND($C10=1, $O10="New Construction",$B10="Unrestricted",NOT($B10="N/A-CS"),NOT($M10="Common")),$E10,"")</f>
        <v/>
      </c>
      <c r="DJ10" s="568" t="str">
        <f t="shared" ref="DJ10:DJ47" si="63">IF(AND($C10=2, $O10="New Construction",$B10="Unrestricted",NOT($B10="N/A-CS"),NOT($M10="Common")),$E10,"")</f>
        <v/>
      </c>
      <c r="DK10" s="568" t="str">
        <f t="shared" ref="DK10:DK47" si="64">IF(AND($C10=3, $O10="New Construction",$B10="Unrestricted",NOT($B10="N/A-CS"),NOT($M10="Common")),$E10,"")</f>
        <v/>
      </c>
      <c r="DL10" s="568" t="str">
        <f t="shared" ref="DL10:DL47" si="65">IF(AND($C10=4, $O10="New Construction",$B10="Unrestricted",NOT($B10="N/A-CS"),NOT($M10="Common")),$E10,"")</f>
        <v/>
      </c>
      <c r="DM10" s="568" t="str">
        <f t="shared" ref="DM10:DM47" si="66">IF(AND($C10="Efficiency", $O10="New Construction",$B10="N/A-CS",$M10="Common"),$E10,"")</f>
        <v/>
      </c>
      <c r="DN10" s="568" t="str">
        <f t="shared" ref="DN10:DN47" si="67">IF(AND($C10=1, $O10="New Construction",$B10="N/A-CS",$M10="Common"),$E10,"")</f>
        <v/>
      </c>
      <c r="DO10" s="568" t="str">
        <f t="shared" ref="DO10:DO47" si="68">IF(AND($C10=2, $O10="New Construction",$B10="N/A-CS",$M10="Common"),$E10,"")</f>
        <v/>
      </c>
      <c r="DP10" s="568" t="str">
        <f t="shared" ref="DP10:DP47" si="69">IF(AND($C10=3, $O10="New Construction",$B10="N/A-CS",$M10="Common"),$E10,"")</f>
        <v/>
      </c>
      <c r="DQ10" s="568" t="str">
        <f t="shared" ref="DQ10:DQ47" si="70">IF(AND($C10=4, $O10="New Construction",$B10="N/A-CS",$M10="Common"),$E10,"")</f>
        <v/>
      </c>
      <c r="DR10" s="568" t="str">
        <f t="shared" ref="DR10:DR47" si="71">IF(AND($C10="Efficiency", $O10="Acquisition/Rehab",NOT($B10="Unrestricted"),NOT($B10="NSP 120% AMI"),NOT($B10="N/A-CS"),NOT($M10="Common")),$E10,"")</f>
        <v/>
      </c>
      <c r="DS10" s="568">
        <f t="shared" ref="DS10:DS47" si="72">IF(AND($C10=1, $O10="Acquisition/Rehab",NOT($B10="Unrestricted"),NOT($B10="NSP 120% AMI"),NOT($B10="N/A-CS"),NOT($M10="Common")),$E10,"")</f>
        <v>12</v>
      </c>
      <c r="DT10" s="568" t="str">
        <f t="shared" ref="DT10:DT47" si="73">IF(AND($C10=2, $O10="Acquisition/Rehab",NOT($B10="Unrestricted"),NOT($B10="NSP 120% AMI"),NOT($B10="N/A-CS"),NOT($M10="Common")),$E10,"")</f>
        <v/>
      </c>
      <c r="DU10" s="568" t="str">
        <f t="shared" ref="DU10:DU47" si="74">IF(AND($C10=3, $O10="Acquisition/Rehab",NOT($B10="Unrestricted"),NOT($B10="NSP 120% AMI"),NOT($B10="N/A-CS"),NOT($M10="Common")),$E10,"")</f>
        <v/>
      </c>
      <c r="DV10" s="568" t="str">
        <f t="shared" ref="DV10:DV47" si="75">IF(AND($C10=4, $O10="Acquisition/Rehab",NOT($B10="Unrestricted"),NOT($B10="NSP 120% AMI"),NOT($B10="N/A-CS"),NOT($M10="Common")),$E10,"")</f>
        <v/>
      </c>
      <c r="DW10" s="568" t="str">
        <f t="shared" ref="DW10:DW47" si="76">IF(AND($C10="Efficiency", $O10="Acquisition/Rehab",$B10="Unrestricted",NOT($B10="N/A-CS"),NOT($M10="Common")),$E10,"")</f>
        <v/>
      </c>
      <c r="DX10" s="568" t="str">
        <f t="shared" ref="DX10:DX47" si="77">IF(AND($C10=1, $O10="Acquisition/Rehab",$B10="Unrestricted",NOT($B10="N/A-CS"),NOT($M10="Common")),$E10,"")</f>
        <v/>
      </c>
      <c r="DY10" s="568" t="str">
        <f t="shared" ref="DY10:DY47" si="78">IF(AND($C10=2, $O10="Acquisition/Rehab",$B10="Unrestricted",NOT($B10="N/A-CS"),NOT($M10="Common")),$E10,"")</f>
        <v/>
      </c>
      <c r="DZ10" s="568" t="str">
        <f t="shared" ref="DZ10:DZ47" si="79">IF(AND($C10=3, $O10="Acquisition/Rehab",$B10="Unrestricted",NOT($B10="N/A-CS"),NOT($M10="Common")),$E10,"")</f>
        <v/>
      </c>
      <c r="EA10" s="568" t="str">
        <f t="shared" ref="EA10:EA47" si="80">IF(AND($C10=4, $O10="Acquisition/Rehab",$B10="Unrestricted",NOT($B10="N/A-CS"),NOT($M10="Common")),$E10,"")</f>
        <v/>
      </c>
      <c r="EB10" s="568" t="str">
        <f t="shared" ref="EB10:EB47" si="81">IF(AND($C10="Efficiency", $O10="Acquisition/Rehab",$B10="N/A-CS",$M10="Common"),$E10,"")</f>
        <v/>
      </c>
      <c r="EC10" s="568" t="str">
        <f t="shared" ref="EC10:EC47" si="82">IF(AND($C10=1, $O10="Acquisition/Rehab",$B10="N/A-CS",$M10="Common"),$E10,"")</f>
        <v/>
      </c>
      <c r="ED10" s="568" t="str">
        <f t="shared" ref="ED10:ED47" si="83">IF(AND($C10=2, $O10="Acquisition/Rehab",$B10="N/A-CS",$M10="Common"),$E10,"")</f>
        <v/>
      </c>
      <c r="EE10" s="568" t="str">
        <f t="shared" ref="EE10:EE47" si="84">IF(AND($C10=3, $O10="Acquisition/Rehab",$B10="N/A-CS",$M10="Common"),$E10,"")</f>
        <v/>
      </c>
      <c r="EF10" s="568" t="str">
        <f t="shared" ref="EF10:EF47" si="85">IF(AND($C10=4, $O10="Acquisition/Rehab",$B10="N/A-CS",$M10="Common"),$E10,"")</f>
        <v/>
      </c>
      <c r="EG10" s="568" t="str">
        <f t="shared" ref="EG10:EG47" si="86">IF(AND($C10="Efficiency", $O10="Rehabilitation",NOT($B10="Unrestricted"),NOT($B10="NSP 120% AMI"),NOT($B10="N/A-CS"),NOT($M10="Common")),$E10,"")</f>
        <v/>
      </c>
      <c r="EH10" s="568" t="str">
        <f t="shared" ref="EH10:EH47" si="87">IF(AND($C10=1, $O10="Rehabilitation",NOT($B10="Unrestricted"),NOT($B10="NSP 120% AMI"),NOT($B10="N/A-CS"),NOT($M10="Common")),$E10,"")</f>
        <v/>
      </c>
      <c r="EI10" s="568" t="str">
        <f t="shared" ref="EI10:EI47" si="88">IF(AND($C10=2, $O10="Rehabilitation",NOT($B10="Unrestricted"),NOT($B10="NSP 120% AMI"),NOT($B10="N/A-CS"),NOT($M10="Common")),$E10,"")</f>
        <v/>
      </c>
      <c r="EJ10" s="568" t="str">
        <f t="shared" ref="EJ10:EJ47" si="89">IF(AND($C10=3, $O10="Rehabilitation",NOT($B10="Unrestricted"),NOT($B10="NSP 120% AMI"),NOT($B10="N/A-CS"),NOT($M10="Common")),$E10,"")</f>
        <v/>
      </c>
      <c r="EK10" s="568" t="str">
        <f t="shared" ref="EK10:EK47" si="90">IF(AND($C10=4, $O10="Rehabilitation",NOT($B10="Unrestricted"),NOT($B10="NSP 120% AMI"),NOT($B10="N/A-CS"),NOT($M10="Common")),$E10,"")</f>
        <v/>
      </c>
      <c r="EL10" s="568" t="str">
        <f t="shared" ref="EL10:EL47" si="91">IF(AND($C10="Efficiency", $O10="Rehabilitation",$B10="Unrestricted",NOT($B10="N/A-CS"),NOT($M10="Common")),$E10,"")</f>
        <v/>
      </c>
      <c r="EM10" s="568" t="str">
        <f t="shared" ref="EM10:EM47" si="92">IF(AND($C10=1, $O10="Rehabilitation",$B10="Unrestricted",NOT($B10="N/A-CS"),NOT($M10="Common")),$E10,"")</f>
        <v/>
      </c>
      <c r="EN10" s="568" t="str">
        <f t="shared" ref="EN10:EN47" si="93">IF(AND($C10=2, $O10="Rehabilitation",$B10="Unrestricted",NOT($B10="N/A-CS"),NOT($M10="Common")),$E10,"")</f>
        <v/>
      </c>
      <c r="EO10" s="568" t="str">
        <f t="shared" ref="EO10:EO47" si="94">IF(AND($C10=3, $O10="Rehabilitation",$B10="Unrestricted",NOT($B10="N/A-CS"),NOT($M10="Common")),$E10,"")</f>
        <v/>
      </c>
      <c r="EP10" s="568" t="str">
        <f t="shared" ref="EP10:EP47" si="95">IF(AND($C10=4, $O10="Rehabilitation",$B10="Unrestricted",NOT($B10="N/A-CS"),NOT($M10="Common")),$E10,"")</f>
        <v/>
      </c>
      <c r="EQ10" s="568" t="str">
        <f t="shared" ref="EQ10:EQ47" si="96">IF(AND($C10="Efficiency", $O10="Rehabilitation",$B10="N/A-CS",$M10="Common"),$E10,"")</f>
        <v/>
      </c>
      <c r="ER10" s="568" t="str">
        <f t="shared" ref="ER10:ER47" si="97">IF(AND($C10=1, $O10="Rehabilitation",$B10="N/A-CS",$M10="Common"),$E10,"")</f>
        <v/>
      </c>
      <c r="ES10" s="568" t="str">
        <f t="shared" ref="ES10:ES47" si="98">IF(AND($C10=2, $O10="Rehabilitation",$B10="N/A-CS",$M10="Common"),$E10,"")</f>
        <v/>
      </c>
      <c r="ET10" s="568" t="str">
        <f t="shared" ref="ET10:ET47" si="99">IF(AND($C10=3, $O10="Rehabilitation",$B10="N/A-CS",$M10="Common"),$E10,"")</f>
        <v/>
      </c>
      <c r="EU10" s="568" t="str">
        <f t="shared" ref="EU10:EU47" si="100">IF(AND($C10=4, $O10="Rehabilitation",$B10="N/A-CS",$M10="Common"),$E10,"")</f>
        <v/>
      </c>
      <c r="EV10" s="578" t="str">
        <f t="shared" ref="EV10:EV47" si="101">IF(AND($C10="Efficiency", NOT(OR($N10="SF Detached",$N10="Mfd Home",$N10="Duplex",$N10="Townhome"))),$E10,"")</f>
        <v/>
      </c>
      <c r="EW10" s="578" t="str">
        <f t="shared" ref="EW10:EW47" si="102">IF(AND($C10=1, NOT(OR($N10="SF Detached",$N10="Mfd Home",$N10="Duplex",$N10="Townhome"))),$E10,"")</f>
        <v/>
      </c>
      <c r="EX10" s="578" t="str">
        <f t="shared" ref="EX10:EX47" si="103">IF(AND($C10=2, NOT(OR($N10="SF Detached",$N10="Mfd Home",$N10="Duplex",$N10="Townhome"))),$E10,"")</f>
        <v/>
      </c>
      <c r="EY10" s="578" t="str">
        <f t="shared" ref="EY10:EY47" si="104">IF(AND($C10=3, NOT(OR($N10="SF Detached",$N10="Mfd Home",$N10="Duplex",$N10="Townhome"))),$E10,"")</f>
        <v/>
      </c>
      <c r="EZ10" s="578" t="str">
        <f t="shared" ref="EZ10:EZ47" si="105">IF(AND($C10=4, NOT(OR($N10="SF Detached",$N10="Mfd Home",$N10="Duplex",$N10="Townhome"))),$E10,"")</f>
        <v/>
      </c>
      <c r="FA10" s="578" t="str">
        <f t="shared" ref="FA10:FA47" si="106">IF(AND($C10="Efficiency", $N10="SF Detached"),$E10,"")</f>
        <v/>
      </c>
      <c r="FB10" s="578" t="str">
        <f t="shared" ref="FB10:FB47" si="107">IF(AND($C10=1, $N10="SF Detached"),$E10,"")</f>
        <v/>
      </c>
      <c r="FC10" s="578" t="str">
        <f t="shared" ref="FC10:FC47" si="108">IF(AND($C10=2, $N10="SF Detached"),$E10,"")</f>
        <v/>
      </c>
      <c r="FD10" s="578" t="str">
        <f t="shared" ref="FD10:FD47" si="109">IF(AND($C10=3, $N10="SF Detached"),$E10,"")</f>
        <v/>
      </c>
      <c r="FE10" s="578" t="str">
        <f t="shared" ref="FE10:FE47" si="110">IF(AND($C10=4, $N10="SF Detached"),$E10,"")</f>
        <v/>
      </c>
      <c r="FF10" s="578" t="str">
        <f t="shared" ref="FF10:FF47" si="111">IF(AND($C10="Efficiency", $N10="MH"),$E10,"")</f>
        <v/>
      </c>
      <c r="FG10" s="578" t="str">
        <f t="shared" ref="FG10:FG47" si="112">IF(AND($C10=1, $N10="MH"),$E10,"")</f>
        <v/>
      </c>
      <c r="FH10" s="578" t="str">
        <f t="shared" ref="FH10:FH47" si="113">IF(AND($C10=2, $N10="MH"),$E10,"")</f>
        <v/>
      </c>
      <c r="FI10" s="578" t="str">
        <f t="shared" ref="FI10:FI47" si="114">IF(AND($C10=3, $N10="MH"),$E10,"")</f>
        <v/>
      </c>
      <c r="FJ10" s="578" t="str">
        <f t="shared" ref="FJ10:FJ47" si="115">IF(AND($C10=4, $N10="MH"),$E10,"")</f>
        <v/>
      </c>
      <c r="FK10" s="578" t="str">
        <f t="shared" ref="FK10:FK47" si="116">IF(AND($C10="Efficiency", $N10="Duplex"),$E10,"")</f>
        <v/>
      </c>
      <c r="FL10" s="578">
        <f t="shared" ref="FL10:FL47" si="117">IF(AND($C10=1, $N10="Duplex"),$E10,"")</f>
        <v>12</v>
      </c>
      <c r="FM10" s="578" t="str">
        <f t="shared" ref="FM10:FM47" si="118">IF(AND($C10=2, $N10="Duplex"),$E10,"")</f>
        <v/>
      </c>
      <c r="FN10" s="578" t="str">
        <f t="shared" ref="FN10:FN47" si="119">IF(AND($C10=3, $N10="Duplex"),$E10,"")</f>
        <v/>
      </c>
      <c r="FO10" s="578" t="str">
        <f t="shared" ref="FO10:FO47" si="120">IF(AND($C10=4, $N10="Duplex"),$E10,"")</f>
        <v/>
      </c>
      <c r="FP10" s="578" t="str">
        <f t="shared" ref="FP10:FP47" si="121">IF(AND($C10="Efficiency", $N10="Townhome"),$E10,"")</f>
        <v/>
      </c>
      <c r="FQ10" s="578" t="str">
        <f t="shared" ref="FQ10:FQ47" si="122">IF(AND($C10=1, $N10="Townhome"),$E10,"")</f>
        <v/>
      </c>
      <c r="FR10" s="578" t="str">
        <f t="shared" ref="FR10:FR47" si="123">IF(AND($C10=2, $N10="Townhome"),$E10,"")</f>
        <v/>
      </c>
      <c r="FS10" s="578" t="str">
        <f t="shared" ref="FS10:FS47" si="124">IF(AND($C10=3, $N10="Townhome"),$E10,"")</f>
        <v/>
      </c>
      <c r="FT10" s="578" t="str">
        <f t="shared" ref="FT10:FT47" si="125">IF(AND($C10=4, $N10="Townhome"),$E10,"")</f>
        <v/>
      </c>
      <c r="FU10" s="578" t="str">
        <f t="shared" ref="FU10:FU47" si="126">IF(AND($C10="Efficiency", $N10="1-Story"),$E10,"")</f>
        <v/>
      </c>
      <c r="FV10" s="578" t="str">
        <f t="shared" ref="FV10:FV47" si="127">IF(AND($C10=1, $N10="1-Story"),$E10,"")</f>
        <v/>
      </c>
      <c r="FW10" s="578" t="str">
        <f t="shared" ref="FW10:FW47" si="128">IF(AND($C10=2, $N10="1-Story"),$E10,"")</f>
        <v/>
      </c>
      <c r="FX10" s="578" t="str">
        <f t="shared" ref="FX10:FX47" si="129">IF(AND($C10=3, $N10="1-Story"),$E10,"")</f>
        <v/>
      </c>
      <c r="FY10" s="578" t="str">
        <f t="shared" ref="FY10:FY47" si="130">IF(AND($C10=4, $N10="1-Story"),$E10,"")</f>
        <v/>
      </c>
      <c r="FZ10" s="578" t="str">
        <f t="shared" ref="FZ10:FZ47" si="131">IF(AND($C10="Efficiency", $N10="2-Story"),$E10,"")</f>
        <v/>
      </c>
      <c r="GA10" s="578" t="str">
        <f t="shared" ref="GA10:GA47" si="132">IF(AND($C10=1, $N10="2-Story"),$E10,"")</f>
        <v/>
      </c>
      <c r="GB10" s="578" t="str">
        <f t="shared" ref="GB10:GB47" si="133">IF(AND($C10=2, $N10="2-Story"),$E10,"")</f>
        <v/>
      </c>
      <c r="GC10" s="578" t="str">
        <f t="shared" ref="GC10:GC47" si="134">IF(AND($C10=3, $N10="2-Story"),$E10,"")</f>
        <v/>
      </c>
      <c r="GD10" s="578" t="str">
        <f t="shared" ref="GD10:GD47" si="135">IF(AND($C10=4, $N10="2-Story"),$E10,"")</f>
        <v/>
      </c>
      <c r="GE10" s="578" t="str">
        <f t="shared" ref="GE10:GE47" si="136">IF(AND($C10="Efficiency", $N10="2-Story Walkup"),$E10,"")</f>
        <v/>
      </c>
      <c r="GF10" s="578" t="str">
        <f t="shared" ref="GF10:GF47" si="137">IF(AND($C10=1, $N10="2-Story Walkup"),$E10,"")</f>
        <v/>
      </c>
      <c r="GG10" s="578" t="str">
        <f t="shared" ref="GG10:GG47" si="138">IF(AND($C10=2, $N10="2-Story Walkup"),$E10,"")</f>
        <v/>
      </c>
      <c r="GH10" s="578" t="str">
        <f t="shared" ref="GH10:GH47" si="139">IF(AND($C10=3, $N10="2-Story Walkup"),$E10,"")</f>
        <v/>
      </c>
      <c r="GI10" s="578" t="str">
        <f t="shared" ref="GI10:GI47" si="140">IF(AND($C10=4, $N10="2-Story Walkup"),$E10,"")</f>
        <v/>
      </c>
      <c r="GJ10" s="578" t="str">
        <f t="shared" ref="GJ10:GJ47" si="141">IF(AND($C10="Efficiency", $N10="3+ Story"),$E10,"")</f>
        <v/>
      </c>
      <c r="GK10" s="578" t="str">
        <f t="shared" ref="GK10:GK47" si="142">IF(AND($C10=1, $N10="3+ Story"),$E10,"")</f>
        <v/>
      </c>
      <c r="GL10" s="578" t="str">
        <f t="shared" ref="GL10:GL47" si="143">IF(AND($C10=2, $N10="3+ Story"),$E10,"")</f>
        <v/>
      </c>
      <c r="GM10" s="578" t="str">
        <f t="shared" ref="GM10:GM47" si="144">IF(AND($C10=3, $N10="3+ Story"),$E10,"")</f>
        <v/>
      </c>
      <c r="GN10" s="578" t="str">
        <f t="shared" ref="GN10:GN47" si="145">IF(AND($C10=4, $N10="3+ Story"),$E10,"")</f>
        <v/>
      </c>
      <c r="GO10" s="579" t="str">
        <f t="shared" ref="GO10:GO47" si="146">IF(AND($B10="NSP 120% AMI",$C10="Efficiency", NOT($M10="Common")),$E10,"")</f>
        <v/>
      </c>
      <c r="GP10" s="579" t="str">
        <f t="shared" ref="GP10:GP47" si="147">IF(AND($B10="NSP 120% AMI",$C10=1,NOT($M10="Common")),$E10,"")</f>
        <v/>
      </c>
      <c r="GQ10" s="579" t="str">
        <f t="shared" ref="GQ10:GQ47" si="148">IF(AND($B10="NSP 120% AMI",$C10=2,NOT($M10="Common")),$E10,"")</f>
        <v/>
      </c>
      <c r="GR10" s="579" t="str">
        <f t="shared" ref="GR10:GR47" si="149">IF(AND($B10="NSP 120% AMI",$C10=3,NOT($M10="Common")),$E10,"")</f>
        <v/>
      </c>
      <c r="GS10" s="579" t="str">
        <f t="shared" ref="GS10:GS47" si="150">IF(AND($B10="NSP 120% AMI",$C10=4,NOT($M10="Common")),$E10,"")</f>
        <v/>
      </c>
      <c r="GT10" s="568" t="str">
        <f t="shared" ref="GT10:GT47" si="151">IF(AND(C10="Efficiency",B10="NSP 120% AMI",NOT(M10="Common")),E10*F10,"")</f>
        <v/>
      </c>
      <c r="GU10" s="568" t="str">
        <f t="shared" ref="GU10:GU47" si="152">IF(AND(C10=1,B10="NSP 120% AMI",NOT(M10="Common")),E10*F10,"")</f>
        <v/>
      </c>
      <c r="GV10" s="568" t="str">
        <f t="shared" ref="GV10:GV47" si="153">IF(AND(C10=2,B10="NSP 120% AMI",NOT(M10="Common")),E10*F10,"")</f>
        <v/>
      </c>
      <c r="GW10" s="568" t="str">
        <f t="shared" ref="GW10:GW47" si="154">IF(AND(C10=3,B10="NSP 120% AMI",NOT(M10="Common")),E10*F10,"")</f>
        <v/>
      </c>
      <c r="GX10" s="568" t="str">
        <f t="shared" ref="GX10:GX47" si="155">IF(AND(C10=4,B10="NSP 120% AMI",NOT(M10="Common")),E10*F10,"")</f>
        <v/>
      </c>
      <c r="GY10" s="568" t="str">
        <f t="shared" ref="GY10:GY47" si="156">IF(AND($C10="Efficiency", $O10="New Construction",$B10="NSP 120% AMI",NOT($M10="Common")),$E10,"")</f>
        <v/>
      </c>
      <c r="GZ10" s="568" t="str">
        <f t="shared" ref="GZ10:GZ47" si="157">IF(AND($C10=1, $O10="New Construction",$B10="NSP 120% AMI",NOT($M10="Common")),$E10,"")</f>
        <v/>
      </c>
      <c r="HA10" s="568" t="str">
        <f t="shared" ref="HA10:HA47" si="158">IF(AND($C10=2, $O10="New Construction",$B10="NSP 120% AMI",NOT($M10="Common")),$E10,"")</f>
        <v/>
      </c>
      <c r="HB10" s="568" t="str">
        <f t="shared" ref="HB10:HB47" si="159">IF(AND($C10=3, $O10="New Construction",$B10="NSP 120% AMI",NOT($M10="Common")),$E10,"")</f>
        <v/>
      </c>
      <c r="HC10" s="568" t="str">
        <f t="shared" ref="HC10:HC47" si="160">IF(AND($C10=4, $O10="New Construction",$B10="NSP 120% AMI",NOT($M10="Common")),$E10,"")</f>
        <v/>
      </c>
      <c r="HD10" s="568" t="str">
        <f t="shared" ref="HD10:HD47" si="161">IF(AND($C10="Efficiency", $O10="Acquisition/Rehab",$B10="NSP 120% AMI",NOT($M10="Common")),$E10,"")</f>
        <v/>
      </c>
      <c r="HE10" s="568" t="str">
        <f t="shared" ref="HE10:HE47" si="162">IF(AND($C10=1, $O10="Acquisition/Rehab",$B10="NSP 120% AMI",NOT($M10="Common")),$E10,"")</f>
        <v/>
      </c>
      <c r="HF10" s="568" t="str">
        <f t="shared" ref="HF10:HF47" si="163">IF(AND($C10=2, $O10="Acquisition/Rehab",$B10="NSP 120% AMI",NOT($M10="Common")),$E10,"")</f>
        <v/>
      </c>
      <c r="HG10" s="568" t="str">
        <f t="shared" ref="HG10:HG47" si="164">IF(AND($C10=3, $O10="Acquisition/Rehab",$B10="NSP 120% AMI",NOT($M10="Common")),$E10,"")</f>
        <v/>
      </c>
      <c r="HH10" s="568" t="str">
        <f t="shared" ref="HH10:HH47" si="165">IF(AND($C10=4, $O10="Acquisition/Rehab",$B10="NSP 120% AMI",NOT($M10="Common")),$E10,"")</f>
        <v/>
      </c>
      <c r="HI10" s="568" t="str">
        <f t="shared" ref="HI10:HI47" si="166">IF(AND($C10="Efficiency", $O10="Rehabilitation",$B10="NSP 120% AMI",NOT($M10="Common")),$E10,"")</f>
        <v/>
      </c>
      <c r="HJ10" s="568" t="str">
        <f t="shared" ref="HJ10:HJ47" si="167">IF(AND($C10=1, $O10="Rehabilitation",$B10="NSP 120% AMI",NOT($M10="Common")),$E10,"")</f>
        <v/>
      </c>
      <c r="HK10" s="568" t="str">
        <f t="shared" ref="HK10:HK47" si="168">IF(AND($C10=2, $O10="Rehabilitation",$B10="NSP 120% AMI",NOT($M10="Common")),$E10,"")</f>
        <v/>
      </c>
      <c r="HL10" s="568" t="str">
        <f t="shared" ref="HL10:HL47" si="169">IF(AND($C10=3, $O10="Rehabilitation",$B10="NSP 120% AMI",NOT($M10="Common")),$E10,"")</f>
        <v/>
      </c>
      <c r="HM10" s="568" t="str">
        <f t="shared" ref="HM10:HM47" si="170">IF(AND($C10=4, $O10="Rehabilitation",$B10="NSP 120% AMI",NOT($M10="Common")),$E10,"")</f>
        <v/>
      </c>
    </row>
    <row r="11" spans="1:255" ht="13.15" customHeight="1">
      <c r="A11" s="126" t="str">
        <f t="shared" ref="A11:A47" si="171">IF(AND(E11&gt;0,OR(B11="",C11="",D11="",F11="",G11="", H11="",M11="",N11="",O11="")),1,"")</f>
        <v/>
      </c>
      <c r="B11" s="1748" t="s">
        <v>1218</v>
      </c>
      <c r="C11" s="1749">
        <v>1</v>
      </c>
      <c r="D11" s="1750">
        <v>1</v>
      </c>
      <c r="E11" s="1751">
        <v>12</v>
      </c>
      <c r="F11" s="1751">
        <v>826</v>
      </c>
      <c r="G11" s="1751">
        <v>589</v>
      </c>
      <c r="H11" s="1751">
        <v>564</v>
      </c>
      <c r="I11" s="1751">
        <v>115</v>
      </c>
      <c r="J11" s="1752" t="s">
        <v>3779</v>
      </c>
      <c r="K11" s="199">
        <f t="shared" ref="K11:K27" si="172">MAX(0,H11-I11)</f>
        <v>449</v>
      </c>
      <c r="L11" s="199">
        <f t="shared" si="0"/>
        <v>5388</v>
      </c>
      <c r="M11" s="1753" t="s">
        <v>3702</v>
      </c>
      <c r="N11" s="1753" t="s">
        <v>2787</v>
      </c>
      <c r="O11" s="1753" t="s">
        <v>3780</v>
      </c>
      <c r="P11" s="519">
        <f>IF(H11="","",H11*12/0.3)</f>
        <v>22560</v>
      </c>
      <c r="Q11" s="520">
        <f>IF(H11="","",P11/($P$6*VLOOKUP(C11,'DCA Underwriting Assumptions'!$J$82:$K$87,2,FALSE)))</f>
        <v>0.57514340344168258</v>
      </c>
      <c r="R11" s="605"/>
      <c r="S11" s="520"/>
      <c r="T11" s="1754"/>
      <c r="U11" s="1755"/>
      <c r="V11" s="568" t="str">
        <f t="shared" si="1"/>
        <v/>
      </c>
      <c r="W11" s="568">
        <f t="shared" si="2"/>
        <v>12</v>
      </c>
      <c r="X11" s="568" t="str">
        <f t="shared" si="3"/>
        <v/>
      </c>
      <c r="Y11" s="568" t="str">
        <f t="shared" si="4"/>
        <v/>
      </c>
      <c r="Z11" s="568" t="str">
        <f t="shared" si="5"/>
        <v/>
      </c>
      <c r="AA11" s="568" t="str">
        <f t="shared" si="6"/>
        <v/>
      </c>
      <c r="AB11" s="568" t="str">
        <f t="shared" si="7"/>
        <v/>
      </c>
      <c r="AC11" s="568" t="str">
        <f t="shared" si="8"/>
        <v/>
      </c>
      <c r="AD11" s="568" t="str">
        <f t="shared" si="9"/>
        <v/>
      </c>
      <c r="AE11" s="568" t="str">
        <f t="shared" si="10"/>
        <v/>
      </c>
      <c r="AF11" s="568" t="str">
        <f t="shared" si="11"/>
        <v/>
      </c>
      <c r="AG11" s="568" t="str">
        <f t="shared" si="12"/>
        <v/>
      </c>
      <c r="AH11" s="568" t="str">
        <f t="shared" si="13"/>
        <v/>
      </c>
      <c r="AI11" s="568" t="str">
        <f t="shared" si="14"/>
        <v/>
      </c>
      <c r="AJ11" s="568" t="str">
        <f t="shared" si="15"/>
        <v/>
      </c>
      <c r="AK11" s="568" t="str">
        <f t="shared" si="16"/>
        <v/>
      </c>
      <c r="AL11" s="568" t="str">
        <f t="shared" si="17"/>
        <v/>
      </c>
      <c r="AM11" s="568" t="str">
        <f t="shared" si="18"/>
        <v/>
      </c>
      <c r="AN11" s="568" t="str">
        <f t="shared" si="19"/>
        <v/>
      </c>
      <c r="AO11" s="568" t="str">
        <f t="shared" si="20"/>
        <v/>
      </c>
      <c r="AP11" s="568" t="str">
        <f t="shared" ref="AP11:AP47" si="173">IF(OR(AND($C11="Efficiency",NOT($J11=""),NOT($J11="PHA Oper Sub"),$B11="30% AMI",NOT($M11="Common")),AND($C11="Efficiency",NOT($J11=""),NOT($J11="PHA Oper Sub"),$B11="HOME 30% AMI",NOT($M11="Common"))),$E11,"")</f>
        <v/>
      </c>
      <c r="AQ11" s="568" t="str">
        <f t="shared" ref="AQ11:AQ47" si="174">IF(OR(AND($C11=1,NOT($J11=""),NOT($J11="PHA Oper Sub"),$B11="30% AMI",NOT($M11="Common")),AND($C11=1,NOT($J11=""),NOT($J11="PHA Oper Sub"),$B11="HOME 30% AMI",NOT($M11="Common"))),$E11,"")</f>
        <v/>
      </c>
      <c r="AR11" s="568" t="str">
        <f t="shared" ref="AR11:AR47" si="175">IF(OR(AND($C11=2,NOT($J11=""),NOT($J11="PHA Oper Sub"),$B11="30% AMI",NOT($M11="Common")),AND($C11=2,NOT($J11=""),NOT($J11="PHA Oper Sub"),$B11="HOME 30% AMI",NOT($M11="Common"))),$E11,"")</f>
        <v/>
      </c>
      <c r="AS11" s="568" t="str">
        <f t="shared" ref="AS11:AS47" si="176">IF(OR(AND($C11=3,NOT($J11=""),NOT($J11="PHA Oper Sub"),$B11="30% AMI",NOT($M11="Common")),AND($C11=3,NOT($J11=""),NOT($J11="PHA Oper Sub"),$B11="HOME 30% AMI",NOT($M11="Common"))),$E11,"")</f>
        <v/>
      </c>
      <c r="AT11" s="568" t="str">
        <f t="shared" ref="AT11:AT47" si="177">IF(OR(AND($C11=4,NOT($J11=""),NOT($J11="PHA Oper Sub"),$B11="30% AMI",NOT($M11="Common")),AND($C11=4,NOT($J11=""),NOT($J11="PHA Oper Sub"),$B11="HOME 30% AMI",NOT($M11="Common"))),$E11,"")</f>
        <v/>
      </c>
      <c r="AU11" s="568" t="str">
        <f t="shared" ref="AU11:AU47" si="178">IF(OR(AND($C11="Efficiency",NOT($J11=""),NOT($J11="PHA Oper Sub"),NOT($J11=0),$B11="50% AMI",NOT($M11="Common")),AND($C11="Efficiency",NOT($J11=""),NOT($J11=0),NOT($J11="PHA Oper Sub"),$B11="HOME 50% AMI",NOT($M11="Common"))),$E11,"")</f>
        <v/>
      </c>
      <c r="AV11" s="568" t="str">
        <f t="shared" ref="AV11:AV47" si="179">IF(OR(AND($C11=1,NOT($J11=""),NOT($J11=0),NOT($J11="PHA Oper Sub"),$B11="50% AMI",NOT($M11="Common")),AND($C11=1,NOT($J11=""),NOT($J11=0),NOT($J11="PHA Oper Sub"),$B11="HOME 50% AMI",NOT($M11="Common"))),$E11,"")</f>
        <v/>
      </c>
      <c r="AW11" s="568" t="str">
        <f t="shared" ref="AW11:AW47" si="180">IF(OR(AND($C11=2,NOT($J11=""),NOT($J11=0),NOT($J11="PHA Oper Sub"),$B11="50% AMI",NOT($M11="Common")),AND($C11=2,NOT($J11=""),NOT($J11=0),NOT($J11="PHA Oper Sub"),$B11="HOME 50% AMI",NOT($M11="Common"))),$E11,"")</f>
        <v/>
      </c>
      <c r="AX11" s="568" t="str">
        <f t="shared" ref="AX11:AX47" si="181">IF(OR(AND($C11=3,NOT($J11=""),NOT($J11=0),NOT($J11="PHA Oper Sub"),$B11="50% AMI",NOT($M11="Common")),AND($C11=3,NOT($J11=""),NOT($J11=0),NOT($J11="PHA Oper Sub"),$B11="HOME 50% AMI",NOT($M11="Common"))),$E11,"")</f>
        <v/>
      </c>
      <c r="AY11" s="568" t="str">
        <f t="shared" ref="AY11:AY47" si="182">IF(OR(AND($C11=4,NOT($J11=""),NOT($J11=0),NOT($J11="PHA Oper Sub"),$B11="50% AMI",NOT($M11="Common")),AND($C11=4,NOT($J11=""),NOT($J11=0),NOT($J11="PHA Oper Sub"),$B11="HOME 50% AMI",NOT($M11="Common"))),$E11,"")</f>
        <v/>
      </c>
      <c r="AZ11" s="568" t="str">
        <f t="shared" ref="AZ11:AZ47" si="183">IF(OR(AND($C11="Efficiency",NOT($J11=""),NOT($J11=0),NOT($J11="PHA Oper Sub"),$B11="60% AMI",NOT($M11="Common")),AND($C11="Efficiency",NOT($J11=""),NOT($J11=0),NOT($J11="PHA Oper Sub"),$B11="HOME 60% AMI",NOT($M11="Common"))),$E11,"")</f>
        <v/>
      </c>
      <c r="BA11" s="568">
        <f t="shared" ref="BA11:BA47" si="184">IF(OR(AND($C11=1,NOT($J11=""),NOT($J11=0),NOT($J11="PHA Oper Sub"),$B11="60% AMI",NOT($M11="Common")),AND($C11=1,NOT($J11=""),NOT($J11=0),NOT($J11="PHA Oper Sub"),$B11="HOME 60% AMI",NOT($M11="Common"))),$E11,"")</f>
        <v>12</v>
      </c>
      <c r="BB11" s="568" t="str">
        <f t="shared" ref="BB11:BB47" si="185">IF(OR(AND($C11=2,NOT($J11=""),NOT($J11=0),NOT($J11="PHA Oper Sub"),$B11="60% AMI",NOT($M11="Common")),AND($C11=2,NOT($J11=""),NOT($J11=0),NOT($J11="PHA Oper Sub"),$B11="HOME 60% AMI",NOT($M11="Common"))),$E11,"")</f>
        <v/>
      </c>
      <c r="BC11" s="568" t="str">
        <f t="shared" ref="BC11:BC47" si="186">IF(OR(AND($C11=3,NOT($J11=""),NOT($J11=0),NOT($J11="PHA Oper Sub"),$B11="60% AMI",NOT($M11="Common")),AND($C11=3,NOT($J11=""),NOT($J11=0),NOT($J11="PHA Oper Sub"),$B11="HOME 60% AMI",NOT($M11="Common"))),$E11,"")</f>
        <v/>
      </c>
      <c r="BD11" s="568" t="str">
        <f t="shared" ref="BD11:BD47" si="187">IF(OR(AND($C11=4,NOT($J11=""),NOT($J11=0),NOT($J11="PHA Oper Sub"),$B11="60% AMI",NOT($M11="Common")),AND($C11=4,NOT($J11=""),NOT($J11=0),NOT($J11="PHA Oper Sub"),$B11="HOME 60% AMI",NOT($M11="Common"))),$E11,"")</f>
        <v/>
      </c>
      <c r="BE11" s="568" t="str">
        <f t="shared" ref="BE11:BE47" si="188">IF(OR(AND($C11="Efficiency",$J11="PHA Oper Sub",$B11="30% AMI",NOT($M11="Common")),AND($C11="Efficiency",$J11="PHA Oper Sub",$B11="HOME 30% AMI",NOT($M11="Common"))),$E11,"")</f>
        <v/>
      </c>
      <c r="BF11" s="568" t="str">
        <f t="shared" ref="BF11:BF47" si="189">IF(OR(AND($C11=1,$J11="PHA Oper Sub",$B11="30% AMI",NOT($M11="Common")),AND($C11=1,$J11="PHA Oper Sub",$B11="HOME 30% AMI",NOT($M11="Common"))),$E11,"")</f>
        <v/>
      </c>
      <c r="BG11" s="568" t="str">
        <f t="shared" ref="BG11:BG47" si="190">IF(OR(AND($C11=2,$J11="PHA Oper Sub",$B11="30% AMI",NOT($M11="Common")),AND($C11=2,$J11="PHA Oper Sub",$B11="HOME 30% AMI",NOT($M11="Common"))),$E11,"")</f>
        <v/>
      </c>
      <c r="BH11" s="568" t="str">
        <f t="shared" ref="BH11:BH47" si="191">IF(OR(AND($C11=3,$J11="PHA Oper Sub",$B11="30% AMI",NOT($M11="Common")),AND($C11=3,$J11="PHA Oper Sub",$B11="HOME 30% AMI",NOT($M11="Common"))),$E11,"")</f>
        <v/>
      </c>
      <c r="BI11" s="568" t="str">
        <f t="shared" ref="BI11:BI47" si="192">IF(OR(AND($C11=4,$J11="PHA Oper Sub",$B11="30% AMI",NOT($M11="Common")),AND($C11=4,$J11="PHA Oper Sub",$B11="HOME 30% AMI",NOT($M11="Common"))),$E11,"")</f>
        <v/>
      </c>
      <c r="BJ11" s="568" t="str">
        <f t="shared" ref="BJ11:BJ47" si="193">IF(OR(AND($C11="Efficiency",$J11="PHA Oper Sub",$B11="50% AMI",NOT($M11="Common")),AND($C11="Efficiency",$J11="PHA Oper Sub",$B11="HOME 50% AMI",NOT($M11="Common"))),$E11,"")</f>
        <v/>
      </c>
      <c r="BK11" s="568" t="str">
        <f t="shared" ref="BK11:BK47" si="194">IF(OR(AND($C11=1,$J11="PHA Oper Sub",$B11="50% AMI",NOT($M11="Common")),AND($C11=1,$J11="PHA Oper Sub",$B11="HOME 50% AMI",NOT($M11="Common"))),$E11,"")</f>
        <v/>
      </c>
      <c r="BL11" s="568" t="str">
        <f t="shared" ref="BL11:BL47" si="195">IF(OR(AND($C11=2,$J11="PHA Oper Sub",$B11="50% AMI",NOT($M11="Common")),AND($C11=2,$J11="PHA Oper Sub",$B11="HOME 50% AMI",NOT($M11="Common"))),$E11,"")</f>
        <v/>
      </c>
      <c r="BM11" s="568" t="str">
        <f t="shared" ref="BM11:BM47" si="196">IF(OR(AND($C11=3,$J11="PHA Oper Sub",$B11="50% AMI",NOT($M11="Common")),AND($C11=3,$J11="PHA Oper Sub",$B11="HOME 50% AMI",NOT($M11="Common"))),$E11,"")</f>
        <v/>
      </c>
      <c r="BN11" s="568" t="str">
        <f t="shared" ref="BN11:BN47" si="197">IF(OR(AND($C11=4,$J11="PHA Oper Sub",$B11="50% AMI",NOT($M11="Common")),AND($C11=4,$J11="PHA Oper Sub",$B11="HOME 50% AMI",NOT($M11="Common"))),$E11,"")</f>
        <v/>
      </c>
      <c r="BO11" s="568" t="str">
        <f t="shared" ref="BO11:BO47" si="198">IF(OR(AND($C11="Efficiency",$J11="PHA Oper Sub",$B11="60% AMI",NOT($M11="Common")),AND($C11="Efficiency",$J11="PHA Oper Sub",$B11="HOME 60% AMI",NOT($M11="Common"))),$E11,"")</f>
        <v/>
      </c>
      <c r="BP11" s="568" t="str">
        <f t="shared" ref="BP11:BP47" si="199">IF(OR(AND($C11=1,$J11="PHA Oper Sub",$B11="60% AMI",NOT($M11="Common")),AND($C11=1,$J11="PHA Oper Sub",$B11="HOME 60% AMI",NOT($M11="Common"))),$E11,"")</f>
        <v/>
      </c>
      <c r="BQ11" s="568" t="str">
        <f t="shared" ref="BQ11:BQ47" si="200">IF(OR(AND($C11=2,$J11="PHA Oper Sub",$B11="60% AMI",NOT($M11="Common")),AND($C11=2,$J11="PHA Oper Sub",$B11="HOME 60% AMI",NOT($M11="Common"))),$E11,"")</f>
        <v/>
      </c>
      <c r="BR11" s="568" t="str">
        <f t="shared" ref="BR11:BR47" si="201">IF(OR(AND($C11=3,$J11="PHA Oper Sub",$B11="60% AMI",NOT($M11="Common")),AND($C11=3,$J11="PHA Oper Sub",$B11="HOME 60% AMI",NOT($M11="Common"))),$E11,"")</f>
        <v/>
      </c>
      <c r="BS11" s="568" t="str">
        <f t="shared" ref="BS11:BS47" si="202">IF(OR(AND($C11=4,$J11="PHA Oper Sub",$B11="60% AMI",NOT($M11="Common")),AND($C11=4,$J11="PHA Oper Sub",$B11="HOME 60% AMI",NOT($M11="Common"))),$E11,"")</f>
        <v/>
      </c>
      <c r="BT11" s="568" t="str">
        <f t="shared" si="21"/>
        <v/>
      </c>
      <c r="BU11" s="568" t="str">
        <f t="shared" si="22"/>
        <v/>
      </c>
      <c r="BV11" s="568" t="str">
        <f t="shared" si="23"/>
        <v/>
      </c>
      <c r="BW11" s="568" t="str">
        <f t="shared" si="24"/>
        <v/>
      </c>
      <c r="BX11" s="568" t="str">
        <f t="shared" si="25"/>
        <v/>
      </c>
      <c r="BY11" s="568" t="str">
        <f t="shared" si="26"/>
        <v/>
      </c>
      <c r="BZ11" s="568">
        <f t="shared" si="27"/>
        <v>9912</v>
      </c>
      <c r="CA11" s="568" t="str">
        <f t="shared" si="28"/>
        <v/>
      </c>
      <c r="CB11" s="568" t="str">
        <f t="shared" si="29"/>
        <v/>
      </c>
      <c r="CC11" s="568" t="str">
        <f t="shared" si="30"/>
        <v/>
      </c>
      <c r="CD11" s="568" t="str">
        <f t="shared" si="31"/>
        <v/>
      </c>
      <c r="CE11" s="568" t="str">
        <f t="shared" si="32"/>
        <v/>
      </c>
      <c r="CF11" s="568" t="str">
        <f t="shared" si="33"/>
        <v/>
      </c>
      <c r="CG11" s="568" t="str">
        <f t="shared" si="34"/>
        <v/>
      </c>
      <c r="CH11" s="568" t="str">
        <f t="shared" si="35"/>
        <v/>
      </c>
      <c r="CI11" s="568" t="str">
        <f t="shared" si="36"/>
        <v/>
      </c>
      <c r="CJ11" s="568" t="str">
        <f t="shared" si="37"/>
        <v/>
      </c>
      <c r="CK11" s="568" t="str">
        <f t="shared" si="38"/>
        <v/>
      </c>
      <c r="CL11" s="568" t="str">
        <f t="shared" si="39"/>
        <v/>
      </c>
      <c r="CM11" s="568" t="str">
        <f t="shared" si="40"/>
        <v/>
      </c>
      <c r="CN11" s="568" t="str">
        <f t="shared" si="41"/>
        <v/>
      </c>
      <c r="CO11" s="568" t="str">
        <f t="shared" si="42"/>
        <v/>
      </c>
      <c r="CP11" s="568" t="str">
        <f t="shared" si="43"/>
        <v/>
      </c>
      <c r="CQ11" s="568" t="str">
        <f t="shared" si="44"/>
        <v/>
      </c>
      <c r="CR11" s="568" t="str">
        <f t="shared" si="45"/>
        <v/>
      </c>
      <c r="CS11" s="568" t="str">
        <f t="shared" si="46"/>
        <v/>
      </c>
      <c r="CT11" s="568">
        <f t="shared" si="47"/>
        <v>9912</v>
      </c>
      <c r="CU11" s="568" t="str">
        <f t="shared" si="48"/>
        <v/>
      </c>
      <c r="CV11" s="568" t="str">
        <f t="shared" si="49"/>
        <v/>
      </c>
      <c r="CW11" s="568" t="str">
        <f t="shared" si="50"/>
        <v/>
      </c>
      <c r="CX11" s="568" t="str">
        <f t="shared" si="51"/>
        <v/>
      </c>
      <c r="CY11" s="568" t="str">
        <f t="shared" si="52"/>
        <v/>
      </c>
      <c r="CZ11" s="568" t="str">
        <f t="shared" si="53"/>
        <v/>
      </c>
      <c r="DA11" s="568" t="str">
        <f t="shared" si="54"/>
        <v/>
      </c>
      <c r="DB11" s="568" t="str">
        <f t="shared" si="55"/>
        <v/>
      </c>
      <c r="DC11" s="568" t="str">
        <f t="shared" si="56"/>
        <v/>
      </c>
      <c r="DD11" s="568" t="str">
        <f t="shared" si="57"/>
        <v/>
      </c>
      <c r="DE11" s="568" t="str">
        <f t="shared" si="58"/>
        <v/>
      </c>
      <c r="DF11" s="568" t="str">
        <f t="shared" si="59"/>
        <v/>
      </c>
      <c r="DG11" s="568" t="str">
        <f t="shared" si="60"/>
        <v/>
      </c>
      <c r="DH11" s="568" t="str">
        <f t="shared" si="61"/>
        <v/>
      </c>
      <c r="DI11" s="568" t="str">
        <f t="shared" si="62"/>
        <v/>
      </c>
      <c r="DJ11" s="568" t="str">
        <f t="shared" si="63"/>
        <v/>
      </c>
      <c r="DK11" s="568" t="str">
        <f t="shared" si="64"/>
        <v/>
      </c>
      <c r="DL11" s="568" t="str">
        <f t="shared" si="65"/>
        <v/>
      </c>
      <c r="DM11" s="568" t="str">
        <f t="shared" si="66"/>
        <v/>
      </c>
      <c r="DN11" s="568" t="str">
        <f t="shared" si="67"/>
        <v/>
      </c>
      <c r="DO11" s="568" t="str">
        <f t="shared" si="68"/>
        <v/>
      </c>
      <c r="DP11" s="568" t="str">
        <f t="shared" si="69"/>
        <v/>
      </c>
      <c r="DQ11" s="568" t="str">
        <f t="shared" si="70"/>
        <v/>
      </c>
      <c r="DR11" s="568" t="str">
        <f t="shared" si="71"/>
        <v/>
      </c>
      <c r="DS11" s="568">
        <f t="shared" si="72"/>
        <v>12</v>
      </c>
      <c r="DT11" s="568" t="str">
        <f t="shared" si="73"/>
        <v/>
      </c>
      <c r="DU11" s="568" t="str">
        <f t="shared" si="74"/>
        <v/>
      </c>
      <c r="DV11" s="568" t="str">
        <f t="shared" si="75"/>
        <v/>
      </c>
      <c r="DW11" s="568" t="str">
        <f t="shared" si="76"/>
        <v/>
      </c>
      <c r="DX11" s="568" t="str">
        <f t="shared" si="77"/>
        <v/>
      </c>
      <c r="DY11" s="568" t="str">
        <f t="shared" si="78"/>
        <v/>
      </c>
      <c r="DZ11" s="568" t="str">
        <f t="shared" si="79"/>
        <v/>
      </c>
      <c r="EA11" s="568" t="str">
        <f t="shared" si="80"/>
        <v/>
      </c>
      <c r="EB11" s="568" t="str">
        <f t="shared" si="81"/>
        <v/>
      </c>
      <c r="EC11" s="568" t="str">
        <f t="shared" si="82"/>
        <v/>
      </c>
      <c r="ED11" s="568" t="str">
        <f t="shared" si="83"/>
        <v/>
      </c>
      <c r="EE11" s="568" t="str">
        <f t="shared" si="84"/>
        <v/>
      </c>
      <c r="EF11" s="568" t="str">
        <f t="shared" si="85"/>
        <v/>
      </c>
      <c r="EG11" s="568" t="str">
        <f t="shared" si="86"/>
        <v/>
      </c>
      <c r="EH11" s="568" t="str">
        <f t="shared" si="87"/>
        <v/>
      </c>
      <c r="EI11" s="568" t="str">
        <f t="shared" si="88"/>
        <v/>
      </c>
      <c r="EJ11" s="568" t="str">
        <f t="shared" si="89"/>
        <v/>
      </c>
      <c r="EK11" s="568" t="str">
        <f t="shared" si="90"/>
        <v/>
      </c>
      <c r="EL11" s="568" t="str">
        <f t="shared" si="91"/>
        <v/>
      </c>
      <c r="EM11" s="568" t="str">
        <f t="shared" si="92"/>
        <v/>
      </c>
      <c r="EN11" s="568" t="str">
        <f t="shared" si="93"/>
        <v/>
      </c>
      <c r="EO11" s="568" t="str">
        <f t="shared" si="94"/>
        <v/>
      </c>
      <c r="EP11" s="568" t="str">
        <f t="shared" si="95"/>
        <v/>
      </c>
      <c r="EQ11" s="568" t="str">
        <f t="shared" si="96"/>
        <v/>
      </c>
      <c r="ER11" s="568" t="str">
        <f t="shared" si="97"/>
        <v/>
      </c>
      <c r="ES11" s="568" t="str">
        <f t="shared" si="98"/>
        <v/>
      </c>
      <c r="ET11" s="568" t="str">
        <f t="shared" si="99"/>
        <v/>
      </c>
      <c r="EU11" s="568" t="str">
        <f t="shared" si="100"/>
        <v/>
      </c>
      <c r="EV11" s="578" t="str">
        <f t="shared" si="101"/>
        <v/>
      </c>
      <c r="EW11" s="578">
        <f t="shared" si="102"/>
        <v>12</v>
      </c>
      <c r="EX11" s="578" t="str">
        <f t="shared" si="103"/>
        <v/>
      </c>
      <c r="EY11" s="578" t="str">
        <f t="shared" si="104"/>
        <v/>
      </c>
      <c r="EZ11" s="578" t="str">
        <f t="shared" si="105"/>
        <v/>
      </c>
      <c r="FA11" s="578" t="str">
        <f t="shared" si="106"/>
        <v/>
      </c>
      <c r="FB11" s="578" t="str">
        <f t="shared" si="107"/>
        <v/>
      </c>
      <c r="FC11" s="578" t="str">
        <f t="shared" si="108"/>
        <v/>
      </c>
      <c r="FD11" s="578" t="str">
        <f t="shared" si="109"/>
        <v/>
      </c>
      <c r="FE11" s="578" t="str">
        <f t="shared" si="110"/>
        <v/>
      </c>
      <c r="FF11" s="578" t="str">
        <f t="shared" si="111"/>
        <v/>
      </c>
      <c r="FG11" s="578" t="str">
        <f t="shared" si="112"/>
        <v/>
      </c>
      <c r="FH11" s="578" t="str">
        <f t="shared" si="113"/>
        <v/>
      </c>
      <c r="FI11" s="578" t="str">
        <f t="shared" si="114"/>
        <v/>
      </c>
      <c r="FJ11" s="578" t="str">
        <f t="shared" si="115"/>
        <v/>
      </c>
      <c r="FK11" s="578" t="str">
        <f t="shared" si="116"/>
        <v/>
      </c>
      <c r="FL11" s="578" t="str">
        <f t="shared" si="117"/>
        <v/>
      </c>
      <c r="FM11" s="578" t="str">
        <f t="shared" si="118"/>
        <v/>
      </c>
      <c r="FN11" s="578" t="str">
        <f t="shared" si="119"/>
        <v/>
      </c>
      <c r="FO11" s="578" t="str">
        <f t="shared" si="120"/>
        <v/>
      </c>
      <c r="FP11" s="578" t="str">
        <f t="shared" si="121"/>
        <v/>
      </c>
      <c r="FQ11" s="578" t="str">
        <f t="shared" si="122"/>
        <v/>
      </c>
      <c r="FR11" s="578" t="str">
        <f t="shared" si="123"/>
        <v/>
      </c>
      <c r="FS11" s="578" t="str">
        <f t="shared" si="124"/>
        <v/>
      </c>
      <c r="FT11" s="578" t="str">
        <f t="shared" si="125"/>
        <v/>
      </c>
      <c r="FU11" s="578" t="str">
        <f t="shared" si="126"/>
        <v/>
      </c>
      <c r="FV11" s="578">
        <f t="shared" si="127"/>
        <v>12</v>
      </c>
      <c r="FW11" s="578" t="str">
        <f t="shared" si="128"/>
        <v/>
      </c>
      <c r="FX11" s="578" t="str">
        <f t="shared" si="129"/>
        <v/>
      </c>
      <c r="FY11" s="578" t="str">
        <f t="shared" si="130"/>
        <v/>
      </c>
      <c r="FZ11" s="578" t="str">
        <f t="shared" si="131"/>
        <v/>
      </c>
      <c r="GA11" s="578" t="str">
        <f t="shared" si="132"/>
        <v/>
      </c>
      <c r="GB11" s="578" t="str">
        <f t="shared" si="133"/>
        <v/>
      </c>
      <c r="GC11" s="578" t="str">
        <f t="shared" si="134"/>
        <v/>
      </c>
      <c r="GD11" s="578" t="str">
        <f t="shared" si="135"/>
        <v/>
      </c>
      <c r="GE11" s="578" t="str">
        <f t="shared" si="136"/>
        <v/>
      </c>
      <c r="GF11" s="578" t="str">
        <f t="shared" si="137"/>
        <v/>
      </c>
      <c r="GG11" s="578" t="str">
        <f t="shared" si="138"/>
        <v/>
      </c>
      <c r="GH11" s="578" t="str">
        <f t="shared" si="139"/>
        <v/>
      </c>
      <c r="GI11" s="578" t="str">
        <f t="shared" si="140"/>
        <v/>
      </c>
      <c r="GJ11" s="578" t="str">
        <f t="shared" si="141"/>
        <v/>
      </c>
      <c r="GK11" s="578" t="str">
        <f t="shared" si="142"/>
        <v/>
      </c>
      <c r="GL11" s="578" t="str">
        <f t="shared" si="143"/>
        <v/>
      </c>
      <c r="GM11" s="578" t="str">
        <f t="shared" si="144"/>
        <v/>
      </c>
      <c r="GN11" s="578" t="str">
        <f t="shared" si="145"/>
        <v/>
      </c>
      <c r="GO11" s="579" t="str">
        <f t="shared" si="146"/>
        <v/>
      </c>
      <c r="GP11" s="579" t="str">
        <f t="shared" si="147"/>
        <v/>
      </c>
      <c r="GQ11" s="579" t="str">
        <f t="shared" si="148"/>
        <v/>
      </c>
      <c r="GR11" s="579" t="str">
        <f t="shared" si="149"/>
        <v/>
      </c>
      <c r="GS11" s="579" t="str">
        <f t="shared" si="150"/>
        <v/>
      </c>
      <c r="GT11" s="568" t="str">
        <f t="shared" si="151"/>
        <v/>
      </c>
      <c r="GU11" s="568" t="str">
        <f t="shared" si="152"/>
        <v/>
      </c>
      <c r="GV11" s="568" t="str">
        <f t="shared" si="153"/>
        <v/>
      </c>
      <c r="GW11" s="568" t="str">
        <f t="shared" si="154"/>
        <v/>
      </c>
      <c r="GX11" s="568" t="str">
        <f t="shared" si="155"/>
        <v/>
      </c>
      <c r="GY11" s="568" t="str">
        <f t="shared" si="156"/>
        <v/>
      </c>
      <c r="GZ11" s="568" t="str">
        <f t="shared" si="157"/>
        <v/>
      </c>
      <c r="HA11" s="568" t="str">
        <f t="shared" si="158"/>
        <v/>
      </c>
      <c r="HB11" s="568" t="str">
        <f t="shared" si="159"/>
        <v/>
      </c>
      <c r="HC11" s="568" t="str">
        <f t="shared" si="160"/>
        <v/>
      </c>
      <c r="HD11" s="568" t="str">
        <f t="shared" si="161"/>
        <v/>
      </c>
      <c r="HE11" s="568" t="str">
        <f t="shared" si="162"/>
        <v/>
      </c>
      <c r="HF11" s="568" t="str">
        <f t="shared" si="163"/>
        <v/>
      </c>
      <c r="HG11" s="568" t="str">
        <f t="shared" si="164"/>
        <v/>
      </c>
      <c r="HH11" s="568" t="str">
        <f t="shared" si="165"/>
        <v/>
      </c>
      <c r="HI11" s="568" t="str">
        <f t="shared" si="166"/>
        <v/>
      </c>
      <c r="HJ11" s="568" t="str">
        <f t="shared" si="167"/>
        <v/>
      </c>
      <c r="HK11" s="568" t="str">
        <f t="shared" si="168"/>
        <v/>
      </c>
      <c r="HL11" s="568" t="str">
        <f t="shared" si="169"/>
        <v/>
      </c>
      <c r="HM11" s="568" t="str">
        <f t="shared" si="170"/>
        <v/>
      </c>
    </row>
    <row r="12" spans="1:255" ht="13.15" customHeight="1">
      <c r="A12" s="126" t="str">
        <f t="shared" si="171"/>
        <v/>
      </c>
      <c r="B12" s="1748" t="s">
        <v>1218</v>
      </c>
      <c r="C12" s="1749">
        <v>2</v>
      </c>
      <c r="D12" s="1750">
        <v>1</v>
      </c>
      <c r="E12" s="1751">
        <v>37</v>
      </c>
      <c r="F12" s="1751">
        <v>1014</v>
      </c>
      <c r="G12" s="1751">
        <v>706</v>
      </c>
      <c r="H12" s="1751">
        <v>728</v>
      </c>
      <c r="I12" s="1751">
        <v>143</v>
      </c>
      <c r="J12" s="1752" t="s">
        <v>3779</v>
      </c>
      <c r="K12" s="199">
        <f t="shared" si="172"/>
        <v>585</v>
      </c>
      <c r="L12" s="199">
        <f t="shared" si="0"/>
        <v>21645</v>
      </c>
      <c r="M12" s="1753" t="s">
        <v>3702</v>
      </c>
      <c r="N12" s="1753" t="s">
        <v>598</v>
      </c>
      <c r="O12" s="1753" t="s">
        <v>3780</v>
      </c>
      <c r="P12" s="519">
        <f>IF(H12="","",H12*12/0.3)</f>
        <v>29120</v>
      </c>
      <c r="Q12" s="520">
        <f>IF(H12="","",P12/($P$6*VLOOKUP(C12,'DCA Underwriting Assumptions'!$J$82:$K$87,2,FALSE)))</f>
        <v>0.61865306989589974</v>
      </c>
      <c r="R12" s="605"/>
      <c r="S12" s="520"/>
      <c r="T12" s="1754"/>
      <c r="U12" s="1755"/>
      <c r="V12" s="568" t="str">
        <f t="shared" si="1"/>
        <v/>
      </c>
      <c r="W12" s="568" t="str">
        <f t="shared" si="2"/>
        <v/>
      </c>
      <c r="X12" s="568">
        <f t="shared" si="3"/>
        <v>37</v>
      </c>
      <c r="Y12" s="568" t="str">
        <f t="shared" si="4"/>
        <v/>
      </c>
      <c r="Z12" s="568" t="str">
        <f t="shared" si="5"/>
        <v/>
      </c>
      <c r="AA12" s="568" t="str">
        <f t="shared" si="6"/>
        <v/>
      </c>
      <c r="AB12" s="568" t="str">
        <f t="shared" si="7"/>
        <v/>
      </c>
      <c r="AC12" s="568" t="str">
        <f t="shared" si="8"/>
        <v/>
      </c>
      <c r="AD12" s="568" t="str">
        <f t="shared" si="9"/>
        <v/>
      </c>
      <c r="AE12" s="568" t="str">
        <f t="shared" si="10"/>
        <v/>
      </c>
      <c r="AF12" s="568" t="str">
        <f t="shared" si="11"/>
        <v/>
      </c>
      <c r="AG12" s="568" t="str">
        <f t="shared" si="12"/>
        <v/>
      </c>
      <c r="AH12" s="568" t="str">
        <f t="shared" si="13"/>
        <v/>
      </c>
      <c r="AI12" s="568" t="str">
        <f t="shared" si="14"/>
        <v/>
      </c>
      <c r="AJ12" s="568" t="str">
        <f t="shared" si="15"/>
        <v/>
      </c>
      <c r="AK12" s="568" t="str">
        <f t="shared" si="16"/>
        <v/>
      </c>
      <c r="AL12" s="568" t="str">
        <f t="shared" si="17"/>
        <v/>
      </c>
      <c r="AM12" s="568" t="str">
        <f t="shared" si="18"/>
        <v/>
      </c>
      <c r="AN12" s="568" t="str">
        <f t="shared" si="19"/>
        <v/>
      </c>
      <c r="AO12" s="568" t="str">
        <f t="shared" si="20"/>
        <v/>
      </c>
      <c r="AP12" s="568" t="str">
        <f t="shared" si="173"/>
        <v/>
      </c>
      <c r="AQ12" s="568" t="str">
        <f t="shared" si="174"/>
        <v/>
      </c>
      <c r="AR12" s="568" t="str">
        <f t="shared" si="175"/>
        <v/>
      </c>
      <c r="AS12" s="568" t="str">
        <f t="shared" si="176"/>
        <v/>
      </c>
      <c r="AT12" s="568" t="str">
        <f t="shared" si="177"/>
        <v/>
      </c>
      <c r="AU12" s="568" t="str">
        <f t="shared" si="178"/>
        <v/>
      </c>
      <c r="AV12" s="568" t="str">
        <f t="shared" si="179"/>
        <v/>
      </c>
      <c r="AW12" s="568" t="str">
        <f t="shared" si="180"/>
        <v/>
      </c>
      <c r="AX12" s="568" t="str">
        <f t="shared" si="181"/>
        <v/>
      </c>
      <c r="AY12" s="568" t="str">
        <f t="shared" si="182"/>
        <v/>
      </c>
      <c r="AZ12" s="568" t="str">
        <f t="shared" si="183"/>
        <v/>
      </c>
      <c r="BA12" s="568" t="str">
        <f t="shared" si="184"/>
        <v/>
      </c>
      <c r="BB12" s="568">
        <f t="shared" si="185"/>
        <v>37</v>
      </c>
      <c r="BC12" s="568" t="str">
        <f t="shared" si="186"/>
        <v/>
      </c>
      <c r="BD12" s="568" t="str">
        <f t="shared" si="187"/>
        <v/>
      </c>
      <c r="BE12" s="568" t="str">
        <f t="shared" si="188"/>
        <v/>
      </c>
      <c r="BF12" s="568" t="str">
        <f t="shared" si="189"/>
        <v/>
      </c>
      <c r="BG12" s="568" t="str">
        <f t="shared" si="190"/>
        <v/>
      </c>
      <c r="BH12" s="568" t="str">
        <f t="shared" si="191"/>
        <v/>
      </c>
      <c r="BI12" s="568" t="str">
        <f t="shared" si="192"/>
        <v/>
      </c>
      <c r="BJ12" s="568" t="str">
        <f t="shared" si="193"/>
        <v/>
      </c>
      <c r="BK12" s="568" t="str">
        <f t="shared" si="194"/>
        <v/>
      </c>
      <c r="BL12" s="568" t="str">
        <f t="shared" si="195"/>
        <v/>
      </c>
      <c r="BM12" s="568" t="str">
        <f t="shared" si="196"/>
        <v/>
      </c>
      <c r="BN12" s="568" t="str">
        <f t="shared" si="197"/>
        <v/>
      </c>
      <c r="BO12" s="568" t="str">
        <f t="shared" si="198"/>
        <v/>
      </c>
      <c r="BP12" s="568" t="str">
        <f t="shared" si="199"/>
        <v/>
      </c>
      <c r="BQ12" s="568" t="str">
        <f t="shared" si="200"/>
        <v/>
      </c>
      <c r="BR12" s="568" t="str">
        <f t="shared" si="201"/>
        <v/>
      </c>
      <c r="BS12" s="568" t="str">
        <f t="shared" si="202"/>
        <v/>
      </c>
      <c r="BT12" s="568" t="str">
        <f t="shared" si="21"/>
        <v/>
      </c>
      <c r="BU12" s="568" t="str">
        <f t="shared" si="22"/>
        <v/>
      </c>
      <c r="BV12" s="568" t="str">
        <f t="shared" si="23"/>
        <v/>
      </c>
      <c r="BW12" s="568" t="str">
        <f t="shared" si="24"/>
        <v/>
      </c>
      <c r="BX12" s="568" t="str">
        <f t="shared" si="25"/>
        <v/>
      </c>
      <c r="BY12" s="568" t="str">
        <f t="shared" si="26"/>
        <v/>
      </c>
      <c r="BZ12" s="568" t="str">
        <f t="shared" si="27"/>
        <v/>
      </c>
      <c r="CA12" s="568">
        <f t="shared" si="28"/>
        <v>37518</v>
      </c>
      <c r="CB12" s="568" t="str">
        <f t="shared" si="29"/>
        <v/>
      </c>
      <c r="CC12" s="568" t="str">
        <f t="shared" si="30"/>
        <v/>
      </c>
      <c r="CD12" s="568" t="str">
        <f t="shared" si="31"/>
        <v/>
      </c>
      <c r="CE12" s="568" t="str">
        <f t="shared" si="32"/>
        <v/>
      </c>
      <c r="CF12" s="568" t="str">
        <f t="shared" si="33"/>
        <v/>
      </c>
      <c r="CG12" s="568" t="str">
        <f t="shared" si="34"/>
        <v/>
      </c>
      <c r="CH12" s="568" t="str">
        <f t="shared" si="35"/>
        <v/>
      </c>
      <c r="CI12" s="568" t="str">
        <f t="shared" si="36"/>
        <v/>
      </c>
      <c r="CJ12" s="568" t="str">
        <f t="shared" si="37"/>
        <v/>
      </c>
      <c r="CK12" s="568" t="str">
        <f t="shared" si="38"/>
        <v/>
      </c>
      <c r="CL12" s="568" t="str">
        <f t="shared" si="39"/>
        <v/>
      </c>
      <c r="CM12" s="568" t="str">
        <f t="shared" si="40"/>
        <v/>
      </c>
      <c r="CN12" s="568" t="str">
        <f t="shared" si="41"/>
        <v/>
      </c>
      <c r="CO12" s="568" t="str">
        <f t="shared" si="42"/>
        <v/>
      </c>
      <c r="CP12" s="568" t="str">
        <f t="shared" si="43"/>
        <v/>
      </c>
      <c r="CQ12" s="568" t="str">
        <f t="shared" si="44"/>
        <v/>
      </c>
      <c r="CR12" s="568" t="str">
        <f t="shared" si="45"/>
        <v/>
      </c>
      <c r="CS12" s="568" t="str">
        <f t="shared" si="46"/>
        <v/>
      </c>
      <c r="CT12" s="568" t="str">
        <f t="shared" si="47"/>
        <v/>
      </c>
      <c r="CU12" s="568">
        <f t="shared" si="48"/>
        <v>37518</v>
      </c>
      <c r="CV12" s="568" t="str">
        <f t="shared" si="49"/>
        <v/>
      </c>
      <c r="CW12" s="568" t="str">
        <f t="shared" si="50"/>
        <v/>
      </c>
      <c r="CX12" s="568" t="str">
        <f t="shared" si="51"/>
        <v/>
      </c>
      <c r="CY12" s="568" t="str">
        <f t="shared" si="52"/>
        <v/>
      </c>
      <c r="CZ12" s="568" t="str">
        <f t="shared" si="53"/>
        <v/>
      </c>
      <c r="DA12" s="568" t="str">
        <f t="shared" si="54"/>
        <v/>
      </c>
      <c r="DB12" s="568" t="str">
        <f t="shared" si="55"/>
        <v/>
      </c>
      <c r="DC12" s="568" t="str">
        <f t="shared" si="56"/>
        <v/>
      </c>
      <c r="DD12" s="568" t="str">
        <f t="shared" si="57"/>
        <v/>
      </c>
      <c r="DE12" s="568" t="str">
        <f t="shared" si="58"/>
        <v/>
      </c>
      <c r="DF12" s="568" t="str">
        <f t="shared" si="59"/>
        <v/>
      </c>
      <c r="DG12" s="568" t="str">
        <f t="shared" si="60"/>
        <v/>
      </c>
      <c r="DH12" s="568" t="str">
        <f t="shared" si="61"/>
        <v/>
      </c>
      <c r="DI12" s="568" t="str">
        <f t="shared" si="62"/>
        <v/>
      </c>
      <c r="DJ12" s="568" t="str">
        <f t="shared" si="63"/>
        <v/>
      </c>
      <c r="DK12" s="568" t="str">
        <f t="shared" si="64"/>
        <v/>
      </c>
      <c r="DL12" s="568" t="str">
        <f t="shared" si="65"/>
        <v/>
      </c>
      <c r="DM12" s="568" t="str">
        <f t="shared" si="66"/>
        <v/>
      </c>
      <c r="DN12" s="568" t="str">
        <f t="shared" si="67"/>
        <v/>
      </c>
      <c r="DO12" s="568" t="str">
        <f t="shared" si="68"/>
        <v/>
      </c>
      <c r="DP12" s="568" t="str">
        <f t="shared" si="69"/>
        <v/>
      </c>
      <c r="DQ12" s="568" t="str">
        <f t="shared" si="70"/>
        <v/>
      </c>
      <c r="DR12" s="568" t="str">
        <f t="shared" si="71"/>
        <v/>
      </c>
      <c r="DS12" s="568" t="str">
        <f t="shared" si="72"/>
        <v/>
      </c>
      <c r="DT12" s="568">
        <f t="shared" si="73"/>
        <v>37</v>
      </c>
      <c r="DU12" s="568" t="str">
        <f t="shared" si="74"/>
        <v/>
      </c>
      <c r="DV12" s="568" t="str">
        <f t="shared" si="75"/>
        <v/>
      </c>
      <c r="DW12" s="568" t="str">
        <f t="shared" si="76"/>
        <v/>
      </c>
      <c r="DX12" s="568" t="str">
        <f t="shared" si="77"/>
        <v/>
      </c>
      <c r="DY12" s="568" t="str">
        <f t="shared" si="78"/>
        <v/>
      </c>
      <c r="DZ12" s="568" t="str">
        <f t="shared" si="79"/>
        <v/>
      </c>
      <c r="EA12" s="568" t="str">
        <f t="shared" si="80"/>
        <v/>
      </c>
      <c r="EB12" s="568" t="str">
        <f t="shared" si="81"/>
        <v/>
      </c>
      <c r="EC12" s="568" t="str">
        <f t="shared" si="82"/>
        <v/>
      </c>
      <c r="ED12" s="568" t="str">
        <f t="shared" si="83"/>
        <v/>
      </c>
      <c r="EE12" s="568" t="str">
        <f t="shared" si="84"/>
        <v/>
      </c>
      <c r="EF12" s="568" t="str">
        <f t="shared" si="85"/>
        <v/>
      </c>
      <c r="EG12" s="568" t="str">
        <f t="shared" si="86"/>
        <v/>
      </c>
      <c r="EH12" s="568" t="str">
        <f t="shared" si="87"/>
        <v/>
      </c>
      <c r="EI12" s="568" t="str">
        <f t="shared" si="88"/>
        <v/>
      </c>
      <c r="EJ12" s="568" t="str">
        <f t="shared" si="89"/>
        <v/>
      </c>
      <c r="EK12" s="568" t="str">
        <f t="shared" si="90"/>
        <v/>
      </c>
      <c r="EL12" s="568" t="str">
        <f t="shared" si="91"/>
        <v/>
      </c>
      <c r="EM12" s="568" t="str">
        <f t="shared" si="92"/>
        <v/>
      </c>
      <c r="EN12" s="568" t="str">
        <f t="shared" si="93"/>
        <v/>
      </c>
      <c r="EO12" s="568" t="str">
        <f t="shared" si="94"/>
        <v/>
      </c>
      <c r="EP12" s="568" t="str">
        <f t="shared" si="95"/>
        <v/>
      </c>
      <c r="EQ12" s="568" t="str">
        <f t="shared" si="96"/>
        <v/>
      </c>
      <c r="ER12" s="568" t="str">
        <f t="shared" si="97"/>
        <v/>
      </c>
      <c r="ES12" s="568" t="str">
        <f t="shared" si="98"/>
        <v/>
      </c>
      <c r="ET12" s="568" t="str">
        <f t="shared" si="99"/>
        <v/>
      </c>
      <c r="EU12" s="568" t="str">
        <f t="shared" si="100"/>
        <v/>
      </c>
      <c r="EV12" s="578" t="str">
        <f t="shared" si="101"/>
        <v/>
      </c>
      <c r="EW12" s="578" t="str">
        <f t="shared" si="102"/>
        <v/>
      </c>
      <c r="EX12" s="578" t="str">
        <f t="shared" si="103"/>
        <v/>
      </c>
      <c r="EY12" s="578" t="str">
        <f t="shared" si="104"/>
        <v/>
      </c>
      <c r="EZ12" s="578" t="str">
        <f t="shared" si="105"/>
        <v/>
      </c>
      <c r="FA12" s="578" t="str">
        <f t="shared" si="106"/>
        <v/>
      </c>
      <c r="FB12" s="578" t="str">
        <f t="shared" si="107"/>
        <v/>
      </c>
      <c r="FC12" s="578" t="str">
        <f t="shared" si="108"/>
        <v/>
      </c>
      <c r="FD12" s="578" t="str">
        <f t="shared" si="109"/>
        <v/>
      </c>
      <c r="FE12" s="578" t="str">
        <f t="shared" si="110"/>
        <v/>
      </c>
      <c r="FF12" s="578" t="str">
        <f t="shared" si="111"/>
        <v/>
      </c>
      <c r="FG12" s="578" t="str">
        <f t="shared" si="112"/>
        <v/>
      </c>
      <c r="FH12" s="578" t="str">
        <f t="shared" si="113"/>
        <v/>
      </c>
      <c r="FI12" s="578" t="str">
        <f t="shared" si="114"/>
        <v/>
      </c>
      <c r="FJ12" s="578" t="str">
        <f t="shared" si="115"/>
        <v/>
      </c>
      <c r="FK12" s="578" t="str">
        <f t="shared" si="116"/>
        <v/>
      </c>
      <c r="FL12" s="578" t="str">
        <f t="shared" si="117"/>
        <v/>
      </c>
      <c r="FM12" s="578">
        <f t="shared" si="118"/>
        <v>37</v>
      </c>
      <c r="FN12" s="578" t="str">
        <f t="shared" si="119"/>
        <v/>
      </c>
      <c r="FO12" s="578" t="str">
        <f t="shared" si="120"/>
        <v/>
      </c>
      <c r="FP12" s="578" t="str">
        <f t="shared" si="121"/>
        <v/>
      </c>
      <c r="FQ12" s="578" t="str">
        <f t="shared" si="122"/>
        <v/>
      </c>
      <c r="FR12" s="578" t="str">
        <f t="shared" si="123"/>
        <v/>
      </c>
      <c r="FS12" s="578" t="str">
        <f t="shared" si="124"/>
        <v/>
      </c>
      <c r="FT12" s="578" t="str">
        <f t="shared" si="125"/>
        <v/>
      </c>
      <c r="FU12" s="578" t="str">
        <f t="shared" si="126"/>
        <v/>
      </c>
      <c r="FV12" s="578" t="str">
        <f t="shared" si="127"/>
        <v/>
      </c>
      <c r="FW12" s="578" t="str">
        <f t="shared" si="128"/>
        <v/>
      </c>
      <c r="FX12" s="578" t="str">
        <f t="shared" si="129"/>
        <v/>
      </c>
      <c r="FY12" s="578" t="str">
        <f t="shared" si="130"/>
        <v/>
      </c>
      <c r="FZ12" s="578" t="str">
        <f t="shared" si="131"/>
        <v/>
      </c>
      <c r="GA12" s="578" t="str">
        <f t="shared" si="132"/>
        <v/>
      </c>
      <c r="GB12" s="578" t="str">
        <f t="shared" si="133"/>
        <v/>
      </c>
      <c r="GC12" s="578" t="str">
        <f t="shared" si="134"/>
        <v/>
      </c>
      <c r="GD12" s="578" t="str">
        <f t="shared" si="135"/>
        <v/>
      </c>
      <c r="GE12" s="578" t="str">
        <f t="shared" si="136"/>
        <v/>
      </c>
      <c r="GF12" s="578" t="str">
        <f t="shared" si="137"/>
        <v/>
      </c>
      <c r="GG12" s="578" t="str">
        <f t="shared" si="138"/>
        <v/>
      </c>
      <c r="GH12" s="578" t="str">
        <f t="shared" si="139"/>
        <v/>
      </c>
      <c r="GI12" s="578" t="str">
        <f t="shared" si="140"/>
        <v/>
      </c>
      <c r="GJ12" s="578" t="str">
        <f t="shared" si="141"/>
        <v/>
      </c>
      <c r="GK12" s="578" t="str">
        <f t="shared" si="142"/>
        <v/>
      </c>
      <c r="GL12" s="578" t="str">
        <f t="shared" si="143"/>
        <v/>
      </c>
      <c r="GM12" s="578" t="str">
        <f t="shared" si="144"/>
        <v/>
      </c>
      <c r="GN12" s="578" t="str">
        <f t="shared" si="145"/>
        <v/>
      </c>
      <c r="GO12" s="579" t="str">
        <f t="shared" si="146"/>
        <v/>
      </c>
      <c r="GP12" s="579" t="str">
        <f t="shared" si="147"/>
        <v/>
      </c>
      <c r="GQ12" s="579" t="str">
        <f t="shared" si="148"/>
        <v/>
      </c>
      <c r="GR12" s="579" t="str">
        <f t="shared" si="149"/>
        <v/>
      </c>
      <c r="GS12" s="579" t="str">
        <f t="shared" si="150"/>
        <v/>
      </c>
      <c r="GT12" s="568" t="str">
        <f t="shared" si="151"/>
        <v/>
      </c>
      <c r="GU12" s="568" t="str">
        <f t="shared" si="152"/>
        <v/>
      </c>
      <c r="GV12" s="568" t="str">
        <f t="shared" si="153"/>
        <v/>
      </c>
      <c r="GW12" s="568" t="str">
        <f t="shared" si="154"/>
        <v/>
      </c>
      <c r="GX12" s="568" t="str">
        <f t="shared" si="155"/>
        <v/>
      </c>
      <c r="GY12" s="568" t="str">
        <f t="shared" si="156"/>
        <v/>
      </c>
      <c r="GZ12" s="568" t="str">
        <f t="shared" si="157"/>
        <v/>
      </c>
      <c r="HA12" s="568" t="str">
        <f t="shared" si="158"/>
        <v/>
      </c>
      <c r="HB12" s="568" t="str">
        <f t="shared" si="159"/>
        <v/>
      </c>
      <c r="HC12" s="568" t="str">
        <f t="shared" si="160"/>
        <v/>
      </c>
      <c r="HD12" s="568" t="str">
        <f t="shared" si="161"/>
        <v/>
      </c>
      <c r="HE12" s="568" t="str">
        <f t="shared" si="162"/>
        <v/>
      </c>
      <c r="HF12" s="568" t="str">
        <f t="shared" si="163"/>
        <v/>
      </c>
      <c r="HG12" s="568" t="str">
        <f t="shared" si="164"/>
        <v/>
      </c>
      <c r="HH12" s="568" t="str">
        <f t="shared" si="165"/>
        <v/>
      </c>
      <c r="HI12" s="568" t="str">
        <f t="shared" si="166"/>
        <v/>
      </c>
      <c r="HJ12" s="568" t="str">
        <f t="shared" si="167"/>
        <v/>
      </c>
      <c r="HK12" s="568" t="str">
        <f t="shared" si="168"/>
        <v/>
      </c>
      <c r="HL12" s="568" t="str">
        <f t="shared" si="169"/>
        <v/>
      </c>
      <c r="HM12" s="568" t="str">
        <f t="shared" si="170"/>
        <v/>
      </c>
    </row>
    <row r="13" spans="1:255" ht="13.15" customHeight="1">
      <c r="A13" s="126" t="str">
        <f t="shared" si="171"/>
        <v/>
      </c>
      <c r="B13" s="1748" t="s">
        <v>1218</v>
      </c>
      <c r="C13" s="1749">
        <v>3</v>
      </c>
      <c r="D13" s="1750">
        <v>2</v>
      </c>
      <c r="E13" s="1751">
        <v>7</v>
      </c>
      <c r="F13" s="1751">
        <v>1250</v>
      </c>
      <c r="G13" s="1751">
        <v>816</v>
      </c>
      <c r="H13" s="1751">
        <v>863</v>
      </c>
      <c r="I13" s="1751">
        <v>190</v>
      </c>
      <c r="J13" s="1752" t="s">
        <v>3779</v>
      </c>
      <c r="K13" s="199">
        <f t="shared" si="172"/>
        <v>673</v>
      </c>
      <c r="L13" s="199">
        <f t="shared" si="0"/>
        <v>4711</v>
      </c>
      <c r="M13" s="1753" t="s">
        <v>3702</v>
      </c>
      <c r="N13" s="1753" t="s">
        <v>598</v>
      </c>
      <c r="O13" s="1753" t="s">
        <v>3780</v>
      </c>
      <c r="P13" s="519">
        <f>IF(H13="","",H13*12/0.3)</f>
        <v>34520</v>
      </c>
      <c r="Q13" s="520">
        <f>IF(H13="","",P13/($P$6*VLOOKUP(C13,'DCA Underwriting Assumptions'!$J$82:$K$87,2,FALSE)))</f>
        <v>0.63465215472863656</v>
      </c>
      <c r="R13" s="605"/>
      <c r="S13" s="520"/>
      <c r="T13" s="1754"/>
      <c r="U13" s="1755"/>
      <c r="V13" s="568" t="str">
        <f t="shared" si="1"/>
        <v/>
      </c>
      <c r="W13" s="568" t="str">
        <f t="shared" si="2"/>
        <v/>
      </c>
      <c r="X13" s="568" t="str">
        <f t="shared" si="3"/>
        <v/>
      </c>
      <c r="Y13" s="568">
        <f t="shared" si="4"/>
        <v>7</v>
      </c>
      <c r="Z13" s="568" t="str">
        <f t="shared" si="5"/>
        <v/>
      </c>
      <c r="AA13" s="568" t="str">
        <f t="shared" si="6"/>
        <v/>
      </c>
      <c r="AB13" s="568" t="str">
        <f t="shared" si="7"/>
        <v/>
      </c>
      <c r="AC13" s="568" t="str">
        <f t="shared" si="8"/>
        <v/>
      </c>
      <c r="AD13" s="568" t="str">
        <f t="shared" si="9"/>
        <v/>
      </c>
      <c r="AE13" s="568" t="str">
        <f t="shared" si="10"/>
        <v/>
      </c>
      <c r="AF13" s="568" t="str">
        <f t="shared" si="11"/>
        <v/>
      </c>
      <c r="AG13" s="568" t="str">
        <f t="shared" si="12"/>
        <v/>
      </c>
      <c r="AH13" s="568" t="str">
        <f t="shared" si="13"/>
        <v/>
      </c>
      <c r="AI13" s="568" t="str">
        <f t="shared" si="14"/>
        <v/>
      </c>
      <c r="AJ13" s="568" t="str">
        <f t="shared" si="15"/>
        <v/>
      </c>
      <c r="AK13" s="568" t="str">
        <f t="shared" si="16"/>
        <v/>
      </c>
      <c r="AL13" s="568" t="str">
        <f t="shared" si="17"/>
        <v/>
      </c>
      <c r="AM13" s="568" t="str">
        <f t="shared" si="18"/>
        <v/>
      </c>
      <c r="AN13" s="568" t="str">
        <f t="shared" si="19"/>
        <v/>
      </c>
      <c r="AO13" s="568" t="str">
        <f t="shared" si="20"/>
        <v/>
      </c>
      <c r="AP13" s="568" t="str">
        <f t="shared" si="173"/>
        <v/>
      </c>
      <c r="AQ13" s="568" t="str">
        <f t="shared" si="174"/>
        <v/>
      </c>
      <c r="AR13" s="568" t="str">
        <f t="shared" si="175"/>
        <v/>
      </c>
      <c r="AS13" s="568" t="str">
        <f t="shared" si="176"/>
        <v/>
      </c>
      <c r="AT13" s="568" t="str">
        <f t="shared" si="177"/>
        <v/>
      </c>
      <c r="AU13" s="568" t="str">
        <f t="shared" si="178"/>
        <v/>
      </c>
      <c r="AV13" s="568" t="str">
        <f t="shared" si="179"/>
        <v/>
      </c>
      <c r="AW13" s="568" t="str">
        <f t="shared" si="180"/>
        <v/>
      </c>
      <c r="AX13" s="568" t="str">
        <f t="shared" si="181"/>
        <v/>
      </c>
      <c r="AY13" s="568" t="str">
        <f t="shared" si="182"/>
        <v/>
      </c>
      <c r="AZ13" s="568" t="str">
        <f t="shared" si="183"/>
        <v/>
      </c>
      <c r="BA13" s="568" t="str">
        <f t="shared" si="184"/>
        <v/>
      </c>
      <c r="BB13" s="568" t="str">
        <f t="shared" si="185"/>
        <v/>
      </c>
      <c r="BC13" s="568">
        <f t="shared" si="186"/>
        <v>7</v>
      </c>
      <c r="BD13" s="568" t="str">
        <f t="shared" si="187"/>
        <v/>
      </c>
      <c r="BE13" s="568" t="str">
        <f t="shared" si="188"/>
        <v/>
      </c>
      <c r="BF13" s="568" t="str">
        <f t="shared" si="189"/>
        <v/>
      </c>
      <c r="BG13" s="568" t="str">
        <f t="shared" si="190"/>
        <v/>
      </c>
      <c r="BH13" s="568" t="str">
        <f t="shared" si="191"/>
        <v/>
      </c>
      <c r="BI13" s="568" t="str">
        <f t="shared" si="192"/>
        <v/>
      </c>
      <c r="BJ13" s="568" t="str">
        <f t="shared" si="193"/>
        <v/>
      </c>
      <c r="BK13" s="568" t="str">
        <f t="shared" si="194"/>
        <v/>
      </c>
      <c r="BL13" s="568" t="str">
        <f t="shared" si="195"/>
        <v/>
      </c>
      <c r="BM13" s="568" t="str">
        <f t="shared" si="196"/>
        <v/>
      </c>
      <c r="BN13" s="568" t="str">
        <f t="shared" si="197"/>
        <v/>
      </c>
      <c r="BO13" s="568" t="str">
        <f t="shared" si="198"/>
        <v/>
      </c>
      <c r="BP13" s="568" t="str">
        <f t="shared" si="199"/>
        <v/>
      </c>
      <c r="BQ13" s="568" t="str">
        <f t="shared" si="200"/>
        <v/>
      </c>
      <c r="BR13" s="568" t="str">
        <f t="shared" si="201"/>
        <v/>
      </c>
      <c r="BS13" s="568" t="str">
        <f t="shared" si="202"/>
        <v/>
      </c>
      <c r="BT13" s="568" t="str">
        <f t="shared" si="21"/>
        <v/>
      </c>
      <c r="BU13" s="568" t="str">
        <f t="shared" si="22"/>
        <v/>
      </c>
      <c r="BV13" s="568" t="str">
        <f t="shared" si="23"/>
        <v/>
      </c>
      <c r="BW13" s="568" t="str">
        <f t="shared" si="24"/>
        <v/>
      </c>
      <c r="BX13" s="568" t="str">
        <f t="shared" si="25"/>
        <v/>
      </c>
      <c r="BY13" s="568" t="str">
        <f t="shared" si="26"/>
        <v/>
      </c>
      <c r="BZ13" s="568" t="str">
        <f t="shared" si="27"/>
        <v/>
      </c>
      <c r="CA13" s="568" t="str">
        <f t="shared" si="28"/>
        <v/>
      </c>
      <c r="CB13" s="568">
        <f t="shared" si="29"/>
        <v>8750</v>
      </c>
      <c r="CC13" s="568" t="str">
        <f t="shared" si="30"/>
        <v/>
      </c>
      <c r="CD13" s="568" t="str">
        <f t="shared" si="31"/>
        <v/>
      </c>
      <c r="CE13" s="568" t="str">
        <f t="shared" si="32"/>
        <v/>
      </c>
      <c r="CF13" s="568" t="str">
        <f t="shared" si="33"/>
        <v/>
      </c>
      <c r="CG13" s="568" t="str">
        <f t="shared" si="34"/>
        <v/>
      </c>
      <c r="CH13" s="568" t="str">
        <f t="shared" si="35"/>
        <v/>
      </c>
      <c r="CI13" s="568" t="str">
        <f t="shared" si="36"/>
        <v/>
      </c>
      <c r="CJ13" s="568" t="str">
        <f t="shared" si="37"/>
        <v/>
      </c>
      <c r="CK13" s="568" t="str">
        <f t="shared" si="38"/>
        <v/>
      </c>
      <c r="CL13" s="568" t="str">
        <f t="shared" si="39"/>
        <v/>
      </c>
      <c r="CM13" s="568" t="str">
        <f t="shared" si="40"/>
        <v/>
      </c>
      <c r="CN13" s="568" t="str">
        <f t="shared" si="41"/>
        <v/>
      </c>
      <c r="CO13" s="568" t="str">
        <f t="shared" si="42"/>
        <v/>
      </c>
      <c r="CP13" s="568" t="str">
        <f t="shared" si="43"/>
        <v/>
      </c>
      <c r="CQ13" s="568" t="str">
        <f t="shared" si="44"/>
        <v/>
      </c>
      <c r="CR13" s="568" t="str">
        <f t="shared" si="45"/>
        <v/>
      </c>
      <c r="CS13" s="568" t="str">
        <f t="shared" si="46"/>
        <v/>
      </c>
      <c r="CT13" s="568" t="str">
        <f t="shared" si="47"/>
        <v/>
      </c>
      <c r="CU13" s="568" t="str">
        <f t="shared" si="48"/>
        <v/>
      </c>
      <c r="CV13" s="568">
        <f t="shared" si="49"/>
        <v>8750</v>
      </c>
      <c r="CW13" s="568" t="str">
        <f t="shared" si="50"/>
        <v/>
      </c>
      <c r="CX13" s="568" t="str">
        <f t="shared" si="51"/>
        <v/>
      </c>
      <c r="CY13" s="568" t="str">
        <f t="shared" si="52"/>
        <v/>
      </c>
      <c r="CZ13" s="568" t="str">
        <f t="shared" si="53"/>
        <v/>
      </c>
      <c r="DA13" s="568" t="str">
        <f t="shared" si="54"/>
        <v/>
      </c>
      <c r="DB13" s="568" t="str">
        <f t="shared" si="55"/>
        <v/>
      </c>
      <c r="DC13" s="568" t="str">
        <f t="shared" si="56"/>
        <v/>
      </c>
      <c r="DD13" s="568" t="str">
        <f t="shared" si="57"/>
        <v/>
      </c>
      <c r="DE13" s="568" t="str">
        <f t="shared" si="58"/>
        <v/>
      </c>
      <c r="DF13" s="568" t="str">
        <f t="shared" si="59"/>
        <v/>
      </c>
      <c r="DG13" s="568" t="str">
        <f t="shared" si="60"/>
        <v/>
      </c>
      <c r="DH13" s="568" t="str">
        <f t="shared" si="61"/>
        <v/>
      </c>
      <c r="DI13" s="568" t="str">
        <f t="shared" si="62"/>
        <v/>
      </c>
      <c r="DJ13" s="568" t="str">
        <f t="shared" si="63"/>
        <v/>
      </c>
      <c r="DK13" s="568" t="str">
        <f t="shared" si="64"/>
        <v/>
      </c>
      <c r="DL13" s="568" t="str">
        <f t="shared" si="65"/>
        <v/>
      </c>
      <c r="DM13" s="568" t="str">
        <f t="shared" si="66"/>
        <v/>
      </c>
      <c r="DN13" s="568" t="str">
        <f t="shared" si="67"/>
        <v/>
      </c>
      <c r="DO13" s="568" t="str">
        <f t="shared" si="68"/>
        <v/>
      </c>
      <c r="DP13" s="568" t="str">
        <f t="shared" si="69"/>
        <v/>
      </c>
      <c r="DQ13" s="568" t="str">
        <f t="shared" si="70"/>
        <v/>
      </c>
      <c r="DR13" s="568" t="str">
        <f t="shared" si="71"/>
        <v/>
      </c>
      <c r="DS13" s="568" t="str">
        <f t="shared" si="72"/>
        <v/>
      </c>
      <c r="DT13" s="568" t="str">
        <f t="shared" si="73"/>
        <v/>
      </c>
      <c r="DU13" s="568">
        <f t="shared" si="74"/>
        <v>7</v>
      </c>
      <c r="DV13" s="568" t="str">
        <f t="shared" si="75"/>
        <v/>
      </c>
      <c r="DW13" s="568" t="str">
        <f t="shared" si="76"/>
        <v/>
      </c>
      <c r="DX13" s="568" t="str">
        <f t="shared" si="77"/>
        <v/>
      </c>
      <c r="DY13" s="568" t="str">
        <f t="shared" si="78"/>
        <v/>
      </c>
      <c r="DZ13" s="568" t="str">
        <f t="shared" si="79"/>
        <v/>
      </c>
      <c r="EA13" s="568" t="str">
        <f t="shared" si="80"/>
        <v/>
      </c>
      <c r="EB13" s="568" t="str">
        <f t="shared" si="81"/>
        <v/>
      </c>
      <c r="EC13" s="568" t="str">
        <f t="shared" si="82"/>
        <v/>
      </c>
      <c r="ED13" s="568" t="str">
        <f t="shared" si="83"/>
        <v/>
      </c>
      <c r="EE13" s="568" t="str">
        <f t="shared" si="84"/>
        <v/>
      </c>
      <c r="EF13" s="568" t="str">
        <f t="shared" si="85"/>
        <v/>
      </c>
      <c r="EG13" s="568" t="str">
        <f t="shared" si="86"/>
        <v/>
      </c>
      <c r="EH13" s="568" t="str">
        <f t="shared" si="87"/>
        <v/>
      </c>
      <c r="EI13" s="568" t="str">
        <f t="shared" si="88"/>
        <v/>
      </c>
      <c r="EJ13" s="568" t="str">
        <f t="shared" si="89"/>
        <v/>
      </c>
      <c r="EK13" s="568" t="str">
        <f t="shared" si="90"/>
        <v/>
      </c>
      <c r="EL13" s="568" t="str">
        <f t="shared" si="91"/>
        <v/>
      </c>
      <c r="EM13" s="568" t="str">
        <f t="shared" si="92"/>
        <v/>
      </c>
      <c r="EN13" s="568" t="str">
        <f t="shared" si="93"/>
        <v/>
      </c>
      <c r="EO13" s="568" t="str">
        <f t="shared" si="94"/>
        <v/>
      </c>
      <c r="EP13" s="568" t="str">
        <f t="shared" si="95"/>
        <v/>
      </c>
      <c r="EQ13" s="568" t="str">
        <f t="shared" si="96"/>
        <v/>
      </c>
      <c r="ER13" s="568" t="str">
        <f t="shared" si="97"/>
        <v/>
      </c>
      <c r="ES13" s="568" t="str">
        <f t="shared" si="98"/>
        <v/>
      </c>
      <c r="ET13" s="568" t="str">
        <f t="shared" si="99"/>
        <v/>
      </c>
      <c r="EU13" s="568" t="str">
        <f t="shared" si="100"/>
        <v/>
      </c>
      <c r="EV13" s="578" t="str">
        <f t="shared" si="101"/>
        <v/>
      </c>
      <c r="EW13" s="578" t="str">
        <f t="shared" si="102"/>
        <v/>
      </c>
      <c r="EX13" s="578" t="str">
        <f t="shared" si="103"/>
        <v/>
      </c>
      <c r="EY13" s="578" t="str">
        <f t="shared" si="104"/>
        <v/>
      </c>
      <c r="EZ13" s="578" t="str">
        <f t="shared" si="105"/>
        <v/>
      </c>
      <c r="FA13" s="578" t="str">
        <f t="shared" si="106"/>
        <v/>
      </c>
      <c r="FB13" s="578" t="str">
        <f t="shared" si="107"/>
        <v/>
      </c>
      <c r="FC13" s="578" t="str">
        <f t="shared" si="108"/>
        <v/>
      </c>
      <c r="FD13" s="578" t="str">
        <f t="shared" si="109"/>
        <v/>
      </c>
      <c r="FE13" s="578" t="str">
        <f t="shared" si="110"/>
        <v/>
      </c>
      <c r="FF13" s="578" t="str">
        <f t="shared" si="111"/>
        <v/>
      </c>
      <c r="FG13" s="578" t="str">
        <f t="shared" si="112"/>
        <v/>
      </c>
      <c r="FH13" s="578" t="str">
        <f t="shared" si="113"/>
        <v/>
      </c>
      <c r="FI13" s="578" t="str">
        <f t="shared" si="114"/>
        <v/>
      </c>
      <c r="FJ13" s="578" t="str">
        <f t="shared" si="115"/>
        <v/>
      </c>
      <c r="FK13" s="578" t="str">
        <f t="shared" si="116"/>
        <v/>
      </c>
      <c r="FL13" s="578" t="str">
        <f t="shared" si="117"/>
        <v/>
      </c>
      <c r="FM13" s="578" t="str">
        <f t="shared" si="118"/>
        <v/>
      </c>
      <c r="FN13" s="578">
        <f t="shared" si="119"/>
        <v>7</v>
      </c>
      <c r="FO13" s="578" t="str">
        <f t="shared" si="120"/>
        <v/>
      </c>
      <c r="FP13" s="578" t="str">
        <f t="shared" si="121"/>
        <v/>
      </c>
      <c r="FQ13" s="578" t="str">
        <f t="shared" si="122"/>
        <v/>
      </c>
      <c r="FR13" s="578" t="str">
        <f t="shared" si="123"/>
        <v/>
      </c>
      <c r="FS13" s="578" t="str">
        <f t="shared" si="124"/>
        <v/>
      </c>
      <c r="FT13" s="578" t="str">
        <f t="shared" si="125"/>
        <v/>
      </c>
      <c r="FU13" s="578" t="str">
        <f t="shared" si="126"/>
        <v/>
      </c>
      <c r="FV13" s="578" t="str">
        <f t="shared" si="127"/>
        <v/>
      </c>
      <c r="FW13" s="578" t="str">
        <f t="shared" si="128"/>
        <v/>
      </c>
      <c r="FX13" s="578" t="str">
        <f t="shared" si="129"/>
        <v/>
      </c>
      <c r="FY13" s="578" t="str">
        <f t="shared" si="130"/>
        <v/>
      </c>
      <c r="FZ13" s="578" t="str">
        <f t="shared" si="131"/>
        <v/>
      </c>
      <c r="GA13" s="578" t="str">
        <f t="shared" si="132"/>
        <v/>
      </c>
      <c r="GB13" s="578" t="str">
        <f t="shared" si="133"/>
        <v/>
      </c>
      <c r="GC13" s="578" t="str">
        <f t="shared" si="134"/>
        <v/>
      </c>
      <c r="GD13" s="578" t="str">
        <f t="shared" si="135"/>
        <v/>
      </c>
      <c r="GE13" s="578" t="str">
        <f t="shared" si="136"/>
        <v/>
      </c>
      <c r="GF13" s="578" t="str">
        <f t="shared" si="137"/>
        <v/>
      </c>
      <c r="GG13" s="578" t="str">
        <f t="shared" si="138"/>
        <v/>
      </c>
      <c r="GH13" s="578" t="str">
        <f t="shared" si="139"/>
        <v/>
      </c>
      <c r="GI13" s="578" t="str">
        <f t="shared" si="140"/>
        <v/>
      </c>
      <c r="GJ13" s="578" t="str">
        <f t="shared" si="141"/>
        <v/>
      </c>
      <c r="GK13" s="578" t="str">
        <f t="shared" si="142"/>
        <v/>
      </c>
      <c r="GL13" s="578" t="str">
        <f t="shared" si="143"/>
        <v/>
      </c>
      <c r="GM13" s="578" t="str">
        <f t="shared" si="144"/>
        <v/>
      </c>
      <c r="GN13" s="578" t="str">
        <f t="shared" si="145"/>
        <v/>
      </c>
      <c r="GO13" s="579" t="str">
        <f t="shared" si="146"/>
        <v/>
      </c>
      <c r="GP13" s="579" t="str">
        <f t="shared" si="147"/>
        <v/>
      </c>
      <c r="GQ13" s="579" t="str">
        <f t="shared" si="148"/>
        <v/>
      </c>
      <c r="GR13" s="579" t="str">
        <f t="shared" si="149"/>
        <v/>
      </c>
      <c r="GS13" s="579" t="str">
        <f t="shared" si="150"/>
        <v/>
      </c>
      <c r="GT13" s="568" t="str">
        <f t="shared" si="151"/>
        <v/>
      </c>
      <c r="GU13" s="568" t="str">
        <f t="shared" si="152"/>
        <v/>
      </c>
      <c r="GV13" s="568" t="str">
        <f t="shared" si="153"/>
        <v/>
      </c>
      <c r="GW13" s="568" t="str">
        <f t="shared" si="154"/>
        <v/>
      </c>
      <c r="GX13" s="568" t="str">
        <f t="shared" si="155"/>
        <v/>
      </c>
      <c r="GY13" s="568" t="str">
        <f t="shared" si="156"/>
        <v/>
      </c>
      <c r="GZ13" s="568" t="str">
        <f t="shared" si="157"/>
        <v/>
      </c>
      <c r="HA13" s="568" t="str">
        <f t="shared" si="158"/>
        <v/>
      </c>
      <c r="HB13" s="568" t="str">
        <f t="shared" si="159"/>
        <v/>
      </c>
      <c r="HC13" s="568" t="str">
        <f t="shared" si="160"/>
        <v/>
      </c>
      <c r="HD13" s="568" t="str">
        <f t="shared" si="161"/>
        <v/>
      </c>
      <c r="HE13" s="568" t="str">
        <f t="shared" si="162"/>
        <v/>
      </c>
      <c r="HF13" s="568" t="str">
        <f t="shared" si="163"/>
        <v/>
      </c>
      <c r="HG13" s="568" t="str">
        <f t="shared" si="164"/>
        <v/>
      </c>
      <c r="HH13" s="568" t="str">
        <f t="shared" si="165"/>
        <v/>
      </c>
      <c r="HI13" s="568" t="str">
        <f t="shared" si="166"/>
        <v/>
      </c>
      <c r="HJ13" s="568" t="str">
        <f t="shared" si="167"/>
        <v/>
      </c>
      <c r="HK13" s="568" t="str">
        <f t="shared" si="168"/>
        <v/>
      </c>
      <c r="HL13" s="568" t="str">
        <f t="shared" si="169"/>
        <v/>
      </c>
      <c r="HM13" s="568" t="str">
        <f t="shared" si="170"/>
        <v/>
      </c>
    </row>
    <row r="14" spans="1:255" ht="13.15" customHeight="1">
      <c r="A14" s="126" t="str">
        <f t="shared" si="171"/>
        <v/>
      </c>
      <c r="B14" s="1748" t="s">
        <v>1218</v>
      </c>
      <c r="C14" s="1749">
        <v>3</v>
      </c>
      <c r="D14" s="1750">
        <v>2</v>
      </c>
      <c r="E14" s="1751">
        <v>5</v>
      </c>
      <c r="F14" s="1751">
        <v>1250</v>
      </c>
      <c r="G14" s="1751">
        <v>816</v>
      </c>
      <c r="H14" s="1751">
        <v>863</v>
      </c>
      <c r="I14" s="1751">
        <v>190</v>
      </c>
      <c r="J14" s="1752" t="s">
        <v>3779</v>
      </c>
      <c r="K14" s="199">
        <f t="shared" si="172"/>
        <v>673</v>
      </c>
      <c r="L14" s="199">
        <f t="shared" si="0"/>
        <v>3365</v>
      </c>
      <c r="M14" s="1753" t="s">
        <v>3702</v>
      </c>
      <c r="N14" s="1753" t="s">
        <v>43</v>
      </c>
      <c r="O14" s="1753" t="s">
        <v>3780</v>
      </c>
      <c r="P14" s="519">
        <f>IF(H14="","",H14*12/0.3)</f>
        <v>34520</v>
      </c>
      <c r="Q14" s="520">
        <f>IF(H14="","",P14/($P$6*VLOOKUP(C14,'DCA Underwriting Assumptions'!$J$82:$K$87,2,FALSE)))</f>
        <v>0.63465215472863656</v>
      </c>
      <c r="R14" s="605"/>
      <c r="S14" s="520"/>
      <c r="T14" s="1754"/>
      <c r="U14" s="1755"/>
      <c r="V14" s="568" t="str">
        <f t="shared" si="1"/>
        <v/>
      </c>
      <c r="W14" s="568" t="str">
        <f t="shared" si="2"/>
        <v/>
      </c>
      <c r="X14" s="568" t="str">
        <f t="shared" si="3"/>
        <v/>
      </c>
      <c r="Y14" s="568">
        <f t="shared" si="4"/>
        <v>5</v>
      </c>
      <c r="Z14" s="568" t="str">
        <f t="shared" si="5"/>
        <v/>
      </c>
      <c r="AA14" s="568" t="str">
        <f t="shared" si="6"/>
        <v/>
      </c>
      <c r="AB14" s="568" t="str">
        <f t="shared" si="7"/>
        <v/>
      </c>
      <c r="AC14" s="568" t="str">
        <f t="shared" si="8"/>
        <v/>
      </c>
      <c r="AD14" s="568" t="str">
        <f t="shared" si="9"/>
        <v/>
      </c>
      <c r="AE14" s="568" t="str">
        <f t="shared" si="10"/>
        <v/>
      </c>
      <c r="AF14" s="568" t="str">
        <f t="shared" si="11"/>
        <v/>
      </c>
      <c r="AG14" s="568" t="str">
        <f t="shared" si="12"/>
        <v/>
      </c>
      <c r="AH14" s="568" t="str">
        <f t="shared" si="13"/>
        <v/>
      </c>
      <c r="AI14" s="568" t="str">
        <f t="shared" si="14"/>
        <v/>
      </c>
      <c r="AJ14" s="568" t="str">
        <f t="shared" si="15"/>
        <v/>
      </c>
      <c r="AK14" s="568" t="str">
        <f t="shared" si="16"/>
        <v/>
      </c>
      <c r="AL14" s="568" t="str">
        <f t="shared" si="17"/>
        <v/>
      </c>
      <c r="AM14" s="568" t="str">
        <f t="shared" si="18"/>
        <v/>
      </c>
      <c r="AN14" s="568" t="str">
        <f t="shared" si="19"/>
        <v/>
      </c>
      <c r="AO14" s="568" t="str">
        <f t="shared" si="20"/>
        <v/>
      </c>
      <c r="AP14" s="568" t="str">
        <f t="shared" si="173"/>
        <v/>
      </c>
      <c r="AQ14" s="568" t="str">
        <f t="shared" si="174"/>
        <v/>
      </c>
      <c r="AR14" s="568" t="str">
        <f t="shared" si="175"/>
        <v/>
      </c>
      <c r="AS14" s="568" t="str">
        <f t="shared" si="176"/>
        <v/>
      </c>
      <c r="AT14" s="568" t="str">
        <f t="shared" si="177"/>
        <v/>
      </c>
      <c r="AU14" s="568" t="str">
        <f t="shared" si="178"/>
        <v/>
      </c>
      <c r="AV14" s="568" t="str">
        <f t="shared" si="179"/>
        <v/>
      </c>
      <c r="AW14" s="568" t="str">
        <f t="shared" si="180"/>
        <v/>
      </c>
      <c r="AX14" s="568" t="str">
        <f t="shared" si="181"/>
        <v/>
      </c>
      <c r="AY14" s="568" t="str">
        <f t="shared" si="182"/>
        <v/>
      </c>
      <c r="AZ14" s="568" t="str">
        <f t="shared" si="183"/>
        <v/>
      </c>
      <c r="BA14" s="568" t="str">
        <f t="shared" si="184"/>
        <v/>
      </c>
      <c r="BB14" s="568" t="str">
        <f t="shared" si="185"/>
        <v/>
      </c>
      <c r="BC14" s="568">
        <f t="shared" si="186"/>
        <v>5</v>
      </c>
      <c r="BD14" s="568" t="str">
        <f t="shared" si="187"/>
        <v/>
      </c>
      <c r="BE14" s="568" t="str">
        <f t="shared" si="188"/>
        <v/>
      </c>
      <c r="BF14" s="568" t="str">
        <f t="shared" si="189"/>
        <v/>
      </c>
      <c r="BG14" s="568" t="str">
        <f t="shared" si="190"/>
        <v/>
      </c>
      <c r="BH14" s="568" t="str">
        <f t="shared" si="191"/>
        <v/>
      </c>
      <c r="BI14" s="568" t="str">
        <f t="shared" si="192"/>
        <v/>
      </c>
      <c r="BJ14" s="568" t="str">
        <f t="shared" si="193"/>
        <v/>
      </c>
      <c r="BK14" s="568" t="str">
        <f t="shared" si="194"/>
        <v/>
      </c>
      <c r="BL14" s="568" t="str">
        <f t="shared" si="195"/>
        <v/>
      </c>
      <c r="BM14" s="568" t="str">
        <f t="shared" si="196"/>
        <v/>
      </c>
      <c r="BN14" s="568" t="str">
        <f t="shared" si="197"/>
        <v/>
      </c>
      <c r="BO14" s="568" t="str">
        <f t="shared" si="198"/>
        <v/>
      </c>
      <c r="BP14" s="568" t="str">
        <f t="shared" si="199"/>
        <v/>
      </c>
      <c r="BQ14" s="568" t="str">
        <f t="shared" si="200"/>
        <v/>
      </c>
      <c r="BR14" s="568" t="str">
        <f t="shared" si="201"/>
        <v/>
      </c>
      <c r="BS14" s="568" t="str">
        <f t="shared" si="202"/>
        <v/>
      </c>
      <c r="BT14" s="568" t="str">
        <f t="shared" si="21"/>
        <v/>
      </c>
      <c r="BU14" s="568" t="str">
        <f t="shared" si="22"/>
        <v/>
      </c>
      <c r="BV14" s="568" t="str">
        <f t="shared" si="23"/>
        <v/>
      </c>
      <c r="BW14" s="568" t="str">
        <f t="shared" si="24"/>
        <v/>
      </c>
      <c r="BX14" s="568" t="str">
        <f t="shared" si="25"/>
        <v/>
      </c>
      <c r="BY14" s="568" t="str">
        <f t="shared" si="26"/>
        <v/>
      </c>
      <c r="BZ14" s="568" t="str">
        <f t="shared" si="27"/>
        <v/>
      </c>
      <c r="CA14" s="568" t="str">
        <f t="shared" si="28"/>
        <v/>
      </c>
      <c r="CB14" s="568">
        <f t="shared" si="29"/>
        <v>6250</v>
      </c>
      <c r="CC14" s="568" t="str">
        <f t="shared" si="30"/>
        <v/>
      </c>
      <c r="CD14" s="568" t="str">
        <f t="shared" si="31"/>
        <v/>
      </c>
      <c r="CE14" s="568" t="str">
        <f t="shared" si="32"/>
        <v/>
      </c>
      <c r="CF14" s="568" t="str">
        <f t="shared" si="33"/>
        <v/>
      </c>
      <c r="CG14" s="568" t="str">
        <f t="shared" si="34"/>
        <v/>
      </c>
      <c r="CH14" s="568" t="str">
        <f t="shared" si="35"/>
        <v/>
      </c>
      <c r="CI14" s="568" t="str">
        <f t="shared" si="36"/>
        <v/>
      </c>
      <c r="CJ14" s="568" t="str">
        <f t="shared" si="37"/>
        <v/>
      </c>
      <c r="CK14" s="568" t="str">
        <f t="shared" si="38"/>
        <v/>
      </c>
      <c r="CL14" s="568" t="str">
        <f t="shared" si="39"/>
        <v/>
      </c>
      <c r="CM14" s="568" t="str">
        <f t="shared" si="40"/>
        <v/>
      </c>
      <c r="CN14" s="568" t="str">
        <f t="shared" si="41"/>
        <v/>
      </c>
      <c r="CO14" s="568" t="str">
        <f t="shared" si="42"/>
        <v/>
      </c>
      <c r="CP14" s="568" t="str">
        <f t="shared" si="43"/>
        <v/>
      </c>
      <c r="CQ14" s="568" t="str">
        <f t="shared" si="44"/>
        <v/>
      </c>
      <c r="CR14" s="568" t="str">
        <f t="shared" si="45"/>
        <v/>
      </c>
      <c r="CS14" s="568" t="str">
        <f t="shared" si="46"/>
        <v/>
      </c>
      <c r="CT14" s="568" t="str">
        <f t="shared" si="47"/>
        <v/>
      </c>
      <c r="CU14" s="568" t="str">
        <f t="shared" si="48"/>
        <v/>
      </c>
      <c r="CV14" s="568">
        <f t="shared" si="49"/>
        <v>6250</v>
      </c>
      <c r="CW14" s="568" t="str">
        <f t="shared" si="50"/>
        <v/>
      </c>
      <c r="CX14" s="568" t="str">
        <f t="shared" si="51"/>
        <v/>
      </c>
      <c r="CY14" s="568" t="str">
        <f t="shared" si="52"/>
        <v/>
      </c>
      <c r="CZ14" s="568" t="str">
        <f t="shared" si="53"/>
        <v/>
      </c>
      <c r="DA14" s="568" t="str">
        <f t="shared" si="54"/>
        <v/>
      </c>
      <c r="DB14" s="568" t="str">
        <f t="shared" si="55"/>
        <v/>
      </c>
      <c r="DC14" s="568" t="str">
        <f t="shared" si="56"/>
        <v/>
      </c>
      <c r="DD14" s="568" t="str">
        <f t="shared" si="57"/>
        <v/>
      </c>
      <c r="DE14" s="568" t="str">
        <f t="shared" si="58"/>
        <v/>
      </c>
      <c r="DF14" s="568" t="str">
        <f t="shared" si="59"/>
        <v/>
      </c>
      <c r="DG14" s="568" t="str">
        <f t="shared" si="60"/>
        <v/>
      </c>
      <c r="DH14" s="568" t="str">
        <f t="shared" si="61"/>
        <v/>
      </c>
      <c r="DI14" s="568" t="str">
        <f t="shared" si="62"/>
        <v/>
      </c>
      <c r="DJ14" s="568" t="str">
        <f t="shared" si="63"/>
        <v/>
      </c>
      <c r="DK14" s="568" t="str">
        <f t="shared" si="64"/>
        <v/>
      </c>
      <c r="DL14" s="568" t="str">
        <f t="shared" si="65"/>
        <v/>
      </c>
      <c r="DM14" s="568" t="str">
        <f t="shared" si="66"/>
        <v/>
      </c>
      <c r="DN14" s="568" t="str">
        <f t="shared" si="67"/>
        <v/>
      </c>
      <c r="DO14" s="568" t="str">
        <f t="shared" si="68"/>
        <v/>
      </c>
      <c r="DP14" s="568" t="str">
        <f t="shared" si="69"/>
        <v/>
      </c>
      <c r="DQ14" s="568" t="str">
        <f t="shared" si="70"/>
        <v/>
      </c>
      <c r="DR14" s="568" t="str">
        <f t="shared" si="71"/>
        <v/>
      </c>
      <c r="DS14" s="568" t="str">
        <f t="shared" si="72"/>
        <v/>
      </c>
      <c r="DT14" s="568" t="str">
        <f t="shared" si="73"/>
        <v/>
      </c>
      <c r="DU14" s="568">
        <f t="shared" si="74"/>
        <v>5</v>
      </c>
      <c r="DV14" s="568" t="str">
        <f t="shared" si="75"/>
        <v/>
      </c>
      <c r="DW14" s="568" t="str">
        <f t="shared" si="76"/>
        <v/>
      </c>
      <c r="DX14" s="568" t="str">
        <f t="shared" si="77"/>
        <v/>
      </c>
      <c r="DY14" s="568" t="str">
        <f t="shared" si="78"/>
        <v/>
      </c>
      <c r="DZ14" s="568" t="str">
        <f t="shared" si="79"/>
        <v/>
      </c>
      <c r="EA14" s="568" t="str">
        <f t="shared" si="80"/>
        <v/>
      </c>
      <c r="EB14" s="568" t="str">
        <f t="shared" si="81"/>
        <v/>
      </c>
      <c r="EC14" s="568" t="str">
        <f t="shared" si="82"/>
        <v/>
      </c>
      <c r="ED14" s="568" t="str">
        <f t="shared" si="83"/>
        <v/>
      </c>
      <c r="EE14" s="568" t="str">
        <f t="shared" si="84"/>
        <v/>
      </c>
      <c r="EF14" s="568" t="str">
        <f t="shared" si="85"/>
        <v/>
      </c>
      <c r="EG14" s="568" t="str">
        <f t="shared" si="86"/>
        <v/>
      </c>
      <c r="EH14" s="568" t="str">
        <f t="shared" si="87"/>
        <v/>
      </c>
      <c r="EI14" s="568" t="str">
        <f t="shared" si="88"/>
        <v/>
      </c>
      <c r="EJ14" s="568" t="str">
        <f t="shared" si="89"/>
        <v/>
      </c>
      <c r="EK14" s="568" t="str">
        <f t="shared" si="90"/>
        <v/>
      </c>
      <c r="EL14" s="568" t="str">
        <f t="shared" si="91"/>
        <v/>
      </c>
      <c r="EM14" s="568" t="str">
        <f t="shared" si="92"/>
        <v/>
      </c>
      <c r="EN14" s="568" t="str">
        <f t="shared" si="93"/>
        <v/>
      </c>
      <c r="EO14" s="568" t="str">
        <f t="shared" si="94"/>
        <v/>
      </c>
      <c r="EP14" s="568" t="str">
        <f t="shared" si="95"/>
        <v/>
      </c>
      <c r="EQ14" s="568" t="str">
        <f t="shared" si="96"/>
        <v/>
      </c>
      <c r="ER14" s="568" t="str">
        <f t="shared" si="97"/>
        <v/>
      </c>
      <c r="ES14" s="568" t="str">
        <f t="shared" si="98"/>
        <v/>
      </c>
      <c r="ET14" s="568" t="str">
        <f t="shared" si="99"/>
        <v/>
      </c>
      <c r="EU14" s="568" t="str">
        <f t="shared" si="100"/>
        <v/>
      </c>
      <c r="EV14" s="578" t="str">
        <f t="shared" si="101"/>
        <v/>
      </c>
      <c r="EW14" s="578" t="str">
        <f t="shared" si="102"/>
        <v/>
      </c>
      <c r="EX14" s="578" t="str">
        <f t="shared" si="103"/>
        <v/>
      </c>
      <c r="EY14" s="578" t="str">
        <f t="shared" si="104"/>
        <v/>
      </c>
      <c r="EZ14" s="578" t="str">
        <f t="shared" si="105"/>
        <v/>
      </c>
      <c r="FA14" s="578" t="str">
        <f t="shared" si="106"/>
        <v/>
      </c>
      <c r="FB14" s="578" t="str">
        <f t="shared" si="107"/>
        <v/>
      </c>
      <c r="FC14" s="578" t="str">
        <f t="shared" si="108"/>
        <v/>
      </c>
      <c r="FD14" s="578">
        <f t="shared" si="109"/>
        <v>5</v>
      </c>
      <c r="FE14" s="578" t="str">
        <f t="shared" si="110"/>
        <v/>
      </c>
      <c r="FF14" s="578" t="str">
        <f t="shared" si="111"/>
        <v/>
      </c>
      <c r="FG14" s="578" t="str">
        <f t="shared" si="112"/>
        <v/>
      </c>
      <c r="FH14" s="578" t="str">
        <f t="shared" si="113"/>
        <v/>
      </c>
      <c r="FI14" s="578" t="str">
        <f t="shared" si="114"/>
        <v/>
      </c>
      <c r="FJ14" s="578" t="str">
        <f t="shared" si="115"/>
        <v/>
      </c>
      <c r="FK14" s="578" t="str">
        <f t="shared" si="116"/>
        <v/>
      </c>
      <c r="FL14" s="578" t="str">
        <f t="shared" si="117"/>
        <v/>
      </c>
      <c r="FM14" s="578" t="str">
        <f t="shared" si="118"/>
        <v/>
      </c>
      <c r="FN14" s="578" t="str">
        <f t="shared" si="119"/>
        <v/>
      </c>
      <c r="FO14" s="578" t="str">
        <f t="shared" si="120"/>
        <v/>
      </c>
      <c r="FP14" s="578" t="str">
        <f t="shared" si="121"/>
        <v/>
      </c>
      <c r="FQ14" s="578" t="str">
        <f t="shared" si="122"/>
        <v/>
      </c>
      <c r="FR14" s="578" t="str">
        <f t="shared" si="123"/>
        <v/>
      </c>
      <c r="FS14" s="578" t="str">
        <f t="shared" si="124"/>
        <v/>
      </c>
      <c r="FT14" s="578" t="str">
        <f t="shared" si="125"/>
        <v/>
      </c>
      <c r="FU14" s="578" t="str">
        <f t="shared" si="126"/>
        <v/>
      </c>
      <c r="FV14" s="578" t="str">
        <f t="shared" si="127"/>
        <v/>
      </c>
      <c r="FW14" s="578" t="str">
        <f t="shared" si="128"/>
        <v/>
      </c>
      <c r="FX14" s="578" t="str">
        <f t="shared" si="129"/>
        <v/>
      </c>
      <c r="FY14" s="578" t="str">
        <f t="shared" si="130"/>
        <v/>
      </c>
      <c r="FZ14" s="578" t="str">
        <f t="shared" si="131"/>
        <v/>
      </c>
      <c r="GA14" s="578" t="str">
        <f t="shared" si="132"/>
        <v/>
      </c>
      <c r="GB14" s="578" t="str">
        <f t="shared" si="133"/>
        <v/>
      </c>
      <c r="GC14" s="578" t="str">
        <f t="shared" si="134"/>
        <v/>
      </c>
      <c r="GD14" s="578" t="str">
        <f t="shared" si="135"/>
        <v/>
      </c>
      <c r="GE14" s="578" t="str">
        <f t="shared" si="136"/>
        <v/>
      </c>
      <c r="GF14" s="578" t="str">
        <f t="shared" si="137"/>
        <v/>
      </c>
      <c r="GG14" s="578" t="str">
        <f t="shared" si="138"/>
        <v/>
      </c>
      <c r="GH14" s="578" t="str">
        <f t="shared" si="139"/>
        <v/>
      </c>
      <c r="GI14" s="578" t="str">
        <f t="shared" si="140"/>
        <v/>
      </c>
      <c r="GJ14" s="578" t="str">
        <f t="shared" si="141"/>
        <v/>
      </c>
      <c r="GK14" s="578" t="str">
        <f t="shared" si="142"/>
        <v/>
      </c>
      <c r="GL14" s="578" t="str">
        <f t="shared" si="143"/>
        <v/>
      </c>
      <c r="GM14" s="578" t="str">
        <f t="shared" si="144"/>
        <v/>
      </c>
      <c r="GN14" s="578" t="str">
        <f t="shared" si="145"/>
        <v/>
      </c>
      <c r="GO14" s="579" t="str">
        <f t="shared" si="146"/>
        <v/>
      </c>
      <c r="GP14" s="579" t="str">
        <f t="shared" si="147"/>
        <v/>
      </c>
      <c r="GQ14" s="579" t="str">
        <f t="shared" si="148"/>
        <v/>
      </c>
      <c r="GR14" s="579" t="str">
        <f t="shared" si="149"/>
        <v/>
      </c>
      <c r="GS14" s="579" t="str">
        <f t="shared" si="150"/>
        <v/>
      </c>
      <c r="GT14" s="568" t="str">
        <f t="shared" si="151"/>
        <v/>
      </c>
      <c r="GU14" s="568" t="str">
        <f t="shared" si="152"/>
        <v/>
      </c>
      <c r="GV14" s="568" t="str">
        <f t="shared" si="153"/>
        <v/>
      </c>
      <c r="GW14" s="568" t="str">
        <f t="shared" si="154"/>
        <v/>
      </c>
      <c r="GX14" s="568" t="str">
        <f t="shared" si="155"/>
        <v/>
      </c>
      <c r="GY14" s="568" t="str">
        <f t="shared" si="156"/>
        <v/>
      </c>
      <c r="GZ14" s="568" t="str">
        <f t="shared" si="157"/>
        <v/>
      </c>
      <c r="HA14" s="568" t="str">
        <f t="shared" si="158"/>
        <v/>
      </c>
      <c r="HB14" s="568" t="str">
        <f t="shared" si="159"/>
        <v/>
      </c>
      <c r="HC14" s="568" t="str">
        <f t="shared" si="160"/>
        <v/>
      </c>
      <c r="HD14" s="568" t="str">
        <f t="shared" si="161"/>
        <v/>
      </c>
      <c r="HE14" s="568" t="str">
        <f t="shared" si="162"/>
        <v/>
      </c>
      <c r="HF14" s="568" t="str">
        <f t="shared" si="163"/>
        <v/>
      </c>
      <c r="HG14" s="568" t="str">
        <f t="shared" si="164"/>
        <v/>
      </c>
      <c r="HH14" s="568" t="str">
        <f t="shared" si="165"/>
        <v/>
      </c>
      <c r="HI14" s="568" t="str">
        <f t="shared" si="166"/>
        <v/>
      </c>
      <c r="HJ14" s="568" t="str">
        <f t="shared" si="167"/>
        <v/>
      </c>
      <c r="HK14" s="568" t="str">
        <f t="shared" si="168"/>
        <v/>
      </c>
      <c r="HL14" s="568" t="str">
        <f t="shared" si="169"/>
        <v/>
      </c>
      <c r="HM14" s="568" t="str">
        <f t="shared" si="170"/>
        <v/>
      </c>
    </row>
    <row r="15" spans="1:255" ht="13.15" customHeight="1">
      <c r="A15" s="126" t="str">
        <f t="shared" si="171"/>
        <v/>
      </c>
      <c r="B15" s="1748" t="s">
        <v>1218</v>
      </c>
      <c r="C15" s="1749">
        <v>4</v>
      </c>
      <c r="D15" s="1750">
        <v>2</v>
      </c>
      <c r="E15" s="1751">
        <v>2</v>
      </c>
      <c r="F15" s="1751">
        <v>1476</v>
      </c>
      <c r="G15" s="1751">
        <v>910</v>
      </c>
      <c r="H15" s="1751">
        <v>975</v>
      </c>
      <c r="I15" s="1751">
        <v>238</v>
      </c>
      <c r="J15" s="1752" t="s">
        <v>3779</v>
      </c>
      <c r="K15" s="199">
        <f t="shared" si="172"/>
        <v>737</v>
      </c>
      <c r="L15" s="199">
        <f t="shared" si="0"/>
        <v>1474</v>
      </c>
      <c r="M15" s="1753" t="s">
        <v>3702</v>
      </c>
      <c r="N15" s="1753" t="s">
        <v>43</v>
      </c>
      <c r="O15" s="1753" t="s">
        <v>3780</v>
      </c>
      <c r="P15" s="519">
        <f t="shared" ref="P15:P47" si="203">IF(H15="","",H15*12/0.3)</f>
        <v>39000</v>
      </c>
      <c r="Q15" s="520">
        <f>IF(H15="","",P15/($P$6*VLOOKUP(C15,'DCA Underwriting Assumptions'!$J$82:$K$87,2,FALSE)))</f>
        <v>0.64284301443924319</v>
      </c>
      <c r="R15" s="605"/>
      <c r="S15" s="520"/>
      <c r="T15" s="1754"/>
      <c r="U15" s="1755"/>
      <c r="V15" s="568" t="str">
        <f t="shared" si="1"/>
        <v/>
      </c>
      <c r="W15" s="568" t="str">
        <f t="shared" si="2"/>
        <v/>
      </c>
      <c r="X15" s="568" t="str">
        <f t="shared" si="3"/>
        <v/>
      </c>
      <c r="Y15" s="568" t="str">
        <f t="shared" si="4"/>
        <v/>
      </c>
      <c r="Z15" s="568">
        <f t="shared" si="5"/>
        <v>2</v>
      </c>
      <c r="AA15" s="568" t="str">
        <f t="shared" si="6"/>
        <v/>
      </c>
      <c r="AB15" s="568" t="str">
        <f t="shared" si="7"/>
        <v/>
      </c>
      <c r="AC15" s="568" t="str">
        <f t="shared" si="8"/>
        <v/>
      </c>
      <c r="AD15" s="568" t="str">
        <f t="shared" si="9"/>
        <v/>
      </c>
      <c r="AE15" s="568" t="str">
        <f t="shared" si="10"/>
        <v/>
      </c>
      <c r="AF15" s="568" t="str">
        <f t="shared" si="11"/>
        <v/>
      </c>
      <c r="AG15" s="568" t="str">
        <f t="shared" si="12"/>
        <v/>
      </c>
      <c r="AH15" s="568" t="str">
        <f t="shared" si="13"/>
        <v/>
      </c>
      <c r="AI15" s="568" t="str">
        <f t="shared" si="14"/>
        <v/>
      </c>
      <c r="AJ15" s="568" t="str">
        <f t="shared" si="15"/>
        <v/>
      </c>
      <c r="AK15" s="568" t="str">
        <f t="shared" si="16"/>
        <v/>
      </c>
      <c r="AL15" s="568" t="str">
        <f t="shared" si="17"/>
        <v/>
      </c>
      <c r="AM15" s="568" t="str">
        <f t="shared" si="18"/>
        <v/>
      </c>
      <c r="AN15" s="568" t="str">
        <f t="shared" si="19"/>
        <v/>
      </c>
      <c r="AO15" s="568" t="str">
        <f t="shared" si="20"/>
        <v/>
      </c>
      <c r="AP15" s="568" t="str">
        <f t="shared" si="173"/>
        <v/>
      </c>
      <c r="AQ15" s="568" t="str">
        <f t="shared" si="174"/>
        <v/>
      </c>
      <c r="AR15" s="568" t="str">
        <f t="shared" si="175"/>
        <v/>
      </c>
      <c r="AS15" s="568" t="str">
        <f t="shared" si="176"/>
        <v/>
      </c>
      <c r="AT15" s="568" t="str">
        <f t="shared" si="177"/>
        <v/>
      </c>
      <c r="AU15" s="568" t="str">
        <f t="shared" si="178"/>
        <v/>
      </c>
      <c r="AV15" s="568" t="str">
        <f t="shared" si="179"/>
        <v/>
      </c>
      <c r="AW15" s="568" t="str">
        <f t="shared" si="180"/>
        <v/>
      </c>
      <c r="AX15" s="568" t="str">
        <f t="shared" si="181"/>
        <v/>
      </c>
      <c r="AY15" s="568" t="str">
        <f t="shared" si="182"/>
        <v/>
      </c>
      <c r="AZ15" s="568" t="str">
        <f t="shared" si="183"/>
        <v/>
      </c>
      <c r="BA15" s="568" t="str">
        <f t="shared" si="184"/>
        <v/>
      </c>
      <c r="BB15" s="568" t="str">
        <f t="shared" si="185"/>
        <v/>
      </c>
      <c r="BC15" s="568" t="str">
        <f t="shared" si="186"/>
        <v/>
      </c>
      <c r="BD15" s="568">
        <f t="shared" si="187"/>
        <v>2</v>
      </c>
      <c r="BE15" s="568" t="str">
        <f t="shared" si="188"/>
        <v/>
      </c>
      <c r="BF15" s="568" t="str">
        <f t="shared" si="189"/>
        <v/>
      </c>
      <c r="BG15" s="568" t="str">
        <f t="shared" si="190"/>
        <v/>
      </c>
      <c r="BH15" s="568" t="str">
        <f t="shared" si="191"/>
        <v/>
      </c>
      <c r="BI15" s="568" t="str">
        <f t="shared" si="192"/>
        <v/>
      </c>
      <c r="BJ15" s="568" t="str">
        <f t="shared" si="193"/>
        <v/>
      </c>
      <c r="BK15" s="568" t="str">
        <f t="shared" si="194"/>
        <v/>
      </c>
      <c r="BL15" s="568" t="str">
        <f t="shared" si="195"/>
        <v/>
      </c>
      <c r="BM15" s="568" t="str">
        <f t="shared" si="196"/>
        <v/>
      </c>
      <c r="BN15" s="568" t="str">
        <f t="shared" si="197"/>
        <v/>
      </c>
      <c r="BO15" s="568" t="str">
        <f t="shared" si="198"/>
        <v/>
      </c>
      <c r="BP15" s="568" t="str">
        <f t="shared" si="199"/>
        <v/>
      </c>
      <c r="BQ15" s="568" t="str">
        <f t="shared" si="200"/>
        <v/>
      </c>
      <c r="BR15" s="568" t="str">
        <f t="shared" si="201"/>
        <v/>
      </c>
      <c r="BS15" s="568" t="str">
        <f t="shared" si="202"/>
        <v/>
      </c>
      <c r="BT15" s="568" t="str">
        <f t="shared" si="21"/>
        <v/>
      </c>
      <c r="BU15" s="568" t="str">
        <f t="shared" si="22"/>
        <v/>
      </c>
      <c r="BV15" s="568" t="str">
        <f t="shared" si="23"/>
        <v/>
      </c>
      <c r="BW15" s="568" t="str">
        <f t="shared" si="24"/>
        <v/>
      </c>
      <c r="BX15" s="568" t="str">
        <f t="shared" si="25"/>
        <v/>
      </c>
      <c r="BY15" s="568" t="str">
        <f t="shared" si="26"/>
        <v/>
      </c>
      <c r="BZ15" s="568" t="str">
        <f t="shared" si="27"/>
        <v/>
      </c>
      <c r="CA15" s="568" t="str">
        <f t="shared" si="28"/>
        <v/>
      </c>
      <c r="CB15" s="568" t="str">
        <f t="shared" si="29"/>
        <v/>
      </c>
      <c r="CC15" s="568">
        <f t="shared" si="30"/>
        <v>2952</v>
      </c>
      <c r="CD15" s="568" t="str">
        <f t="shared" si="31"/>
        <v/>
      </c>
      <c r="CE15" s="568" t="str">
        <f t="shared" si="32"/>
        <v/>
      </c>
      <c r="CF15" s="568" t="str">
        <f t="shared" si="33"/>
        <v/>
      </c>
      <c r="CG15" s="568" t="str">
        <f t="shared" si="34"/>
        <v/>
      </c>
      <c r="CH15" s="568" t="str">
        <f t="shared" si="35"/>
        <v/>
      </c>
      <c r="CI15" s="568" t="str">
        <f t="shared" si="36"/>
        <v/>
      </c>
      <c r="CJ15" s="568" t="str">
        <f t="shared" si="37"/>
        <v/>
      </c>
      <c r="CK15" s="568" t="str">
        <f t="shared" si="38"/>
        <v/>
      </c>
      <c r="CL15" s="568" t="str">
        <f t="shared" si="39"/>
        <v/>
      </c>
      <c r="CM15" s="568" t="str">
        <f t="shared" si="40"/>
        <v/>
      </c>
      <c r="CN15" s="568" t="str">
        <f t="shared" si="41"/>
        <v/>
      </c>
      <c r="CO15" s="568" t="str">
        <f t="shared" si="42"/>
        <v/>
      </c>
      <c r="CP15" s="568" t="str">
        <f t="shared" si="43"/>
        <v/>
      </c>
      <c r="CQ15" s="568" t="str">
        <f t="shared" si="44"/>
        <v/>
      </c>
      <c r="CR15" s="568" t="str">
        <f t="shared" si="45"/>
        <v/>
      </c>
      <c r="CS15" s="568" t="str">
        <f t="shared" si="46"/>
        <v/>
      </c>
      <c r="CT15" s="568" t="str">
        <f t="shared" si="47"/>
        <v/>
      </c>
      <c r="CU15" s="568" t="str">
        <f t="shared" si="48"/>
        <v/>
      </c>
      <c r="CV15" s="568" t="str">
        <f t="shared" si="49"/>
        <v/>
      </c>
      <c r="CW15" s="568">
        <f t="shared" si="50"/>
        <v>2952</v>
      </c>
      <c r="CX15" s="568" t="str">
        <f t="shared" si="51"/>
        <v/>
      </c>
      <c r="CY15" s="568" t="str">
        <f t="shared" si="52"/>
        <v/>
      </c>
      <c r="CZ15" s="568" t="str">
        <f t="shared" si="53"/>
        <v/>
      </c>
      <c r="DA15" s="568" t="str">
        <f t="shared" si="54"/>
        <v/>
      </c>
      <c r="DB15" s="568" t="str">
        <f t="shared" si="55"/>
        <v/>
      </c>
      <c r="DC15" s="568" t="str">
        <f t="shared" si="56"/>
        <v/>
      </c>
      <c r="DD15" s="568" t="str">
        <f t="shared" si="57"/>
        <v/>
      </c>
      <c r="DE15" s="568" t="str">
        <f t="shared" si="58"/>
        <v/>
      </c>
      <c r="DF15" s="568" t="str">
        <f t="shared" si="59"/>
        <v/>
      </c>
      <c r="DG15" s="568" t="str">
        <f t="shared" si="60"/>
        <v/>
      </c>
      <c r="DH15" s="568" t="str">
        <f t="shared" si="61"/>
        <v/>
      </c>
      <c r="DI15" s="568" t="str">
        <f t="shared" si="62"/>
        <v/>
      </c>
      <c r="DJ15" s="568" t="str">
        <f t="shared" si="63"/>
        <v/>
      </c>
      <c r="DK15" s="568" t="str">
        <f t="shared" si="64"/>
        <v/>
      </c>
      <c r="DL15" s="568" t="str">
        <f t="shared" si="65"/>
        <v/>
      </c>
      <c r="DM15" s="568" t="str">
        <f t="shared" si="66"/>
        <v/>
      </c>
      <c r="DN15" s="568" t="str">
        <f t="shared" si="67"/>
        <v/>
      </c>
      <c r="DO15" s="568" t="str">
        <f t="shared" si="68"/>
        <v/>
      </c>
      <c r="DP15" s="568" t="str">
        <f t="shared" si="69"/>
        <v/>
      </c>
      <c r="DQ15" s="568" t="str">
        <f t="shared" si="70"/>
        <v/>
      </c>
      <c r="DR15" s="568" t="str">
        <f t="shared" si="71"/>
        <v/>
      </c>
      <c r="DS15" s="568" t="str">
        <f t="shared" si="72"/>
        <v/>
      </c>
      <c r="DT15" s="568" t="str">
        <f t="shared" si="73"/>
        <v/>
      </c>
      <c r="DU15" s="568" t="str">
        <f t="shared" si="74"/>
        <v/>
      </c>
      <c r="DV15" s="568">
        <f t="shared" si="75"/>
        <v>2</v>
      </c>
      <c r="DW15" s="568" t="str">
        <f t="shared" si="76"/>
        <v/>
      </c>
      <c r="DX15" s="568" t="str">
        <f t="shared" si="77"/>
        <v/>
      </c>
      <c r="DY15" s="568" t="str">
        <f t="shared" si="78"/>
        <v/>
      </c>
      <c r="DZ15" s="568" t="str">
        <f t="shared" si="79"/>
        <v/>
      </c>
      <c r="EA15" s="568" t="str">
        <f t="shared" si="80"/>
        <v/>
      </c>
      <c r="EB15" s="568" t="str">
        <f t="shared" si="81"/>
        <v/>
      </c>
      <c r="EC15" s="568" t="str">
        <f t="shared" si="82"/>
        <v/>
      </c>
      <c r="ED15" s="568" t="str">
        <f t="shared" si="83"/>
        <v/>
      </c>
      <c r="EE15" s="568" t="str">
        <f t="shared" si="84"/>
        <v/>
      </c>
      <c r="EF15" s="568" t="str">
        <f t="shared" si="85"/>
        <v/>
      </c>
      <c r="EG15" s="568" t="str">
        <f t="shared" si="86"/>
        <v/>
      </c>
      <c r="EH15" s="568" t="str">
        <f t="shared" si="87"/>
        <v/>
      </c>
      <c r="EI15" s="568" t="str">
        <f t="shared" si="88"/>
        <v/>
      </c>
      <c r="EJ15" s="568" t="str">
        <f t="shared" si="89"/>
        <v/>
      </c>
      <c r="EK15" s="568" t="str">
        <f t="shared" si="90"/>
        <v/>
      </c>
      <c r="EL15" s="568" t="str">
        <f t="shared" si="91"/>
        <v/>
      </c>
      <c r="EM15" s="568" t="str">
        <f t="shared" si="92"/>
        <v/>
      </c>
      <c r="EN15" s="568" t="str">
        <f t="shared" si="93"/>
        <v/>
      </c>
      <c r="EO15" s="568" t="str">
        <f t="shared" si="94"/>
        <v/>
      </c>
      <c r="EP15" s="568" t="str">
        <f t="shared" si="95"/>
        <v/>
      </c>
      <c r="EQ15" s="568" t="str">
        <f t="shared" si="96"/>
        <v/>
      </c>
      <c r="ER15" s="568" t="str">
        <f t="shared" si="97"/>
        <v/>
      </c>
      <c r="ES15" s="568" t="str">
        <f t="shared" si="98"/>
        <v/>
      </c>
      <c r="ET15" s="568" t="str">
        <f t="shared" si="99"/>
        <v/>
      </c>
      <c r="EU15" s="568" t="str">
        <f t="shared" si="100"/>
        <v/>
      </c>
      <c r="EV15" s="578" t="str">
        <f t="shared" si="101"/>
        <v/>
      </c>
      <c r="EW15" s="578" t="str">
        <f t="shared" si="102"/>
        <v/>
      </c>
      <c r="EX15" s="578" t="str">
        <f t="shared" si="103"/>
        <v/>
      </c>
      <c r="EY15" s="578" t="str">
        <f t="shared" si="104"/>
        <v/>
      </c>
      <c r="EZ15" s="578" t="str">
        <f t="shared" si="105"/>
        <v/>
      </c>
      <c r="FA15" s="578" t="str">
        <f t="shared" si="106"/>
        <v/>
      </c>
      <c r="FB15" s="578" t="str">
        <f t="shared" si="107"/>
        <v/>
      </c>
      <c r="FC15" s="578" t="str">
        <f t="shared" si="108"/>
        <v/>
      </c>
      <c r="FD15" s="578" t="str">
        <f t="shared" si="109"/>
        <v/>
      </c>
      <c r="FE15" s="578">
        <f t="shared" si="110"/>
        <v>2</v>
      </c>
      <c r="FF15" s="578" t="str">
        <f t="shared" si="111"/>
        <v/>
      </c>
      <c r="FG15" s="578" t="str">
        <f t="shared" si="112"/>
        <v/>
      </c>
      <c r="FH15" s="578" t="str">
        <f t="shared" si="113"/>
        <v/>
      </c>
      <c r="FI15" s="578" t="str">
        <f t="shared" si="114"/>
        <v/>
      </c>
      <c r="FJ15" s="578" t="str">
        <f t="shared" si="115"/>
        <v/>
      </c>
      <c r="FK15" s="578" t="str">
        <f t="shared" si="116"/>
        <v/>
      </c>
      <c r="FL15" s="578" t="str">
        <f t="shared" si="117"/>
        <v/>
      </c>
      <c r="FM15" s="578" t="str">
        <f t="shared" si="118"/>
        <v/>
      </c>
      <c r="FN15" s="578" t="str">
        <f t="shared" si="119"/>
        <v/>
      </c>
      <c r="FO15" s="578" t="str">
        <f t="shared" si="120"/>
        <v/>
      </c>
      <c r="FP15" s="578" t="str">
        <f t="shared" si="121"/>
        <v/>
      </c>
      <c r="FQ15" s="578" t="str">
        <f t="shared" si="122"/>
        <v/>
      </c>
      <c r="FR15" s="578" t="str">
        <f t="shared" si="123"/>
        <v/>
      </c>
      <c r="FS15" s="578" t="str">
        <f t="shared" si="124"/>
        <v/>
      </c>
      <c r="FT15" s="578" t="str">
        <f t="shared" si="125"/>
        <v/>
      </c>
      <c r="FU15" s="578" t="str">
        <f t="shared" si="126"/>
        <v/>
      </c>
      <c r="FV15" s="578" t="str">
        <f t="shared" si="127"/>
        <v/>
      </c>
      <c r="FW15" s="578" t="str">
        <f t="shared" si="128"/>
        <v/>
      </c>
      <c r="FX15" s="578" t="str">
        <f t="shared" si="129"/>
        <v/>
      </c>
      <c r="FY15" s="578" t="str">
        <f t="shared" si="130"/>
        <v/>
      </c>
      <c r="FZ15" s="578" t="str">
        <f t="shared" si="131"/>
        <v/>
      </c>
      <c r="GA15" s="578" t="str">
        <f t="shared" si="132"/>
        <v/>
      </c>
      <c r="GB15" s="578" t="str">
        <f t="shared" si="133"/>
        <v/>
      </c>
      <c r="GC15" s="578" t="str">
        <f t="shared" si="134"/>
        <v/>
      </c>
      <c r="GD15" s="578" t="str">
        <f t="shared" si="135"/>
        <v/>
      </c>
      <c r="GE15" s="578" t="str">
        <f t="shared" si="136"/>
        <v/>
      </c>
      <c r="GF15" s="578" t="str">
        <f t="shared" si="137"/>
        <v/>
      </c>
      <c r="GG15" s="578" t="str">
        <f t="shared" si="138"/>
        <v/>
      </c>
      <c r="GH15" s="578" t="str">
        <f t="shared" si="139"/>
        <v/>
      </c>
      <c r="GI15" s="578" t="str">
        <f t="shared" si="140"/>
        <v/>
      </c>
      <c r="GJ15" s="578" t="str">
        <f t="shared" si="141"/>
        <v/>
      </c>
      <c r="GK15" s="578" t="str">
        <f t="shared" si="142"/>
        <v/>
      </c>
      <c r="GL15" s="578" t="str">
        <f t="shared" si="143"/>
        <v/>
      </c>
      <c r="GM15" s="578" t="str">
        <f t="shared" si="144"/>
        <v/>
      </c>
      <c r="GN15" s="578" t="str">
        <f t="shared" si="145"/>
        <v/>
      </c>
      <c r="GO15" s="579" t="str">
        <f t="shared" si="146"/>
        <v/>
      </c>
      <c r="GP15" s="579" t="str">
        <f t="shared" si="147"/>
        <v/>
      </c>
      <c r="GQ15" s="579" t="str">
        <f t="shared" si="148"/>
        <v/>
      </c>
      <c r="GR15" s="579" t="str">
        <f t="shared" si="149"/>
        <v/>
      </c>
      <c r="GS15" s="579" t="str">
        <f t="shared" si="150"/>
        <v/>
      </c>
      <c r="GT15" s="568" t="str">
        <f t="shared" si="151"/>
        <v/>
      </c>
      <c r="GU15" s="568" t="str">
        <f t="shared" si="152"/>
        <v/>
      </c>
      <c r="GV15" s="568" t="str">
        <f t="shared" si="153"/>
        <v/>
      </c>
      <c r="GW15" s="568" t="str">
        <f t="shared" si="154"/>
        <v/>
      </c>
      <c r="GX15" s="568" t="str">
        <f t="shared" si="155"/>
        <v/>
      </c>
      <c r="GY15" s="568" t="str">
        <f t="shared" si="156"/>
        <v/>
      </c>
      <c r="GZ15" s="568" t="str">
        <f t="shared" si="157"/>
        <v/>
      </c>
      <c r="HA15" s="568" t="str">
        <f t="shared" si="158"/>
        <v/>
      </c>
      <c r="HB15" s="568" t="str">
        <f t="shared" si="159"/>
        <v/>
      </c>
      <c r="HC15" s="568" t="str">
        <f t="shared" si="160"/>
        <v/>
      </c>
      <c r="HD15" s="568" t="str">
        <f t="shared" si="161"/>
        <v/>
      </c>
      <c r="HE15" s="568" t="str">
        <f t="shared" si="162"/>
        <v/>
      </c>
      <c r="HF15" s="568" t="str">
        <f t="shared" si="163"/>
        <v/>
      </c>
      <c r="HG15" s="568" t="str">
        <f t="shared" si="164"/>
        <v/>
      </c>
      <c r="HH15" s="568" t="str">
        <f t="shared" si="165"/>
        <v/>
      </c>
      <c r="HI15" s="568" t="str">
        <f t="shared" si="166"/>
        <v/>
      </c>
      <c r="HJ15" s="568" t="str">
        <f t="shared" si="167"/>
        <v/>
      </c>
      <c r="HK15" s="568" t="str">
        <f t="shared" si="168"/>
        <v/>
      </c>
      <c r="HL15" s="568" t="str">
        <f t="shared" si="169"/>
        <v/>
      </c>
      <c r="HM15" s="568" t="str">
        <f t="shared" si="170"/>
        <v/>
      </c>
    </row>
    <row r="16" spans="1:255" ht="13.15" customHeight="1">
      <c r="A16" s="126" t="str">
        <f t="shared" si="171"/>
        <v/>
      </c>
      <c r="B16" s="1748" t="s">
        <v>1895</v>
      </c>
      <c r="C16" s="1749"/>
      <c r="D16" s="1750"/>
      <c r="E16" s="1751"/>
      <c r="F16" s="1751"/>
      <c r="G16" s="1751"/>
      <c r="H16" s="1751"/>
      <c r="I16" s="1751"/>
      <c r="J16" s="1752"/>
      <c r="K16" s="199">
        <f t="shared" si="172"/>
        <v>0</v>
      </c>
      <c r="L16" s="199">
        <f t="shared" si="0"/>
        <v>0</v>
      </c>
      <c r="M16" s="1753"/>
      <c r="N16" s="1753"/>
      <c r="O16" s="1753"/>
      <c r="P16" s="519" t="str">
        <f t="shared" si="203"/>
        <v/>
      </c>
      <c r="Q16" s="520" t="str">
        <f>IF(H16="","",P16/($P$6*VLOOKUP(C16,'DCA Underwriting Assumptions'!$J$82:$K$87,2,FALSE)))</f>
        <v/>
      </c>
      <c r="R16" s="605"/>
      <c r="S16" s="520"/>
      <c r="T16" s="1754"/>
      <c r="U16" s="1755"/>
      <c r="V16" s="568" t="str">
        <f t="shared" si="1"/>
        <v/>
      </c>
      <c r="W16" s="568" t="str">
        <f t="shared" si="2"/>
        <v/>
      </c>
      <c r="X16" s="568" t="str">
        <f t="shared" si="3"/>
        <v/>
      </c>
      <c r="Y16" s="568" t="str">
        <f t="shared" si="4"/>
        <v/>
      </c>
      <c r="Z16" s="568" t="str">
        <f t="shared" si="5"/>
        <v/>
      </c>
      <c r="AA16" s="568" t="str">
        <f t="shared" si="6"/>
        <v/>
      </c>
      <c r="AB16" s="568" t="str">
        <f t="shared" si="7"/>
        <v/>
      </c>
      <c r="AC16" s="568" t="str">
        <f t="shared" si="8"/>
        <v/>
      </c>
      <c r="AD16" s="568" t="str">
        <f t="shared" si="9"/>
        <v/>
      </c>
      <c r="AE16" s="568" t="str">
        <f t="shared" si="10"/>
        <v/>
      </c>
      <c r="AF16" s="568" t="str">
        <f t="shared" si="11"/>
        <v/>
      </c>
      <c r="AG16" s="568" t="str">
        <f t="shared" si="12"/>
        <v/>
      </c>
      <c r="AH16" s="568" t="str">
        <f t="shared" si="13"/>
        <v/>
      </c>
      <c r="AI16" s="568" t="str">
        <f t="shared" si="14"/>
        <v/>
      </c>
      <c r="AJ16" s="568" t="str">
        <f t="shared" si="15"/>
        <v/>
      </c>
      <c r="AK16" s="568" t="str">
        <f t="shared" si="16"/>
        <v/>
      </c>
      <c r="AL16" s="568" t="str">
        <f t="shared" si="17"/>
        <v/>
      </c>
      <c r="AM16" s="568" t="str">
        <f t="shared" si="18"/>
        <v/>
      </c>
      <c r="AN16" s="568" t="str">
        <f t="shared" si="19"/>
        <v/>
      </c>
      <c r="AO16" s="568" t="str">
        <f t="shared" si="20"/>
        <v/>
      </c>
      <c r="AP16" s="568" t="str">
        <f t="shared" si="173"/>
        <v/>
      </c>
      <c r="AQ16" s="568" t="str">
        <f t="shared" si="174"/>
        <v/>
      </c>
      <c r="AR16" s="568" t="str">
        <f t="shared" si="175"/>
        <v/>
      </c>
      <c r="AS16" s="568" t="str">
        <f t="shared" si="176"/>
        <v/>
      </c>
      <c r="AT16" s="568" t="str">
        <f t="shared" si="177"/>
        <v/>
      </c>
      <c r="AU16" s="568" t="str">
        <f t="shared" si="178"/>
        <v/>
      </c>
      <c r="AV16" s="568" t="str">
        <f t="shared" si="179"/>
        <v/>
      </c>
      <c r="AW16" s="568" t="str">
        <f t="shared" si="180"/>
        <v/>
      </c>
      <c r="AX16" s="568" t="str">
        <f t="shared" si="181"/>
        <v/>
      </c>
      <c r="AY16" s="568" t="str">
        <f t="shared" si="182"/>
        <v/>
      </c>
      <c r="AZ16" s="568" t="str">
        <f t="shared" si="183"/>
        <v/>
      </c>
      <c r="BA16" s="568" t="str">
        <f t="shared" si="184"/>
        <v/>
      </c>
      <c r="BB16" s="568" t="str">
        <f t="shared" si="185"/>
        <v/>
      </c>
      <c r="BC16" s="568" t="str">
        <f t="shared" si="186"/>
        <v/>
      </c>
      <c r="BD16" s="568" t="str">
        <f t="shared" si="187"/>
        <v/>
      </c>
      <c r="BE16" s="568" t="str">
        <f t="shared" si="188"/>
        <v/>
      </c>
      <c r="BF16" s="568" t="str">
        <f t="shared" si="189"/>
        <v/>
      </c>
      <c r="BG16" s="568" t="str">
        <f t="shared" si="190"/>
        <v/>
      </c>
      <c r="BH16" s="568" t="str">
        <f t="shared" si="191"/>
        <v/>
      </c>
      <c r="BI16" s="568" t="str">
        <f t="shared" si="192"/>
        <v/>
      </c>
      <c r="BJ16" s="568" t="str">
        <f t="shared" si="193"/>
        <v/>
      </c>
      <c r="BK16" s="568" t="str">
        <f t="shared" si="194"/>
        <v/>
      </c>
      <c r="BL16" s="568" t="str">
        <f t="shared" si="195"/>
        <v/>
      </c>
      <c r="BM16" s="568" t="str">
        <f t="shared" si="196"/>
        <v/>
      </c>
      <c r="BN16" s="568" t="str">
        <f t="shared" si="197"/>
        <v/>
      </c>
      <c r="BO16" s="568" t="str">
        <f t="shared" si="198"/>
        <v/>
      </c>
      <c r="BP16" s="568" t="str">
        <f t="shared" si="199"/>
        <v/>
      </c>
      <c r="BQ16" s="568" t="str">
        <f t="shared" si="200"/>
        <v/>
      </c>
      <c r="BR16" s="568" t="str">
        <f t="shared" si="201"/>
        <v/>
      </c>
      <c r="BS16" s="568" t="str">
        <f t="shared" si="202"/>
        <v/>
      </c>
      <c r="BT16" s="568" t="str">
        <f t="shared" si="21"/>
        <v/>
      </c>
      <c r="BU16" s="568" t="str">
        <f t="shared" si="22"/>
        <v/>
      </c>
      <c r="BV16" s="568" t="str">
        <f t="shared" si="23"/>
        <v/>
      </c>
      <c r="BW16" s="568" t="str">
        <f t="shared" si="24"/>
        <v/>
      </c>
      <c r="BX16" s="568" t="str">
        <f t="shared" si="25"/>
        <v/>
      </c>
      <c r="BY16" s="568" t="str">
        <f t="shared" si="26"/>
        <v/>
      </c>
      <c r="BZ16" s="568" t="str">
        <f t="shared" si="27"/>
        <v/>
      </c>
      <c r="CA16" s="568" t="str">
        <f t="shared" si="28"/>
        <v/>
      </c>
      <c r="CB16" s="568" t="str">
        <f t="shared" si="29"/>
        <v/>
      </c>
      <c r="CC16" s="568" t="str">
        <f t="shared" si="30"/>
        <v/>
      </c>
      <c r="CD16" s="568" t="str">
        <f t="shared" si="31"/>
        <v/>
      </c>
      <c r="CE16" s="568" t="str">
        <f t="shared" si="32"/>
        <v/>
      </c>
      <c r="CF16" s="568" t="str">
        <f t="shared" si="33"/>
        <v/>
      </c>
      <c r="CG16" s="568" t="str">
        <f t="shared" si="34"/>
        <v/>
      </c>
      <c r="CH16" s="568" t="str">
        <f t="shared" si="35"/>
        <v/>
      </c>
      <c r="CI16" s="568" t="str">
        <f t="shared" si="36"/>
        <v/>
      </c>
      <c r="CJ16" s="568" t="str">
        <f t="shared" si="37"/>
        <v/>
      </c>
      <c r="CK16" s="568" t="str">
        <f t="shared" si="38"/>
        <v/>
      </c>
      <c r="CL16" s="568" t="str">
        <f t="shared" si="39"/>
        <v/>
      </c>
      <c r="CM16" s="568" t="str">
        <f t="shared" si="40"/>
        <v/>
      </c>
      <c r="CN16" s="568" t="str">
        <f t="shared" si="41"/>
        <v/>
      </c>
      <c r="CO16" s="568" t="str">
        <f t="shared" si="42"/>
        <v/>
      </c>
      <c r="CP16" s="568" t="str">
        <f t="shared" si="43"/>
        <v/>
      </c>
      <c r="CQ16" s="568" t="str">
        <f t="shared" si="44"/>
        <v/>
      </c>
      <c r="CR16" s="568" t="str">
        <f t="shared" si="45"/>
        <v/>
      </c>
      <c r="CS16" s="568" t="str">
        <f t="shared" si="46"/>
        <v/>
      </c>
      <c r="CT16" s="568" t="str">
        <f t="shared" si="47"/>
        <v/>
      </c>
      <c r="CU16" s="568" t="str">
        <f t="shared" si="48"/>
        <v/>
      </c>
      <c r="CV16" s="568" t="str">
        <f t="shared" si="49"/>
        <v/>
      </c>
      <c r="CW16" s="568" t="str">
        <f t="shared" si="50"/>
        <v/>
      </c>
      <c r="CX16" s="568" t="str">
        <f t="shared" si="51"/>
        <v/>
      </c>
      <c r="CY16" s="568" t="str">
        <f t="shared" si="52"/>
        <v/>
      </c>
      <c r="CZ16" s="568" t="str">
        <f t="shared" si="53"/>
        <v/>
      </c>
      <c r="DA16" s="568" t="str">
        <f t="shared" si="54"/>
        <v/>
      </c>
      <c r="DB16" s="568" t="str">
        <f t="shared" si="55"/>
        <v/>
      </c>
      <c r="DC16" s="568" t="str">
        <f t="shared" si="56"/>
        <v/>
      </c>
      <c r="DD16" s="568" t="str">
        <f t="shared" si="57"/>
        <v/>
      </c>
      <c r="DE16" s="568" t="str">
        <f t="shared" si="58"/>
        <v/>
      </c>
      <c r="DF16" s="568" t="str">
        <f t="shared" si="59"/>
        <v/>
      </c>
      <c r="DG16" s="568" t="str">
        <f t="shared" si="60"/>
        <v/>
      </c>
      <c r="DH16" s="568" t="str">
        <f t="shared" si="61"/>
        <v/>
      </c>
      <c r="DI16" s="568" t="str">
        <f t="shared" si="62"/>
        <v/>
      </c>
      <c r="DJ16" s="568" t="str">
        <f t="shared" si="63"/>
        <v/>
      </c>
      <c r="DK16" s="568" t="str">
        <f t="shared" si="64"/>
        <v/>
      </c>
      <c r="DL16" s="568" t="str">
        <f t="shared" si="65"/>
        <v/>
      </c>
      <c r="DM16" s="568" t="str">
        <f t="shared" si="66"/>
        <v/>
      </c>
      <c r="DN16" s="568" t="str">
        <f t="shared" si="67"/>
        <v/>
      </c>
      <c r="DO16" s="568" t="str">
        <f t="shared" si="68"/>
        <v/>
      </c>
      <c r="DP16" s="568" t="str">
        <f t="shared" si="69"/>
        <v/>
      </c>
      <c r="DQ16" s="568" t="str">
        <f t="shared" si="70"/>
        <v/>
      </c>
      <c r="DR16" s="568" t="str">
        <f t="shared" si="71"/>
        <v/>
      </c>
      <c r="DS16" s="568" t="str">
        <f t="shared" si="72"/>
        <v/>
      </c>
      <c r="DT16" s="568" t="str">
        <f t="shared" si="73"/>
        <v/>
      </c>
      <c r="DU16" s="568" t="str">
        <f t="shared" si="74"/>
        <v/>
      </c>
      <c r="DV16" s="568" t="str">
        <f t="shared" si="75"/>
        <v/>
      </c>
      <c r="DW16" s="568" t="str">
        <f t="shared" si="76"/>
        <v/>
      </c>
      <c r="DX16" s="568" t="str">
        <f t="shared" si="77"/>
        <v/>
      </c>
      <c r="DY16" s="568" t="str">
        <f t="shared" si="78"/>
        <v/>
      </c>
      <c r="DZ16" s="568" t="str">
        <f t="shared" si="79"/>
        <v/>
      </c>
      <c r="EA16" s="568" t="str">
        <f t="shared" si="80"/>
        <v/>
      </c>
      <c r="EB16" s="568" t="str">
        <f t="shared" si="81"/>
        <v/>
      </c>
      <c r="EC16" s="568" t="str">
        <f t="shared" si="82"/>
        <v/>
      </c>
      <c r="ED16" s="568" t="str">
        <f t="shared" si="83"/>
        <v/>
      </c>
      <c r="EE16" s="568" t="str">
        <f t="shared" si="84"/>
        <v/>
      </c>
      <c r="EF16" s="568" t="str">
        <f t="shared" si="85"/>
        <v/>
      </c>
      <c r="EG16" s="568" t="str">
        <f t="shared" si="86"/>
        <v/>
      </c>
      <c r="EH16" s="568" t="str">
        <f t="shared" si="87"/>
        <v/>
      </c>
      <c r="EI16" s="568" t="str">
        <f t="shared" si="88"/>
        <v/>
      </c>
      <c r="EJ16" s="568" t="str">
        <f t="shared" si="89"/>
        <v/>
      </c>
      <c r="EK16" s="568" t="str">
        <f t="shared" si="90"/>
        <v/>
      </c>
      <c r="EL16" s="568" t="str">
        <f t="shared" si="91"/>
        <v/>
      </c>
      <c r="EM16" s="568" t="str">
        <f t="shared" si="92"/>
        <v/>
      </c>
      <c r="EN16" s="568" t="str">
        <f t="shared" si="93"/>
        <v/>
      </c>
      <c r="EO16" s="568" t="str">
        <f t="shared" si="94"/>
        <v/>
      </c>
      <c r="EP16" s="568" t="str">
        <f t="shared" si="95"/>
        <v/>
      </c>
      <c r="EQ16" s="568" t="str">
        <f t="shared" si="96"/>
        <v/>
      </c>
      <c r="ER16" s="568" t="str">
        <f t="shared" si="97"/>
        <v/>
      </c>
      <c r="ES16" s="568" t="str">
        <f t="shared" si="98"/>
        <v/>
      </c>
      <c r="ET16" s="568" t="str">
        <f t="shared" si="99"/>
        <v/>
      </c>
      <c r="EU16" s="568" t="str">
        <f t="shared" si="100"/>
        <v/>
      </c>
      <c r="EV16" s="578" t="str">
        <f t="shared" si="101"/>
        <v/>
      </c>
      <c r="EW16" s="578" t="str">
        <f t="shared" si="102"/>
        <v/>
      </c>
      <c r="EX16" s="578" t="str">
        <f t="shared" si="103"/>
        <v/>
      </c>
      <c r="EY16" s="578" t="str">
        <f t="shared" si="104"/>
        <v/>
      </c>
      <c r="EZ16" s="578" t="str">
        <f t="shared" si="105"/>
        <v/>
      </c>
      <c r="FA16" s="578" t="str">
        <f t="shared" si="106"/>
        <v/>
      </c>
      <c r="FB16" s="578" t="str">
        <f t="shared" si="107"/>
        <v/>
      </c>
      <c r="FC16" s="578" t="str">
        <f t="shared" si="108"/>
        <v/>
      </c>
      <c r="FD16" s="578" t="str">
        <f t="shared" si="109"/>
        <v/>
      </c>
      <c r="FE16" s="578" t="str">
        <f t="shared" si="110"/>
        <v/>
      </c>
      <c r="FF16" s="578" t="str">
        <f t="shared" si="111"/>
        <v/>
      </c>
      <c r="FG16" s="578" t="str">
        <f t="shared" si="112"/>
        <v/>
      </c>
      <c r="FH16" s="578" t="str">
        <f t="shared" si="113"/>
        <v/>
      </c>
      <c r="FI16" s="578" t="str">
        <f t="shared" si="114"/>
        <v/>
      </c>
      <c r="FJ16" s="578" t="str">
        <f t="shared" si="115"/>
        <v/>
      </c>
      <c r="FK16" s="578" t="str">
        <f t="shared" si="116"/>
        <v/>
      </c>
      <c r="FL16" s="578" t="str">
        <f t="shared" si="117"/>
        <v/>
      </c>
      <c r="FM16" s="578" t="str">
        <f t="shared" si="118"/>
        <v/>
      </c>
      <c r="FN16" s="578" t="str">
        <f t="shared" si="119"/>
        <v/>
      </c>
      <c r="FO16" s="578" t="str">
        <f t="shared" si="120"/>
        <v/>
      </c>
      <c r="FP16" s="578" t="str">
        <f t="shared" si="121"/>
        <v/>
      </c>
      <c r="FQ16" s="578" t="str">
        <f t="shared" si="122"/>
        <v/>
      </c>
      <c r="FR16" s="578" t="str">
        <f t="shared" si="123"/>
        <v/>
      </c>
      <c r="FS16" s="578" t="str">
        <f t="shared" si="124"/>
        <v/>
      </c>
      <c r="FT16" s="578" t="str">
        <f t="shared" si="125"/>
        <v/>
      </c>
      <c r="FU16" s="578" t="str">
        <f t="shared" si="126"/>
        <v/>
      </c>
      <c r="FV16" s="578" t="str">
        <f t="shared" si="127"/>
        <v/>
      </c>
      <c r="FW16" s="578" t="str">
        <f t="shared" si="128"/>
        <v/>
      </c>
      <c r="FX16" s="578" t="str">
        <f t="shared" si="129"/>
        <v/>
      </c>
      <c r="FY16" s="578" t="str">
        <f t="shared" si="130"/>
        <v/>
      </c>
      <c r="FZ16" s="578" t="str">
        <f t="shared" si="131"/>
        <v/>
      </c>
      <c r="GA16" s="578" t="str">
        <f t="shared" si="132"/>
        <v/>
      </c>
      <c r="GB16" s="578" t="str">
        <f t="shared" si="133"/>
        <v/>
      </c>
      <c r="GC16" s="578" t="str">
        <f t="shared" si="134"/>
        <v/>
      </c>
      <c r="GD16" s="578" t="str">
        <f t="shared" si="135"/>
        <v/>
      </c>
      <c r="GE16" s="578" t="str">
        <f t="shared" si="136"/>
        <v/>
      </c>
      <c r="GF16" s="578" t="str">
        <f t="shared" si="137"/>
        <v/>
      </c>
      <c r="GG16" s="578" t="str">
        <f t="shared" si="138"/>
        <v/>
      </c>
      <c r="GH16" s="578" t="str">
        <f t="shared" si="139"/>
        <v/>
      </c>
      <c r="GI16" s="578" t="str">
        <f t="shared" si="140"/>
        <v/>
      </c>
      <c r="GJ16" s="578" t="str">
        <f t="shared" si="141"/>
        <v/>
      </c>
      <c r="GK16" s="578" t="str">
        <f t="shared" si="142"/>
        <v/>
      </c>
      <c r="GL16" s="578" t="str">
        <f t="shared" si="143"/>
        <v/>
      </c>
      <c r="GM16" s="578" t="str">
        <f t="shared" si="144"/>
        <v/>
      </c>
      <c r="GN16" s="578" t="str">
        <f t="shared" si="145"/>
        <v/>
      </c>
      <c r="GO16" s="579" t="str">
        <f t="shared" si="146"/>
        <v/>
      </c>
      <c r="GP16" s="579" t="str">
        <f t="shared" si="147"/>
        <v/>
      </c>
      <c r="GQ16" s="579" t="str">
        <f t="shared" si="148"/>
        <v/>
      </c>
      <c r="GR16" s="579" t="str">
        <f t="shared" si="149"/>
        <v/>
      </c>
      <c r="GS16" s="579" t="str">
        <f t="shared" si="150"/>
        <v/>
      </c>
      <c r="GT16" s="568" t="str">
        <f t="shared" si="151"/>
        <v/>
      </c>
      <c r="GU16" s="568" t="str">
        <f t="shared" si="152"/>
        <v/>
      </c>
      <c r="GV16" s="568" t="str">
        <f t="shared" si="153"/>
        <v/>
      </c>
      <c r="GW16" s="568" t="str">
        <f t="shared" si="154"/>
        <v/>
      </c>
      <c r="GX16" s="568" t="str">
        <f t="shared" si="155"/>
        <v/>
      </c>
      <c r="GY16" s="568" t="str">
        <f t="shared" si="156"/>
        <v/>
      </c>
      <c r="GZ16" s="568" t="str">
        <f t="shared" si="157"/>
        <v/>
      </c>
      <c r="HA16" s="568" t="str">
        <f t="shared" si="158"/>
        <v/>
      </c>
      <c r="HB16" s="568" t="str">
        <f t="shared" si="159"/>
        <v/>
      </c>
      <c r="HC16" s="568" t="str">
        <f t="shared" si="160"/>
        <v/>
      </c>
      <c r="HD16" s="568" t="str">
        <f t="shared" si="161"/>
        <v/>
      </c>
      <c r="HE16" s="568" t="str">
        <f t="shared" si="162"/>
        <v/>
      </c>
      <c r="HF16" s="568" t="str">
        <f t="shared" si="163"/>
        <v/>
      </c>
      <c r="HG16" s="568" t="str">
        <f t="shared" si="164"/>
        <v/>
      </c>
      <c r="HH16" s="568" t="str">
        <f t="shared" si="165"/>
        <v/>
      </c>
      <c r="HI16" s="568" t="str">
        <f t="shared" si="166"/>
        <v/>
      </c>
      <c r="HJ16" s="568" t="str">
        <f t="shared" si="167"/>
        <v/>
      </c>
      <c r="HK16" s="568" t="str">
        <f t="shared" si="168"/>
        <v/>
      </c>
      <c r="HL16" s="568" t="str">
        <f t="shared" si="169"/>
        <v/>
      </c>
      <c r="HM16" s="568" t="str">
        <f t="shared" si="170"/>
        <v/>
      </c>
    </row>
    <row r="17" spans="1:221" ht="13.15" customHeight="1">
      <c r="A17" s="126" t="str">
        <f t="shared" si="171"/>
        <v/>
      </c>
      <c r="B17" s="1748" t="s">
        <v>1895</v>
      </c>
      <c r="C17" s="1749"/>
      <c r="D17" s="1750"/>
      <c r="E17" s="1751"/>
      <c r="F17" s="1751"/>
      <c r="G17" s="1751"/>
      <c r="H17" s="1751"/>
      <c r="I17" s="1751"/>
      <c r="J17" s="1752"/>
      <c r="K17" s="199">
        <f t="shared" si="172"/>
        <v>0</v>
      </c>
      <c r="L17" s="199">
        <f t="shared" si="0"/>
        <v>0</v>
      </c>
      <c r="M17" s="1753"/>
      <c r="N17" s="1753"/>
      <c r="O17" s="1753"/>
      <c r="P17" s="519" t="str">
        <f t="shared" si="203"/>
        <v/>
      </c>
      <c r="Q17" s="520" t="str">
        <f>IF(H17="","",P17/($P$6*VLOOKUP(C17,'DCA Underwriting Assumptions'!$J$82:$K$87,2,FALSE)))</f>
        <v/>
      </c>
      <c r="R17" s="605"/>
      <c r="S17" s="520"/>
      <c r="T17" s="1754"/>
      <c r="U17" s="1755"/>
      <c r="V17" s="568" t="str">
        <f t="shared" si="1"/>
        <v/>
      </c>
      <c r="W17" s="568" t="str">
        <f t="shared" si="2"/>
        <v/>
      </c>
      <c r="X17" s="568" t="str">
        <f t="shared" si="3"/>
        <v/>
      </c>
      <c r="Y17" s="568" t="str">
        <f t="shared" si="4"/>
        <v/>
      </c>
      <c r="Z17" s="568" t="str">
        <f t="shared" si="5"/>
        <v/>
      </c>
      <c r="AA17" s="568" t="str">
        <f t="shared" si="6"/>
        <v/>
      </c>
      <c r="AB17" s="568" t="str">
        <f t="shared" si="7"/>
        <v/>
      </c>
      <c r="AC17" s="568" t="str">
        <f t="shared" si="8"/>
        <v/>
      </c>
      <c r="AD17" s="568" t="str">
        <f t="shared" si="9"/>
        <v/>
      </c>
      <c r="AE17" s="568" t="str">
        <f t="shared" si="10"/>
        <v/>
      </c>
      <c r="AF17" s="568" t="str">
        <f t="shared" si="11"/>
        <v/>
      </c>
      <c r="AG17" s="568" t="str">
        <f t="shared" si="12"/>
        <v/>
      </c>
      <c r="AH17" s="568" t="str">
        <f t="shared" si="13"/>
        <v/>
      </c>
      <c r="AI17" s="568" t="str">
        <f t="shared" si="14"/>
        <v/>
      </c>
      <c r="AJ17" s="568" t="str">
        <f t="shared" si="15"/>
        <v/>
      </c>
      <c r="AK17" s="568" t="str">
        <f t="shared" si="16"/>
        <v/>
      </c>
      <c r="AL17" s="568" t="str">
        <f t="shared" si="17"/>
        <v/>
      </c>
      <c r="AM17" s="568" t="str">
        <f t="shared" si="18"/>
        <v/>
      </c>
      <c r="AN17" s="568" t="str">
        <f t="shared" si="19"/>
        <v/>
      </c>
      <c r="AO17" s="568" t="str">
        <f t="shared" si="20"/>
        <v/>
      </c>
      <c r="AP17" s="568" t="str">
        <f t="shared" si="173"/>
        <v/>
      </c>
      <c r="AQ17" s="568" t="str">
        <f t="shared" si="174"/>
        <v/>
      </c>
      <c r="AR17" s="568" t="str">
        <f t="shared" si="175"/>
        <v/>
      </c>
      <c r="AS17" s="568" t="str">
        <f t="shared" si="176"/>
        <v/>
      </c>
      <c r="AT17" s="568" t="str">
        <f t="shared" si="177"/>
        <v/>
      </c>
      <c r="AU17" s="568" t="str">
        <f t="shared" si="178"/>
        <v/>
      </c>
      <c r="AV17" s="568" t="str">
        <f t="shared" si="179"/>
        <v/>
      </c>
      <c r="AW17" s="568" t="str">
        <f t="shared" si="180"/>
        <v/>
      </c>
      <c r="AX17" s="568" t="str">
        <f t="shared" si="181"/>
        <v/>
      </c>
      <c r="AY17" s="568" t="str">
        <f t="shared" si="182"/>
        <v/>
      </c>
      <c r="AZ17" s="568" t="str">
        <f t="shared" si="183"/>
        <v/>
      </c>
      <c r="BA17" s="568" t="str">
        <f t="shared" si="184"/>
        <v/>
      </c>
      <c r="BB17" s="568" t="str">
        <f t="shared" si="185"/>
        <v/>
      </c>
      <c r="BC17" s="568" t="str">
        <f t="shared" si="186"/>
        <v/>
      </c>
      <c r="BD17" s="568" t="str">
        <f t="shared" si="187"/>
        <v/>
      </c>
      <c r="BE17" s="568" t="str">
        <f t="shared" si="188"/>
        <v/>
      </c>
      <c r="BF17" s="568" t="str">
        <f t="shared" si="189"/>
        <v/>
      </c>
      <c r="BG17" s="568" t="str">
        <f t="shared" si="190"/>
        <v/>
      </c>
      <c r="BH17" s="568" t="str">
        <f t="shared" si="191"/>
        <v/>
      </c>
      <c r="BI17" s="568" t="str">
        <f t="shared" si="192"/>
        <v/>
      </c>
      <c r="BJ17" s="568" t="str">
        <f t="shared" si="193"/>
        <v/>
      </c>
      <c r="BK17" s="568" t="str">
        <f t="shared" si="194"/>
        <v/>
      </c>
      <c r="BL17" s="568" t="str">
        <f t="shared" si="195"/>
        <v/>
      </c>
      <c r="BM17" s="568" t="str">
        <f t="shared" si="196"/>
        <v/>
      </c>
      <c r="BN17" s="568" t="str">
        <f t="shared" si="197"/>
        <v/>
      </c>
      <c r="BO17" s="568" t="str">
        <f t="shared" si="198"/>
        <v/>
      </c>
      <c r="BP17" s="568" t="str">
        <f t="shared" si="199"/>
        <v/>
      </c>
      <c r="BQ17" s="568" t="str">
        <f t="shared" si="200"/>
        <v/>
      </c>
      <c r="BR17" s="568" t="str">
        <f t="shared" si="201"/>
        <v/>
      </c>
      <c r="BS17" s="568" t="str">
        <f t="shared" si="202"/>
        <v/>
      </c>
      <c r="BT17" s="568" t="str">
        <f t="shared" si="21"/>
        <v/>
      </c>
      <c r="BU17" s="568" t="str">
        <f t="shared" si="22"/>
        <v/>
      </c>
      <c r="BV17" s="568" t="str">
        <f t="shared" si="23"/>
        <v/>
      </c>
      <c r="BW17" s="568" t="str">
        <f t="shared" si="24"/>
        <v/>
      </c>
      <c r="BX17" s="568" t="str">
        <f t="shared" si="25"/>
        <v/>
      </c>
      <c r="BY17" s="568" t="str">
        <f t="shared" si="26"/>
        <v/>
      </c>
      <c r="BZ17" s="568" t="str">
        <f t="shared" si="27"/>
        <v/>
      </c>
      <c r="CA17" s="568" t="str">
        <f t="shared" si="28"/>
        <v/>
      </c>
      <c r="CB17" s="568" t="str">
        <f t="shared" si="29"/>
        <v/>
      </c>
      <c r="CC17" s="568" t="str">
        <f t="shared" si="30"/>
        <v/>
      </c>
      <c r="CD17" s="568" t="str">
        <f t="shared" si="31"/>
        <v/>
      </c>
      <c r="CE17" s="568" t="str">
        <f t="shared" si="32"/>
        <v/>
      </c>
      <c r="CF17" s="568" t="str">
        <f t="shared" si="33"/>
        <v/>
      </c>
      <c r="CG17" s="568" t="str">
        <f t="shared" si="34"/>
        <v/>
      </c>
      <c r="CH17" s="568" t="str">
        <f t="shared" si="35"/>
        <v/>
      </c>
      <c r="CI17" s="568" t="str">
        <f t="shared" si="36"/>
        <v/>
      </c>
      <c r="CJ17" s="568" t="str">
        <f t="shared" si="37"/>
        <v/>
      </c>
      <c r="CK17" s="568" t="str">
        <f t="shared" si="38"/>
        <v/>
      </c>
      <c r="CL17" s="568" t="str">
        <f t="shared" si="39"/>
        <v/>
      </c>
      <c r="CM17" s="568" t="str">
        <f t="shared" si="40"/>
        <v/>
      </c>
      <c r="CN17" s="568" t="str">
        <f t="shared" si="41"/>
        <v/>
      </c>
      <c r="CO17" s="568" t="str">
        <f t="shared" si="42"/>
        <v/>
      </c>
      <c r="CP17" s="568" t="str">
        <f t="shared" si="43"/>
        <v/>
      </c>
      <c r="CQ17" s="568" t="str">
        <f t="shared" si="44"/>
        <v/>
      </c>
      <c r="CR17" s="568" t="str">
        <f t="shared" si="45"/>
        <v/>
      </c>
      <c r="CS17" s="568" t="str">
        <f t="shared" si="46"/>
        <v/>
      </c>
      <c r="CT17" s="568" t="str">
        <f t="shared" si="47"/>
        <v/>
      </c>
      <c r="CU17" s="568" t="str">
        <f t="shared" si="48"/>
        <v/>
      </c>
      <c r="CV17" s="568" t="str">
        <f t="shared" si="49"/>
        <v/>
      </c>
      <c r="CW17" s="568" t="str">
        <f t="shared" si="50"/>
        <v/>
      </c>
      <c r="CX17" s="568" t="str">
        <f t="shared" si="51"/>
        <v/>
      </c>
      <c r="CY17" s="568" t="str">
        <f t="shared" si="52"/>
        <v/>
      </c>
      <c r="CZ17" s="568" t="str">
        <f t="shared" si="53"/>
        <v/>
      </c>
      <c r="DA17" s="568" t="str">
        <f t="shared" si="54"/>
        <v/>
      </c>
      <c r="DB17" s="568" t="str">
        <f t="shared" si="55"/>
        <v/>
      </c>
      <c r="DC17" s="568" t="str">
        <f t="shared" si="56"/>
        <v/>
      </c>
      <c r="DD17" s="568" t="str">
        <f t="shared" si="57"/>
        <v/>
      </c>
      <c r="DE17" s="568" t="str">
        <f t="shared" si="58"/>
        <v/>
      </c>
      <c r="DF17" s="568" t="str">
        <f t="shared" si="59"/>
        <v/>
      </c>
      <c r="DG17" s="568" t="str">
        <f t="shared" si="60"/>
        <v/>
      </c>
      <c r="DH17" s="568" t="str">
        <f t="shared" si="61"/>
        <v/>
      </c>
      <c r="DI17" s="568" t="str">
        <f t="shared" si="62"/>
        <v/>
      </c>
      <c r="DJ17" s="568" t="str">
        <f t="shared" si="63"/>
        <v/>
      </c>
      <c r="DK17" s="568" t="str">
        <f t="shared" si="64"/>
        <v/>
      </c>
      <c r="DL17" s="568" t="str">
        <f t="shared" si="65"/>
        <v/>
      </c>
      <c r="DM17" s="568" t="str">
        <f t="shared" si="66"/>
        <v/>
      </c>
      <c r="DN17" s="568" t="str">
        <f t="shared" si="67"/>
        <v/>
      </c>
      <c r="DO17" s="568" t="str">
        <f t="shared" si="68"/>
        <v/>
      </c>
      <c r="DP17" s="568" t="str">
        <f t="shared" si="69"/>
        <v/>
      </c>
      <c r="DQ17" s="568" t="str">
        <f t="shared" si="70"/>
        <v/>
      </c>
      <c r="DR17" s="568" t="str">
        <f t="shared" si="71"/>
        <v/>
      </c>
      <c r="DS17" s="568" t="str">
        <f t="shared" si="72"/>
        <v/>
      </c>
      <c r="DT17" s="568" t="str">
        <f t="shared" si="73"/>
        <v/>
      </c>
      <c r="DU17" s="568" t="str">
        <f t="shared" si="74"/>
        <v/>
      </c>
      <c r="DV17" s="568" t="str">
        <f t="shared" si="75"/>
        <v/>
      </c>
      <c r="DW17" s="568" t="str">
        <f t="shared" si="76"/>
        <v/>
      </c>
      <c r="DX17" s="568" t="str">
        <f t="shared" si="77"/>
        <v/>
      </c>
      <c r="DY17" s="568" t="str">
        <f t="shared" si="78"/>
        <v/>
      </c>
      <c r="DZ17" s="568" t="str">
        <f t="shared" si="79"/>
        <v/>
      </c>
      <c r="EA17" s="568" t="str">
        <f t="shared" si="80"/>
        <v/>
      </c>
      <c r="EB17" s="568" t="str">
        <f t="shared" si="81"/>
        <v/>
      </c>
      <c r="EC17" s="568" t="str">
        <f t="shared" si="82"/>
        <v/>
      </c>
      <c r="ED17" s="568" t="str">
        <f t="shared" si="83"/>
        <v/>
      </c>
      <c r="EE17" s="568" t="str">
        <f t="shared" si="84"/>
        <v/>
      </c>
      <c r="EF17" s="568" t="str">
        <f t="shared" si="85"/>
        <v/>
      </c>
      <c r="EG17" s="568" t="str">
        <f t="shared" si="86"/>
        <v/>
      </c>
      <c r="EH17" s="568" t="str">
        <f t="shared" si="87"/>
        <v/>
      </c>
      <c r="EI17" s="568" t="str">
        <f t="shared" si="88"/>
        <v/>
      </c>
      <c r="EJ17" s="568" t="str">
        <f t="shared" si="89"/>
        <v/>
      </c>
      <c r="EK17" s="568" t="str">
        <f t="shared" si="90"/>
        <v/>
      </c>
      <c r="EL17" s="568" t="str">
        <f t="shared" si="91"/>
        <v/>
      </c>
      <c r="EM17" s="568" t="str">
        <f t="shared" si="92"/>
        <v/>
      </c>
      <c r="EN17" s="568" t="str">
        <f t="shared" si="93"/>
        <v/>
      </c>
      <c r="EO17" s="568" t="str">
        <f t="shared" si="94"/>
        <v/>
      </c>
      <c r="EP17" s="568" t="str">
        <f t="shared" si="95"/>
        <v/>
      </c>
      <c r="EQ17" s="568" t="str">
        <f t="shared" si="96"/>
        <v/>
      </c>
      <c r="ER17" s="568" t="str">
        <f t="shared" si="97"/>
        <v/>
      </c>
      <c r="ES17" s="568" t="str">
        <f t="shared" si="98"/>
        <v/>
      </c>
      <c r="ET17" s="568" t="str">
        <f t="shared" si="99"/>
        <v/>
      </c>
      <c r="EU17" s="568" t="str">
        <f t="shared" si="100"/>
        <v/>
      </c>
      <c r="EV17" s="578" t="str">
        <f t="shared" si="101"/>
        <v/>
      </c>
      <c r="EW17" s="578" t="str">
        <f t="shared" si="102"/>
        <v/>
      </c>
      <c r="EX17" s="578" t="str">
        <f t="shared" si="103"/>
        <v/>
      </c>
      <c r="EY17" s="578" t="str">
        <f t="shared" si="104"/>
        <v/>
      </c>
      <c r="EZ17" s="578" t="str">
        <f t="shared" si="105"/>
        <v/>
      </c>
      <c r="FA17" s="578" t="str">
        <f t="shared" si="106"/>
        <v/>
      </c>
      <c r="FB17" s="578" t="str">
        <f t="shared" si="107"/>
        <v/>
      </c>
      <c r="FC17" s="578" t="str">
        <f t="shared" si="108"/>
        <v/>
      </c>
      <c r="FD17" s="578" t="str">
        <f t="shared" si="109"/>
        <v/>
      </c>
      <c r="FE17" s="578" t="str">
        <f t="shared" si="110"/>
        <v/>
      </c>
      <c r="FF17" s="578" t="str">
        <f t="shared" si="111"/>
        <v/>
      </c>
      <c r="FG17" s="578" t="str">
        <f t="shared" si="112"/>
        <v/>
      </c>
      <c r="FH17" s="578" t="str">
        <f t="shared" si="113"/>
        <v/>
      </c>
      <c r="FI17" s="578" t="str">
        <f t="shared" si="114"/>
        <v/>
      </c>
      <c r="FJ17" s="578" t="str">
        <f t="shared" si="115"/>
        <v/>
      </c>
      <c r="FK17" s="578" t="str">
        <f t="shared" si="116"/>
        <v/>
      </c>
      <c r="FL17" s="578" t="str">
        <f t="shared" si="117"/>
        <v/>
      </c>
      <c r="FM17" s="578" t="str">
        <f t="shared" si="118"/>
        <v/>
      </c>
      <c r="FN17" s="578" t="str">
        <f t="shared" si="119"/>
        <v/>
      </c>
      <c r="FO17" s="578" t="str">
        <f t="shared" si="120"/>
        <v/>
      </c>
      <c r="FP17" s="578" t="str">
        <f t="shared" si="121"/>
        <v/>
      </c>
      <c r="FQ17" s="578" t="str">
        <f t="shared" si="122"/>
        <v/>
      </c>
      <c r="FR17" s="578" t="str">
        <f t="shared" si="123"/>
        <v/>
      </c>
      <c r="FS17" s="578" t="str">
        <f t="shared" si="124"/>
        <v/>
      </c>
      <c r="FT17" s="578" t="str">
        <f t="shared" si="125"/>
        <v/>
      </c>
      <c r="FU17" s="578" t="str">
        <f t="shared" si="126"/>
        <v/>
      </c>
      <c r="FV17" s="578" t="str">
        <f t="shared" si="127"/>
        <v/>
      </c>
      <c r="FW17" s="578" t="str">
        <f t="shared" si="128"/>
        <v/>
      </c>
      <c r="FX17" s="578" t="str">
        <f t="shared" si="129"/>
        <v/>
      </c>
      <c r="FY17" s="578" t="str">
        <f t="shared" si="130"/>
        <v/>
      </c>
      <c r="FZ17" s="578" t="str">
        <f t="shared" si="131"/>
        <v/>
      </c>
      <c r="GA17" s="578" t="str">
        <f t="shared" si="132"/>
        <v/>
      </c>
      <c r="GB17" s="578" t="str">
        <f t="shared" si="133"/>
        <v/>
      </c>
      <c r="GC17" s="578" t="str">
        <f t="shared" si="134"/>
        <v/>
      </c>
      <c r="GD17" s="578" t="str">
        <f t="shared" si="135"/>
        <v/>
      </c>
      <c r="GE17" s="578" t="str">
        <f t="shared" si="136"/>
        <v/>
      </c>
      <c r="GF17" s="578" t="str">
        <f t="shared" si="137"/>
        <v/>
      </c>
      <c r="GG17" s="578" t="str">
        <f t="shared" si="138"/>
        <v/>
      </c>
      <c r="GH17" s="578" t="str">
        <f t="shared" si="139"/>
        <v/>
      </c>
      <c r="GI17" s="578" t="str">
        <f t="shared" si="140"/>
        <v/>
      </c>
      <c r="GJ17" s="578" t="str">
        <f t="shared" si="141"/>
        <v/>
      </c>
      <c r="GK17" s="578" t="str">
        <f t="shared" si="142"/>
        <v/>
      </c>
      <c r="GL17" s="578" t="str">
        <f t="shared" si="143"/>
        <v/>
      </c>
      <c r="GM17" s="578" t="str">
        <f t="shared" si="144"/>
        <v/>
      </c>
      <c r="GN17" s="578" t="str">
        <f t="shared" si="145"/>
        <v/>
      </c>
      <c r="GO17" s="579" t="str">
        <f t="shared" si="146"/>
        <v/>
      </c>
      <c r="GP17" s="579" t="str">
        <f t="shared" si="147"/>
        <v/>
      </c>
      <c r="GQ17" s="579" t="str">
        <f t="shared" si="148"/>
        <v/>
      </c>
      <c r="GR17" s="579" t="str">
        <f t="shared" si="149"/>
        <v/>
      </c>
      <c r="GS17" s="579" t="str">
        <f t="shared" si="150"/>
        <v/>
      </c>
      <c r="GT17" s="568" t="str">
        <f t="shared" si="151"/>
        <v/>
      </c>
      <c r="GU17" s="568" t="str">
        <f t="shared" si="152"/>
        <v/>
      </c>
      <c r="GV17" s="568" t="str">
        <f t="shared" si="153"/>
        <v/>
      </c>
      <c r="GW17" s="568" t="str">
        <f t="shared" si="154"/>
        <v/>
      </c>
      <c r="GX17" s="568" t="str">
        <f t="shared" si="155"/>
        <v/>
      </c>
      <c r="GY17" s="568" t="str">
        <f t="shared" si="156"/>
        <v/>
      </c>
      <c r="GZ17" s="568" t="str">
        <f t="shared" si="157"/>
        <v/>
      </c>
      <c r="HA17" s="568" t="str">
        <f t="shared" si="158"/>
        <v/>
      </c>
      <c r="HB17" s="568" t="str">
        <f t="shared" si="159"/>
        <v/>
      </c>
      <c r="HC17" s="568" t="str">
        <f t="shared" si="160"/>
        <v/>
      </c>
      <c r="HD17" s="568" t="str">
        <f t="shared" si="161"/>
        <v/>
      </c>
      <c r="HE17" s="568" t="str">
        <f t="shared" si="162"/>
        <v/>
      </c>
      <c r="HF17" s="568" t="str">
        <f t="shared" si="163"/>
        <v/>
      </c>
      <c r="HG17" s="568" t="str">
        <f t="shared" si="164"/>
        <v/>
      </c>
      <c r="HH17" s="568" t="str">
        <f t="shared" si="165"/>
        <v/>
      </c>
      <c r="HI17" s="568" t="str">
        <f t="shared" si="166"/>
        <v/>
      </c>
      <c r="HJ17" s="568" t="str">
        <f t="shared" si="167"/>
        <v/>
      </c>
      <c r="HK17" s="568" t="str">
        <f t="shared" si="168"/>
        <v/>
      </c>
      <c r="HL17" s="568" t="str">
        <f t="shared" si="169"/>
        <v/>
      </c>
      <c r="HM17" s="568" t="str">
        <f t="shared" si="170"/>
        <v/>
      </c>
    </row>
    <row r="18" spans="1:221" ht="13.15" customHeight="1">
      <c r="A18" s="126" t="str">
        <f t="shared" si="171"/>
        <v/>
      </c>
      <c r="B18" s="1748" t="s">
        <v>1895</v>
      </c>
      <c r="C18" s="1749"/>
      <c r="D18" s="1750"/>
      <c r="E18" s="1751"/>
      <c r="F18" s="1751"/>
      <c r="G18" s="1751"/>
      <c r="H18" s="1751"/>
      <c r="I18" s="1751"/>
      <c r="J18" s="1752"/>
      <c r="K18" s="199">
        <f t="shared" si="172"/>
        <v>0</v>
      </c>
      <c r="L18" s="199">
        <f t="shared" si="0"/>
        <v>0</v>
      </c>
      <c r="M18" s="1753"/>
      <c r="N18" s="1753"/>
      <c r="O18" s="1753"/>
      <c r="P18" s="519" t="str">
        <f t="shared" si="203"/>
        <v/>
      </c>
      <c r="Q18" s="520" t="str">
        <f>IF(H18="","",P18/($P$6*VLOOKUP(C18,'DCA Underwriting Assumptions'!$J$82:$K$87,2,FALSE)))</f>
        <v/>
      </c>
      <c r="R18" s="605"/>
      <c r="S18" s="520"/>
      <c r="T18" s="1754"/>
      <c r="U18" s="1755"/>
      <c r="V18" s="568" t="str">
        <f t="shared" si="1"/>
        <v/>
      </c>
      <c r="W18" s="568" t="str">
        <f t="shared" si="2"/>
        <v/>
      </c>
      <c r="X18" s="568" t="str">
        <f t="shared" si="3"/>
        <v/>
      </c>
      <c r="Y18" s="568" t="str">
        <f t="shared" si="4"/>
        <v/>
      </c>
      <c r="Z18" s="568" t="str">
        <f t="shared" si="5"/>
        <v/>
      </c>
      <c r="AA18" s="568" t="str">
        <f t="shared" si="6"/>
        <v/>
      </c>
      <c r="AB18" s="568" t="str">
        <f t="shared" si="7"/>
        <v/>
      </c>
      <c r="AC18" s="568" t="str">
        <f t="shared" si="8"/>
        <v/>
      </c>
      <c r="AD18" s="568" t="str">
        <f t="shared" si="9"/>
        <v/>
      </c>
      <c r="AE18" s="568" t="str">
        <f t="shared" si="10"/>
        <v/>
      </c>
      <c r="AF18" s="568" t="str">
        <f t="shared" si="11"/>
        <v/>
      </c>
      <c r="AG18" s="568" t="str">
        <f t="shared" si="12"/>
        <v/>
      </c>
      <c r="AH18" s="568" t="str">
        <f t="shared" si="13"/>
        <v/>
      </c>
      <c r="AI18" s="568" t="str">
        <f t="shared" si="14"/>
        <v/>
      </c>
      <c r="AJ18" s="568" t="str">
        <f t="shared" si="15"/>
        <v/>
      </c>
      <c r="AK18" s="568" t="str">
        <f t="shared" si="16"/>
        <v/>
      </c>
      <c r="AL18" s="568" t="str">
        <f t="shared" si="17"/>
        <v/>
      </c>
      <c r="AM18" s="568" t="str">
        <f t="shared" si="18"/>
        <v/>
      </c>
      <c r="AN18" s="568" t="str">
        <f t="shared" si="19"/>
        <v/>
      </c>
      <c r="AO18" s="568" t="str">
        <f t="shared" si="20"/>
        <v/>
      </c>
      <c r="AP18" s="568" t="str">
        <f t="shared" si="173"/>
        <v/>
      </c>
      <c r="AQ18" s="568" t="str">
        <f t="shared" si="174"/>
        <v/>
      </c>
      <c r="AR18" s="568" t="str">
        <f t="shared" si="175"/>
        <v/>
      </c>
      <c r="AS18" s="568" t="str">
        <f t="shared" si="176"/>
        <v/>
      </c>
      <c r="AT18" s="568" t="str">
        <f t="shared" si="177"/>
        <v/>
      </c>
      <c r="AU18" s="568" t="str">
        <f t="shared" si="178"/>
        <v/>
      </c>
      <c r="AV18" s="568" t="str">
        <f t="shared" si="179"/>
        <v/>
      </c>
      <c r="AW18" s="568" t="str">
        <f t="shared" si="180"/>
        <v/>
      </c>
      <c r="AX18" s="568" t="str">
        <f t="shared" si="181"/>
        <v/>
      </c>
      <c r="AY18" s="568" t="str">
        <f t="shared" si="182"/>
        <v/>
      </c>
      <c r="AZ18" s="568" t="str">
        <f t="shared" si="183"/>
        <v/>
      </c>
      <c r="BA18" s="568" t="str">
        <f t="shared" si="184"/>
        <v/>
      </c>
      <c r="BB18" s="568" t="str">
        <f t="shared" si="185"/>
        <v/>
      </c>
      <c r="BC18" s="568" t="str">
        <f t="shared" si="186"/>
        <v/>
      </c>
      <c r="BD18" s="568" t="str">
        <f t="shared" si="187"/>
        <v/>
      </c>
      <c r="BE18" s="568" t="str">
        <f t="shared" si="188"/>
        <v/>
      </c>
      <c r="BF18" s="568" t="str">
        <f t="shared" si="189"/>
        <v/>
      </c>
      <c r="BG18" s="568" t="str">
        <f t="shared" si="190"/>
        <v/>
      </c>
      <c r="BH18" s="568" t="str">
        <f t="shared" si="191"/>
        <v/>
      </c>
      <c r="BI18" s="568" t="str">
        <f t="shared" si="192"/>
        <v/>
      </c>
      <c r="BJ18" s="568" t="str">
        <f t="shared" si="193"/>
        <v/>
      </c>
      <c r="BK18" s="568" t="str">
        <f t="shared" si="194"/>
        <v/>
      </c>
      <c r="BL18" s="568" t="str">
        <f t="shared" si="195"/>
        <v/>
      </c>
      <c r="BM18" s="568" t="str">
        <f t="shared" si="196"/>
        <v/>
      </c>
      <c r="BN18" s="568" t="str">
        <f t="shared" si="197"/>
        <v/>
      </c>
      <c r="BO18" s="568" t="str">
        <f t="shared" si="198"/>
        <v/>
      </c>
      <c r="BP18" s="568" t="str">
        <f t="shared" si="199"/>
        <v/>
      </c>
      <c r="BQ18" s="568" t="str">
        <f t="shared" si="200"/>
        <v/>
      </c>
      <c r="BR18" s="568" t="str">
        <f t="shared" si="201"/>
        <v/>
      </c>
      <c r="BS18" s="568" t="str">
        <f t="shared" si="202"/>
        <v/>
      </c>
      <c r="BT18" s="568" t="str">
        <f t="shared" si="21"/>
        <v/>
      </c>
      <c r="BU18" s="568" t="str">
        <f t="shared" si="22"/>
        <v/>
      </c>
      <c r="BV18" s="568" t="str">
        <f t="shared" si="23"/>
        <v/>
      </c>
      <c r="BW18" s="568" t="str">
        <f t="shared" si="24"/>
        <v/>
      </c>
      <c r="BX18" s="568" t="str">
        <f t="shared" si="25"/>
        <v/>
      </c>
      <c r="BY18" s="568" t="str">
        <f t="shared" si="26"/>
        <v/>
      </c>
      <c r="BZ18" s="568" t="str">
        <f t="shared" si="27"/>
        <v/>
      </c>
      <c r="CA18" s="568" t="str">
        <f t="shared" si="28"/>
        <v/>
      </c>
      <c r="CB18" s="568" t="str">
        <f t="shared" si="29"/>
        <v/>
      </c>
      <c r="CC18" s="568" t="str">
        <f t="shared" si="30"/>
        <v/>
      </c>
      <c r="CD18" s="568" t="str">
        <f t="shared" si="31"/>
        <v/>
      </c>
      <c r="CE18" s="568" t="str">
        <f t="shared" si="32"/>
        <v/>
      </c>
      <c r="CF18" s="568" t="str">
        <f t="shared" si="33"/>
        <v/>
      </c>
      <c r="CG18" s="568" t="str">
        <f t="shared" si="34"/>
        <v/>
      </c>
      <c r="CH18" s="568" t="str">
        <f t="shared" si="35"/>
        <v/>
      </c>
      <c r="CI18" s="568" t="str">
        <f t="shared" si="36"/>
        <v/>
      </c>
      <c r="CJ18" s="568" t="str">
        <f t="shared" si="37"/>
        <v/>
      </c>
      <c r="CK18" s="568" t="str">
        <f t="shared" si="38"/>
        <v/>
      </c>
      <c r="CL18" s="568" t="str">
        <f t="shared" si="39"/>
        <v/>
      </c>
      <c r="CM18" s="568" t="str">
        <f t="shared" si="40"/>
        <v/>
      </c>
      <c r="CN18" s="568" t="str">
        <f t="shared" si="41"/>
        <v/>
      </c>
      <c r="CO18" s="568" t="str">
        <f t="shared" si="42"/>
        <v/>
      </c>
      <c r="CP18" s="568" t="str">
        <f t="shared" si="43"/>
        <v/>
      </c>
      <c r="CQ18" s="568" t="str">
        <f t="shared" si="44"/>
        <v/>
      </c>
      <c r="CR18" s="568" t="str">
        <f t="shared" si="45"/>
        <v/>
      </c>
      <c r="CS18" s="568" t="str">
        <f t="shared" si="46"/>
        <v/>
      </c>
      <c r="CT18" s="568" t="str">
        <f t="shared" si="47"/>
        <v/>
      </c>
      <c r="CU18" s="568" t="str">
        <f t="shared" si="48"/>
        <v/>
      </c>
      <c r="CV18" s="568" t="str">
        <f t="shared" si="49"/>
        <v/>
      </c>
      <c r="CW18" s="568" t="str">
        <f t="shared" si="50"/>
        <v/>
      </c>
      <c r="CX18" s="568" t="str">
        <f t="shared" si="51"/>
        <v/>
      </c>
      <c r="CY18" s="568" t="str">
        <f t="shared" si="52"/>
        <v/>
      </c>
      <c r="CZ18" s="568" t="str">
        <f t="shared" si="53"/>
        <v/>
      </c>
      <c r="DA18" s="568" t="str">
        <f t="shared" si="54"/>
        <v/>
      </c>
      <c r="DB18" s="568" t="str">
        <f t="shared" si="55"/>
        <v/>
      </c>
      <c r="DC18" s="568" t="str">
        <f t="shared" si="56"/>
        <v/>
      </c>
      <c r="DD18" s="568" t="str">
        <f t="shared" si="57"/>
        <v/>
      </c>
      <c r="DE18" s="568" t="str">
        <f t="shared" si="58"/>
        <v/>
      </c>
      <c r="DF18" s="568" t="str">
        <f t="shared" si="59"/>
        <v/>
      </c>
      <c r="DG18" s="568" t="str">
        <f t="shared" si="60"/>
        <v/>
      </c>
      <c r="DH18" s="568" t="str">
        <f t="shared" si="61"/>
        <v/>
      </c>
      <c r="DI18" s="568" t="str">
        <f t="shared" si="62"/>
        <v/>
      </c>
      <c r="DJ18" s="568" t="str">
        <f t="shared" si="63"/>
        <v/>
      </c>
      <c r="DK18" s="568" t="str">
        <f t="shared" si="64"/>
        <v/>
      </c>
      <c r="DL18" s="568" t="str">
        <f t="shared" si="65"/>
        <v/>
      </c>
      <c r="DM18" s="568" t="str">
        <f t="shared" si="66"/>
        <v/>
      </c>
      <c r="DN18" s="568" t="str">
        <f t="shared" si="67"/>
        <v/>
      </c>
      <c r="DO18" s="568" t="str">
        <f t="shared" si="68"/>
        <v/>
      </c>
      <c r="DP18" s="568" t="str">
        <f t="shared" si="69"/>
        <v/>
      </c>
      <c r="DQ18" s="568" t="str">
        <f t="shared" si="70"/>
        <v/>
      </c>
      <c r="DR18" s="568" t="str">
        <f t="shared" si="71"/>
        <v/>
      </c>
      <c r="DS18" s="568" t="str">
        <f t="shared" si="72"/>
        <v/>
      </c>
      <c r="DT18" s="568" t="str">
        <f t="shared" si="73"/>
        <v/>
      </c>
      <c r="DU18" s="568" t="str">
        <f t="shared" si="74"/>
        <v/>
      </c>
      <c r="DV18" s="568" t="str">
        <f t="shared" si="75"/>
        <v/>
      </c>
      <c r="DW18" s="568" t="str">
        <f t="shared" si="76"/>
        <v/>
      </c>
      <c r="DX18" s="568" t="str">
        <f t="shared" si="77"/>
        <v/>
      </c>
      <c r="DY18" s="568" t="str">
        <f t="shared" si="78"/>
        <v/>
      </c>
      <c r="DZ18" s="568" t="str">
        <f t="shared" si="79"/>
        <v/>
      </c>
      <c r="EA18" s="568" t="str">
        <f t="shared" si="80"/>
        <v/>
      </c>
      <c r="EB18" s="568" t="str">
        <f t="shared" si="81"/>
        <v/>
      </c>
      <c r="EC18" s="568" t="str">
        <f t="shared" si="82"/>
        <v/>
      </c>
      <c r="ED18" s="568" t="str">
        <f t="shared" si="83"/>
        <v/>
      </c>
      <c r="EE18" s="568" t="str">
        <f t="shared" si="84"/>
        <v/>
      </c>
      <c r="EF18" s="568" t="str">
        <f t="shared" si="85"/>
        <v/>
      </c>
      <c r="EG18" s="568" t="str">
        <f t="shared" si="86"/>
        <v/>
      </c>
      <c r="EH18" s="568" t="str">
        <f t="shared" si="87"/>
        <v/>
      </c>
      <c r="EI18" s="568" t="str">
        <f t="shared" si="88"/>
        <v/>
      </c>
      <c r="EJ18" s="568" t="str">
        <f t="shared" si="89"/>
        <v/>
      </c>
      <c r="EK18" s="568" t="str">
        <f t="shared" si="90"/>
        <v/>
      </c>
      <c r="EL18" s="568" t="str">
        <f t="shared" si="91"/>
        <v/>
      </c>
      <c r="EM18" s="568" t="str">
        <f t="shared" si="92"/>
        <v/>
      </c>
      <c r="EN18" s="568" t="str">
        <f t="shared" si="93"/>
        <v/>
      </c>
      <c r="EO18" s="568" t="str">
        <f t="shared" si="94"/>
        <v/>
      </c>
      <c r="EP18" s="568" t="str">
        <f t="shared" si="95"/>
        <v/>
      </c>
      <c r="EQ18" s="568" t="str">
        <f t="shared" si="96"/>
        <v/>
      </c>
      <c r="ER18" s="568" t="str">
        <f t="shared" si="97"/>
        <v/>
      </c>
      <c r="ES18" s="568" t="str">
        <f t="shared" si="98"/>
        <v/>
      </c>
      <c r="ET18" s="568" t="str">
        <f t="shared" si="99"/>
        <v/>
      </c>
      <c r="EU18" s="568" t="str">
        <f t="shared" si="100"/>
        <v/>
      </c>
      <c r="EV18" s="578" t="str">
        <f t="shared" si="101"/>
        <v/>
      </c>
      <c r="EW18" s="578" t="str">
        <f t="shared" si="102"/>
        <v/>
      </c>
      <c r="EX18" s="578" t="str">
        <f t="shared" si="103"/>
        <v/>
      </c>
      <c r="EY18" s="578" t="str">
        <f t="shared" si="104"/>
        <v/>
      </c>
      <c r="EZ18" s="578" t="str">
        <f t="shared" si="105"/>
        <v/>
      </c>
      <c r="FA18" s="578" t="str">
        <f t="shared" si="106"/>
        <v/>
      </c>
      <c r="FB18" s="578" t="str">
        <f t="shared" si="107"/>
        <v/>
      </c>
      <c r="FC18" s="578" t="str">
        <f t="shared" si="108"/>
        <v/>
      </c>
      <c r="FD18" s="578" t="str">
        <f t="shared" si="109"/>
        <v/>
      </c>
      <c r="FE18" s="578" t="str">
        <f t="shared" si="110"/>
        <v/>
      </c>
      <c r="FF18" s="578" t="str">
        <f t="shared" si="111"/>
        <v/>
      </c>
      <c r="FG18" s="578" t="str">
        <f t="shared" si="112"/>
        <v/>
      </c>
      <c r="FH18" s="578" t="str">
        <f t="shared" si="113"/>
        <v/>
      </c>
      <c r="FI18" s="578" t="str">
        <f t="shared" si="114"/>
        <v/>
      </c>
      <c r="FJ18" s="578" t="str">
        <f t="shared" si="115"/>
        <v/>
      </c>
      <c r="FK18" s="578" t="str">
        <f t="shared" si="116"/>
        <v/>
      </c>
      <c r="FL18" s="578" t="str">
        <f t="shared" si="117"/>
        <v/>
      </c>
      <c r="FM18" s="578" t="str">
        <f t="shared" si="118"/>
        <v/>
      </c>
      <c r="FN18" s="578" t="str">
        <f t="shared" si="119"/>
        <v/>
      </c>
      <c r="FO18" s="578" t="str">
        <f t="shared" si="120"/>
        <v/>
      </c>
      <c r="FP18" s="578" t="str">
        <f t="shared" si="121"/>
        <v/>
      </c>
      <c r="FQ18" s="578" t="str">
        <f t="shared" si="122"/>
        <v/>
      </c>
      <c r="FR18" s="578" t="str">
        <f t="shared" si="123"/>
        <v/>
      </c>
      <c r="FS18" s="578" t="str">
        <f t="shared" si="124"/>
        <v/>
      </c>
      <c r="FT18" s="578" t="str">
        <f t="shared" si="125"/>
        <v/>
      </c>
      <c r="FU18" s="578" t="str">
        <f t="shared" si="126"/>
        <v/>
      </c>
      <c r="FV18" s="578" t="str">
        <f t="shared" si="127"/>
        <v/>
      </c>
      <c r="FW18" s="578" t="str">
        <f t="shared" si="128"/>
        <v/>
      </c>
      <c r="FX18" s="578" t="str">
        <f t="shared" si="129"/>
        <v/>
      </c>
      <c r="FY18" s="578" t="str">
        <f t="shared" si="130"/>
        <v/>
      </c>
      <c r="FZ18" s="578" t="str">
        <f t="shared" si="131"/>
        <v/>
      </c>
      <c r="GA18" s="578" t="str">
        <f t="shared" si="132"/>
        <v/>
      </c>
      <c r="GB18" s="578" t="str">
        <f t="shared" si="133"/>
        <v/>
      </c>
      <c r="GC18" s="578" t="str">
        <f t="shared" si="134"/>
        <v/>
      </c>
      <c r="GD18" s="578" t="str">
        <f t="shared" si="135"/>
        <v/>
      </c>
      <c r="GE18" s="578" t="str">
        <f t="shared" si="136"/>
        <v/>
      </c>
      <c r="GF18" s="578" t="str">
        <f t="shared" si="137"/>
        <v/>
      </c>
      <c r="GG18" s="578" t="str">
        <f t="shared" si="138"/>
        <v/>
      </c>
      <c r="GH18" s="578" t="str">
        <f t="shared" si="139"/>
        <v/>
      </c>
      <c r="GI18" s="578" t="str">
        <f t="shared" si="140"/>
        <v/>
      </c>
      <c r="GJ18" s="578" t="str">
        <f t="shared" si="141"/>
        <v/>
      </c>
      <c r="GK18" s="578" t="str">
        <f t="shared" si="142"/>
        <v/>
      </c>
      <c r="GL18" s="578" t="str">
        <f t="shared" si="143"/>
        <v/>
      </c>
      <c r="GM18" s="578" t="str">
        <f t="shared" si="144"/>
        <v/>
      </c>
      <c r="GN18" s="578" t="str">
        <f t="shared" si="145"/>
        <v/>
      </c>
      <c r="GO18" s="579" t="str">
        <f t="shared" si="146"/>
        <v/>
      </c>
      <c r="GP18" s="579" t="str">
        <f t="shared" si="147"/>
        <v/>
      </c>
      <c r="GQ18" s="579" t="str">
        <f t="shared" si="148"/>
        <v/>
      </c>
      <c r="GR18" s="579" t="str">
        <f t="shared" si="149"/>
        <v/>
      </c>
      <c r="GS18" s="579" t="str">
        <f t="shared" si="150"/>
        <v/>
      </c>
      <c r="GT18" s="568" t="str">
        <f t="shared" si="151"/>
        <v/>
      </c>
      <c r="GU18" s="568" t="str">
        <f t="shared" si="152"/>
        <v/>
      </c>
      <c r="GV18" s="568" t="str">
        <f t="shared" si="153"/>
        <v/>
      </c>
      <c r="GW18" s="568" t="str">
        <f t="shared" si="154"/>
        <v/>
      </c>
      <c r="GX18" s="568" t="str">
        <f t="shared" si="155"/>
        <v/>
      </c>
      <c r="GY18" s="568" t="str">
        <f t="shared" si="156"/>
        <v/>
      </c>
      <c r="GZ18" s="568" t="str">
        <f t="shared" si="157"/>
        <v/>
      </c>
      <c r="HA18" s="568" t="str">
        <f t="shared" si="158"/>
        <v/>
      </c>
      <c r="HB18" s="568" t="str">
        <f t="shared" si="159"/>
        <v/>
      </c>
      <c r="HC18" s="568" t="str">
        <f t="shared" si="160"/>
        <v/>
      </c>
      <c r="HD18" s="568" t="str">
        <f t="shared" si="161"/>
        <v/>
      </c>
      <c r="HE18" s="568" t="str">
        <f t="shared" si="162"/>
        <v/>
      </c>
      <c r="HF18" s="568" t="str">
        <f t="shared" si="163"/>
        <v/>
      </c>
      <c r="HG18" s="568" t="str">
        <f t="shared" si="164"/>
        <v/>
      </c>
      <c r="HH18" s="568" t="str">
        <f t="shared" si="165"/>
        <v/>
      </c>
      <c r="HI18" s="568" t="str">
        <f t="shared" si="166"/>
        <v/>
      </c>
      <c r="HJ18" s="568" t="str">
        <f t="shared" si="167"/>
        <v/>
      </c>
      <c r="HK18" s="568" t="str">
        <f t="shared" si="168"/>
        <v/>
      </c>
      <c r="HL18" s="568" t="str">
        <f t="shared" si="169"/>
        <v/>
      </c>
      <c r="HM18" s="568" t="str">
        <f t="shared" si="170"/>
        <v/>
      </c>
    </row>
    <row r="19" spans="1:221" ht="13.15" customHeight="1">
      <c r="A19" s="126" t="str">
        <f t="shared" si="171"/>
        <v/>
      </c>
      <c r="B19" s="1748" t="s">
        <v>1895</v>
      </c>
      <c r="C19" s="1749"/>
      <c r="D19" s="1750"/>
      <c r="E19" s="1751"/>
      <c r="F19" s="1751"/>
      <c r="G19" s="1751"/>
      <c r="H19" s="1751"/>
      <c r="I19" s="1751"/>
      <c r="J19" s="1752"/>
      <c r="K19" s="199">
        <f t="shared" si="172"/>
        <v>0</v>
      </c>
      <c r="L19" s="199">
        <f t="shared" si="0"/>
        <v>0</v>
      </c>
      <c r="M19" s="1753"/>
      <c r="N19" s="1753"/>
      <c r="O19" s="1753"/>
      <c r="P19" s="519" t="str">
        <f t="shared" si="203"/>
        <v/>
      </c>
      <c r="Q19" s="520" t="str">
        <f>IF(H19="","",P19/($P$6*VLOOKUP(C19,'DCA Underwriting Assumptions'!$J$82:$K$87,2,FALSE)))</f>
        <v/>
      </c>
      <c r="R19" s="605"/>
      <c r="S19" s="520"/>
      <c r="T19" s="1754"/>
      <c r="U19" s="1755"/>
      <c r="V19" s="568" t="str">
        <f t="shared" si="1"/>
        <v/>
      </c>
      <c r="W19" s="568" t="str">
        <f t="shared" si="2"/>
        <v/>
      </c>
      <c r="X19" s="568" t="str">
        <f t="shared" si="3"/>
        <v/>
      </c>
      <c r="Y19" s="568" t="str">
        <f t="shared" si="4"/>
        <v/>
      </c>
      <c r="Z19" s="568" t="str">
        <f t="shared" si="5"/>
        <v/>
      </c>
      <c r="AA19" s="568" t="str">
        <f t="shared" si="6"/>
        <v/>
      </c>
      <c r="AB19" s="568" t="str">
        <f t="shared" si="7"/>
        <v/>
      </c>
      <c r="AC19" s="568" t="str">
        <f t="shared" si="8"/>
        <v/>
      </c>
      <c r="AD19" s="568" t="str">
        <f t="shared" si="9"/>
        <v/>
      </c>
      <c r="AE19" s="568" t="str">
        <f t="shared" si="10"/>
        <v/>
      </c>
      <c r="AF19" s="568" t="str">
        <f t="shared" si="11"/>
        <v/>
      </c>
      <c r="AG19" s="568" t="str">
        <f t="shared" si="12"/>
        <v/>
      </c>
      <c r="AH19" s="568" t="str">
        <f t="shared" si="13"/>
        <v/>
      </c>
      <c r="AI19" s="568" t="str">
        <f t="shared" si="14"/>
        <v/>
      </c>
      <c r="AJ19" s="568" t="str">
        <f t="shared" si="15"/>
        <v/>
      </c>
      <c r="AK19" s="568" t="str">
        <f t="shared" si="16"/>
        <v/>
      </c>
      <c r="AL19" s="568" t="str">
        <f t="shared" si="17"/>
        <v/>
      </c>
      <c r="AM19" s="568" t="str">
        <f t="shared" si="18"/>
        <v/>
      </c>
      <c r="AN19" s="568" t="str">
        <f t="shared" si="19"/>
        <v/>
      </c>
      <c r="AO19" s="568" t="str">
        <f t="shared" si="20"/>
        <v/>
      </c>
      <c r="AP19" s="568" t="str">
        <f t="shared" si="173"/>
        <v/>
      </c>
      <c r="AQ19" s="568" t="str">
        <f t="shared" si="174"/>
        <v/>
      </c>
      <c r="AR19" s="568" t="str">
        <f t="shared" si="175"/>
        <v/>
      </c>
      <c r="AS19" s="568" t="str">
        <f t="shared" si="176"/>
        <v/>
      </c>
      <c r="AT19" s="568" t="str">
        <f t="shared" si="177"/>
        <v/>
      </c>
      <c r="AU19" s="568" t="str">
        <f t="shared" si="178"/>
        <v/>
      </c>
      <c r="AV19" s="568" t="str">
        <f t="shared" si="179"/>
        <v/>
      </c>
      <c r="AW19" s="568" t="str">
        <f t="shared" si="180"/>
        <v/>
      </c>
      <c r="AX19" s="568" t="str">
        <f t="shared" si="181"/>
        <v/>
      </c>
      <c r="AY19" s="568" t="str">
        <f t="shared" si="182"/>
        <v/>
      </c>
      <c r="AZ19" s="568" t="str">
        <f t="shared" si="183"/>
        <v/>
      </c>
      <c r="BA19" s="568" t="str">
        <f t="shared" si="184"/>
        <v/>
      </c>
      <c r="BB19" s="568" t="str">
        <f t="shared" si="185"/>
        <v/>
      </c>
      <c r="BC19" s="568" t="str">
        <f t="shared" si="186"/>
        <v/>
      </c>
      <c r="BD19" s="568" t="str">
        <f t="shared" si="187"/>
        <v/>
      </c>
      <c r="BE19" s="568" t="str">
        <f t="shared" si="188"/>
        <v/>
      </c>
      <c r="BF19" s="568" t="str">
        <f t="shared" si="189"/>
        <v/>
      </c>
      <c r="BG19" s="568" t="str">
        <f t="shared" si="190"/>
        <v/>
      </c>
      <c r="BH19" s="568" t="str">
        <f t="shared" si="191"/>
        <v/>
      </c>
      <c r="BI19" s="568" t="str">
        <f t="shared" si="192"/>
        <v/>
      </c>
      <c r="BJ19" s="568" t="str">
        <f t="shared" si="193"/>
        <v/>
      </c>
      <c r="BK19" s="568" t="str">
        <f t="shared" si="194"/>
        <v/>
      </c>
      <c r="BL19" s="568" t="str">
        <f t="shared" si="195"/>
        <v/>
      </c>
      <c r="BM19" s="568" t="str">
        <f t="shared" si="196"/>
        <v/>
      </c>
      <c r="BN19" s="568" t="str">
        <f t="shared" si="197"/>
        <v/>
      </c>
      <c r="BO19" s="568" t="str">
        <f t="shared" si="198"/>
        <v/>
      </c>
      <c r="BP19" s="568" t="str">
        <f t="shared" si="199"/>
        <v/>
      </c>
      <c r="BQ19" s="568" t="str">
        <f t="shared" si="200"/>
        <v/>
      </c>
      <c r="BR19" s="568" t="str">
        <f t="shared" si="201"/>
        <v/>
      </c>
      <c r="BS19" s="568" t="str">
        <f t="shared" si="202"/>
        <v/>
      </c>
      <c r="BT19" s="568" t="str">
        <f t="shared" si="21"/>
        <v/>
      </c>
      <c r="BU19" s="568" t="str">
        <f t="shared" si="22"/>
        <v/>
      </c>
      <c r="BV19" s="568" t="str">
        <f t="shared" si="23"/>
        <v/>
      </c>
      <c r="BW19" s="568" t="str">
        <f t="shared" si="24"/>
        <v/>
      </c>
      <c r="BX19" s="568" t="str">
        <f t="shared" si="25"/>
        <v/>
      </c>
      <c r="BY19" s="568" t="str">
        <f t="shared" si="26"/>
        <v/>
      </c>
      <c r="BZ19" s="568" t="str">
        <f t="shared" si="27"/>
        <v/>
      </c>
      <c r="CA19" s="568" t="str">
        <f t="shared" si="28"/>
        <v/>
      </c>
      <c r="CB19" s="568" t="str">
        <f t="shared" si="29"/>
        <v/>
      </c>
      <c r="CC19" s="568" t="str">
        <f t="shared" si="30"/>
        <v/>
      </c>
      <c r="CD19" s="568" t="str">
        <f t="shared" si="31"/>
        <v/>
      </c>
      <c r="CE19" s="568" t="str">
        <f t="shared" si="32"/>
        <v/>
      </c>
      <c r="CF19" s="568" t="str">
        <f t="shared" si="33"/>
        <v/>
      </c>
      <c r="CG19" s="568" t="str">
        <f t="shared" si="34"/>
        <v/>
      </c>
      <c r="CH19" s="568" t="str">
        <f t="shared" si="35"/>
        <v/>
      </c>
      <c r="CI19" s="568" t="str">
        <f t="shared" si="36"/>
        <v/>
      </c>
      <c r="CJ19" s="568" t="str">
        <f t="shared" si="37"/>
        <v/>
      </c>
      <c r="CK19" s="568" t="str">
        <f t="shared" si="38"/>
        <v/>
      </c>
      <c r="CL19" s="568" t="str">
        <f t="shared" si="39"/>
        <v/>
      </c>
      <c r="CM19" s="568" t="str">
        <f t="shared" si="40"/>
        <v/>
      </c>
      <c r="CN19" s="568" t="str">
        <f t="shared" si="41"/>
        <v/>
      </c>
      <c r="CO19" s="568" t="str">
        <f t="shared" si="42"/>
        <v/>
      </c>
      <c r="CP19" s="568" t="str">
        <f t="shared" si="43"/>
        <v/>
      </c>
      <c r="CQ19" s="568" t="str">
        <f t="shared" si="44"/>
        <v/>
      </c>
      <c r="CR19" s="568" t="str">
        <f t="shared" si="45"/>
        <v/>
      </c>
      <c r="CS19" s="568" t="str">
        <f t="shared" si="46"/>
        <v/>
      </c>
      <c r="CT19" s="568" t="str">
        <f t="shared" si="47"/>
        <v/>
      </c>
      <c r="CU19" s="568" t="str">
        <f t="shared" si="48"/>
        <v/>
      </c>
      <c r="CV19" s="568" t="str">
        <f t="shared" si="49"/>
        <v/>
      </c>
      <c r="CW19" s="568" t="str">
        <f t="shared" si="50"/>
        <v/>
      </c>
      <c r="CX19" s="568" t="str">
        <f t="shared" si="51"/>
        <v/>
      </c>
      <c r="CY19" s="568" t="str">
        <f t="shared" si="52"/>
        <v/>
      </c>
      <c r="CZ19" s="568" t="str">
        <f t="shared" si="53"/>
        <v/>
      </c>
      <c r="DA19" s="568" t="str">
        <f t="shared" si="54"/>
        <v/>
      </c>
      <c r="DB19" s="568" t="str">
        <f t="shared" si="55"/>
        <v/>
      </c>
      <c r="DC19" s="568" t="str">
        <f t="shared" si="56"/>
        <v/>
      </c>
      <c r="DD19" s="568" t="str">
        <f t="shared" si="57"/>
        <v/>
      </c>
      <c r="DE19" s="568" t="str">
        <f t="shared" si="58"/>
        <v/>
      </c>
      <c r="DF19" s="568" t="str">
        <f t="shared" si="59"/>
        <v/>
      </c>
      <c r="DG19" s="568" t="str">
        <f t="shared" si="60"/>
        <v/>
      </c>
      <c r="DH19" s="568" t="str">
        <f t="shared" si="61"/>
        <v/>
      </c>
      <c r="DI19" s="568" t="str">
        <f t="shared" si="62"/>
        <v/>
      </c>
      <c r="DJ19" s="568" t="str">
        <f t="shared" si="63"/>
        <v/>
      </c>
      <c r="DK19" s="568" t="str">
        <f t="shared" si="64"/>
        <v/>
      </c>
      <c r="DL19" s="568" t="str">
        <f t="shared" si="65"/>
        <v/>
      </c>
      <c r="DM19" s="568" t="str">
        <f t="shared" si="66"/>
        <v/>
      </c>
      <c r="DN19" s="568" t="str">
        <f t="shared" si="67"/>
        <v/>
      </c>
      <c r="DO19" s="568" t="str">
        <f t="shared" si="68"/>
        <v/>
      </c>
      <c r="DP19" s="568" t="str">
        <f t="shared" si="69"/>
        <v/>
      </c>
      <c r="DQ19" s="568" t="str">
        <f t="shared" si="70"/>
        <v/>
      </c>
      <c r="DR19" s="568" t="str">
        <f t="shared" si="71"/>
        <v/>
      </c>
      <c r="DS19" s="568" t="str">
        <f t="shared" si="72"/>
        <v/>
      </c>
      <c r="DT19" s="568" t="str">
        <f t="shared" si="73"/>
        <v/>
      </c>
      <c r="DU19" s="568" t="str">
        <f t="shared" si="74"/>
        <v/>
      </c>
      <c r="DV19" s="568" t="str">
        <f t="shared" si="75"/>
        <v/>
      </c>
      <c r="DW19" s="568" t="str">
        <f t="shared" si="76"/>
        <v/>
      </c>
      <c r="DX19" s="568" t="str">
        <f t="shared" si="77"/>
        <v/>
      </c>
      <c r="DY19" s="568" t="str">
        <f t="shared" si="78"/>
        <v/>
      </c>
      <c r="DZ19" s="568" t="str">
        <f t="shared" si="79"/>
        <v/>
      </c>
      <c r="EA19" s="568" t="str">
        <f t="shared" si="80"/>
        <v/>
      </c>
      <c r="EB19" s="568" t="str">
        <f t="shared" si="81"/>
        <v/>
      </c>
      <c r="EC19" s="568" t="str">
        <f t="shared" si="82"/>
        <v/>
      </c>
      <c r="ED19" s="568" t="str">
        <f t="shared" si="83"/>
        <v/>
      </c>
      <c r="EE19" s="568" t="str">
        <f t="shared" si="84"/>
        <v/>
      </c>
      <c r="EF19" s="568" t="str">
        <f t="shared" si="85"/>
        <v/>
      </c>
      <c r="EG19" s="568" t="str">
        <f t="shared" si="86"/>
        <v/>
      </c>
      <c r="EH19" s="568" t="str">
        <f t="shared" si="87"/>
        <v/>
      </c>
      <c r="EI19" s="568" t="str">
        <f t="shared" si="88"/>
        <v/>
      </c>
      <c r="EJ19" s="568" t="str">
        <f t="shared" si="89"/>
        <v/>
      </c>
      <c r="EK19" s="568" t="str">
        <f t="shared" si="90"/>
        <v/>
      </c>
      <c r="EL19" s="568" t="str">
        <f t="shared" si="91"/>
        <v/>
      </c>
      <c r="EM19" s="568" t="str">
        <f t="shared" si="92"/>
        <v/>
      </c>
      <c r="EN19" s="568" t="str">
        <f t="shared" si="93"/>
        <v/>
      </c>
      <c r="EO19" s="568" t="str">
        <f t="shared" si="94"/>
        <v/>
      </c>
      <c r="EP19" s="568" t="str">
        <f t="shared" si="95"/>
        <v/>
      </c>
      <c r="EQ19" s="568" t="str">
        <f t="shared" si="96"/>
        <v/>
      </c>
      <c r="ER19" s="568" t="str">
        <f t="shared" si="97"/>
        <v/>
      </c>
      <c r="ES19" s="568" t="str">
        <f t="shared" si="98"/>
        <v/>
      </c>
      <c r="ET19" s="568" t="str">
        <f t="shared" si="99"/>
        <v/>
      </c>
      <c r="EU19" s="568" t="str">
        <f t="shared" si="100"/>
        <v/>
      </c>
      <c r="EV19" s="578" t="str">
        <f t="shared" si="101"/>
        <v/>
      </c>
      <c r="EW19" s="578" t="str">
        <f t="shared" si="102"/>
        <v/>
      </c>
      <c r="EX19" s="578" t="str">
        <f t="shared" si="103"/>
        <v/>
      </c>
      <c r="EY19" s="578" t="str">
        <f t="shared" si="104"/>
        <v/>
      </c>
      <c r="EZ19" s="578" t="str">
        <f t="shared" si="105"/>
        <v/>
      </c>
      <c r="FA19" s="578" t="str">
        <f t="shared" si="106"/>
        <v/>
      </c>
      <c r="FB19" s="578" t="str">
        <f t="shared" si="107"/>
        <v/>
      </c>
      <c r="FC19" s="578" t="str">
        <f t="shared" si="108"/>
        <v/>
      </c>
      <c r="FD19" s="578" t="str">
        <f t="shared" si="109"/>
        <v/>
      </c>
      <c r="FE19" s="578" t="str">
        <f t="shared" si="110"/>
        <v/>
      </c>
      <c r="FF19" s="578" t="str">
        <f t="shared" si="111"/>
        <v/>
      </c>
      <c r="FG19" s="578" t="str">
        <f t="shared" si="112"/>
        <v/>
      </c>
      <c r="FH19" s="578" t="str">
        <f t="shared" si="113"/>
        <v/>
      </c>
      <c r="FI19" s="578" t="str">
        <f t="shared" si="114"/>
        <v/>
      </c>
      <c r="FJ19" s="578" t="str">
        <f t="shared" si="115"/>
        <v/>
      </c>
      <c r="FK19" s="578" t="str">
        <f t="shared" si="116"/>
        <v/>
      </c>
      <c r="FL19" s="578" t="str">
        <f t="shared" si="117"/>
        <v/>
      </c>
      <c r="FM19" s="578" t="str">
        <f t="shared" si="118"/>
        <v/>
      </c>
      <c r="FN19" s="578" t="str">
        <f t="shared" si="119"/>
        <v/>
      </c>
      <c r="FO19" s="578" t="str">
        <f t="shared" si="120"/>
        <v/>
      </c>
      <c r="FP19" s="578" t="str">
        <f t="shared" si="121"/>
        <v/>
      </c>
      <c r="FQ19" s="578" t="str">
        <f t="shared" si="122"/>
        <v/>
      </c>
      <c r="FR19" s="578" t="str">
        <f t="shared" si="123"/>
        <v/>
      </c>
      <c r="FS19" s="578" t="str">
        <f t="shared" si="124"/>
        <v/>
      </c>
      <c r="FT19" s="578" t="str">
        <f t="shared" si="125"/>
        <v/>
      </c>
      <c r="FU19" s="578" t="str">
        <f t="shared" si="126"/>
        <v/>
      </c>
      <c r="FV19" s="578" t="str">
        <f t="shared" si="127"/>
        <v/>
      </c>
      <c r="FW19" s="578" t="str">
        <f t="shared" si="128"/>
        <v/>
      </c>
      <c r="FX19" s="578" t="str">
        <f t="shared" si="129"/>
        <v/>
      </c>
      <c r="FY19" s="578" t="str">
        <f t="shared" si="130"/>
        <v/>
      </c>
      <c r="FZ19" s="578" t="str">
        <f t="shared" si="131"/>
        <v/>
      </c>
      <c r="GA19" s="578" t="str">
        <f t="shared" si="132"/>
        <v/>
      </c>
      <c r="GB19" s="578" t="str">
        <f t="shared" si="133"/>
        <v/>
      </c>
      <c r="GC19" s="578" t="str">
        <f t="shared" si="134"/>
        <v/>
      </c>
      <c r="GD19" s="578" t="str">
        <f t="shared" si="135"/>
        <v/>
      </c>
      <c r="GE19" s="578" t="str">
        <f t="shared" si="136"/>
        <v/>
      </c>
      <c r="GF19" s="578" t="str">
        <f t="shared" si="137"/>
        <v/>
      </c>
      <c r="GG19" s="578" t="str">
        <f t="shared" si="138"/>
        <v/>
      </c>
      <c r="GH19" s="578" t="str">
        <f t="shared" si="139"/>
        <v/>
      </c>
      <c r="GI19" s="578" t="str">
        <f t="shared" si="140"/>
        <v/>
      </c>
      <c r="GJ19" s="578" t="str">
        <f t="shared" si="141"/>
        <v/>
      </c>
      <c r="GK19" s="578" t="str">
        <f t="shared" si="142"/>
        <v/>
      </c>
      <c r="GL19" s="578" t="str">
        <f t="shared" si="143"/>
        <v/>
      </c>
      <c r="GM19" s="578" t="str">
        <f t="shared" si="144"/>
        <v/>
      </c>
      <c r="GN19" s="578" t="str">
        <f t="shared" si="145"/>
        <v/>
      </c>
      <c r="GO19" s="579" t="str">
        <f t="shared" si="146"/>
        <v/>
      </c>
      <c r="GP19" s="579" t="str">
        <f t="shared" si="147"/>
        <v/>
      </c>
      <c r="GQ19" s="579" t="str">
        <f t="shared" si="148"/>
        <v/>
      </c>
      <c r="GR19" s="579" t="str">
        <f t="shared" si="149"/>
        <v/>
      </c>
      <c r="GS19" s="579" t="str">
        <f t="shared" si="150"/>
        <v/>
      </c>
      <c r="GT19" s="568" t="str">
        <f t="shared" si="151"/>
        <v/>
      </c>
      <c r="GU19" s="568" t="str">
        <f t="shared" si="152"/>
        <v/>
      </c>
      <c r="GV19" s="568" t="str">
        <f t="shared" si="153"/>
        <v/>
      </c>
      <c r="GW19" s="568" t="str">
        <f t="shared" si="154"/>
        <v/>
      </c>
      <c r="GX19" s="568" t="str">
        <f t="shared" si="155"/>
        <v/>
      </c>
      <c r="GY19" s="568" t="str">
        <f t="shared" si="156"/>
        <v/>
      </c>
      <c r="GZ19" s="568" t="str">
        <f t="shared" si="157"/>
        <v/>
      </c>
      <c r="HA19" s="568" t="str">
        <f t="shared" si="158"/>
        <v/>
      </c>
      <c r="HB19" s="568" t="str">
        <f t="shared" si="159"/>
        <v/>
      </c>
      <c r="HC19" s="568" t="str">
        <f t="shared" si="160"/>
        <v/>
      </c>
      <c r="HD19" s="568" t="str">
        <f t="shared" si="161"/>
        <v/>
      </c>
      <c r="HE19" s="568" t="str">
        <f t="shared" si="162"/>
        <v/>
      </c>
      <c r="HF19" s="568" t="str">
        <f t="shared" si="163"/>
        <v/>
      </c>
      <c r="HG19" s="568" t="str">
        <f t="shared" si="164"/>
        <v/>
      </c>
      <c r="HH19" s="568" t="str">
        <f t="shared" si="165"/>
        <v/>
      </c>
      <c r="HI19" s="568" t="str">
        <f t="shared" si="166"/>
        <v/>
      </c>
      <c r="HJ19" s="568" t="str">
        <f t="shared" si="167"/>
        <v/>
      </c>
      <c r="HK19" s="568" t="str">
        <f t="shared" si="168"/>
        <v/>
      </c>
      <c r="HL19" s="568" t="str">
        <f t="shared" si="169"/>
        <v/>
      </c>
      <c r="HM19" s="568" t="str">
        <f t="shared" si="170"/>
        <v/>
      </c>
    </row>
    <row r="20" spans="1:221" ht="13.15" customHeight="1">
      <c r="A20" s="126" t="str">
        <f t="shared" si="171"/>
        <v/>
      </c>
      <c r="B20" s="1748" t="s">
        <v>1895</v>
      </c>
      <c r="C20" s="1749"/>
      <c r="D20" s="1750"/>
      <c r="E20" s="1751"/>
      <c r="F20" s="1751"/>
      <c r="G20" s="1751"/>
      <c r="H20" s="1751"/>
      <c r="I20" s="1751"/>
      <c r="J20" s="1752"/>
      <c r="K20" s="199">
        <f t="shared" si="172"/>
        <v>0</v>
      </c>
      <c r="L20" s="199">
        <f t="shared" si="0"/>
        <v>0</v>
      </c>
      <c r="M20" s="1753"/>
      <c r="N20" s="1753"/>
      <c r="O20" s="1753"/>
      <c r="P20" s="519" t="str">
        <f t="shared" si="203"/>
        <v/>
      </c>
      <c r="Q20" s="520" t="str">
        <f>IF(H20="","",P20/($P$6*VLOOKUP(C20,'DCA Underwriting Assumptions'!$J$82:$K$87,2,FALSE)))</f>
        <v/>
      </c>
      <c r="R20" s="605"/>
      <c r="S20" s="520"/>
      <c r="T20" s="1754"/>
      <c r="U20" s="1755"/>
      <c r="V20" s="568" t="str">
        <f t="shared" si="1"/>
        <v/>
      </c>
      <c r="W20" s="568" t="str">
        <f t="shared" si="2"/>
        <v/>
      </c>
      <c r="X20" s="568" t="str">
        <f t="shared" si="3"/>
        <v/>
      </c>
      <c r="Y20" s="568" t="str">
        <f t="shared" si="4"/>
        <v/>
      </c>
      <c r="Z20" s="568" t="str">
        <f t="shared" si="5"/>
        <v/>
      </c>
      <c r="AA20" s="568" t="str">
        <f t="shared" si="6"/>
        <v/>
      </c>
      <c r="AB20" s="568" t="str">
        <f t="shared" si="7"/>
        <v/>
      </c>
      <c r="AC20" s="568" t="str">
        <f t="shared" si="8"/>
        <v/>
      </c>
      <c r="AD20" s="568" t="str">
        <f t="shared" si="9"/>
        <v/>
      </c>
      <c r="AE20" s="568" t="str">
        <f t="shared" si="10"/>
        <v/>
      </c>
      <c r="AF20" s="568" t="str">
        <f t="shared" si="11"/>
        <v/>
      </c>
      <c r="AG20" s="568" t="str">
        <f t="shared" si="12"/>
        <v/>
      </c>
      <c r="AH20" s="568" t="str">
        <f t="shared" si="13"/>
        <v/>
      </c>
      <c r="AI20" s="568" t="str">
        <f t="shared" si="14"/>
        <v/>
      </c>
      <c r="AJ20" s="568" t="str">
        <f t="shared" si="15"/>
        <v/>
      </c>
      <c r="AK20" s="568" t="str">
        <f t="shared" si="16"/>
        <v/>
      </c>
      <c r="AL20" s="568" t="str">
        <f t="shared" si="17"/>
        <v/>
      </c>
      <c r="AM20" s="568" t="str">
        <f t="shared" si="18"/>
        <v/>
      </c>
      <c r="AN20" s="568" t="str">
        <f t="shared" si="19"/>
        <v/>
      </c>
      <c r="AO20" s="568" t="str">
        <f t="shared" si="20"/>
        <v/>
      </c>
      <c r="AP20" s="568" t="str">
        <f t="shared" si="173"/>
        <v/>
      </c>
      <c r="AQ20" s="568" t="str">
        <f t="shared" si="174"/>
        <v/>
      </c>
      <c r="AR20" s="568" t="str">
        <f t="shared" si="175"/>
        <v/>
      </c>
      <c r="AS20" s="568" t="str">
        <f t="shared" si="176"/>
        <v/>
      </c>
      <c r="AT20" s="568" t="str">
        <f t="shared" si="177"/>
        <v/>
      </c>
      <c r="AU20" s="568" t="str">
        <f t="shared" si="178"/>
        <v/>
      </c>
      <c r="AV20" s="568" t="str">
        <f t="shared" si="179"/>
        <v/>
      </c>
      <c r="AW20" s="568" t="str">
        <f t="shared" si="180"/>
        <v/>
      </c>
      <c r="AX20" s="568" t="str">
        <f t="shared" si="181"/>
        <v/>
      </c>
      <c r="AY20" s="568" t="str">
        <f t="shared" si="182"/>
        <v/>
      </c>
      <c r="AZ20" s="568" t="str">
        <f t="shared" si="183"/>
        <v/>
      </c>
      <c r="BA20" s="568" t="str">
        <f t="shared" si="184"/>
        <v/>
      </c>
      <c r="BB20" s="568" t="str">
        <f t="shared" si="185"/>
        <v/>
      </c>
      <c r="BC20" s="568" t="str">
        <f t="shared" si="186"/>
        <v/>
      </c>
      <c r="BD20" s="568" t="str">
        <f t="shared" si="187"/>
        <v/>
      </c>
      <c r="BE20" s="568" t="str">
        <f t="shared" si="188"/>
        <v/>
      </c>
      <c r="BF20" s="568" t="str">
        <f t="shared" si="189"/>
        <v/>
      </c>
      <c r="BG20" s="568" t="str">
        <f t="shared" si="190"/>
        <v/>
      </c>
      <c r="BH20" s="568" t="str">
        <f t="shared" si="191"/>
        <v/>
      </c>
      <c r="BI20" s="568" t="str">
        <f t="shared" si="192"/>
        <v/>
      </c>
      <c r="BJ20" s="568" t="str">
        <f t="shared" si="193"/>
        <v/>
      </c>
      <c r="BK20" s="568" t="str">
        <f t="shared" si="194"/>
        <v/>
      </c>
      <c r="BL20" s="568" t="str">
        <f t="shared" si="195"/>
        <v/>
      </c>
      <c r="BM20" s="568" t="str">
        <f t="shared" si="196"/>
        <v/>
      </c>
      <c r="BN20" s="568" t="str">
        <f t="shared" si="197"/>
        <v/>
      </c>
      <c r="BO20" s="568" t="str">
        <f t="shared" si="198"/>
        <v/>
      </c>
      <c r="BP20" s="568" t="str">
        <f t="shared" si="199"/>
        <v/>
      </c>
      <c r="BQ20" s="568" t="str">
        <f t="shared" si="200"/>
        <v/>
      </c>
      <c r="BR20" s="568" t="str">
        <f t="shared" si="201"/>
        <v/>
      </c>
      <c r="BS20" s="568" t="str">
        <f t="shared" si="202"/>
        <v/>
      </c>
      <c r="BT20" s="568" t="str">
        <f t="shared" si="21"/>
        <v/>
      </c>
      <c r="BU20" s="568" t="str">
        <f t="shared" si="22"/>
        <v/>
      </c>
      <c r="BV20" s="568" t="str">
        <f t="shared" si="23"/>
        <v/>
      </c>
      <c r="BW20" s="568" t="str">
        <f t="shared" si="24"/>
        <v/>
      </c>
      <c r="BX20" s="568" t="str">
        <f t="shared" si="25"/>
        <v/>
      </c>
      <c r="BY20" s="568" t="str">
        <f t="shared" si="26"/>
        <v/>
      </c>
      <c r="BZ20" s="568" t="str">
        <f t="shared" si="27"/>
        <v/>
      </c>
      <c r="CA20" s="568" t="str">
        <f t="shared" si="28"/>
        <v/>
      </c>
      <c r="CB20" s="568" t="str">
        <f t="shared" si="29"/>
        <v/>
      </c>
      <c r="CC20" s="568" t="str">
        <f t="shared" si="30"/>
        <v/>
      </c>
      <c r="CD20" s="568" t="str">
        <f t="shared" si="31"/>
        <v/>
      </c>
      <c r="CE20" s="568" t="str">
        <f t="shared" si="32"/>
        <v/>
      </c>
      <c r="CF20" s="568" t="str">
        <f t="shared" si="33"/>
        <v/>
      </c>
      <c r="CG20" s="568" t="str">
        <f t="shared" si="34"/>
        <v/>
      </c>
      <c r="CH20" s="568" t="str">
        <f t="shared" si="35"/>
        <v/>
      </c>
      <c r="CI20" s="568" t="str">
        <f t="shared" si="36"/>
        <v/>
      </c>
      <c r="CJ20" s="568" t="str">
        <f t="shared" si="37"/>
        <v/>
      </c>
      <c r="CK20" s="568" t="str">
        <f t="shared" si="38"/>
        <v/>
      </c>
      <c r="CL20" s="568" t="str">
        <f t="shared" si="39"/>
        <v/>
      </c>
      <c r="CM20" s="568" t="str">
        <f t="shared" si="40"/>
        <v/>
      </c>
      <c r="CN20" s="568" t="str">
        <f t="shared" si="41"/>
        <v/>
      </c>
      <c r="CO20" s="568" t="str">
        <f t="shared" si="42"/>
        <v/>
      </c>
      <c r="CP20" s="568" t="str">
        <f t="shared" si="43"/>
        <v/>
      </c>
      <c r="CQ20" s="568" t="str">
        <f t="shared" si="44"/>
        <v/>
      </c>
      <c r="CR20" s="568" t="str">
        <f t="shared" si="45"/>
        <v/>
      </c>
      <c r="CS20" s="568" t="str">
        <f t="shared" si="46"/>
        <v/>
      </c>
      <c r="CT20" s="568" t="str">
        <f t="shared" si="47"/>
        <v/>
      </c>
      <c r="CU20" s="568" t="str">
        <f t="shared" si="48"/>
        <v/>
      </c>
      <c r="CV20" s="568" t="str">
        <f t="shared" si="49"/>
        <v/>
      </c>
      <c r="CW20" s="568" t="str">
        <f t="shared" si="50"/>
        <v/>
      </c>
      <c r="CX20" s="568" t="str">
        <f t="shared" si="51"/>
        <v/>
      </c>
      <c r="CY20" s="568" t="str">
        <f t="shared" si="52"/>
        <v/>
      </c>
      <c r="CZ20" s="568" t="str">
        <f t="shared" si="53"/>
        <v/>
      </c>
      <c r="DA20" s="568" t="str">
        <f t="shared" si="54"/>
        <v/>
      </c>
      <c r="DB20" s="568" t="str">
        <f t="shared" si="55"/>
        <v/>
      </c>
      <c r="DC20" s="568" t="str">
        <f t="shared" si="56"/>
        <v/>
      </c>
      <c r="DD20" s="568" t="str">
        <f t="shared" si="57"/>
        <v/>
      </c>
      <c r="DE20" s="568" t="str">
        <f t="shared" si="58"/>
        <v/>
      </c>
      <c r="DF20" s="568" t="str">
        <f t="shared" si="59"/>
        <v/>
      </c>
      <c r="DG20" s="568" t="str">
        <f t="shared" si="60"/>
        <v/>
      </c>
      <c r="DH20" s="568" t="str">
        <f t="shared" si="61"/>
        <v/>
      </c>
      <c r="DI20" s="568" t="str">
        <f t="shared" si="62"/>
        <v/>
      </c>
      <c r="DJ20" s="568" t="str">
        <f t="shared" si="63"/>
        <v/>
      </c>
      <c r="DK20" s="568" t="str">
        <f t="shared" si="64"/>
        <v/>
      </c>
      <c r="DL20" s="568" t="str">
        <f t="shared" si="65"/>
        <v/>
      </c>
      <c r="DM20" s="568" t="str">
        <f t="shared" si="66"/>
        <v/>
      </c>
      <c r="DN20" s="568" t="str">
        <f t="shared" si="67"/>
        <v/>
      </c>
      <c r="DO20" s="568" t="str">
        <f t="shared" si="68"/>
        <v/>
      </c>
      <c r="DP20" s="568" t="str">
        <f t="shared" si="69"/>
        <v/>
      </c>
      <c r="DQ20" s="568" t="str">
        <f t="shared" si="70"/>
        <v/>
      </c>
      <c r="DR20" s="568" t="str">
        <f t="shared" si="71"/>
        <v/>
      </c>
      <c r="DS20" s="568" t="str">
        <f t="shared" si="72"/>
        <v/>
      </c>
      <c r="DT20" s="568" t="str">
        <f t="shared" si="73"/>
        <v/>
      </c>
      <c r="DU20" s="568" t="str">
        <f t="shared" si="74"/>
        <v/>
      </c>
      <c r="DV20" s="568" t="str">
        <f t="shared" si="75"/>
        <v/>
      </c>
      <c r="DW20" s="568" t="str">
        <f t="shared" si="76"/>
        <v/>
      </c>
      <c r="DX20" s="568" t="str">
        <f t="shared" si="77"/>
        <v/>
      </c>
      <c r="DY20" s="568" t="str">
        <f t="shared" si="78"/>
        <v/>
      </c>
      <c r="DZ20" s="568" t="str">
        <f t="shared" si="79"/>
        <v/>
      </c>
      <c r="EA20" s="568" t="str">
        <f t="shared" si="80"/>
        <v/>
      </c>
      <c r="EB20" s="568" t="str">
        <f t="shared" si="81"/>
        <v/>
      </c>
      <c r="EC20" s="568" t="str">
        <f t="shared" si="82"/>
        <v/>
      </c>
      <c r="ED20" s="568" t="str">
        <f t="shared" si="83"/>
        <v/>
      </c>
      <c r="EE20" s="568" t="str">
        <f t="shared" si="84"/>
        <v/>
      </c>
      <c r="EF20" s="568" t="str">
        <f t="shared" si="85"/>
        <v/>
      </c>
      <c r="EG20" s="568" t="str">
        <f t="shared" si="86"/>
        <v/>
      </c>
      <c r="EH20" s="568" t="str">
        <f t="shared" si="87"/>
        <v/>
      </c>
      <c r="EI20" s="568" t="str">
        <f t="shared" si="88"/>
        <v/>
      </c>
      <c r="EJ20" s="568" t="str">
        <f t="shared" si="89"/>
        <v/>
      </c>
      <c r="EK20" s="568" t="str">
        <f t="shared" si="90"/>
        <v/>
      </c>
      <c r="EL20" s="568" t="str">
        <f t="shared" si="91"/>
        <v/>
      </c>
      <c r="EM20" s="568" t="str">
        <f t="shared" si="92"/>
        <v/>
      </c>
      <c r="EN20" s="568" t="str">
        <f t="shared" si="93"/>
        <v/>
      </c>
      <c r="EO20" s="568" t="str">
        <f t="shared" si="94"/>
        <v/>
      </c>
      <c r="EP20" s="568" t="str">
        <f t="shared" si="95"/>
        <v/>
      </c>
      <c r="EQ20" s="568" t="str">
        <f t="shared" si="96"/>
        <v/>
      </c>
      <c r="ER20" s="568" t="str">
        <f t="shared" si="97"/>
        <v/>
      </c>
      <c r="ES20" s="568" t="str">
        <f t="shared" si="98"/>
        <v/>
      </c>
      <c r="ET20" s="568" t="str">
        <f t="shared" si="99"/>
        <v/>
      </c>
      <c r="EU20" s="568" t="str">
        <f t="shared" si="100"/>
        <v/>
      </c>
      <c r="EV20" s="578" t="str">
        <f t="shared" si="101"/>
        <v/>
      </c>
      <c r="EW20" s="578" t="str">
        <f t="shared" si="102"/>
        <v/>
      </c>
      <c r="EX20" s="578" t="str">
        <f t="shared" si="103"/>
        <v/>
      </c>
      <c r="EY20" s="578" t="str">
        <f t="shared" si="104"/>
        <v/>
      </c>
      <c r="EZ20" s="578" t="str">
        <f t="shared" si="105"/>
        <v/>
      </c>
      <c r="FA20" s="578" t="str">
        <f t="shared" si="106"/>
        <v/>
      </c>
      <c r="FB20" s="578" t="str">
        <f t="shared" si="107"/>
        <v/>
      </c>
      <c r="FC20" s="578" t="str">
        <f t="shared" si="108"/>
        <v/>
      </c>
      <c r="FD20" s="578" t="str">
        <f t="shared" si="109"/>
        <v/>
      </c>
      <c r="FE20" s="578" t="str">
        <f t="shared" si="110"/>
        <v/>
      </c>
      <c r="FF20" s="578" t="str">
        <f t="shared" si="111"/>
        <v/>
      </c>
      <c r="FG20" s="578" t="str">
        <f t="shared" si="112"/>
        <v/>
      </c>
      <c r="FH20" s="578" t="str">
        <f t="shared" si="113"/>
        <v/>
      </c>
      <c r="FI20" s="578" t="str">
        <f t="shared" si="114"/>
        <v/>
      </c>
      <c r="FJ20" s="578" t="str">
        <f t="shared" si="115"/>
        <v/>
      </c>
      <c r="FK20" s="578" t="str">
        <f t="shared" si="116"/>
        <v/>
      </c>
      <c r="FL20" s="578" t="str">
        <f t="shared" si="117"/>
        <v/>
      </c>
      <c r="FM20" s="578" t="str">
        <f t="shared" si="118"/>
        <v/>
      </c>
      <c r="FN20" s="578" t="str">
        <f t="shared" si="119"/>
        <v/>
      </c>
      <c r="FO20" s="578" t="str">
        <f t="shared" si="120"/>
        <v/>
      </c>
      <c r="FP20" s="578" t="str">
        <f t="shared" si="121"/>
        <v/>
      </c>
      <c r="FQ20" s="578" t="str">
        <f t="shared" si="122"/>
        <v/>
      </c>
      <c r="FR20" s="578" t="str">
        <f t="shared" si="123"/>
        <v/>
      </c>
      <c r="FS20" s="578" t="str">
        <f t="shared" si="124"/>
        <v/>
      </c>
      <c r="FT20" s="578" t="str">
        <f t="shared" si="125"/>
        <v/>
      </c>
      <c r="FU20" s="578" t="str">
        <f t="shared" si="126"/>
        <v/>
      </c>
      <c r="FV20" s="578" t="str">
        <f t="shared" si="127"/>
        <v/>
      </c>
      <c r="FW20" s="578" t="str">
        <f t="shared" si="128"/>
        <v/>
      </c>
      <c r="FX20" s="578" t="str">
        <f t="shared" si="129"/>
        <v/>
      </c>
      <c r="FY20" s="578" t="str">
        <f t="shared" si="130"/>
        <v/>
      </c>
      <c r="FZ20" s="578" t="str">
        <f t="shared" si="131"/>
        <v/>
      </c>
      <c r="GA20" s="578" t="str">
        <f t="shared" si="132"/>
        <v/>
      </c>
      <c r="GB20" s="578" t="str">
        <f t="shared" si="133"/>
        <v/>
      </c>
      <c r="GC20" s="578" t="str">
        <f t="shared" si="134"/>
        <v/>
      </c>
      <c r="GD20" s="578" t="str">
        <f t="shared" si="135"/>
        <v/>
      </c>
      <c r="GE20" s="578" t="str">
        <f t="shared" si="136"/>
        <v/>
      </c>
      <c r="GF20" s="578" t="str">
        <f t="shared" si="137"/>
        <v/>
      </c>
      <c r="GG20" s="578" t="str">
        <f t="shared" si="138"/>
        <v/>
      </c>
      <c r="GH20" s="578" t="str">
        <f t="shared" si="139"/>
        <v/>
      </c>
      <c r="GI20" s="578" t="str">
        <f t="shared" si="140"/>
        <v/>
      </c>
      <c r="GJ20" s="578" t="str">
        <f t="shared" si="141"/>
        <v/>
      </c>
      <c r="GK20" s="578" t="str">
        <f t="shared" si="142"/>
        <v/>
      </c>
      <c r="GL20" s="578" t="str">
        <f t="shared" si="143"/>
        <v/>
      </c>
      <c r="GM20" s="578" t="str">
        <f t="shared" si="144"/>
        <v/>
      </c>
      <c r="GN20" s="578" t="str">
        <f t="shared" si="145"/>
        <v/>
      </c>
      <c r="GO20" s="579" t="str">
        <f t="shared" si="146"/>
        <v/>
      </c>
      <c r="GP20" s="579" t="str">
        <f t="shared" si="147"/>
        <v/>
      </c>
      <c r="GQ20" s="579" t="str">
        <f t="shared" si="148"/>
        <v/>
      </c>
      <c r="GR20" s="579" t="str">
        <f t="shared" si="149"/>
        <v/>
      </c>
      <c r="GS20" s="579" t="str">
        <f t="shared" si="150"/>
        <v/>
      </c>
      <c r="GT20" s="568" t="str">
        <f t="shared" si="151"/>
        <v/>
      </c>
      <c r="GU20" s="568" t="str">
        <f t="shared" si="152"/>
        <v/>
      </c>
      <c r="GV20" s="568" t="str">
        <f t="shared" si="153"/>
        <v/>
      </c>
      <c r="GW20" s="568" t="str">
        <f t="shared" si="154"/>
        <v/>
      </c>
      <c r="GX20" s="568" t="str">
        <f t="shared" si="155"/>
        <v/>
      </c>
      <c r="GY20" s="568" t="str">
        <f t="shared" si="156"/>
        <v/>
      </c>
      <c r="GZ20" s="568" t="str">
        <f t="shared" si="157"/>
        <v/>
      </c>
      <c r="HA20" s="568" t="str">
        <f t="shared" si="158"/>
        <v/>
      </c>
      <c r="HB20" s="568" t="str">
        <f t="shared" si="159"/>
        <v/>
      </c>
      <c r="HC20" s="568" t="str">
        <f t="shared" si="160"/>
        <v/>
      </c>
      <c r="HD20" s="568" t="str">
        <f t="shared" si="161"/>
        <v/>
      </c>
      <c r="HE20" s="568" t="str">
        <f t="shared" si="162"/>
        <v/>
      </c>
      <c r="HF20" s="568" t="str">
        <f t="shared" si="163"/>
        <v/>
      </c>
      <c r="HG20" s="568" t="str">
        <f t="shared" si="164"/>
        <v/>
      </c>
      <c r="HH20" s="568" t="str">
        <f t="shared" si="165"/>
        <v/>
      </c>
      <c r="HI20" s="568" t="str">
        <f t="shared" si="166"/>
        <v/>
      </c>
      <c r="HJ20" s="568" t="str">
        <f t="shared" si="167"/>
        <v/>
      </c>
      <c r="HK20" s="568" t="str">
        <f t="shared" si="168"/>
        <v/>
      </c>
      <c r="HL20" s="568" t="str">
        <f t="shared" si="169"/>
        <v/>
      </c>
      <c r="HM20" s="568" t="str">
        <f t="shared" si="170"/>
        <v/>
      </c>
    </row>
    <row r="21" spans="1:221" ht="13.15" customHeight="1">
      <c r="A21" s="126" t="str">
        <f t="shared" si="171"/>
        <v/>
      </c>
      <c r="B21" s="1748" t="s">
        <v>1895</v>
      </c>
      <c r="C21" s="1749"/>
      <c r="D21" s="1750"/>
      <c r="E21" s="1751"/>
      <c r="F21" s="1751"/>
      <c r="G21" s="1751"/>
      <c r="H21" s="1751"/>
      <c r="I21" s="1751"/>
      <c r="J21" s="1752"/>
      <c r="K21" s="199">
        <f t="shared" si="172"/>
        <v>0</v>
      </c>
      <c r="L21" s="199">
        <f t="shared" si="0"/>
        <v>0</v>
      </c>
      <c r="M21" s="1753"/>
      <c r="N21" s="1753"/>
      <c r="O21" s="1753"/>
      <c r="P21" s="519" t="str">
        <f t="shared" si="203"/>
        <v/>
      </c>
      <c r="Q21" s="520" t="str">
        <f>IF(H21="","",P21/($P$6*VLOOKUP(C21,'DCA Underwriting Assumptions'!$J$82:$K$87,2,FALSE)))</f>
        <v/>
      </c>
      <c r="R21" s="605"/>
      <c r="S21" s="520"/>
      <c r="T21" s="1754"/>
      <c r="U21" s="1755"/>
      <c r="V21" s="568" t="str">
        <f t="shared" si="1"/>
        <v/>
      </c>
      <c r="W21" s="568" t="str">
        <f t="shared" si="2"/>
        <v/>
      </c>
      <c r="X21" s="568" t="str">
        <f t="shared" si="3"/>
        <v/>
      </c>
      <c r="Y21" s="568" t="str">
        <f t="shared" si="4"/>
        <v/>
      </c>
      <c r="Z21" s="568" t="str">
        <f t="shared" si="5"/>
        <v/>
      </c>
      <c r="AA21" s="568" t="str">
        <f t="shared" si="6"/>
        <v/>
      </c>
      <c r="AB21" s="568" t="str">
        <f t="shared" si="7"/>
        <v/>
      </c>
      <c r="AC21" s="568" t="str">
        <f t="shared" si="8"/>
        <v/>
      </c>
      <c r="AD21" s="568" t="str">
        <f t="shared" si="9"/>
        <v/>
      </c>
      <c r="AE21" s="568" t="str">
        <f t="shared" si="10"/>
        <v/>
      </c>
      <c r="AF21" s="568" t="str">
        <f t="shared" si="11"/>
        <v/>
      </c>
      <c r="AG21" s="568" t="str">
        <f t="shared" si="12"/>
        <v/>
      </c>
      <c r="AH21" s="568" t="str">
        <f t="shared" si="13"/>
        <v/>
      </c>
      <c r="AI21" s="568" t="str">
        <f t="shared" si="14"/>
        <v/>
      </c>
      <c r="AJ21" s="568" t="str">
        <f t="shared" si="15"/>
        <v/>
      </c>
      <c r="AK21" s="568" t="str">
        <f t="shared" si="16"/>
        <v/>
      </c>
      <c r="AL21" s="568" t="str">
        <f t="shared" si="17"/>
        <v/>
      </c>
      <c r="AM21" s="568" t="str">
        <f t="shared" si="18"/>
        <v/>
      </c>
      <c r="AN21" s="568" t="str">
        <f t="shared" si="19"/>
        <v/>
      </c>
      <c r="AO21" s="568" t="str">
        <f t="shared" si="20"/>
        <v/>
      </c>
      <c r="AP21" s="568" t="str">
        <f t="shared" si="173"/>
        <v/>
      </c>
      <c r="AQ21" s="568" t="str">
        <f t="shared" si="174"/>
        <v/>
      </c>
      <c r="AR21" s="568" t="str">
        <f t="shared" si="175"/>
        <v/>
      </c>
      <c r="AS21" s="568" t="str">
        <f t="shared" si="176"/>
        <v/>
      </c>
      <c r="AT21" s="568" t="str">
        <f t="shared" si="177"/>
        <v/>
      </c>
      <c r="AU21" s="568" t="str">
        <f t="shared" si="178"/>
        <v/>
      </c>
      <c r="AV21" s="568" t="str">
        <f t="shared" si="179"/>
        <v/>
      </c>
      <c r="AW21" s="568" t="str">
        <f t="shared" si="180"/>
        <v/>
      </c>
      <c r="AX21" s="568" t="str">
        <f t="shared" si="181"/>
        <v/>
      </c>
      <c r="AY21" s="568" t="str">
        <f t="shared" si="182"/>
        <v/>
      </c>
      <c r="AZ21" s="568" t="str">
        <f t="shared" si="183"/>
        <v/>
      </c>
      <c r="BA21" s="568" t="str">
        <f t="shared" si="184"/>
        <v/>
      </c>
      <c r="BB21" s="568" t="str">
        <f t="shared" si="185"/>
        <v/>
      </c>
      <c r="BC21" s="568" t="str">
        <f t="shared" si="186"/>
        <v/>
      </c>
      <c r="BD21" s="568" t="str">
        <f t="shared" si="187"/>
        <v/>
      </c>
      <c r="BE21" s="568" t="str">
        <f t="shared" si="188"/>
        <v/>
      </c>
      <c r="BF21" s="568" t="str">
        <f t="shared" si="189"/>
        <v/>
      </c>
      <c r="BG21" s="568" t="str">
        <f t="shared" si="190"/>
        <v/>
      </c>
      <c r="BH21" s="568" t="str">
        <f t="shared" si="191"/>
        <v/>
      </c>
      <c r="BI21" s="568" t="str">
        <f t="shared" si="192"/>
        <v/>
      </c>
      <c r="BJ21" s="568" t="str">
        <f t="shared" si="193"/>
        <v/>
      </c>
      <c r="BK21" s="568" t="str">
        <f t="shared" si="194"/>
        <v/>
      </c>
      <c r="BL21" s="568" t="str">
        <f t="shared" si="195"/>
        <v/>
      </c>
      <c r="BM21" s="568" t="str">
        <f t="shared" si="196"/>
        <v/>
      </c>
      <c r="BN21" s="568" t="str">
        <f t="shared" si="197"/>
        <v/>
      </c>
      <c r="BO21" s="568" t="str">
        <f t="shared" si="198"/>
        <v/>
      </c>
      <c r="BP21" s="568" t="str">
        <f t="shared" si="199"/>
        <v/>
      </c>
      <c r="BQ21" s="568" t="str">
        <f t="shared" si="200"/>
        <v/>
      </c>
      <c r="BR21" s="568" t="str">
        <f t="shared" si="201"/>
        <v/>
      </c>
      <c r="BS21" s="568" t="str">
        <f t="shared" si="202"/>
        <v/>
      </c>
      <c r="BT21" s="568" t="str">
        <f t="shared" si="21"/>
        <v/>
      </c>
      <c r="BU21" s="568" t="str">
        <f t="shared" si="22"/>
        <v/>
      </c>
      <c r="BV21" s="568" t="str">
        <f t="shared" si="23"/>
        <v/>
      </c>
      <c r="BW21" s="568" t="str">
        <f t="shared" si="24"/>
        <v/>
      </c>
      <c r="BX21" s="568" t="str">
        <f t="shared" si="25"/>
        <v/>
      </c>
      <c r="BY21" s="568" t="str">
        <f t="shared" si="26"/>
        <v/>
      </c>
      <c r="BZ21" s="568" t="str">
        <f t="shared" si="27"/>
        <v/>
      </c>
      <c r="CA21" s="568" t="str">
        <f t="shared" si="28"/>
        <v/>
      </c>
      <c r="CB21" s="568" t="str">
        <f t="shared" si="29"/>
        <v/>
      </c>
      <c r="CC21" s="568" t="str">
        <f t="shared" si="30"/>
        <v/>
      </c>
      <c r="CD21" s="568" t="str">
        <f t="shared" si="31"/>
        <v/>
      </c>
      <c r="CE21" s="568" t="str">
        <f t="shared" si="32"/>
        <v/>
      </c>
      <c r="CF21" s="568" t="str">
        <f t="shared" si="33"/>
        <v/>
      </c>
      <c r="CG21" s="568" t="str">
        <f t="shared" si="34"/>
        <v/>
      </c>
      <c r="CH21" s="568" t="str">
        <f t="shared" si="35"/>
        <v/>
      </c>
      <c r="CI21" s="568" t="str">
        <f t="shared" si="36"/>
        <v/>
      </c>
      <c r="CJ21" s="568" t="str">
        <f t="shared" si="37"/>
        <v/>
      </c>
      <c r="CK21" s="568" t="str">
        <f t="shared" si="38"/>
        <v/>
      </c>
      <c r="CL21" s="568" t="str">
        <f t="shared" si="39"/>
        <v/>
      </c>
      <c r="CM21" s="568" t="str">
        <f t="shared" si="40"/>
        <v/>
      </c>
      <c r="CN21" s="568" t="str">
        <f t="shared" si="41"/>
        <v/>
      </c>
      <c r="CO21" s="568" t="str">
        <f t="shared" si="42"/>
        <v/>
      </c>
      <c r="CP21" s="568" t="str">
        <f t="shared" si="43"/>
        <v/>
      </c>
      <c r="CQ21" s="568" t="str">
        <f t="shared" si="44"/>
        <v/>
      </c>
      <c r="CR21" s="568" t="str">
        <f t="shared" si="45"/>
        <v/>
      </c>
      <c r="CS21" s="568" t="str">
        <f t="shared" si="46"/>
        <v/>
      </c>
      <c r="CT21" s="568" t="str">
        <f t="shared" si="47"/>
        <v/>
      </c>
      <c r="CU21" s="568" t="str">
        <f t="shared" si="48"/>
        <v/>
      </c>
      <c r="CV21" s="568" t="str">
        <f t="shared" si="49"/>
        <v/>
      </c>
      <c r="CW21" s="568" t="str">
        <f t="shared" si="50"/>
        <v/>
      </c>
      <c r="CX21" s="568" t="str">
        <f t="shared" si="51"/>
        <v/>
      </c>
      <c r="CY21" s="568" t="str">
        <f t="shared" si="52"/>
        <v/>
      </c>
      <c r="CZ21" s="568" t="str">
        <f t="shared" si="53"/>
        <v/>
      </c>
      <c r="DA21" s="568" t="str">
        <f t="shared" si="54"/>
        <v/>
      </c>
      <c r="DB21" s="568" t="str">
        <f t="shared" si="55"/>
        <v/>
      </c>
      <c r="DC21" s="568" t="str">
        <f t="shared" si="56"/>
        <v/>
      </c>
      <c r="DD21" s="568" t="str">
        <f t="shared" si="57"/>
        <v/>
      </c>
      <c r="DE21" s="568" t="str">
        <f t="shared" si="58"/>
        <v/>
      </c>
      <c r="DF21" s="568" t="str">
        <f t="shared" si="59"/>
        <v/>
      </c>
      <c r="DG21" s="568" t="str">
        <f t="shared" si="60"/>
        <v/>
      </c>
      <c r="DH21" s="568" t="str">
        <f t="shared" si="61"/>
        <v/>
      </c>
      <c r="DI21" s="568" t="str">
        <f t="shared" si="62"/>
        <v/>
      </c>
      <c r="DJ21" s="568" t="str">
        <f t="shared" si="63"/>
        <v/>
      </c>
      <c r="DK21" s="568" t="str">
        <f t="shared" si="64"/>
        <v/>
      </c>
      <c r="DL21" s="568" t="str">
        <f t="shared" si="65"/>
        <v/>
      </c>
      <c r="DM21" s="568" t="str">
        <f t="shared" si="66"/>
        <v/>
      </c>
      <c r="DN21" s="568" t="str">
        <f t="shared" si="67"/>
        <v/>
      </c>
      <c r="DO21" s="568" t="str">
        <f t="shared" si="68"/>
        <v/>
      </c>
      <c r="DP21" s="568" t="str">
        <f t="shared" si="69"/>
        <v/>
      </c>
      <c r="DQ21" s="568" t="str">
        <f t="shared" si="70"/>
        <v/>
      </c>
      <c r="DR21" s="568" t="str">
        <f t="shared" si="71"/>
        <v/>
      </c>
      <c r="DS21" s="568" t="str">
        <f t="shared" si="72"/>
        <v/>
      </c>
      <c r="DT21" s="568" t="str">
        <f t="shared" si="73"/>
        <v/>
      </c>
      <c r="DU21" s="568" t="str">
        <f t="shared" si="74"/>
        <v/>
      </c>
      <c r="DV21" s="568" t="str">
        <f t="shared" si="75"/>
        <v/>
      </c>
      <c r="DW21" s="568" t="str">
        <f t="shared" si="76"/>
        <v/>
      </c>
      <c r="DX21" s="568" t="str">
        <f t="shared" si="77"/>
        <v/>
      </c>
      <c r="DY21" s="568" t="str">
        <f t="shared" si="78"/>
        <v/>
      </c>
      <c r="DZ21" s="568" t="str">
        <f t="shared" si="79"/>
        <v/>
      </c>
      <c r="EA21" s="568" t="str">
        <f t="shared" si="80"/>
        <v/>
      </c>
      <c r="EB21" s="568" t="str">
        <f t="shared" si="81"/>
        <v/>
      </c>
      <c r="EC21" s="568" t="str">
        <f t="shared" si="82"/>
        <v/>
      </c>
      <c r="ED21" s="568" t="str">
        <f t="shared" si="83"/>
        <v/>
      </c>
      <c r="EE21" s="568" t="str">
        <f t="shared" si="84"/>
        <v/>
      </c>
      <c r="EF21" s="568" t="str">
        <f t="shared" si="85"/>
        <v/>
      </c>
      <c r="EG21" s="568" t="str">
        <f t="shared" si="86"/>
        <v/>
      </c>
      <c r="EH21" s="568" t="str">
        <f t="shared" si="87"/>
        <v/>
      </c>
      <c r="EI21" s="568" t="str">
        <f t="shared" si="88"/>
        <v/>
      </c>
      <c r="EJ21" s="568" t="str">
        <f t="shared" si="89"/>
        <v/>
      </c>
      <c r="EK21" s="568" t="str">
        <f t="shared" si="90"/>
        <v/>
      </c>
      <c r="EL21" s="568" t="str">
        <f t="shared" si="91"/>
        <v/>
      </c>
      <c r="EM21" s="568" t="str">
        <f t="shared" si="92"/>
        <v/>
      </c>
      <c r="EN21" s="568" t="str">
        <f t="shared" si="93"/>
        <v/>
      </c>
      <c r="EO21" s="568" t="str">
        <f t="shared" si="94"/>
        <v/>
      </c>
      <c r="EP21" s="568" t="str">
        <f t="shared" si="95"/>
        <v/>
      </c>
      <c r="EQ21" s="568" t="str">
        <f t="shared" si="96"/>
        <v/>
      </c>
      <c r="ER21" s="568" t="str">
        <f t="shared" si="97"/>
        <v/>
      </c>
      <c r="ES21" s="568" t="str">
        <f t="shared" si="98"/>
        <v/>
      </c>
      <c r="ET21" s="568" t="str">
        <f t="shared" si="99"/>
        <v/>
      </c>
      <c r="EU21" s="568" t="str">
        <f t="shared" si="100"/>
        <v/>
      </c>
      <c r="EV21" s="578" t="str">
        <f t="shared" si="101"/>
        <v/>
      </c>
      <c r="EW21" s="578" t="str">
        <f t="shared" si="102"/>
        <v/>
      </c>
      <c r="EX21" s="578" t="str">
        <f t="shared" si="103"/>
        <v/>
      </c>
      <c r="EY21" s="578" t="str">
        <f t="shared" si="104"/>
        <v/>
      </c>
      <c r="EZ21" s="578" t="str">
        <f t="shared" si="105"/>
        <v/>
      </c>
      <c r="FA21" s="578" t="str">
        <f t="shared" si="106"/>
        <v/>
      </c>
      <c r="FB21" s="578" t="str">
        <f t="shared" si="107"/>
        <v/>
      </c>
      <c r="FC21" s="578" t="str">
        <f t="shared" si="108"/>
        <v/>
      </c>
      <c r="FD21" s="578" t="str">
        <f t="shared" si="109"/>
        <v/>
      </c>
      <c r="FE21" s="578" t="str">
        <f t="shared" si="110"/>
        <v/>
      </c>
      <c r="FF21" s="578" t="str">
        <f t="shared" si="111"/>
        <v/>
      </c>
      <c r="FG21" s="578" t="str">
        <f t="shared" si="112"/>
        <v/>
      </c>
      <c r="FH21" s="578" t="str">
        <f t="shared" si="113"/>
        <v/>
      </c>
      <c r="FI21" s="578" t="str">
        <f t="shared" si="114"/>
        <v/>
      </c>
      <c r="FJ21" s="578" t="str">
        <f t="shared" si="115"/>
        <v/>
      </c>
      <c r="FK21" s="578" t="str">
        <f t="shared" si="116"/>
        <v/>
      </c>
      <c r="FL21" s="578" t="str">
        <f t="shared" si="117"/>
        <v/>
      </c>
      <c r="FM21" s="578" t="str">
        <f t="shared" si="118"/>
        <v/>
      </c>
      <c r="FN21" s="578" t="str">
        <f t="shared" si="119"/>
        <v/>
      </c>
      <c r="FO21" s="578" t="str">
        <f t="shared" si="120"/>
        <v/>
      </c>
      <c r="FP21" s="578" t="str">
        <f t="shared" si="121"/>
        <v/>
      </c>
      <c r="FQ21" s="578" t="str">
        <f t="shared" si="122"/>
        <v/>
      </c>
      <c r="FR21" s="578" t="str">
        <f t="shared" si="123"/>
        <v/>
      </c>
      <c r="FS21" s="578" t="str">
        <f t="shared" si="124"/>
        <v/>
      </c>
      <c r="FT21" s="578" t="str">
        <f t="shared" si="125"/>
        <v/>
      </c>
      <c r="FU21" s="578" t="str">
        <f t="shared" si="126"/>
        <v/>
      </c>
      <c r="FV21" s="578" t="str">
        <f t="shared" si="127"/>
        <v/>
      </c>
      <c r="FW21" s="578" t="str">
        <f t="shared" si="128"/>
        <v/>
      </c>
      <c r="FX21" s="578" t="str">
        <f t="shared" si="129"/>
        <v/>
      </c>
      <c r="FY21" s="578" t="str">
        <f t="shared" si="130"/>
        <v/>
      </c>
      <c r="FZ21" s="578" t="str">
        <f t="shared" si="131"/>
        <v/>
      </c>
      <c r="GA21" s="578" t="str">
        <f t="shared" si="132"/>
        <v/>
      </c>
      <c r="GB21" s="578" t="str">
        <f t="shared" si="133"/>
        <v/>
      </c>
      <c r="GC21" s="578" t="str">
        <f t="shared" si="134"/>
        <v/>
      </c>
      <c r="GD21" s="578" t="str">
        <f t="shared" si="135"/>
        <v/>
      </c>
      <c r="GE21" s="578" t="str">
        <f t="shared" si="136"/>
        <v/>
      </c>
      <c r="GF21" s="578" t="str">
        <f t="shared" si="137"/>
        <v/>
      </c>
      <c r="GG21" s="578" t="str">
        <f t="shared" si="138"/>
        <v/>
      </c>
      <c r="GH21" s="578" t="str">
        <f t="shared" si="139"/>
        <v/>
      </c>
      <c r="GI21" s="578" t="str">
        <f t="shared" si="140"/>
        <v/>
      </c>
      <c r="GJ21" s="578" t="str">
        <f t="shared" si="141"/>
        <v/>
      </c>
      <c r="GK21" s="578" t="str">
        <f t="shared" si="142"/>
        <v/>
      </c>
      <c r="GL21" s="578" t="str">
        <f t="shared" si="143"/>
        <v/>
      </c>
      <c r="GM21" s="578" t="str">
        <f t="shared" si="144"/>
        <v/>
      </c>
      <c r="GN21" s="578" t="str">
        <f t="shared" si="145"/>
        <v/>
      </c>
      <c r="GO21" s="579" t="str">
        <f t="shared" si="146"/>
        <v/>
      </c>
      <c r="GP21" s="579" t="str">
        <f t="shared" si="147"/>
        <v/>
      </c>
      <c r="GQ21" s="579" t="str">
        <f t="shared" si="148"/>
        <v/>
      </c>
      <c r="GR21" s="579" t="str">
        <f t="shared" si="149"/>
        <v/>
      </c>
      <c r="GS21" s="579" t="str">
        <f t="shared" si="150"/>
        <v/>
      </c>
      <c r="GT21" s="568" t="str">
        <f t="shared" si="151"/>
        <v/>
      </c>
      <c r="GU21" s="568" t="str">
        <f t="shared" si="152"/>
        <v/>
      </c>
      <c r="GV21" s="568" t="str">
        <f t="shared" si="153"/>
        <v/>
      </c>
      <c r="GW21" s="568" t="str">
        <f t="shared" si="154"/>
        <v/>
      </c>
      <c r="GX21" s="568" t="str">
        <f t="shared" si="155"/>
        <v/>
      </c>
      <c r="GY21" s="568" t="str">
        <f t="shared" si="156"/>
        <v/>
      </c>
      <c r="GZ21" s="568" t="str">
        <f t="shared" si="157"/>
        <v/>
      </c>
      <c r="HA21" s="568" t="str">
        <f t="shared" si="158"/>
        <v/>
      </c>
      <c r="HB21" s="568" t="str">
        <f t="shared" si="159"/>
        <v/>
      </c>
      <c r="HC21" s="568" t="str">
        <f t="shared" si="160"/>
        <v/>
      </c>
      <c r="HD21" s="568" t="str">
        <f t="shared" si="161"/>
        <v/>
      </c>
      <c r="HE21" s="568" t="str">
        <f t="shared" si="162"/>
        <v/>
      </c>
      <c r="HF21" s="568" t="str">
        <f t="shared" si="163"/>
        <v/>
      </c>
      <c r="HG21" s="568" t="str">
        <f t="shared" si="164"/>
        <v/>
      </c>
      <c r="HH21" s="568" t="str">
        <f t="shared" si="165"/>
        <v/>
      </c>
      <c r="HI21" s="568" t="str">
        <f t="shared" si="166"/>
        <v/>
      </c>
      <c r="HJ21" s="568" t="str">
        <f t="shared" si="167"/>
        <v/>
      </c>
      <c r="HK21" s="568" t="str">
        <f t="shared" si="168"/>
        <v/>
      </c>
      <c r="HL21" s="568" t="str">
        <f t="shared" si="169"/>
        <v/>
      </c>
      <c r="HM21" s="568" t="str">
        <f t="shared" si="170"/>
        <v/>
      </c>
    </row>
    <row r="22" spans="1:221" ht="13.15" customHeight="1">
      <c r="A22" s="126" t="str">
        <f t="shared" si="171"/>
        <v/>
      </c>
      <c r="B22" s="1748" t="s">
        <v>1895</v>
      </c>
      <c r="C22" s="1749"/>
      <c r="D22" s="1750"/>
      <c r="E22" s="1751"/>
      <c r="F22" s="1751"/>
      <c r="G22" s="1751"/>
      <c r="H22" s="1751"/>
      <c r="I22" s="1751"/>
      <c r="J22" s="1752"/>
      <c r="K22" s="199">
        <f t="shared" si="172"/>
        <v>0</v>
      </c>
      <c r="L22" s="199">
        <f t="shared" si="0"/>
        <v>0</v>
      </c>
      <c r="M22" s="1753"/>
      <c r="N22" s="1753"/>
      <c r="O22" s="1753"/>
      <c r="P22" s="519" t="str">
        <f t="shared" si="203"/>
        <v/>
      </c>
      <c r="Q22" s="520" t="str">
        <f>IF(H22="","",P22/($P$6*VLOOKUP(C22,'DCA Underwriting Assumptions'!$J$82:$K$87,2,FALSE)))</f>
        <v/>
      </c>
      <c r="R22" s="605"/>
      <c r="S22" s="520"/>
      <c r="T22" s="1754"/>
      <c r="U22" s="1755"/>
      <c r="V22" s="568" t="str">
        <f t="shared" si="1"/>
        <v/>
      </c>
      <c r="W22" s="568" t="str">
        <f t="shared" si="2"/>
        <v/>
      </c>
      <c r="X22" s="568" t="str">
        <f t="shared" si="3"/>
        <v/>
      </c>
      <c r="Y22" s="568" t="str">
        <f t="shared" si="4"/>
        <v/>
      </c>
      <c r="Z22" s="568" t="str">
        <f t="shared" si="5"/>
        <v/>
      </c>
      <c r="AA22" s="568" t="str">
        <f t="shared" si="6"/>
        <v/>
      </c>
      <c r="AB22" s="568" t="str">
        <f t="shared" si="7"/>
        <v/>
      </c>
      <c r="AC22" s="568" t="str">
        <f t="shared" si="8"/>
        <v/>
      </c>
      <c r="AD22" s="568" t="str">
        <f t="shared" si="9"/>
        <v/>
      </c>
      <c r="AE22" s="568" t="str">
        <f t="shared" si="10"/>
        <v/>
      </c>
      <c r="AF22" s="568" t="str">
        <f t="shared" si="11"/>
        <v/>
      </c>
      <c r="AG22" s="568" t="str">
        <f t="shared" si="12"/>
        <v/>
      </c>
      <c r="AH22" s="568" t="str">
        <f t="shared" si="13"/>
        <v/>
      </c>
      <c r="AI22" s="568" t="str">
        <f t="shared" si="14"/>
        <v/>
      </c>
      <c r="AJ22" s="568" t="str">
        <f t="shared" si="15"/>
        <v/>
      </c>
      <c r="AK22" s="568" t="str">
        <f t="shared" si="16"/>
        <v/>
      </c>
      <c r="AL22" s="568" t="str">
        <f t="shared" si="17"/>
        <v/>
      </c>
      <c r="AM22" s="568" t="str">
        <f t="shared" si="18"/>
        <v/>
      </c>
      <c r="AN22" s="568" t="str">
        <f t="shared" si="19"/>
        <v/>
      </c>
      <c r="AO22" s="568" t="str">
        <f t="shared" si="20"/>
        <v/>
      </c>
      <c r="AP22" s="568" t="str">
        <f t="shared" si="173"/>
        <v/>
      </c>
      <c r="AQ22" s="568" t="str">
        <f t="shared" si="174"/>
        <v/>
      </c>
      <c r="AR22" s="568" t="str">
        <f t="shared" si="175"/>
        <v/>
      </c>
      <c r="AS22" s="568" t="str">
        <f t="shared" si="176"/>
        <v/>
      </c>
      <c r="AT22" s="568" t="str">
        <f t="shared" si="177"/>
        <v/>
      </c>
      <c r="AU22" s="568" t="str">
        <f t="shared" si="178"/>
        <v/>
      </c>
      <c r="AV22" s="568" t="str">
        <f t="shared" si="179"/>
        <v/>
      </c>
      <c r="AW22" s="568" t="str">
        <f t="shared" si="180"/>
        <v/>
      </c>
      <c r="AX22" s="568" t="str">
        <f t="shared" si="181"/>
        <v/>
      </c>
      <c r="AY22" s="568" t="str">
        <f t="shared" si="182"/>
        <v/>
      </c>
      <c r="AZ22" s="568" t="str">
        <f t="shared" si="183"/>
        <v/>
      </c>
      <c r="BA22" s="568" t="str">
        <f t="shared" si="184"/>
        <v/>
      </c>
      <c r="BB22" s="568" t="str">
        <f t="shared" si="185"/>
        <v/>
      </c>
      <c r="BC22" s="568" t="str">
        <f t="shared" si="186"/>
        <v/>
      </c>
      <c r="BD22" s="568" t="str">
        <f t="shared" si="187"/>
        <v/>
      </c>
      <c r="BE22" s="568" t="str">
        <f t="shared" si="188"/>
        <v/>
      </c>
      <c r="BF22" s="568" t="str">
        <f t="shared" si="189"/>
        <v/>
      </c>
      <c r="BG22" s="568" t="str">
        <f t="shared" si="190"/>
        <v/>
      </c>
      <c r="BH22" s="568" t="str">
        <f t="shared" si="191"/>
        <v/>
      </c>
      <c r="BI22" s="568" t="str">
        <f t="shared" si="192"/>
        <v/>
      </c>
      <c r="BJ22" s="568" t="str">
        <f t="shared" si="193"/>
        <v/>
      </c>
      <c r="BK22" s="568" t="str">
        <f t="shared" si="194"/>
        <v/>
      </c>
      <c r="BL22" s="568" t="str">
        <f t="shared" si="195"/>
        <v/>
      </c>
      <c r="BM22" s="568" t="str">
        <f t="shared" si="196"/>
        <v/>
      </c>
      <c r="BN22" s="568" t="str">
        <f t="shared" si="197"/>
        <v/>
      </c>
      <c r="BO22" s="568" t="str">
        <f t="shared" si="198"/>
        <v/>
      </c>
      <c r="BP22" s="568" t="str">
        <f t="shared" si="199"/>
        <v/>
      </c>
      <c r="BQ22" s="568" t="str">
        <f t="shared" si="200"/>
        <v/>
      </c>
      <c r="BR22" s="568" t="str">
        <f t="shared" si="201"/>
        <v/>
      </c>
      <c r="BS22" s="568" t="str">
        <f t="shared" si="202"/>
        <v/>
      </c>
      <c r="BT22" s="568" t="str">
        <f t="shared" si="21"/>
        <v/>
      </c>
      <c r="BU22" s="568" t="str">
        <f t="shared" si="22"/>
        <v/>
      </c>
      <c r="BV22" s="568" t="str">
        <f t="shared" si="23"/>
        <v/>
      </c>
      <c r="BW22" s="568" t="str">
        <f t="shared" si="24"/>
        <v/>
      </c>
      <c r="BX22" s="568" t="str">
        <f t="shared" si="25"/>
        <v/>
      </c>
      <c r="BY22" s="568" t="str">
        <f t="shared" si="26"/>
        <v/>
      </c>
      <c r="BZ22" s="568" t="str">
        <f t="shared" si="27"/>
        <v/>
      </c>
      <c r="CA22" s="568" t="str">
        <f t="shared" si="28"/>
        <v/>
      </c>
      <c r="CB22" s="568" t="str">
        <f t="shared" si="29"/>
        <v/>
      </c>
      <c r="CC22" s="568" t="str">
        <f t="shared" si="30"/>
        <v/>
      </c>
      <c r="CD22" s="568" t="str">
        <f t="shared" si="31"/>
        <v/>
      </c>
      <c r="CE22" s="568" t="str">
        <f t="shared" si="32"/>
        <v/>
      </c>
      <c r="CF22" s="568" t="str">
        <f t="shared" si="33"/>
        <v/>
      </c>
      <c r="CG22" s="568" t="str">
        <f t="shared" si="34"/>
        <v/>
      </c>
      <c r="CH22" s="568" t="str">
        <f t="shared" si="35"/>
        <v/>
      </c>
      <c r="CI22" s="568" t="str">
        <f t="shared" si="36"/>
        <v/>
      </c>
      <c r="CJ22" s="568" t="str">
        <f t="shared" si="37"/>
        <v/>
      </c>
      <c r="CK22" s="568" t="str">
        <f t="shared" si="38"/>
        <v/>
      </c>
      <c r="CL22" s="568" t="str">
        <f t="shared" si="39"/>
        <v/>
      </c>
      <c r="CM22" s="568" t="str">
        <f t="shared" si="40"/>
        <v/>
      </c>
      <c r="CN22" s="568" t="str">
        <f t="shared" si="41"/>
        <v/>
      </c>
      <c r="CO22" s="568" t="str">
        <f t="shared" si="42"/>
        <v/>
      </c>
      <c r="CP22" s="568" t="str">
        <f t="shared" si="43"/>
        <v/>
      </c>
      <c r="CQ22" s="568" t="str">
        <f t="shared" si="44"/>
        <v/>
      </c>
      <c r="CR22" s="568" t="str">
        <f t="shared" si="45"/>
        <v/>
      </c>
      <c r="CS22" s="568" t="str">
        <f t="shared" si="46"/>
        <v/>
      </c>
      <c r="CT22" s="568" t="str">
        <f t="shared" si="47"/>
        <v/>
      </c>
      <c r="CU22" s="568" t="str">
        <f t="shared" si="48"/>
        <v/>
      </c>
      <c r="CV22" s="568" t="str">
        <f t="shared" si="49"/>
        <v/>
      </c>
      <c r="CW22" s="568" t="str">
        <f t="shared" si="50"/>
        <v/>
      </c>
      <c r="CX22" s="568" t="str">
        <f t="shared" si="51"/>
        <v/>
      </c>
      <c r="CY22" s="568" t="str">
        <f t="shared" si="52"/>
        <v/>
      </c>
      <c r="CZ22" s="568" t="str">
        <f t="shared" si="53"/>
        <v/>
      </c>
      <c r="DA22" s="568" t="str">
        <f t="shared" si="54"/>
        <v/>
      </c>
      <c r="DB22" s="568" t="str">
        <f t="shared" si="55"/>
        <v/>
      </c>
      <c r="DC22" s="568" t="str">
        <f t="shared" si="56"/>
        <v/>
      </c>
      <c r="DD22" s="568" t="str">
        <f t="shared" si="57"/>
        <v/>
      </c>
      <c r="DE22" s="568" t="str">
        <f t="shared" si="58"/>
        <v/>
      </c>
      <c r="DF22" s="568" t="str">
        <f t="shared" si="59"/>
        <v/>
      </c>
      <c r="DG22" s="568" t="str">
        <f t="shared" si="60"/>
        <v/>
      </c>
      <c r="DH22" s="568" t="str">
        <f t="shared" si="61"/>
        <v/>
      </c>
      <c r="DI22" s="568" t="str">
        <f t="shared" si="62"/>
        <v/>
      </c>
      <c r="DJ22" s="568" t="str">
        <f t="shared" si="63"/>
        <v/>
      </c>
      <c r="DK22" s="568" t="str">
        <f t="shared" si="64"/>
        <v/>
      </c>
      <c r="DL22" s="568" t="str">
        <f t="shared" si="65"/>
        <v/>
      </c>
      <c r="DM22" s="568" t="str">
        <f t="shared" si="66"/>
        <v/>
      </c>
      <c r="DN22" s="568" t="str">
        <f t="shared" si="67"/>
        <v/>
      </c>
      <c r="DO22" s="568" t="str">
        <f t="shared" si="68"/>
        <v/>
      </c>
      <c r="DP22" s="568" t="str">
        <f t="shared" si="69"/>
        <v/>
      </c>
      <c r="DQ22" s="568" t="str">
        <f t="shared" si="70"/>
        <v/>
      </c>
      <c r="DR22" s="568" t="str">
        <f t="shared" si="71"/>
        <v/>
      </c>
      <c r="DS22" s="568" t="str">
        <f t="shared" si="72"/>
        <v/>
      </c>
      <c r="DT22" s="568" t="str">
        <f t="shared" si="73"/>
        <v/>
      </c>
      <c r="DU22" s="568" t="str">
        <f t="shared" si="74"/>
        <v/>
      </c>
      <c r="DV22" s="568" t="str">
        <f t="shared" si="75"/>
        <v/>
      </c>
      <c r="DW22" s="568" t="str">
        <f t="shared" si="76"/>
        <v/>
      </c>
      <c r="DX22" s="568" t="str">
        <f t="shared" si="77"/>
        <v/>
      </c>
      <c r="DY22" s="568" t="str">
        <f t="shared" si="78"/>
        <v/>
      </c>
      <c r="DZ22" s="568" t="str">
        <f t="shared" si="79"/>
        <v/>
      </c>
      <c r="EA22" s="568" t="str">
        <f t="shared" si="80"/>
        <v/>
      </c>
      <c r="EB22" s="568" t="str">
        <f t="shared" si="81"/>
        <v/>
      </c>
      <c r="EC22" s="568" t="str">
        <f t="shared" si="82"/>
        <v/>
      </c>
      <c r="ED22" s="568" t="str">
        <f t="shared" si="83"/>
        <v/>
      </c>
      <c r="EE22" s="568" t="str">
        <f t="shared" si="84"/>
        <v/>
      </c>
      <c r="EF22" s="568" t="str">
        <f t="shared" si="85"/>
        <v/>
      </c>
      <c r="EG22" s="568" t="str">
        <f t="shared" si="86"/>
        <v/>
      </c>
      <c r="EH22" s="568" t="str">
        <f t="shared" si="87"/>
        <v/>
      </c>
      <c r="EI22" s="568" t="str">
        <f t="shared" si="88"/>
        <v/>
      </c>
      <c r="EJ22" s="568" t="str">
        <f t="shared" si="89"/>
        <v/>
      </c>
      <c r="EK22" s="568" t="str">
        <f t="shared" si="90"/>
        <v/>
      </c>
      <c r="EL22" s="568" t="str">
        <f t="shared" si="91"/>
        <v/>
      </c>
      <c r="EM22" s="568" t="str">
        <f t="shared" si="92"/>
        <v/>
      </c>
      <c r="EN22" s="568" t="str">
        <f t="shared" si="93"/>
        <v/>
      </c>
      <c r="EO22" s="568" t="str">
        <f t="shared" si="94"/>
        <v/>
      </c>
      <c r="EP22" s="568" t="str">
        <f t="shared" si="95"/>
        <v/>
      </c>
      <c r="EQ22" s="568" t="str">
        <f t="shared" si="96"/>
        <v/>
      </c>
      <c r="ER22" s="568" t="str">
        <f t="shared" si="97"/>
        <v/>
      </c>
      <c r="ES22" s="568" t="str">
        <f t="shared" si="98"/>
        <v/>
      </c>
      <c r="ET22" s="568" t="str">
        <f t="shared" si="99"/>
        <v/>
      </c>
      <c r="EU22" s="568" t="str">
        <f t="shared" si="100"/>
        <v/>
      </c>
      <c r="EV22" s="578" t="str">
        <f t="shared" si="101"/>
        <v/>
      </c>
      <c r="EW22" s="578" t="str">
        <f t="shared" si="102"/>
        <v/>
      </c>
      <c r="EX22" s="578" t="str">
        <f t="shared" si="103"/>
        <v/>
      </c>
      <c r="EY22" s="578" t="str">
        <f t="shared" si="104"/>
        <v/>
      </c>
      <c r="EZ22" s="578" t="str">
        <f t="shared" si="105"/>
        <v/>
      </c>
      <c r="FA22" s="578" t="str">
        <f t="shared" si="106"/>
        <v/>
      </c>
      <c r="FB22" s="578" t="str">
        <f t="shared" si="107"/>
        <v/>
      </c>
      <c r="FC22" s="578" t="str">
        <f t="shared" si="108"/>
        <v/>
      </c>
      <c r="FD22" s="578" t="str">
        <f t="shared" si="109"/>
        <v/>
      </c>
      <c r="FE22" s="578" t="str">
        <f t="shared" si="110"/>
        <v/>
      </c>
      <c r="FF22" s="578" t="str">
        <f t="shared" si="111"/>
        <v/>
      </c>
      <c r="FG22" s="578" t="str">
        <f t="shared" si="112"/>
        <v/>
      </c>
      <c r="FH22" s="578" t="str">
        <f t="shared" si="113"/>
        <v/>
      </c>
      <c r="FI22" s="578" t="str">
        <f t="shared" si="114"/>
        <v/>
      </c>
      <c r="FJ22" s="578" t="str">
        <f t="shared" si="115"/>
        <v/>
      </c>
      <c r="FK22" s="578" t="str">
        <f t="shared" si="116"/>
        <v/>
      </c>
      <c r="FL22" s="578" t="str">
        <f t="shared" si="117"/>
        <v/>
      </c>
      <c r="FM22" s="578" t="str">
        <f t="shared" si="118"/>
        <v/>
      </c>
      <c r="FN22" s="578" t="str">
        <f t="shared" si="119"/>
        <v/>
      </c>
      <c r="FO22" s="578" t="str">
        <f t="shared" si="120"/>
        <v/>
      </c>
      <c r="FP22" s="578" t="str">
        <f t="shared" si="121"/>
        <v/>
      </c>
      <c r="FQ22" s="578" t="str">
        <f t="shared" si="122"/>
        <v/>
      </c>
      <c r="FR22" s="578" t="str">
        <f t="shared" si="123"/>
        <v/>
      </c>
      <c r="FS22" s="578" t="str">
        <f t="shared" si="124"/>
        <v/>
      </c>
      <c r="FT22" s="578" t="str">
        <f t="shared" si="125"/>
        <v/>
      </c>
      <c r="FU22" s="578" t="str">
        <f t="shared" si="126"/>
        <v/>
      </c>
      <c r="FV22" s="578" t="str">
        <f t="shared" si="127"/>
        <v/>
      </c>
      <c r="FW22" s="578" t="str">
        <f t="shared" si="128"/>
        <v/>
      </c>
      <c r="FX22" s="578" t="str">
        <f t="shared" si="129"/>
        <v/>
      </c>
      <c r="FY22" s="578" t="str">
        <f t="shared" si="130"/>
        <v/>
      </c>
      <c r="FZ22" s="578" t="str">
        <f t="shared" si="131"/>
        <v/>
      </c>
      <c r="GA22" s="578" t="str">
        <f t="shared" si="132"/>
        <v/>
      </c>
      <c r="GB22" s="578" t="str">
        <f t="shared" si="133"/>
        <v/>
      </c>
      <c r="GC22" s="578" t="str">
        <f t="shared" si="134"/>
        <v/>
      </c>
      <c r="GD22" s="578" t="str">
        <f t="shared" si="135"/>
        <v/>
      </c>
      <c r="GE22" s="578" t="str">
        <f t="shared" si="136"/>
        <v/>
      </c>
      <c r="GF22" s="578" t="str">
        <f t="shared" si="137"/>
        <v/>
      </c>
      <c r="GG22" s="578" t="str">
        <f t="shared" si="138"/>
        <v/>
      </c>
      <c r="GH22" s="578" t="str">
        <f t="shared" si="139"/>
        <v/>
      </c>
      <c r="GI22" s="578" t="str">
        <f t="shared" si="140"/>
        <v/>
      </c>
      <c r="GJ22" s="578" t="str">
        <f t="shared" si="141"/>
        <v/>
      </c>
      <c r="GK22" s="578" t="str">
        <f t="shared" si="142"/>
        <v/>
      </c>
      <c r="GL22" s="578" t="str">
        <f t="shared" si="143"/>
        <v/>
      </c>
      <c r="GM22" s="578" t="str">
        <f t="shared" si="144"/>
        <v/>
      </c>
      <c r="GN22" s="578" t="str">
        <f t="shared" si="145"/>
        <v/>
      </c>
      <c r="GO22" s="579" t="str">
        <f t="shared" si="146"/>
        <v/>
      </c>
      <c r="GP22" s="579" t="str">
        <f t="shared" si="147"/>
        <v/>
      </c>
      <c r="GQ22" s="579" t="str">
        <f t="shared" si="148"/>
        <v/>
      </c>
      <c r="GR22" s="579" t="str">
        <f t="shared" si="149"/>
        <v/>
      </c>
      <c r="GS22" s="579" t="str">
        <f t="shared" si="150"/>
        <v/>
      </c>
      <c r="GT22" s="568" t="str">
        <f t="shared" si="151"/>
        <v/>
      </c>
      <c r="GU22" s="568" t="str">
        <f t="shared" si="152"/>
        <v/>
      </c>
      <c r="GV22" s="568" t="str">
        <f t="shared" si="153"/>
        <v/>
      </c>
      <c r="GW22" s="568" t="str">
        <f t="shared" si="154"/>
        <v/>
      </c>
      <c r="GX22" s="568" t="str">
        <f t="shared" si="155"/>
        <v/>
      </c>
      <c r="GY22" s="568" t="str">
        <f t="shared" si="156"/>
        <v/>
      </c>
      <c r="GZ22" s="568" t="str">
        <f t="shared" si="157"/>
        <v/>
      </c>
      <c r="HA22" s="568" t="str">
        <f t="shared" si="158"/>
        <v/>
      </c>
      <c r="HB22" s="568" t="str">
        <f t="shared" si="159"/>
        <v/>
      </c>
      <c r="HC22" s="568" t="str">
        <f t="shared" si="160"/>
        <v/>
      </c>
      <c r="HD22" s="568" t="str">
        <f t="shared" si="161"/>
        <v/>
      </c>
      <c r="HE22" s="568" t="str">
        <f t="shared" si="162"/>
        <v/>
      </c>
      <c r="HF22" s="568" t="str">
        <f t="shared" si="163"/>
        <v/>
      </c>
      <c r="HG22" s="568" t="str">
        <f t="shared" si="164"/>
        <v/>
      </c>
      <c r="HH22" s="568" t="str">
        <f t="shared" si="165"/>
        <v/>
      </c>
      <c r="HI22" s="568" t="str">
        <f t="shared" si="166"/>
        <v/>
      </c>
      <c r="HJ22" s="568" t="str">
        <f t="shared" si="167"/>
        <v/>
      </c>
      <c r="HK22" s="568" t="str">
        <f t="shared" si="168"/>
        <v/>
      </c>
      <c r="HL22" s="568" t="str">
        <f t="shared" si="169"/>
        <v/>
      </c>
      <c r="HM22" s="568" t="str">
        <f t="shared" si="170"/>
        <v/>
      </c>
    </row>
    <row r="23" spans="1:221" ht="13.15" customHeight="1">
      <c r="A23" s="126" t="str">
        <f t="shared" si="171"/>
        <v/>
      </c>
      <c r="B23" s="1748" t="s">
        <v>1895</v>
      </c>
      <c r="C23" s="1749"/>
      <c r="D23" s="1750"/>
      <c r="E23" s="1751"/>
      <c r="F23" s="1751"/>
      <c r="G23" s="1751"/>
      <c r="H23" s="1751"/>
      <c r="I23" s="1751"/>
      <c r="J23" s="1752"/>
      <c r="K23" s="199">
        <f t="shared" si="172"/>
        <v>0</v>
      </c>
      <c r="L23" s="199">
        <f t="shared" si="0"/>
        <v>0</v>
      </c>
      <c r="M23" s="1753"/>
      <c r="N23" s="1753"/>
      <c r="O23" s="1753"/>
      <c r="P23" s="519" t="str">
        <f t="shared" si="203"/>
        <v/>
      </c>
      <c r="Q23" s="520" t="str">
        <f>IF(H23="","",P23/($P$6*VLOOKUP(C23,'DCA Underwriting Assumptions'!$J$82:$K$87,2,FALSE)))</f>
        <v/>
      </c>
      <c r="R23" s="605"/>
      <c r="S23" s="520"/>
      <c r="T23" s="1754"/>
      <c r="U23" s="1755"/>
      <c r="V23" s="568" t="str">
        <f t="shared" si="1"/>
        <v/>
      </c>
      <c r="W23" s="568" t="str">
        <f t="shared" si="2"/>
        <v/>
      </c>
      <c r="X23" s="568" t="str">
        <f t="shared" si="3"/>
        <v/>
      </c>
      <c r="Y23" s="568" t="str">
        <f t="shared" si="4"/>
        <v/>
      </c>
      <c r="Z23" s="568" t="str">
        <f t="shared" si="5"/>
        <v/>
      </c>
      <c r="AA23" s="568" t="str">
        <f t="shared" si="6"/>
        <v/>
      </c>
      <c r="AB23" s="568" t="str">
        <f t="shared" si="7"/>
        <v/>
      </c>
      <c r="AC23" s="568" t="str">
        <f t="shared" si="8"/>
        <v/>
      </c>
      <c r="AD23" s="568" t="str">
        <f t="shared" si="9"/>
        <v/>
      </c>
      <c r="AE23" s="568" t="str">
        <f t="shared" si="10"/>
        <v/>
      </c>
      <c r="AF23" s="568" t="str">
        <f t="shared" si="11"/>
        <v/>
      </c>
      <c r="AG23" s="568" t="str">
        <f t="shared" si="12"/>
        <v/>
      </c>
      <c r="AH23" s="568" t="str">
        <f t="shared" si="13"/>
        <v/>
      </c>
      <c r="AI23" s="568" t="str">
        <f t="shared" si="14"/>
        <v/>
      </c>
      <c r="AJ23" s="568" t="str">
        <f t="shared" si="15"/>
        <v/>
      </c>
      <c r="AK23" s="568" t="str">
        <f t="shared" si="16"/>
        <v/>
      </c>
      <c r="AL23" s="568" t="str">
        <f t="shared" si="17"/>
        <v/>
      </c>
      <c r="AM23" s="568" t="str">
        <f t="shared" si="18"/>
        <v/>
      </c>
      <c r="AN23" s="568" t="str">
        <f t="shared" si="19"/>
        <v/>
      </c>
      <c r="AO23" s="568" t="str">
        <f t="shared" si="20"/>
        <v/>
      </c>
      <c r="AP23" s="568" t="str">
        <f t="shared" si="173"/>
        <v/>
      </c>
      <c r="AQ23" s="568" t="str">
        <f t="shared" si="174"/>
        <v/>
      </c>
      <c r="AR23" s="568" t="str">
        <f t="shared" si="175"/>
        <v/>
      </c>
      <c r="AS23" s="568" t="str">
        <f t="shared" si="176"/>
        <v/>
      </c>
      <c r="AT23" s="568" t="str">
        <f t="shared" si="177"/>
        <v/>
      </c>
      <c r="AU23" s="568" t="str">
        <f t="shared" si="178"/>
        <v/>
      </c>
      <c r="AV23" s="568" t="str">
        <f t="shared" si="179"/>
        <v/>
      </c>
      <c r="AW23" s="568" t="str">
        <f t="shared" si="180"/>
        <v/>
      </c>
      <c r="AX23" s="568" t="str">
        <f t="shared" si="181"/>
        <v/>
      </c>
      <c r="AY23" s="568" t="str">
        <f t="shared" si="182"/>
        <v/>
      </c>
      <c r="AZ23" s="568" t="str">
        <f t="shared" si="183"/>
        <v/>
      </c>
      <c r="BA23" s="568" t="str">
        <f t="shared" si="184"/>
        <v/>
      </c>
      <c r="BB23" s="568" t="str">
        <f t="shared" si="185"/>
        <v/>
      </c>
      <c r="BC23" s="568" t="str">
        <f t="shared" si="186"/>
        <v/>
      </c>
      <c r="BD23" s="568" t="str">
        <f t="shared" si="187"/>
        <v/>
      </c>
      <c r="BE23" s="568" t="str">
        <f t="shared" si="188"/>
        <v/>
      </c>
      <c r="BF23" s="568" t="str">
        <f t="shared" si="189"/>
        <v/>
      </c>
      <c r="BG23" s="568" t="str">
        <f t="shared" si="190"/>
        <v/>
      </c>
      <c r="BH23" s="568" t="str">
        <f t="shared" si="191"/>
        <v/>
      </c>
      <c r="BI23" s="568" t="str">
        <f t="shared" si="192"/>
        <v/>
      </c>
      <c r="BJ23" s="568" t="str">
        <f t="shared" si="193"/>
        <v/>
      </c>
      <c r="BK23" s="568" t="str">
        <f t="shared" si="194"/>
        <v/>
      </c>
      <c r="BL23" s="568" t="str">
        <f t="shared" si="195"/>
        <v/>
      </c>
      <c r="BM23" s="568" t="str">
        <f t="shared" si="196"/>
        <v/>
      </c>
      <c r="BN23" s="568" t="str">
        <f t="shared" si="197"/>
        <v/>
      </c>
      <c r="BO23" s="568" t="str">
        <f t="shared" si="198"/>
        <v/>
      </c>
      <c r="BP23" s="568" t="str">
        <f t="shared" si="199"/>
        <v/>
      </c>
      <c r="BQ23" s="568" t="str">
        <f t="shared" si="200"/>
        <v/>
      </c>
      <c r="BR23" s="568" t="str">
        <f t="shared" si="201"/>
        <v/>
      </c>
      <c r="BS23" s="568" t="str">
        <f t="shared" si="202"/>
        <v/>
      </c>
      <c r="BT23" s="568" t="str">
        <f t="shared" si="21"/>
        <v/>
      </c>
      <c r="BU23" s="568" t="str">
        <f t="shared" si="22"/>
        <v/>
      </c>
      <c r="BV23" s="568" t="str">
        <f t="shared" si="23"/>
        <v/>
      </c>
      <c r="BW23" s="568" t="str">
        <f t="shared" si="24"/>
        <v/>
      </c>
      <c r="BX23" s="568" t="str">
        <f t="shared" si="25"/>
        <v/>
      </c>
      <c r="BY23" s="568" t="str">
        <f t="shared" si="26"/>
        <v/>
      </c>
      <c r="BZ23" s="568" t="str">
        <f t="shared" si="27"/>
        <v/>
      </c>
      <c r="CA23" s="568" t="str">
        <f t="shared" si="28"/>
        <v/>
      </c>
      <c r="CB23" s="568" t="str">
        <f t="shared" si="29"/>
        <v/>
      </c>
      <c r="CC23" s="568" t="str">
        <f t="shared" si="30"/>
        <v/>
      </c>
      <c r="CD23" s="568" t="str">
        <f t="shared" si="31"/>
        <v/>
      </c>
      <c r="CE23" s="568" t="str">
        <f t="shared" si="32"/>
        <v/>
      </c>
      <c r="CF23" s="568" t="str">
        <f t="shared" si="33"/>
        <v/>
      </c>
      <c r="CG23" s="568" t="str">
        <f t="shared" si="34"/>
        <v/>
      </c>
      <c r="CH23" s="568" t="str">
        <f t="shared" si="35"/>
        <v/>
      </c>
      <c r="CI23" s="568" t="str">
        <f t="shared" si="36"/>
        <v/>
      </c>
      <c r="CJ23" s="568" t="str">
        <f t="shared" si="37"/>
        <v/>
      </c>
      <c r="CK23" s="568" t="str">
        <f t="shared" si="38"/>
        <v/>
      </c>
      <c r="CL23" s="568" t="str">
        <f t="shared" si="39"/>
        <v/>
      </c>
      <c r="CM23" s="568" t="str">
        <f t="shared" si="40"/>
        <v/>
      </c>
      <c r="CN23" s="568" t="str">
        <f t="shared" si="41"/>
        <v/>
      </c>
      <c r="CO23" s="568" t="str">
        <f t="shared" si="42"/>
        <v/>
      </c>
      <c r="CP23" s="568" t="str">
        <f t="shared" si="43"/>
        <v/>
      </c>
      <c r="CQ23" s="568" t="str">
        <f t="shared" si="44"/>
        <v/>
      </c>
      <c r="CR23" s="568" t="str">
        <f t="shared" si="45"/>
        <v/>
      </c>
      <c r="CS23" s="568" t="str">
        <f t="shared" si="46"/>
        <v/>
      </c>
      <c r="CT23" s="568" t="str">
        <f t="shared" si="47"/>
        <v/>
      </c>
      <c r="CU23" s="568" t="str">
        <f t="shared" si="48"/>
        <v/>
      </c>
      <c r="CV23" s="568" t="str">
        <f t="shared" si="49"/>
        <v/>
      </c>
      <c r="CW23" s="568" t="str">
        <f t="shared" si="50"/>
        <v/>
      </c>
      <c r="CX23" s="568" t="str">
        <f t="shared" si="51"/>
        <v/>
      </c>
      <c r="CY23" s="568" t="str">
        <f t="shared" si="52"/>
        <v/>
      </c>
      <c r="CZ23" s="568" t="str">
        <f t="shared" si="53"/>
        <v/>
      </c>
      <c r="DA23" s="568" t="str">
        <f t="shared" si="54"/>
        <v/>
      </c>
      <c r="DB23" s="568" t="str">
        <f t="shared" si="55"/>
        <v/>
      </c>
      <c r="DC23" s="568" t="str">
        <f t="shared" si="56"/>
        <v/>
      </c>
      <c r="DD23" s="568" t="str">
        <f t="shared" si="57"/>
        <v/>
      </c>
      <c r="DE23" s="568" t="str">
        <f t="shared" si="58"/>
        <v/>
      </c>
      <c r="DF23" s="568" t="str">
        <f t="shared" si="59"/>
        <v/>
      </c>
      <c r="DG23" s="568" t="str">
        <f t="shared" si="60"/>
        <v/>
      </c>
      <c r="DH23" s="568" t="str">
        <f t="shared" si="61"/>
        <v/>
      </c>
      <c r="DI23" s="568" t="str">
        <f t="shared" si="62"/>
        <v/>
      </c>
      <c r="DJ23" s="568" t="str">
        <f t="shared" si="63"/>
        <v/>
      </c>
      <c r="DK23" s="568" t="str">
        <f t="shared" si="64"/>
        <v/>
      </c>
      <c r="DL23" s="568" t="str">
        <f t="shared" si="65"/>
        <v/>
      </c>
      <c r="DM23" s="568" t="str">
        <f t="shared" si="66"/>
        <v/>
      </c>
      <c r="DN23" s="568" t="str">
        <f t="shared" si="67"/>
        <v/>
      </c>
      <c r="DO23" s="568" t="str">
        <f t="shared" si="68"/>
        <v/>
      </c>
      <c r="DP23" s="568" t="str">
        <f t="shared" si="69"/>
        <v/>
      </c>
      <c r="DQ23" s="568" t="str">
        <f t="shared" si="70"/>
        <v/>
      </c>
      <c r="DR23" s="568" t="str">
        <f t="shared" si="71"/>
        <v/>
      </c>
      <c r="DS23" s="568" t="str">
        <f t="shared" si="72"/>
        <v/>
      </c>
      <c r="DT23" s="568" t="str">
        <f t="shared" si="73"/>
        <v/>
      </c>
      <c r="DU23" s="568" t="str">
        <f t="shared" si="74"/>
        <v/>
      </c>
      <c r="DV23" s="568" t="str">
        <f t="shared" si="75"/>
        <v/>
      </c>
      <c r="DW23" s="568" t="str">
        <f t="shared" si="76"/>
        <v/>
      </c>
      <c r="DX23" s="568" t="str">
        <f t="shared" si="77"/>
        <v/>
      </c>
      <c r="DY23" s="568" t="str">
        <f t="shared" si="78"/>
        <v/>
      </c>
      <c r="DZ23" s="568" t="str">
        <f t="shared" si="79"/>
        <v/>
      </c>
      <c r="EA23" s="568" t="str">
        <f t="shared" si="80"/>
        <v/>
      </c>
      <c r="EB23" s="568" t="str">
        <f t="shared" si="81"/>
        <v/>
      </c>
      <c r="EC23" s="568" t="str">
        <f t="shared" si="82"/>
        <v/>
      </c>
      <c r="ED23" s="568" t="str">
        <f t="shared" si="83"/>
        <v/>
      </c>
      <c r="EE23" s="568" t="str">
        <f t="shared" si="84"/>
        <v/>
      </c>
      <c r="EF23" s="568" t="str">
        <f t="shared" si="85"/>
        <v/>
      </c>
      <c r="EG23" s="568" t="str">
        <f t="shared" si="86"/>
        <v/>
      </c>
      <c r="EH23" s="568" t="str">
        <f t="shared" si="87"/>
        <v/>
      </c>
      <c r="EI23" s="568" t="str">
        <f t="shared" si="88"/>
        <v/>
      </c>
      <c r="EJ23" s="568" t="str">
        <f t="shared" si="89"/>
        <v/>
      </c>
      <c r="EK23" s="568" t="str">
        <f t="shared" si="90"/>
        <v/>
      </c>
      <c r="EL23" s="568" t="str">
        <f t="shared" si="91"/>
        <v/>
      </c>
      <c r="EM23" s="568" t="str">
        <f t="shared" si="92"/>
        <v/>
      </c>
      <c r="EN23" s="568" t="str">
        <f t="shared" si="93"/>
        <v/>
      </c>
      <c r="EO23" s="568" t="str">
        <f t="shared" si="94"/>
        <v/>
      </c>
      <c r="EP23" s="568" t="str">
        <f t="shared" si="95"/>
        <v/>
      </c>
      <c r="EQ23" s="568" t="str">
        <f t="shared" si="96"/>
        <v/>
      </c>
      <c r="ER23" s="568" t="str">
        <f t="shared" si="97"/>
        <v/>
      </c>
      <c r="ES23" s="568" t="str">
        <f t="shared" si="98"/>
        <v/>
      </c>
      <c r="ET23" s="568" t="str">
        <f t="shared" si="99"/>
        <v/>
      </c>
      <c r="EU23" s="568" t="str">
        <f t="shared" si="100"/>
        <v/>
      </c>
      <c r="EV23" s="578" t="str">
        <f t="shared" si="101"/>
        <v/>
      </c>
      <c r="EW23" s="578" t="str">
        <f t="shared" si="102"/>
        <v/>
      </c>
      <c r="EX23" s="578" t="str">
        <f t="shared" si="103"/>
        <v/>
      </c>
      <c r="EY23" s="578" t="str">
        <f t="shared" si="104"/>
        <v/>
      </c>
      <c r="EZ23" s="578" t="str">
        <f t="shared" si="105"/>
        <v/>
      </c>
      <c r="FA23" s="578" t="str">
        <f t="shared" si="106"/>
        <v/>
      </c>
      <c r="FB23" s="578" t="str">
        <f t="shared" si="107"/>
        <v/>
      </c>
      <c r="FC23" s="578" t="str">
        <f t="shared" si="108"/>
        <v/>
      </c>
      <c r="FD23" s="578" t="str">
        <f t="shared" si="109"/>
        <v/>
      </c>
      <c r="FE23" s="578" t="str">
        <f t="shared" si="110"/>
        <v/>
      </c>
      <c r="FF23" s="578" t="str">
        <f t="shared" si="111"/>
        <v/>
      </c>
      <c r="FG23" s="578" t="str">
        <f t="shared" si="112"/>
        <v/>
      </c>
      <c r="FH23" s="578" t="str">
        <f t="shared" si="113"/>
        <v/>
      </c>
      <c r="FI23" s="578" t="str">
        <f t="shared" si="114"/>
        <v/>
      </c>
      <c r="FJ23" s="578" t="str">
        <f t="shared" si="115"/>
        <v/>
      </c>
      <c r="FK23" s="578" t="str">
        <f t="shared" si="116"/>
        <v/>
      </c>
      <c r="FL23" s="578" t="str">
        <f t="shared" si="117"/>
        <v/>
      </c>
      <c r="FM23" s="578" t="str">
        <f t="shared" si="118"/>
        <v/>
      </c>
      <c r="FN23" s="578" t="str">
        <f t="shared" si="119"/>
        <v/>
      </c>
      <c r="FO23" s="578" t="str">
        <f t="shared" si="120"/>
        <v/>
      </c>
      <c r="FP23" s="578" t="str">
        <f t="shared" si="121"/>
        <v/>
      </c>
      <c r="FQ23" s="578" t="str">
        <f t="shared" si="122"/>
        <v/>
      </c>
      <c r="FR23" s="578" t="str">
        <f t="shared" si="123"/>
        <v/>
      </c>
      <c r="FS23" s="578" t="str">
        <f t="shared" si="124"/>
        <v/>
      </c>
      <c r="FT23" s="578" t="str">
        <f t="shared" si="125"/>
        <v/>
      </c>
      <c r="FU23" s="578" t="str">
        <f t="shared" si="126"/>
        <v/>
      </c>
      <c r="FV23" s="578" t="str">
        <f t="shared" si="127"/>
        <v/>
      </c>
      <c r="FW23" s="578" t="str">
        <f t="shared" si="128"/>
        <v/>
      </c>
      <c r="FX23" s="578" t="str">
        <f t="shared" si="129"/>
        <v/>
      </c>
      <c r="FY23" s="578" t="str">
        <f t="shared" si="130"/>
        <v/>
      </c>
      <c r="FZ23" s="578" t="str">
        <f t="shared" si="131"/>
        <v/>
      </c>
      <c r="GA23" s="578" t="str">
        <f t="shared" si="132"/>
        <v/>
      </c>
      <c r="GB23" s="578" t="str">
        <f t="shared" si="133"/>
        <v/>
      </c>
      <c r="GC23" s="578" t="str">
        <f t="shared" si="134"/>
        <v/>
      </c>
      <c r="GD23" s="578" t="str">
        <f t="shared" si="135"/>
        <v/>
      </c>
      <c r="GE23" s="578" t="str">
        <f t="shared" si="136"/>
        <v/>
      </c>
      <c r="GF23" s="578" t="str">
        <f t="shared" si="137"/>
        <v/>
      </c>
      <c r="GG23" s="578" t="str">
        <f t="shared" si="138"/>
        <v/>
      </c>
      <c r="GH23" s="578" t="str">
        <f t="shared" si="139"/>
        <v/>
      </c>
      <c r="GI23" s="578" t="str">
        <f t="shared" si="140"/>
        <v/>
      </c>
      <c r="GJ23" s="578" t="str">
        <f t="shared" si="141"/>
        <v/>
      </c>
      <c r="GK23" s="578" t="str">
        <f t="shared" si="142"/>
        <v/>
      </c>
      <c r="GL23" s="578" t="str">
        <f t="shared" si="143"/>
        <v/>
      </c>
      <c r="GM23" s="578" t="str">
        <f t="shared" si="144"/>
        <v/>
      </c>
      <c r="GN23" s="578" t="str">
        <f t="shared" si="145"/>
        <v/>
      </c>
      <c r="GO23" s="579" t="str">
        <f t="shared" si="146"/>
        <v/>
      </c>
      <c r="GP23" s="579" t="str">
        <f t="shared" si="147"/>
        <v/>
      </c>
      <c r="GQ23" s="579" t="str">
        <f t="shared" si="148"/>
        <v/>
      </c>
      <c r="GR23" s="579" t="str">
        <f t="shared" si="149"/>
        <v/>
      </c>
      <c r="GS23" s="579" t="str">
        <f t="shared" si="150"/>
        <v/>
      </c>
      <c r="GT23" s="568" t="str">
        <f t="shared" si="151"/>
        <v/>
      </c>
      <c r="GU23" s="568" t="str">
        <f t="shared" si="152"/>
        <v/>
      </c>
      <c r="GV23" s="568" t="str">
        <f t="shared" si="153"/>
        <v/>
      </c>
      <c r="GW23" s="568" t="str">
        <f t="shared" si="154"/>
        <v/>
      </c>
      <c r="GX23" s="568" t="str">
        <f t="shared" si="155"/>
        <v/>
      </c>
      <c r="GY23" s="568" t="str">
        <f t="shared" si="156"/>
        <v/>
      </c>
      <c r="GZ23" s="568" t="str">
        <f t="shared" si="157"/>
        <v/>
      </c>
      <c r="HA23" s="568" t="str">
        <f t="shared" si="158"/>
        <v/>
      </c>
      <c r="HB23" s="568" t="str">
        <f t="shared" si="159"/>
        <v/>
      </c>
      <c r="HC23" s="568" t="str">
        <f t="shared" si="160"/>
        <v/>
      </c>
      <c r="HD23" s="568" t="str">
        <f t="shared" si="161"/>
        <v/>
      </c>
      <c r="HE23" s="568" t="str">
        <f t="shared" si="162"/>
        <v/>
      </c>
      <c r="HF23" s="568" t="str">
        <f t="shared" si="163"/>
        <v/>
      </c>
      <c r="HG23" s="568" t="str">
        <f t="shared" si="164"/>
        <v/>
      </c>
      <c r="HH23" s="568" t="str">
        <f t="shared" si="165"/>
        <v/>
      </c>
      <c r="HI23" s="568" t="str">
        <f t="shared" si="166"/>
        <v/>
      </c>
      <c r="HJ23" s="568" t="str">
        <f t="shared" si="167"/>
        <v/>
      </c>
      <c r="HK23" s="568" t="str">
        <f t="shared" si="168"/>
        <v/>
      </c>
      <c r="HL23" s="568" t="str">
        <f t="shared" si="169"/>
        <v/>
      </c>
      <c r="HM23" s="568" t="str">
        <f t="shared" si="170"/>
        <v/>
      </c>
    </row>
    <row r="24" spans="1:221" ht="13.15" customHeight="1">
      <c r="A24" s="126" t="str">
        <f t="shared" si="171"/>
        <v/>
      </c>
      <c r="B24" s="1748" t="s">
        <v>1895</v>
      </c>
      <c r="C24" s="1749"/>
      <c r="D24" s="1750"/>
      <c r="E24" s="1751"/>
      <c r="F24" s="1751"/>
      <c r="G24" s="1751"/>
      <c r="H24" s="1751"/>
      <c r="I24" s="1751"/>
      <c r="J24" s="1752"/>
      <c r="K24" s="199">
        <f t="shared" si="172"/>
        <v>0</v>
      </c>
      <c r="L24" s="199">
        <f t="shared" si="0"/>
        <v>0</v>
      </c>
      <c r="M24" s="1753"/>
      <c r="N24" s="1753"/>
      <c r="O24" s="1753"/>
      <c r="P24" s="519" t="str">
        <f t="shared" si="203"/>
        <v/>
      </c>
      <c r="Q24" s="520" t="str">
        <f>IF(H24="","",P24/($P$6*VLOOKUP(C24,'DCA Underwriting Assumptions'!$J$82:$K$87,2,FALSE)))</f>
        <v/>
      </c>
      <c r="R24" s="605"/>
      <c r="S24" s="520"/>
      <c r="T24" s="1754"/>
      <c r="U24" s="1755"/>
      <c r="V24" s="568" t="str">
        <f t="shared" si="1"/>
        <v/>
      </c>
      <c r="W24" s="568" t="str">
        <f t="shared" si="2"/>
        <v/>
      </c>
      <c r="X24" s="568" t="str">
        <f t="shared" si="3"/>
        <v/>
      </c>
      <c r="Y24" s="568" t="str">
        <f t="shared" si="4"/>
        <v/>
      </c>
      <c r="Z24" s="568" t="str">
        <f t="shared" si="5"/>
        <v/>
      </c>
      <c r="AA24" s="568" t="str">
        <f t="shared" si="6"/>
        <v/>
      </c>
      <c r="AB24" s="568" t="str">
        <f t="shared" si="7"/>
        <v/>
      </c>
      <c r="AC24" s="568" t="str">
        <f t="shared" si="8"/>
        <v/>
      </c>
      <c r="AD24" s="568" t="str">
        <f t="shared" si="9"/>
        <v/>
      </c>
      <c r="AE24" s="568" t="str">
        <f t="shared" si="10"/>
        <v/>
      </c>
      <c r="AF24" s="568" t="str">
        <f t="shared" si="11"/>
        <v/>
      </c>
      <c r="AG24" s="568" t="str">
        <f t="shared" si="12"/>
        <v/>
      </c>
      <c r="AH24" s="568" t="str">
        <f t="shared" si="13"/>
        <v/>
      </c>
      <c r="AI24" s="568" t="str">
        <f t="shared" si="14"/>
        <v/>
      </c>
      <c r="AJ24" s="568" t="str">
        <f t="shared" si="15"/>
        <v/>
      </c>
      <c r="AK24" s="568" t="str">
        <f t="shared" si="16"/>
        <v/>
      </c>
      <c r="AL24" s="568" t="str">
        <f t="shared" si="17"/>
        <v/>
      </c>
      <c r="AM24" s="568" t="str">
        <f t="shared" si="18"/>
        <v/>
      </c>
      <c r="AN24" s="568" t="str">
        <f t="shared" si="19"/>
        <v/>
      </c>
      <c r="AO24" s="568" t="str">
        <f t="shared" si="20"/>
        <v/>
      </c>
      <c r="AP24" s="568" t="str">
        <f t="shared" si="173"/>
        <v/>
      </c>
      <c r="AQ24" s="568" t="str">
        <f t="shared" si="174"/>
        <v/>
      </c>
      <c r="AR24" s="568" t="str">
        <f t="shared" si="175"/>
        <v/>
      </c>
      <c r="AS24" s="568" t="str">
        <f t="shared" si="176"/>
        <v/>
      </c>
      <c r="AT24" s="568" t="str">
        <f t="shared" si="177"/>
        <v/>
      </c>
      <c r="AU24" s="568" t="str">
        <f t="shared" si="178"/>
        <v/>
      </c>
      <c r="AV24" s="568" t="str">
        <f t="shared" si="179"/>
        <v/>
      </c>
      <c r="AW24" s="568" t="str">
        <f t="shared" si="180"/>
        <v/>
      </c>
      <c r="AX24" s="568" t="str">
        <f t="shared" si="181"/>
        <v/>
      </c>
      <c r="AY24" s="568" t="str">
        <f t="shared" si="182"/>
        <v/>
      </c>
      <c r="AZ24" s="568" t="str">
        <f t="shared" si="183"/>
        <v/>
      </c>
      <c r="BA24" s="568" t="str">
        <f t="shared" si="184"/>
        <v/>
      </c>
      <c r="BB24" s="568" t="str">
        <f t="shared" si="185"/>
        <v/>
      </c>
      <c r="BC24" s="568" t="str">
        <f t="shared" si="186"/>
        <v/>
      </c>
      <c r="BD24" s="568" t="str">
        <f t="shared" si="187"/>
        <v/>
      </c>
      <c r="BE24" s="568" t="str">
        <f t="shared" si="188"/>
        <v/>
      </c>
      <c r="BF24" s="568" t="str">
        <f t="shared" si="189"/>
        <v/>
      </c>
      <c r="BG24" s="568" t="str">
        <f t="shared" si="190"/>
        <v/>
      </c>
      <c r="BH24" s="568" t="str">
        <f t="shared" si="191"/>
        <v/>
      </c>
      <c r="BI24" s="568" t="str">
        <f t="shared" si="192"/>
        <v/>
      </c>
      <c r="BJ24" s="568" t="str">
        <f t="shared" si="193"/>
        <v/>
      </c>
      <c r="BK24" s="568" t="str">
        <f t="shared" si="194"/>
        <v/>
      </c>
      <c r="BL24" s="568" t="str">
        <f t="shared" si="195"/>
        <v/>
      </c>
      <c r="BM24" s="568" t="str">
        <f t="shared" si="196"/>
        <v/>
      </c>
      <c r="BN24" s="568" t="str">
        <f t="shared" si="197"/>
        <v/>
      </c>
      <c r="BO24" s="568" t="str">
        <f t="shared" si="198"/>
        <v/>
      </c>
      <c r="BP24" s="568" t="str">
        <f t="shared" si="199"/>
        <v/>
      </c>
      <c r="BQ24" s="568" t="str">
        <f t="shared" si="200"/>
        <v/>
      </c>
      <c r="BR24" s="568" t="str">
        <f t="shared" si="201"/>
        <v/>
      </c>
      <c r="BS24" s="568" t="str">
        <f t="shared" si="202"/>
        <v/>
      </c>
      <c r="BT24" s="568" t="str">
        <f t="shared" si="21"/>
        <v/>
      </c>
      <c r="BU24" s="568" t="str">
        <f t="shared" si="22"/>
        <v/>
      </c>
      <c r="BV24" s="568" t="str">
        <f t="shared" si="23"/>
        <v/>
      </c>
      <c r="BW24" s="568" t="str">
        <f t="shared" si="24"/>
        <v/>
      </c>
      <c r="BX24" s="568" t="str">
        <f t="shared" si="25"/>
        <v/>
      </c>
      <c r="BY24" s="568" t="str">
        <f t="shared" si="26"/>
        <v/>
      </c>
      <c r="BZ24" s="568" t="str">
        <f t="shared" si="27"/>
        <v/>
      </c>
      <c r="CA24" s="568" t="str">
        <f t="shared" si="28"/>
        <v/>
      </c>
      <c r="CB24" s="568" t="str">
        <f t="shared" si="29"/>
        <v/>
      </c>
      <c r="CC24" s="568" t="str">
        <f t="shared" si="30"/>
        <v/>
      </c>
      <c r="CD24" s="568" t="str">
        <f t="shared" si="31"/>
        <v/>
      </c>
      <c r="CE24" s="568" t="str">
        <f t="shared" si="32"/>
        <v/>
      </c>
      <c r="CF24" s="568" t="str">
        <f t="shared" si="33"/>
        <v/>
      </c>
      <c r="CG24" s="568" t="str">
        <f t="shared" si="34"/>
        <v/>
      </c>
      <c r="CH24" s="568" t="str">
        <f t="shared" si="35"/>
        <v/>
      </c>
      <c r="CI24" s="568" t="str">
        <f t="shared" si="36"/>
        <v/>
      </c>
      <c r="CJ24" s="568" t="str">
        <f t="shared" si="37"/>
        <v/>
      </c>
      <c r="CK24" s="568" t="str">
        <f t="shared" si="38"/>
        <v/>
      </c>
      <c r="CL24" s="568" t="str">
        <f t="shared" si="39"/>
        <v/>
      </c>
      <c r="CM24" s="568" t="str">
        <f t="shared" si="40"/>
        <v/>
      </c>
      <c r="CN24" s="568" t="str">
        <f t="shared" si="41"/>
        <v/>
      </c>
      <c r="CO24" s="568" t="str">
        <f t="shared" si="42"/>
        <v/>
      </c>
      <c r="CP24" s="568" t="str">
        <f t="shared" si="43"/>
        <v/>
      </c>
      <c r="CQ24" s="568" t="str">
        <f t="shared" si="44"/>
        <v/>
      </c>
      <c r="CR24" s="568" t="str">
        <f t="shared" si="45"/>
        <v/>
      </c>
      <c r="CS24" s="568" t="str">
        <f t="shared" si="46"/>
        <v/>
      </c>
      <c r="CT24" s="568" t="str">
        <f t="shared" si="47"/>
        <v/>
      </c>
      <c r="CU24" s="568" t="str">
        <f t="shared" si="48"/>
        <v/>
      </c>
      <c r="CV24" s="568" t="str">
        <f t="shared" si="49"/>
        <v/>
      </c>
      <c r="CW24" s="568" t="str">
        <f t="shared" si="50"/>
        <v/>
      </c>
      <c r="CX24" s="568" t="str">
        <f t="shared" si="51"/>
        <v/>
      </c>
      <c r="CY24" s="568" t="str">
        <f t="shared" si="52"/>
        <v/>
      </c>
      <c r="CZ24" s="568" t="str">
        <f t="shared" si="53"/>
        <v/>
      </c>
      <c r="DA24" s="568" t="str">
        <f t="shared" si="54"/>
        <v/>
      </c>
      <c r="DB24" s="568" t="str">
        <f t="shared" si="55"/>
        <v/>
      </c>
      <c r="DC24" s="568" t="str">
        <f t="shared" si="56"/>
        <v/>
      </c>
      <c r="DD24" s="568" t="str">
        <f t="shared" si="57"/>
        <v/>
      </c>
      <c r="DE24" s="568" t="str">
        <f t="shared" si="58"/>
        <v/>
      </c>
      <c r="DF24" s="568" t="str">
        <f t="shared" si="59"/>
        <v/>
      </c>
      <c r="DG24" s="568" t="str">
        <f t="shared" si="60"/>
        <v/>
      </c>
      <c r="DH24" s="568" t="str">
        <f t="shared" si="61"/>
        <v/>
      </c>
      <c r="DI24" s="568" t="str">
        <f t="shared" si="62"/>
        <v/>
      </c>
      <c r="DJ24" s="568" t="str">
        <f t="shared" si="63"/>
        <v/>
      </c>
      <c r="DK24" s="568" t="str">
        <f t="shared" si="64"/>
        <v/>
      </c>
      <c r="DL24" s="568" t="str">
        <f t="shared" si="65"/>
        <v/>
      </c>
      <c r="DM24" s="568" t="str">
        <f t="shared" si="66"/>
        <v/>
      </c>
      <c r="DN24" s="568" t="str">
        <f t="shared" si="67"/>
        <v/>
      </c>
      <c r="DO24" s="568" t="str">
        <f t="shared" si="68"/>
        <v/>
      </c>
      <c r="DP24" s="568" t="str">
        <f t="shared" si="69"/>
        <v/>
      </c>
      <c r="DQ24" s="568" t="str">
        <f t="shared" si="70"/>
        <v/>
      </c>
      <c r="DR24" s="568" t="str">
        <f t="shared" si="71"/>
        <v/>
      </c>
      <c r="DS24" s="568" t="str">
        <f t="shared" si="72"/>
        <v/>
      </c>
      <c r="DT24" s="568" t="str">
        <f t="shared" si="73"/>
        <v/>
      </c>
      <c r="DU24" s="568" t="str">
        <f t="shared" si="74"/>
        <v/>
      </c>
      <c r="DV24" s="568" t="str">
        <f t="shared" si="75"/>
        <v/>
      </c>
      <c r="DW24" s="568" t="str">
        <f t="shared" si="76"/>
        <v/>
      </c>
      <c r="DX24" s="568" t="str">
        <f t="shared" si="77"/>
        <v/>
      </c>
      <c r="DY24" s="568" t="str">
        <f t="shared" si="78"/>
        <v/>
      </c>
      <c r="DZ24" s="568" t="str">
        <f t="shared" si="79"/>
        <v/>
      </c>
      <c r="EA24" s="568" t="str">
        <f t="shared" si="80"/>
        <v/>
      </c>
      <c r="EB24" s="568" t="str">
        <f t="shared" si="81"/>
        <v/>
      </c>
      <c r="EC24" s="568" t="str">
        <f t="shared" si="82"/>
        <v/>
      </c>
      <c r="ED24" s="568" t="str">
        <f t="shared" si="83"/>
        <v/>
      </c>
      <c r="EE24" s="568" t="str">
        <f t="shared" si="84"/>
        <v/>
      </c>
      <c r="EF24" s="568" t="str">
        <f t="shared" si="85"/>
        <v/>
      </c>
      <c r="EG24" s="568" t="str">
        <f t="shared" si="86"/>
        <v/>
      </c>
      <c r="EH24" s="568" t="str">
        <f t="shared" si="87"/>
        <v/>
      </c>
      <c r="EI24" s="568" t="str">
        <f t="shared" si="88"/>
        <v/>
      </c>
      <c r="EJ24" s="568" t="str">
        <f t="shared" si="89"/>
        <v/>
      </c>
      <c r="EK24" s="568" t="str">
        <f t="shared" si="90"/>
        <v/>
      </c>
      <c r="EL24" s="568" t="str">
        <f t="shared" si="91"/>
        <v/>
      </c>
      <c r="EM24" s="568" t="str">
        <f t="shared" si="92"/>
        <v/>
      </c>
      <c r="EN24" s="568" t="str">
        <f t="shared" si="93"/>
        <v/>
      </c>
      <c r="EO24" s="568" t="str">
        <f t="shared" si="94"/>
        <v/>
      </c>
      <c r="EP24" s="568" t="str">
        <f t="shared" si="95"/>
        <v/>
      </c>
      <c r="EQ24" s="568" t="str">
        <f t="shared" si="96"/>
        <v/>
      </c>
      <c r="ER24" s="568" t="str">
        <f t="shared" si="97"/>
        <v/>
      </c>
      <c r="ES24" s="568" t="str">
        <f t="shared" si="98"/>
        <v/>
      </c>
      <c r="ET24" s="568" t="str">
        <f t="shared" si="99"/>
        <v/>
      </c>
      <c r="EU24" s="568" t="str">
        <f t="shared" si="100"/>
        <v/>
      </c>
      <c r="EV24" s="578" t="str">
        <f t="shared" si="101"/>
        <v/>
      </c>
      <c r="EW24" s="578" t="str">
        <f t="shared" si="102"/>
        <v/>
      </c>
      <c r="EX24" s="578" t="str">
        <f t="shared" si="103"/>
        <v/>
      </c>
      <c r="EY24" s="578" t="str">
        <f t="shared" si="104"/>
        <v/>
      </c>
      <c r="EZ24" s="578" t="str">
        <f t="shared" si="105"/>
        <v/>
      </c>
      <c r="FA24" s="578" t="str">
        <f t="shared" si="106"/>
        <v/>
      </c>
      <c r="FB24" s="578" t="str">
        <f t="shared" si="107"/>
        <v/>
      </c>
      <c r="FC24" s="578" t="str">
        <f t="shared" si="108"/>
        <v/>
      </c>
      <c r="FD24" s="578" t="str">
        <f t="shared" si="109"/>
        <v/>
      </c>
      <c r="FE24" s="578" t="str">
        <f t="shared" si="110"/>
        <v/>
      </c>
      <c r="FF24" s="578" t="str">
        <f t="shared" si="111"/>
        <v/>
      </c>
      <c r="FG24" s="578" t="str">
        <f t="shared" si="112"/>
        <v/>
      </c>
      <c r="FH24" s="578" t="str">
        <f t="shared" si="113"/>
        <v/>
      </c>
      <c r="FI24" s="578" t="str">
        <f t="shared" si="114"/>
        <v/>
      </c>
      <c r="FJ24" s="578" t="str">
        <f t="shared" si="115"/>
        <v/>
      </c>
      <c r="FK24" s="578" t="str">
        <f t="shared" si="116"/>
        <v/>
      </c>
      <c r="FL24" s="578" t="str">
        <f t="shared" si="117"/>
        <v/>
      </c>
      <c r="FM24" s="578" t="str">
        <f t="shared" si="118"/>
        <v/>
      </c>
      <c r="FN24" s="578" t="str">
        <f t="shared" si="119"/>
        <v/>
      </c>
      <c r="FO24" s="578" t="str">
        <f t="shared" si="120"/>
        <v/>
      </c>
      <c r="FP24" s="578" t="str">
        <f t="shared" si="121"/>
        <v/>
      </c>
      <c r="FQ24" s="578" t="str">
        <f t="shared" si="122"/>
        <v/>
      </c>
      <c r="FR24" s="578" t="str">
        <f t="shared" si="123"/>
        <v/>
      </c>
      <c r="FS24" s="578" t="str">
        <f t="shared" si="124"/>
        <v/>
      </c>
      <c r="FT24" s="578" t="str">
        <f t="shared" si="125"/>
        <v/>
      </c>
      <c r="FU24" s="578" t="str">
        <f t="shared" si="126"/>
        <v/>
      </c>
      <c r="FV24" s="578" t="str">
        <f t="shared" si="127"/>
        <v/>
      </c>
      <c r="FW24" s="578" t="str">
        <f t="shared" si="128"/>
        <v/>
      </c>
      <c r="FX24" s="578" t="str">
        <f t="shared" si="129"/>
        <v/>
      </c>
      <c r="FY24" s="578" t="str">
        <f t="shared" si="130"/>
        <v/>
      </c>
      <c r="FZ24" s="578" t="str">
        <f t="shared" si="131"/>
        <v/>
      </c>
      <c r="GA24" s="578" t="str">
        <f t="shared" si="132"/>
        <v/>
      </c>
      <c r="GB24" s="578" t="str">
        <f t="shared" si="133"/>
        <v/>
      </c>
      <c r="GC24" s="578" t="str">
        <f t="shared" si="134"/>
        <v/>
      </c>
      <c r="GD24" s="578" t="str">
        <f t="shared" si="135"/>
        <v/>
      </c>
      <c r="GE24" s="578" t="str">
        <f t="shared" si="136"/>
        <v/>
      </c>
      <c r="GF24" s="578" t="str">
        <f t="shared" si="137"/>
        <v/>
      </c>
      <c r="GG24" s="578" t="str">
        <f t="shared" si="138"/>
        <v/>
      </c>
      <c r="GH24" s="578" t="str">
        <f t="shared" si="139"/>
        <v/>
      </c>
      <c r="GI24" s="578" t="str">
        <f t="shared" si="140"/>
        <v/>
      </c>
      <c r="GJ24" s="578" t="str">
        <f t="shared" si="141"/>
        <v/>
      </c>
      <c r="GK24" s="578" t="str">
        <f t="shared" si="142"/>
        <v/>
      </c>
      <c r="GL24" s="578" t="str">
        <f t="shared" si="143"/>
        <v/>
      </c>
      <c r="GM24" s="578" t="str">
        <f t="shared" si="144"/>
        <v/>
      </c>
      <c r="GN24" s="578" t="str">
        <f t="shared" si="145"/>
        <v/>
      </c>
      <c r="GO24" s="579" t="str">
        <f t="shared" si="146"/>
        <v/>
      </c>
      <c r="GP24" s="579" t="str">
        <f t="shared" si="147"/>
        <v/>
      </c>
      <c r="GQ24" s="579" t="str">
        <f t="shared" si="148"/>
        <v/>
      </c>
      <c r="GR24" s="579" t="str">
        <f t="shared" si="149"/>
        <v/>
      </c>
      <c r="GS24" s="579" t="str">
        <f t="shared" si="150"/>
        <v/>
      </c>
      <c r="GT24" s="568" t="str">
        <f t="shared" si="151"/>
        <v/>
      </c>
      <c r="GU24" s="568" t="str">
        <f t="shared" si="152"/>
        <v/>
      </c>
      <c r="GV24" s="568" t="str">
        <f t="shared" si="153"/>
        <v/>
      </c>
      <c r="GW24" s="568" t="str">
        <f t="shared" si="154"/>
        <v/>
      </c>
      <c r="GX24" s="568" t="str">
        <f t="shared" si="155"/>
        <v/>
      </c>
      <c r="GY24" s="568" t="str">
        <f t="shared" si="156"/>
        <v/>
      </c>
      <c r="GZ24" s="568" t="str">
        <f t="shared" si="157"/>
        <v/>
      </c>
      <c r="HA24" s="568" t="str">
        <f t="shared" si="158"/>
        <v/>
      </c>
      <c r="HB24" s="568" t="str">
        <f t="shared" si="159"/>
        <v/>
      </c>
      <c r="HC24" s="568" t="str">
        <f t="shared" si="160"/>
        <v/>
      </c>
      <c r="HD24" s="568" t="str">
        <f t="shared" si="161"/>
        <v/>
      </c>
      <c r="HE24" s="568" t="str">
        <f t="shared" si="162"/>
        <v/>
      </c>
      <c r="HF24" s="568" t="str">
        <f t="shared" si="163"/>
        <v/>
      </c>
      <c r="HG24" s="568" t="str">
        <f t="shared" si="164"/>
        <v/>
      </c>
      <c r="HH24" s="568" t="str">
        <f t="shared" si="165"/>
        <v/>
      </c>
      <c r="HI24" s="568" t="str">
        <f t="shared" si="166"/>
        <v/>
      </c>
      <c r="HJ24" s="568" t="str">
        <f t="shared" si="167"/>
        <v/>
      </c>
      <c r="HK24" s="568" t="str">
        <f t="shared" si="168"/>
        <v/>
      </c>
      <c r="HL24" s="568" t="str">
        <f t="shared" si="169"/>
        <v/>
      </c>
      <c r="HM24" s="568" t="str">
        <f t="shared" si="170"/>
        <v/>
      </c>
    </row>
    <row r="25" spans="1:221" ht="13.15" customHeight="1">
      <c r="A25" s="126" t="str">
        <f t="shared" si="171"/>
        <v/>
      </c>
      <c r="B25" s="1748" t="s">
        <v>1895</v>
      </c>
      <c r="C25" s="1749"/>
      <c r="D25" s="1750"/>
      <c r="E25" s="1751"/>
      <c r="F25" s="1751"/>
      <c r="G25" s="1751"/>
      <c r="H25" s="1751"/>
      <c r="I25" s="1751"/>
      <c r="J25" s="1752"/>
      <c r="K25" s="199">
        <f t="shared" si="172"/>
        <v>0</v>
      </c>
      <c r="L25" s="199">
        <f t="shared" si="0"/>
        <v>0</v>
      </c>
      <c r="M25" s="1753"/>
      <c r="N25" s="1753"/>
      <c r="O25" s="1753"/>
      <c r="P25" s="519" t="str">
        <f t="shared" si="203"/>
        <v/>
      </c>
      <c r="Q25" s="520" t="str">
        <f>IF(H25="","",P25/($P$6*VLOOKUP(C25,'DCA Underwriting Assumptions'!$J$82:$K$87,2,FALSE)))</f>
        <v/>
      </c>
      <c r="R25" s="605"/>
      <c r="S25" s="520"/>
      <c r="T25" s="1754"/>
      <c r="U25" s="1755"/>
      <c r="V25" s="568" t="str">
        <f t="shared" si="1"/>
        <v/>
      </c>
      <c r="W25" s="568" t="str">
        <f t="shared" si="2"/>
        <v/>
      </c>
      <c r="X25" s="568" t="str">
        <f t="shared" si="3"/>
        <v/>
      </c>
      <c r="Y25" s="568" t="str">
        <f t="shared" si="4"/>
        <v/>
      </c>
      <c r="Z25" s="568" t="str">
        <f t="shared" si="5"/>
        <v/>
      </c>
      <c r="AA25" s="568" t="str">
        <f t="shared" si="6"/>
        <v/>
      </c>
      <c r="AB25" s="568" t="str">
        <f t="shared" si="7"/>
        <v/>
      </c>
      <c r="AC25" s="568" t="str">
        <f t="shared" si="8"/>
        <v/>
      </c>
      <c r="AD25" s="568" t="str">
        <f t="shared" si="9"/>
        <v/>
      </c>
      <c r="AE25" s="568" t="str">
        <f t="shared" si="10"/>
        <v/>
      </c>
      <c r="AF25" s="568" t="str">
        <f t="shared" si="11"/>
        <v/>
      </c>
      <c r="AG25" s="568" t="str">
        <f t="shared" si="12"/>
        <v/>
      </c>
      <c r="AH25" s="568" t="str">
        <f t="shared" si="13"/>
        <v/>
      </c>
      <c r="AI25" s="568" t="str">
        <f t="shared" si="14"/>
        <v/>
      </c>
      <c r="AJ25" s="568" t="str">
        <f t="shared" si="15"/>
        <v/>
      </c>
      <c r="AK25" s="568" t="str">
        <f t="shared" si="16"/>
        <v/>
      </c>
      <c r="AL25" s="568" t="str">
        <f t="shared" si="17"/>
        <v/>
      </c>
      <c r="AM25" s="568" t="str">
        <f t="shared" si="18"/>
        <v/>
      </c>
      <c r="AN25" s="568" t="str">
        <f t="shared" si="19"/>
        <v/>
      </c>
      <c r="AO25" s="568" t="str">
        <f t="shared" si="20"/>
        <v/>
      </c>
      <c r="AP25" s="568" t="str">
        <f t="shared" si="173"/>
        <v/>
      </c>
      <c r="AQ25" s="568" t="str">
        <f t="shared" si="174"/>
        <v/>
      </c>
      <c r="AR25" s="568" t="str">
        <f t="shared" si="175"/>
        <v/>
      </c>
      <c r="AS25" s="568" t="str">
        <f t="shared" si="176"/>
        <v/>
      </c>
      <c r="AT25" s="568" t="str">
        <f t="shared" si="177"/>
        <v/>
      </c>
      <c r="AU25" s="568" t="str">
        <f t="shared" si="178"/>
        <v/>
      </c>
      <c r="AV25" s="568" t="str">
        <f t="shared" si="179"/>
        <v/>
      </c>
      <c r="AW25" s="568" t="str">
        <f t="shared" si="180"/>
        <v/>
      </c>
      <c r="AX25" s="568" t="str">
        <f t="shared" si="181"/>
        <v/>
      </c>
      <c r="AY25" s="568" t="str">
        <f t="shared" si="182"/>
        <v/>
      </c>
      <c r="AZ25" s="568" t="str">
        <f t="shared" si="183"/>
        <v/>
      </c>
      <c r="BA25" s="568" t="str">
        <f t="shared" si="184"/>
        <v/>
      </c>
      <c r="BB25" s="568" t="str">
        <f t="shared" si="185"/>
        <v/>
      </c>
      <c r="BC25" s="568" t="str">
        <f t="shared" si="186"/>
        <v/>
      </c>
      <c r="BD25" s="568" t="str">
        <f t="shared" si="187"/>
        <v/>
      </c>
      <c r="BE25" s="568" t="str">
        <f t="shared" si="188"/>
        <v/>
      </c>
      <c r="BF25" s="568" t="str">
        <f t="shared" si="189"/>
        <v/>
      </c>
      <c r="BG25" s="568" t="str">
        <f t="shared" si="190"/>
        <v/>
      </c>
      <c r="BH25" s="568" t="str">
        <f t="shared" si="191"/>
        <v/>
      </c>
      <c r="BI25" s="568" t="str">
        <f t="shared" si="192"/>
        <v/>
      </c>
      <c r="BJ25" s="568" t="str">
        <f t="shared" si="193"/>
        <v/>
      </c>
      <c r="BK25" s="568" t="str">
        <f t="shared" si="194"/>
        <v/>
      </c>
      <c r="BL25" s="568" t="str">
        <f t="shared" si="195"/>
        <v/>
      </c>
      <c r="BM25" s="568" t="str">
        <f t="shared" si="196"/>
        <v/>
      </c>
      <c r="BN25" s="568" t="str">
        <f t="shared" si="197"/>
        <v/>
      </c>
      <c r="BO25" s="568" t="str">
        <f t="shared" si="198"/>
        <v/>
      </c>
      <c r="BP25" s="568" t="str">
        <f t="shared" si="199"/>
        <v/>
      </c>
      <c r="BQ25" s="568" t="str">
        <f t="shared" si="200"/>
        <v/>
      </c>
      <c r="BR25" s="568" t="str">
        <f t="shared" si="201"/>
        <v/>
      </c>
      <c r="BS25" s="568" t="str">
        <f t="shared" si="202"/>
        <v/>
      </c>
      <c r="BT25" s="568" t="str">
        <f t="shared" si="21"/>
        <v/>
      </c>
      <c r="BU25" s="568" t="str">
        <f t="shared" si="22"/>
        <v/>
      </c>
      <c r="BV25" s="568" t="str">
        <f t="shared" si="23"/>
        <v/>
      </c>
      <c r="BW25" s="568" t="str">
        <f t="shared" si="24"/>
        <v/>
      </c>
      <c r="BX25" s="568" t="str">
        <f t="shared" si="25"/>
        <v/>
      </c>
      <c r="BY25" s="568" t="str">
        <f t="shared" si="26"/>
        <v/>
      </c>
      <c r="BZ25" s="568" t="str">
        <f t="shared" si="27"/>
        <v/>
      </c>
      <c r="CA25" s="568" t="str">
        <f t="shared" si="28"/>
        <v/>
      </c>
      <c r="CB25" s="568" t="str">
        <f t="shared" si="29"/>
        <v/>
      </c>
      <c r="CC25" s="568" t="str">
        <f t="shared" si="30"/>
        <v/>
      </c>
      <c r="CD25" s="568" t="str">
        <f t="shared" si="31"/>
        <v/>
      </c>
      <c r="CE25" s="568" t="str">
        <f t="shared" si="32"/>
        <v/>
      </c>
      <c r="CF25" s="568" t="str">
        <f t="shared" si="33"/>
        <v/>
      </c>
      <c r="CG25" s="568" t="str">
        <f t="shared" si="34"/>
        <v/>
      </c>
      <c r="CH25" s="568" t="str">
        <f t="shared" si="35"/>
        <v/>
      </c>
      <c r="CI25" s="568" t="str">
        <f t="shared" si="36"/>
        <v/>
      </c>
      <c r="CJ25" s="568" t="str">
        <f t="shared" si="37"/>
        <v/>
      </c>
      <c r="CK25" s="568" t="str">
        <f t="shared" si="38"/>
        <v/>
      </c>
      <c r="CL25" s="568" t="str">
        <f t="shared" si="39"/>
        <v/>
      </c>
      <c r="CM25" s="568" t="str">
        <f t="shared" si="40"/>
        <v/>
      </c>
      <c r="CN25" s="568" t="str">
        <f t="shared" si="41"/>
        <v/>
      </c>
      <c r="CO25" s="568" t="str">
        <f t="shared" si="42"/>
        <v/>
      </c>
      <c r="CP25" s="568" t="str">
        <f t="shared" si="43"/>
        <v/>
      </c>
      <c r="CQ25" s="568" t="str">
        <f t="shared" si="44"/>
        <v/>
      </c>
      <c r="CR25" s="568" t="str">
        <f t="shared" si="45"/>
        <v/>
      </c>
      <c r="CS25" s="568" t="str">
        <f t="shared" si="46"/>
        <v/>
      </c>
      <c r="CT25" s="568" t="str">
        <f t="shared" si="47"/>
        <v/>
      </c>
      <c r="CU25" s="568" t="str">
        <f t="shared" si="48"/>
        <v/>
      </c>
      <c r="CV25" s="568" t="str">
        <f t="shared" si="49"/>
        <v/>
      </c>
      <c r="CW25" s="568" t="str">
        <f t="shared" si="50"/>
        <v/>
      </c>
      <c r="CX25" s="568" t="str">
        <f t="shared" si="51"/>
        <v/>
      </c>
      <c r="CY25" s="568" t="str">
        <f t="shared" si="52"/>
        <v/>
      </c>
      <c r="CZ25" s="568" t="str">
        <f t="shared" si="53"/>
        <v/>
      </c>
      <c r="DA25" s="568" t="str">
        <f t="shared" si="54"/>
        <v/>
      </c>
      <c r="DB25" s="568" t="str">
        <f t="shared" si="55"/>
        <v/>
      </c>
      <c r="DC25" s="568" t="str">
        <f t="shared" si="56"/>
        <v/>
      </c>
      <c r="DD25" s="568" t="str">
        <f t="shared" si="57"/>
        <v/>
      </c>
      <c r="DE25" s="568" t="str">
        <f t="shared" si="58"/>
        <v/>
      </c>
      <c r="DF25" s="568" t="str">
        <f t="shared" si="59"/>
        <v/>
      </c>
      <c r="DG25" s="568" t="str">
        <f t="shared" si="60"/>
        <v/>
      </c>
      <c r="DH25" s="568" t="str">
        <f t="shared" si="61"/>
        <v/>
      </c>
      <c r="DI25" s="568" t="str">
        <f t="shared" si="62"/>
        <v/>
      </c>
      <c r="DJ25" s="568" t="str">
        <f t="shared" si="63"/>
        <v/>
      </c>
      <c r="DK25" s="568" t="str">
        <f t="shared" si="64"/>
        <v/>
      </c>
      <c r="DL25" s="568" t="str">
        <f t="shared" si="65"/>
        <v/>
      </c>
      <c r="DM25" s="568" t="str">
        <f t="shared" si="66"/>
        <v/>
      </c>
      <c r="DN25" s="568" t="str">
        <f t="shared" si="67"/>
        <v/>
      </c>
      <c r="DO25" s="568" t="str">
        <f t="shared" si="68"/>
        <v/>
      </c>
      <c r="DP25" s="568" t="str">
        <f t="shared" si="69"/>
        <v/>
      </c>
      <c r="DQ25" s="568" t="str">
        <f t="shared" si="70"/>
        <v/>
      </c>
      <c r="DR25" s="568" t="str">
        <f t="shared" si="71"/>
        <v/>
      </c>
      <c r="DS25" s="568" t="str">
        <f t="shared" si="72"/>
        <v/>
      </c>
      <c r="DT25" s="568" t="str">
        <f t="shared" si="73"/>
        <v/>
      </c>
      <c r="DU25" s="568" t="str">
        <f t="shared" si="74"/>
        <v/>
      </c>
      <c r="DV25" s="568" t="str">
        <f t="shared" si="75"/>
        <v/>
      </c>
      <c r="DW25" s="568" t="str">
        <f t="shared" si="76"/>
        <v/>
      </c>
      <c r="DX25" s="568" t="str">
        <f t="shared" si="77"/>
        <v/>
      </c>
      <c r="DY25" s="568" t="str">
        <f t="shared" si="78"/>
        <v/>
      </c>
      <c r="DZ25" s="568" t="str">
        <f t="shared" si="79"/>
        <v/>
      </c>
      <c r="EA25" s="568" t="str">
        <f t="shared" si="80"/>
        <v/>
      </c>
      <c r="EB25" s="568" t="str">
        <f t="shared" si="81"/>
        <v/>
      </c>
      <c r="EC25" s="568" t="str">
        <f t="shared" si="82"/>
        <v/>
      </c>
      <c r="ED25" s="568" t="str">
        <f t="shared" si="83"/>
        <v/>
      </c>
      <c r="EE25" s="568" t="str">
        <f t="shared" si="84"/>
        <v/>
      </c>
      <c r="EF25" s="568" t="str">
        <f t="shared" si="85"/>
        <v/>
      </c>
      <c r="EG25" s="568" t="str">
        <f t="shared" si="86"/>
        <v/>
      </c>
      <c r="EH25" s="568" t="str">
        <f t="shared" si="87"/>
        <v/>
      </c>
      <c r="EI25" s="568" t="str">
        <f t="shared" si="88"/>
        <v/>
      </c>
      <c r="EJ25" s="568" t="str">
        <f t="shared" si="89"/>
        <v/>
      </c>
      <c r="EK25" s="568" t="str">
        <f t="shared" si="90"/>
        <v/>
      </c>
      <c r="EL25" s="568" t="str">
        <f t="shared" si="91"/>
        <v/>
      </c>
      <c r="EM25" s="568" t="str">
        <f t="shared" si="92"/>
        <v/>
      </c>
      <c r="EN25" s="568" t="str">
        <f t="shared" si="93"/>
        <v/>
      </c>
      <c r="EO25" s="568" t="str">
        <f t="shared" si="94"/>
        <v/>
      </c>
      <c r="EP25" s="568" t="str">
        <f t="shared" si="95"/>
        <v/>
      </c>
      <c r="EQ25" s="568" t="str">
        <f t="shared" si="96"/>
        <v/>
      </c>
      <c r="ER25" s="568" t="str">
        <f t="shared" si="97"/>
        <v/>
      </c>
      <c r="ES25" s="568" t="str">
        <f t="shared" si="98"/>
        <v/>
      </c>
      <c r="ET25" s="568" t="str">
        <f t="shared" si="99"/>
        <v/>
      </c>
      <c r="EU25" s="568" t="str">
        <f t="shared" si="100"/>
        <v/>
      </c>
      <c r="EV25" s="578" t="str">
        <f t="shared" si="101"/>
        <v/>
      </c>
      <c r="EW25" s="578" t="str">
        <f t="shared" si="102"/>
        <v/>
      </c>
      <c r="EX25" s="578" t="str">
        <f t="shared" si="103"/>
        <v/>
      </c>
      <c r="EY25" s="578" t="str">
        <f t="shared" si="104"/>
        <v/>
      </c>
      <c r="EZ25" s="578" t="str">
        <f t="shared" si="105"/>
        <v/>
      </c>
      <c r="FA25" s="578" t="str">
        <f t="shared" si="106"/>
        <v/>
      </c>
      <c r="FB25" s="578" t="str">
        <f t="shared" si="107"/>
        <v/>
      </c>
      <c r="FC25" s="578" t="str">
        <f t="shared" si="108"/>
        <v/>
      </c>
      <c r="FD25" s="578" t="str">
        <f t="shared" si="109"/>
        <v/>
      </c>
      <c r="FE25" s="578" t="str">
        <f t="shared" si="110"/>
        <v/>
      </c>
      <c r="FF25" s="578" t="str">
        <f t="shared" si="111"/>
        <v/>
      </c>
      <c r="FG25" s="578" t="str">
        <f t="shared" si="112"/>
        <v/>
      </c>
      <c r="FH25" s="578" t="str">
        <f t="shared" si="113"/>
        <v/>
      </c>
      <c r="FI25" s="578" t="str">
        <f t="shared" si="114"/>
        <v/>
      </c>
      <c r="FJ25" s="578" t="str">
        <f t="shared" si="115"/>
        <v/>
      </c>
      <c r="FK25" s="578" t="str">
        <f t="shared" si="116"/>
        <v/>
      </c>
      <c r="FL25" s="578" t="str">
        <f t="shared" si="117"/>
        <v/>
      </c>
      <c r="FM25" s="578" t="str">
        <f t="shared" si="118"/>
        <v/>
      </c>
      <c r="FN25" s="578" t="str">
        <f t="shared" si="119"/>
        <v/>
      </c>
      <c r="FO25" s="578" t="str">
        <f t="shared" si="120"/>
        <v/>
      </c>
      <c r="FP25" s="578" t="str">
        <f t="shared" si="121"/>
        <v/>
      </c>
      <c r="FQ25" s="578" t="str">
        <f t="shared" si="122"/>
        <v/>
      </c>
      <c r="FR25" s="578" t="str">
        <f t="shared" si="123"/>
        <v/>
      </c>
      <c r="FS25" s="578" t="str">
        <f t="shared" si="124"/>
        <v/>
      </c>
      <c r="FT25" s="578" t="str">
        <f t="shared" si="125"/>
        <v/>
      </c>
      <c r="FU25" s="578" t="str">
        <f t="shared" si="126"/>
        <v/>
      </c>
      <c r="FV25" s="578" t="str">
        <f t="shared" si="127"/>
        <v/>
      </c>
      <c r="FW25" s="578" t="str">
        <f t="shared" si="128"/>
        <v/>
      </c>
      <c r="FX25" s="578" t="str">
        <f t="shared" si="129"/>
        <v/>
      </c>
      <c r="FY25" s="578" t="str">
        <f t="shared" si="130"/>
        <v/>
      </c>
      <c r="FZ25" s="578" t="str">
        <f t="shared" si="131"/>
        <v/>
      </c>
      <c r="GA25" s="578" t="str">
        <f t="shared" si="132"/>
        <v/>
      </c>
      <c r="GB25" s="578" t="str">
        <f t="shared" si="133"/>
        <v/>
      </c>
      <c r="GC25" s="578" t="str">
        <f t="shared" si="134"/>
        <v/>
      </c>
      <c r="GD25" s="578" t="str">
        <f t="shared" si="135"/>
        <v/>
      </c>
      <c r="GE25" s="578" t="str">
        <f t="shared" si="136"/>
        <v/>
      </c>
      <c r="GF25" s="578" t="str">
        <f t="shared" si="137"/>
        <v/>
      </c>
      <c r="GG25" s="578" t="str">
        <f t="shared" si="138"/>
        <v/>
      </c>
      <c r="GH25" s="578" t="str">
        <f t="shared" si="139"/>
        <v/>
      </c>
      <c r="GI25" s="578" t="str">
        <f t="shared" si="140"/>
        <v/>
      </c>
      <c r="GJ25" s="578" t="str">
        <f t="shared" si="141"/>
        <v/>
      </c>
      <c r="GK25" s="578" t="str">
        <f t="shared" si="142"/>
        <v/>
      </c>
      <c r="GL25" s="578" t="str">
        <f t="shared" si="143"/>
        <v/>
      </c>
      <c r="GM25" s="578" t="str">
        <f t="shared" si="144"/>
        <v/>
      </c>
      <c r="GN25" s="578" t="str">
        <f t="shared" si="145"/>
        <v/>
      </c>
      <c r="GO25" s="579" t="str">
        <f t="shared" si="146"/>
        <v/>
      </c>
      <c r="GP25" s="579" t="str">
        <f t="shared" si="147"/>
        <v/>
      </c>
      <c r="GQ25" s="579" t="str">
        <f t="shared" si="148"/>
        <v/>
      </c>
      <c r="GR25" s="579" t="str">
        <f t="shared" si="149"/>
        <v/>
      </c>
      <c r="GS25" s="579" t="str">
        <f t="shared" si="150"/>
        <v/>
      </c>
      <c r="GT25" s="568" t="str">
        <f t="shared" si="151"/>
        <v/>
      </c>
      <c r="GU25" s="568" t="str">
        <f t="shared" si="152"/>
        <v/>
      </c>
      <c r="GV25" s="568" t="str">
        <f t="shared" si="153"/>
        <v/>
      </c>
      <c r="GW25" s="568" t="str">
        <f t="shared" si="154"/>
        <v/>
      </c>
      <c r="GX25" s="568" t="str">
        <f t="shared" si="155"/>
        <v/>
      </c>
      <c r="GY25" s="568" t="str">
        <f t="shared" si="156"/>
        <v/>
      </c>
      <c r="GZ25" s="568" t="str">
        <f t="shared" si="157"/>
        <v/>
      </c>
      <c r="HA25" s="568" t="str">
        <f t="shared" si="158"/>
        <v/>
      </c>
      <c r="HB25" s="568" t="str">
        <f t="shared" si="159"/>
        <v/>
      </c>
      <c r="HC25" s="568" t="str">
        <f t="shared" si="160"/>
        <v/>
      </c>
      <c r="HD25" s="568" t="str">
        <f t="shared" si="161"/>
        <v/>
      </c>
      <c r="HE25" s="568" t="str">
        <f t="shared" si="162"/>
        <v/>
      </c>
      <c r="HF25" s="568" t="str">
        <f t="shared" si="163"/>
        <v/>
      </c>
      <c r="HG25" s="568" t="str">
        <f t="shared" si="164"/>
        <v/>
      </c>
      <c r="HH25" s="568" t="str">
        <f t="shared" si="165"/>
        <v/>
      </c>
      <c r="HI25" s="568" t="str">
        <f t="shared" si="166"/>
        <v/>
      </c>
      <c r="HJ25" s="568" t="str">
        <f t="shared" si="167"/>
        <v/>
      </c>
      <c r="HK25" s="568" t="str">
        <f t="shared" si="168"/>
        <v/>
      </c>
      <c r="HL25" s="568" t="str">
        <f t="shared" si="169"/>
        <v/>
      </c>
      <c r="HM25" s="568" t="str">
        <f t="shared" si="170"/>
        <v/>
      </c>
    </row>
    <row r="26" spans="1:221" ht="13.15" customHeight="1">
      <c r="A26" s="126" t="str">
        <f t="shared" si="171"/>
        <v/>
      </c>
      <c r="B26" s="1748" t="s">
        <v>1895</v>
      </c>
      <c r="C26" s="1749"/>
      <c r="D26" s="1750"/>
      <c r="E26" s="1751"/>
      <c r="F26" s="1751"/>
      <c r="G26" s="1751"/>
      <c r="H26" s="1751"/>
      <c r="I26" s="1751"/>
      <c r="J26" s="1752"/>
      <c r="K26" s="199">
        <f t="shared" si="172"/>
        <v>0</v>
      </c>
      <c r="L26" s="199">
        <f t="shared" si="0"/>
        <v>0</v>
      </c>
      <c r="M26" s="1753"/>
      <c r="N26" s="1753"/>
      <c r="O26" s="1753"/>
      <c r="P26" s="519" t="str">
        <f t="shared" si="203"/>
        <v/>
      </c>
      <c r="Q26" s="520" t="str">
        <f>IF(H26="","",P26/($P$6*VLOOKUP(C26,'DCA Underwriting Assumptions'!$J$82:$K$87,2,FALSE)))</f>
        <v/>
      </c>
      <c r="R26" s="605"/>
      <c r="S26" s="520"/>
      <c r="T26" s="1754"/>
      <c r="U26" s="1755"/>
      <c r="V26" s="568" t="str">
        <f t="shared" si="1"/>
        <v/>
      </c>
      <c r="W26" s="568" t="str">
        <f t="shared" si="2"/>
        <v/>
      </c>
      <c r="X26" s="568" t="str">
        <f t="shared" si="3"/>
        <v/>
      </c>
      <c r="Y26" s="568" t="str">
        <f t="shared" si="4"/>
        <v/>
      </c>
      <c r="Z26" s="568" t="str">
        <f t="shared" si="5"/>
        <v/>
      </c>
      <c r="AA26" s="568" t="str">
        <f t="shared" si="6"/>
        <v/>
      </c>
      <c r="AB26" s="568" t="str">
        <f t="shared" si="7"/>
        <v/>
      </c>
      <c r="AC26" s="568" t="str">
        <f t="shared" si="8"/>
        <v/>
      </c>
      <c r="AD26" s="568" t="str">
        <f t="shared" si="9"/>
        <v/>
      </c>
      <c r="AE26" s="568" t="str">
        <f t="shared" si="10"/>
        <v/>
      </c>
      <c r="AF26" s="568" t="str">
        <f t="shared" si="11"/>
        <v/>
      </c>
      <c r="AG26" s="568" t="str">
        <f t="shared" si="12"/>
        <v/>
      </c>
      <c r="AH26" s="568" t="str">
        <f t="shared" si="13"/>
        <v/>
      </c>
      <c r="AI26" s="568" t="str">
        <f t="shared" si="14"/>
        <v/>
      </c>
      <c r="AJ26" s="568" t="str">
        <f t="shared" si="15"/>
        <v/>
      </c>
      <c r="AK26" s="568" t="str">
        <f t="shared" si="16"/>
        <v/>
      </c>
      <c r="AL26" s="568" t="str">
        <f t="shared" si="17"/>
        <v/>
      </c>
      <c r="AM26" s="568" t="str">
        <f t="shared" si="18"/>
        <v/>
      </c>
      <c r="AN26" s="568" t="str">
        <f t="shared" si="19"/>
        <v/>
      </c>
      <c r="AO26" s="568" t="str">
        <f t="shared" si="20"/>
        <v/>
      </c>
      <c r="AP26" s="568" t="str">
        <f t="shared" si="173"/>
        <v/>
      </c>
      <c r="AQ26" s="568" t="str">
        <f t="shared" si="174"/>
        <v/>
      </c>
      <c r="AR26" s="568" t="str">
        <f t="shared" si="175"/>
        <v/>
      </c>
      <c r="AS26" s="568" t="str">
        <f t="shared" si="176"/>
        <v/>
      </c>
      <c r="AT26" s="568" t="str">
        <f t="shared" si="177"/>
        <v/>
      </c>
      <c r="AU26" s="568" t="str">
        <f t="shared" si="178"/>
        <v/>
      </c>
      <c r="AV26" s="568" t="str">
        <f t="shared" si="179"/>
        <v/>
      </c>
      <c r="AW26" s="568" t="str">
        <f t="shared" si="180"/>
        <v/>
      </c>
      <c r="AX26" s="568" t="str">
        <f t="shared" si="181"/>
        <v/>
      </c>
      <c r="AY26" s="568" t="str">
        <f t="shared" si="182"/>
        <v/>
      </c>
      <c r="AZ26" s="568" t="str">
        <f t="shared" si="183"/>
        <v/>
      </c>
      <c r="BA26" s="568" t="str">
        <f t="shared" si="184"/>
        <v/>
      </c>
      <c r="BB26" s="568" t="str">
        <f t="shared" si="185"/>
        <v/>
      </c>
      <c r="BC26" s="568" t="str">
        <f t="shared" si="186"/>
        <v/>
      </c>
      <c r="BD26" s="568" t="str">
        <f t="shared" si="187"/>
        <v/>
      </c>
      <c r="BE26" s="568" t="str">
        <f t="shared" si="188"/>
        <v/>
      </c>
      <c r="BF26" s="568" t="str">
        <f t="shared" si="189"/>
        <v/>
      </c>
      <c r="BG26" s="568" t="str">
        <f t="shared" si="190"/>
        <v/>
      </c>
      <c r="BH26" s="568" t="str">
        <f t="shared" si="191"/>
        <v/>
      </c>
      <c r="BI26" s="568" t="str">
        <f t="shared" si="192"/>
        <v/>
      </c>
      <c r="BJ26" s="568" t="str">
        <f t="shared" si="193"/>
        <v/>
      </c>
      <c r="BK26" s="568" t="str">
        <f t="shared" si="194"/>
        <v/>
      </c>
      <c r="BL26" s="568" t="str">
        <f t="shared" si="195"/>
        <v/>
      </c>
      <c r="BM26" s="568" t="str">
        <f t="shared" si="196"/>
        <v/>
      </c>
      <c r="BN26" s="568" t="str">
        <f t="shared" si="197"/>
        <v/>
      </c>
      <c r="BO26" s="568" t="str">
        <f t="shared" si="198"/>
        <v/>
      </c>
      <c r="BP26" s="568" t="str">
        <f t="shared" si="199"/>
        <v/>
      </c>
      <c r="BQ26" s="568" t="str">
        <f t="shared" si="200"/>
        <v/>
      </c>
      <c r="BR26" s="568" t="str">
        <f t="shared" si="201"/>
        <v/>
      </c>
      <c r="BS26" s="568" t="str">
        <f t="shared" si="202"/>
        <v/>
      </c>
      <c r="BT26" s="568" t="str">
        <f t="shared" si="21"/>
        <v/>
      </c>
      <c r="BU26" s="568" t="str">
        <f t="shared" si="22"/>
        <v/>
      </c>
      <c r="BV26" s="568" t="str">
        <f t="shared" si="23"/>
        <v/>
      </c>
      <c r="BW26" s="568" t="str">
        <f t="shared" si="24"/>
        <v/>
      </c>
      <c r="BX26" s="568" t="str">
        <f t="shared" si="25"/>
        <v/>
      </c>
      <c r="BY26" s="568" t="str">
        <f t="shared" si="26"/>
        <v/>
      </c>
      <c r="BZ26" s="568" t="str">
        <f t="shared" si="27"/>
        <v/>
      </c>
      <c r="CA26" s="568" t="str">
        <f t="shared" si="28"/>
        <v/>
      </c>
      <c r="CB26" s="568" t="str">
        <f t="shared" si="29"/>
        <v/>
      </c>
      <c r="CC26" s="568" t="str">
        <f t="shared" si="30"/>
        <v/>
      </c>
      <c r="CD26" s="568" t="str">
        <f t="shared" si="31"/>
        <v/>
      </c>
      <c r="CE26" s="568" t="str">
        <f t="shared" si="32"/>
        <v/>
      </c>
      <c r="CF26" s="568" t="str">
        <f t="shared" si="33"/>
        <v/>
      </c>
      <c r="CG26" s="568" t="str">
        <f t="shared" si="34"/>
        <v/>
      </c>
      <c r="CH26" s="568" t="str">
        <f t="shared" si="35"/>
        <v/>
      </c>
      <c r="CI26" s="568" t="str">
        <f t="shared" si="36"/>
        <v/>
      </c>
      <c r="CJ26" s="568" t="str">
        <f t="shared" si="37"/>
        <v/>
      </c>
      <c r="CK26" s="568" t="str">
        <f t="shared" si="38"/>
        <v/>
      </c>
      <c r="CL26" s="568" t="str">
        <f t="shared" si="39"/>
        <v/>
      </c>
      <c r="CM26" s="568" t="str">
        <f t="shared" si="40"/>
        <v/>
      </c>
      <c r="CN26" s="568" t="str">
        <f t="shared" si="41"/>
        <v/>
      </c>
      <c r="CO26" s="568" t="str">
        <f t="shared" si="42"/>
        <v/>
      </c>
      <c r="CP26" s="568" t="str">
        <f t="shared" si="43"/>
        <v/>
      </c>
      <c r="CQ26" s="568" t="str">
        <f t="shared" si="44"/>
        <v/>
      </c>
      <c r="CR26" s="568" t="str">
        <f t="shared" si="45"/>
        <v/>
      </c>
      <c r="CS26" s="568" t="str">
        <f t="shared" si="46"/>
        <v/>
      </c>
      <c r="CT26" s="568" t="str">
        <f t="shared" si="47"/>
        <v/>
      </c>
      <c r="CU26" s="568" t="str">
        <f t="shared" si="48"/>
        <v/>
      </c>
      <c r="CV26" s="568" t="str">
        <f t="shared" si="49"/>
        <v/>
      </c>
      <c r="CW26" s="568" t="str">
        <f t="shared" si="50"/>
        <v/>
      </c>
      <c r="CX26" s="568" t="str">
        <f t="shared" si="51"/>
        <v/>
      </c>
      <c r="CY26" s="568" t="str">
        <f t="shared" si="52"/>
        <v/>
      </c>
      <c r="CZ26" s="568" t="str">
        <f t="shared" si="53"/>
        <v/>
      </c>
      <c r="DA26" s="568" t="str">
        <f t="shared" si="54"/>
        <v/>
      </c>
      <c r="DB26" s="568" t="str">
        <f t="shared" si="55"/>
        <v/>
      </c>
      <c r="DC26" s="568" t="str">
        <f t="shared" si="56"/>
        <v/>
      </c>
      <c r="DD26" s="568" t="str">
        <f t="shared" si="57"/>
        <v/>
      </c>
      <c r="DE26" s="568" t="str">
        <f t="shared" si="58"/>
        <v/>
      </c>
      <c r="DF26" s="568" t="str">
        <f t="shared" si="59"/>
        <v/>
      </c>
      <c r="DG26" s="568" t="str">
        <f t="shared" si="60"/>
        <v/>
      </c>
      <c r="DH26" s="568" t="str">
        <f t="shared" si="61"/>
        <v/>
      </c>
      <c r="DI26" s="568" t="str">
        <f t="shared" si="62"/>
        <v/>
      </c>
      <c r="DJ26" s="568" t="str">
        <f t="shared" si="63"/>
        <v/>
      </c>
      <c r="DK26" s="568" t="str">
        <f t="shared" si="64"/>
        <v/>
      </c>
      <c r="DL26" s="568" t="str">
        <f t="shared" si="65"/>
        <v/>
      </c>
      <c r="DM26" s="568" t="str">
        <f t="shared" si="66"/>
        <v/>
      </c>
      <c r="DN26" s="568" t="str">
        <f t="shared" si="67"/>
        <v/>
      </c>
      <c r="DO26" s="568" t="str">
        <f t="shared" si="68"/>
        <v/>
      </c>
      <c r="DP26" s="568" t="str">
        <f t="shared" si="69"/>
        <v/>
      </c>
      <c r="DQ26" s="568" t="str">
        <f t="shared" si="70"/>
        <v/>
      </c>
      <c r="DR26" s="568" t="str">
        <f t="shared" si="71"/>
        <v/>
      </c>
      <c r="DS26" s="568" t="str">
        <f t="shared" si="72"/>
        <v/>
      </c>
      <c r="DT26" s="568" t="str">
        <f t="shared" si="73"/>
        <v/>
      </c>
      <c r="DU26" s="568" t="str">
        <f t="shared" si="74"/>
        <v/>
      </c>
      <c r="DV26" s="568" t="str">
        <f t="shared" si="75"/>
        <v/>
      </c>
      <c r="DW26" s="568" t="str">
        <f t="shared" si="76"/>
        <v/>
      </c>
      <c r="DX26" s="568" t="str">
        <f t="shared" si="77"/>
        <v/>
      </c>
      <c r="DY26" s="568" t="str">
        <f t="shared" si="78"/>
        <v/>
      </c>
      <c r="DZ26" s="568" t="str">
        <f t="shared" si="79"/>
        <v/>
      </c>
      <c r="EA26" s="568" t="str">
        <f t="shared" si="80"/>
        <v/>
      </c>
      <c r="EB26" s="568" t="str">
        <f t="shared" si="81"/>
        <v/>
      </c>
      <c r="EC26" s="568" t="str">
        <f t="shared" si="82"/>
        <v/>
      </c>
      <c r="ED26" s="568" t="str">
        <f t="shared" si="83"/>
        <v/>
      </c>
      <c r="EE26" s="568" t="str">
        <f t="shared" si="84"/>
        <v/>
      </c>
      <c r="EF26" s="568" t="str">
        <f t="shared" si="85"/>
        <v/>
      </c>
      <c r="EG26" s="568" t="str">
        <f t="shared" si="86"/>
        <v/>
      </c>
      <c r="EH26" s="568" t="str">
        <f t="shared" si="87"/>
        <v/>
      </c>
      <c r="EI26" s="568" t="str">
        <f t="shared" si="88"/>
        <v/>
      </c>
      <c r="EJ26" s="568" t="str">
        <f t="shared" si="89"/>
        <v/>
      </c>
      <c r="EK26" s="568" t="str">
        <f t="shared" si="90"/>
        <v/>
      </c>
      <c r="EL26" s="568" t="str">
        <f t="shared" si="91"/>
        <v/>
      </c>
      <c r="EM26" s="568" t="str">
        <f t="shared" si="92"/>
        <v/>
      </c>
      <c r="EN26" s="568" t="str">
        <f t="shared" si="93"/>
        <v/>
      </c>
      <c r="EO26" s="568" t="str">
        <f t="shared" si="94"/>
        <v/>
      </c>
      <c r="EP26" s="568" t="str">
        <f t="shared" si="95"/>
        <v/>
      </c>
      <c r="EQ26" s="568" t="str">
        <f t="shared" si="96"/>
        <v/>
      </c>
      <c r="ER26" s="568" t="str">
        <f t="shared" si="97"/>
        <v/>
      </c>
      <c r="ES26" s="568" t="str">
        <f t="shared" si="98"/>
        <v/>
      </c>
      <c r="ET26" s="568" t="str">
        <f t="shared" si="99"/>
        <v/>
      </c>
      <c r="EU26" s="568" t="str">
        <f t="shared" si="100"/>
        <v/>
      </c>
      <c r="EV26" s="578" t="str">
        <f t="shared" si="101"/>
        <v/>
      </c>
      <c r="EW26" s="578" t="str">
        <f t="shared" si="102"/>
        <v/>
      </c>
      <c r="EX26" s="578" t="str">
        <f t="shared" si="103"/>
        <v/>
      </c>
      <c r="EY26" s="578" t="str">
        <f t="shared" si="104"/>
        <v/>
      </c>
      <c r="EZ26" s="578" t="str">
        <f t="shared" si="105"/>
        <v/>
      </c>
      <c r="FA26" s="578" t="str">
        <f t="shared" si="106"/>
        <v/>
      </c>
      <c r="FB26" s="578" t="str">
        <f t="shared" si="107"/>
        <v/>
      </c>
      <c r="FC26" s="578" t="str">
        <f t="shared" si="108"/>
        <v/>
      </c>
      <c r="FD26" s="578" t="str">
        <f t="shared" si="109"/>
        <v/>
      </c>
      <c r="FE26" s="578" t="str">
        <f t="shared" si="110"/>
        <v/>
      </c>
      <c r="FF26" s="578" t="str">
        <f t="shared" si="111"/>
        <v/>
      </c>
      <c r="FG26" s="578" t="str">
        <f t="shared" si="112"/>
        <v/>
      </c>
      <c r="FH26" s="578" t="str">
        <f t="shared" si="113"/>
        <v/>
      </c>
      <c r="FI26" s="578" t="str">
        <f t="shared" si="114"/>
        <v/>
      </c>
      <c r="FJ26" s="578" t="str">
        <f t="shared" si="115"/>
        <v/>
      </c>
      <c r="FK26" s="578" t="str">
        <f t="shared" si="116"/>
        <v/>
      </c>
      <c r="FL26" s="578" t="str">
        <f t="shared" si="117"/>
        <v/>
      </c>
      <c r="FM26" s="578" t="str">
        <f t="shared" si="118"/>
        <v/>
      </c>
      <c r="FN26" s="578" t="str">
        <f t="shared" si="119"/>
        <v/>
      </c>
      <c r="FO26" s="578" t="str">
        <f t="shared" si="120"/>
        <v/>
      </c>
      <c r="FP26" s="578" t="str">
        <f t="shared" si="121"/>
        <v/>
      </c>
      <c r="FQ26" s="578" t="str">
        <f t="shared" si="122"/>
        <v/>
      </c>
      <c r="FR26" s="578" t="str">
        <f t="shared" si="123"/>
        <v/>
      </c>
      <c r="FS26" s="578" t="str">
        <f t="shared" si="124"/>
        <v/>
      </c>
      <c r="FT26" s="578" t="str">
        <f t="shared" si="125"/>
        <v/>
      </c>
      <c r="FU26" s="578" t="str">
        <f t="shared" si="126"/>
        <v/>
      </c>
      <c r="FV26" s="578" t="str">
        <f t="shared" si="127"/>
        <v/>
      </c>
      <c r="FW26" s="578" t="str">
        <f t="shared" si="128"/>
        <v/>
      </c>
      <c r="FX26" s="578" t="str">
        <f t="shared" si="129"/>
        <v/>
      </c>
      <c r="FY26" s="578" t="str">
        <f t="shared" si="130"/>
        <v/>
      </c>
      <c r="FZ26" s="578" t="str">
        <f t="shared" si="131"/>
        <v/>
      </c>
      <c r="GA26" s="578" t="str">
        <f t="shared" si="132"/>
        <v/>
      </c>
      <c r="GB26" s="578" t="str">
        <f t="shared" si="133"/>
        <v/>
      </c>
      <c r="GC26" s="578" t="str">
        <f t="shared" si="134"/>
        <v/>
      </c>
      <c r="GD26" s="578" t="str">
        <f t="shared" si="135"/>
        <v/>
      </c>
      <c r="GE26" s="578" t="str">
        <f t="shared" si="136"/>
        <v/>
      </c>
      <c r="GF26" s="578" t="str">
        <f t="shared" si="137"/>
        <v/>
      </c>
      <c r="GG26" s="578" t="str">
        <f t="shared" si="138"/>
        <v/>
      </c>
      <c r="GH26" s="578" t="str">
        <f t="shared" si="139"/>
        <v/>
      </c>
      <c r="GI26" s="578" t="str">
        <f t="shared" si="140"/>
        <v/>
      </c>
      <c r="GJ26" s="578" t="str">
        <f t="shared" si="141"/>
        <v/>
      </c>
      <c r="GK26" s="578" t="str">
        <f t="shared" si="142"/>
        <v/>
      </c>
      <c r="GL26" s="578" t="str">
        <f t="shared" si="143"/>
        <v/>
      </c>
      <c r="GM26" s="578" t="str">
        <f t="shared" si="144"/>
        <v/>
      </c>
      <c r="GN26" s="578" t="str">
        <f t="shared" si="145"/>
        <v/>
      </c>
      <c r="GO26" s="579" t="str">
        <f t="shared" si="146"/>
        <v/>
      </c>
      <c r="GP26" s="579" t="str">
        <f t="shared" si="147"/>
        <v/>
      </c>
      <c r="GQ26" s="579" t="str">
        <f t="shared" si="148"/>
        <v/>
      </c>
      <c r="GR26" s="579" t="str">
        <f t="shared" si="149"/>
        <v/>
      </c>
      <c r="GS26" s="579" t="str">
        <f t="shared" si="150"/>
        <v/>
      </c>
      <c r="GT26" s="568" t="str">
        <f t="shared" si="151"/>
        <v/>
      </c>
      <c r="GU26" s="568" t="str">
        <f t="shared" si="152"/>
        <v/>
      </c>
      <c r="GV26" s="568" t="str">
        <f t="shared" si="153"/>
        <v/>
      </c>
      <c r="GW26" s="568" t="str">
        <f t="shared" si="154"/>
        <v/>
      </c>
      <c r="GX26" s="568" t="str">
        <f t="shared" si="155"/>
        <v/>
      </c>
      <c r="GY26" s="568" t="str">
        <f t="shared" si="156"/>
        <v/>
      </c>
      <c r="GZ26" s="568" t="str">
        <f t="shared" si="157"/>
        <v/>
      </c>
      <c r="HA26" s="568" t="str">
        <f t="shared" si="158"/>
        <v/>
      </c>
      <c r="HB26" s="568" t="str">
        <f t="shared" si="159"/>
        <v/>
      </c>
      <c r="HC26" s="568" t="str">
        <f t="shared" si="160"/>
        <v/>
      </c>
      <c r="HD26" s="568" t="str">
        <f t="shared" si="161"/>
        <v/>
      </c>
      <c r="HE26" s="568" t="str">
        <f t="shared" si="162"/>
        <v/>
      </c>
      <c r="HF26" s="568" t="str">
        <f t="shared" si="163"/>
        <v/>
      </c>
      <c r="HG26" s="568" t="str">
        <f t="shared" si="164"/>
        <v/>
      </c>
      <c r="HH26" s="568" t="str">
        <f t="shared" si="165"/>
        <v/>
      </c>
      <c r="HI26" s="568" t="str">
        <f t="shared" si="166"/>
        <v/>
      </c>
      <c r="HJ26" s="568" t="str">
        <f t="shared" si="167"/>
        <v/>
      </c>
      <c r="HK26" s="568" t="str">
        <f t="shared" si="168"/>
        <v/>
      </c>
      <c r="HL26" s="568" t="str">
        <f t="shared" si="169"/>
        <v/>
      </c>
      <c r="HM26" s="568" t="str">
        <f t="shared" si="170"/>
        <v/>
      </c>
    </row>
    <row r="27" spans="1:221" ht="13.15" customHeight="1">
      <c r="A27" s="126" t="str">
        <f t="shared" si="171"/>
        <v/>
      </c>
      <c r="B27" s="1748" t="s">
        <v>1895</v>
      </c>
      <c r="C27" s="1749"/>
      <c r="D27" s="1750"/>
      <c r="E27" s="1751"/>
      <c r="F27" s="1751"/>
      <c r="G27" s="1751"/>
      <c r="H27" s="1751"/>
      <c r="I27" s="1751"/>
      <c r="J27" s="1752"/>
      <c r="K27" s="199">
        <f t="shared" si="172"/>
        <v>0</v>
      </c>
      <c r="L27" s="199">
        <f t="shared" si="0"/>
        <v>0</v>
      </c>
      <c r="M27" s="1753"/>
      <c r="N27" s="1753"/>
      <c r="O27" s="1753"/>
      <c r="P27" s="519" t="str">
        <f t="shared" si="203"/>
        <v/>
      </c>
      <c r="Q27" s="520" t="str">
        <f>IF(H27="","",P27/($P$6*VLOOKUP(C27,'DCA Underwriting Assumptions'!$J$82:$K$87,2,FALSE)))</f>
        <v/>
      </c>
      <c r="R27" s="605"/>
      <c r="S27" s="520"/>
      <c r="T27" s="1754"/>
      <c r="U27" s="1755"/>
      <c r="V27" s="568" t="str">
        <f t="shared" si="1"/>
        <v/>
      </c>
      <c r="W27" s="568" t="str">
        <f t="shared" si="2"/>
        <v/>
      </c>
      <c r="X27" s="568" t="str">
        <f t="shared" si="3"/>
        <v/>
      </c>
      <c r="Y27" s="568" t="str">
        <f t="shared" si="4"/>
        <v/>
      </c>
      <c r="Z27" s="568" t="str">
        <f t="shared" si="5"/>
        <v/>
      </c>
      <c r="AA27" s="568" t="str">
        <f t="shared" si="6"/>
        <v/>
      </c>
      <c r="AB27" s="568" t="str">
        <f t="shared" si="7"/>
        <v/>
      </c>
      <c r="AC27" s="568" t="str">
        <f t="shared" si="8"/>
        <v/>
      </c>
      <c r="AD27" s="568" t="str">
        <f t="shared" si="9"/>
        <v/>
      </c>
      <c r="AE27" s="568" t="str">
        <f t="shared" si="10"/>
        <v/>
      </c>
      <c r="AF27" s="568" t="str">
        <f t="shared" si="11"/>
        <v/>
      </c>
      <c r="AG27" s="568" t="str">
        <f t="shared" si="12"/>
        <v/>
      </c>
      <c r="AH27" s="568" t="str">
        <f t="shared" si="13"/>
        <v/>
      </c>
      <c r="AI27" s="568" t="str">
        <f t="shared" si="14"/>
        <v/>
      </c>
      <c r="AJ27" s="568" t="str">
        <f t="shared" si="15"/>
        <v/>
      </c>
      <c r="AK27" s="568" t="str">
        <f t="shared" si="16"/>
        <v/>
      </c>
      <c r="AL27" s="568" t="str">
        <f t="shared" si="17"/>
        <v/>
      </c>
      <c r="AM27" s="568" t="str">
        <f t="shared" si="18"/>
        <v/>
      </c>
      <c r="AN27" s="568" t="str">
        <f t="shared" si="19"/>
        <v/>
      </c>
      <c r="AO27" s="568" t="str">
        <f t="shared" si="20"/>
        <v/>
      </c>
      <c r="AP27" s="568" t="str">
        <f t="shared" si="173"/>
        <v/>
      </c>
      <c r="AQ27" s="568" t="str">
        <f t="shared" si="174"/>
        <v/>
      </c>
      <c r="AR27" s="568" t="str">
        <f t="shared" si="175"/>
        <v/>
      </c>
      <c r="AS27" s="568" t="str">
        <f t="shared" si="176"/>
        <v/>
      </c>
      <c r="AT27" s="568" t="str">
        <f t="shared" si="177"/>
        <v/>
      </c>
      <c r="AU27" s="568" t="str">
        <f t="shared" si="178"/>
        <v/>
      </c>
      <c r="AV27" s="568" t="str">
        <f t="shared" si="179"/>
        <v/>
      </c>
      <c r="AW27" s="568" t="str">
        <f t="shared" si="180"/>
        <v/>
      </c>
      <c r="AX27" s="568" t="str">
        <f t="shared" si="181"/>
        <v/>
      </c>
      <c r="AY27" s="568" t="str">
        <f t="shared" si="182"/>
        <v/>
      </c>
      <c r="AZ27" s="568" t="str">
        <f t="shared" si="183"/>
        <v/>
      </c>
      <c r="BA27" s="568" t="str">
        <f t="shared" si="184"/>
        <v/>
      </c>
      <c r="BB27" s="568" t="str">
        <f t="shared" si="185"/>
        <v/>
      </c>
      <c r="BC27" s="568" t="str">
        <f t="shared" si="186"/>
        <v/>
      </c>
      <c r="BD27" s="568" t="str">
        <f t="shared" si="187"/>
        <v/>
      </c>
      <c r="BE27" s="568" t="str">
        <f t="shared" si="188"/>
        <v/>
      </c>
      <c r="BF27" s="568" t="str">
        <f t="shared" si="189"/>
        <v/>
      </c>
      <c r="BG27" s="568" t="str">
        <f t="shared" si="190"/>
        <v/>
      </c>
      <c r="BH27" s="568" t="str">
        <f t="shared" si="191"/>
        <v/>
      </c>
      <c r="BI27" s="568" t="str">
        <f t="shared" si="192"/>
        <v/>
      </c>
      <c r="BJ27" s="568" t="str">
        <f t="shared" si="193"/>
        <v/>
      </c>
      <c r="BK27" s="568" t="str">
        <f t="shared" si="194"/>
        <v/>
      </c>
      <c r="BL27" s="568" t="str">
        <f t="shared" si="195"/>
        <v/>
      </c>
      <c r="BM27" s="568" t="str">
        <f t="shared" si="196"/>
        <v/>
      </c>
      <c r="BN27" s="568" t="str">
        <f t="shared" si="197"/>
        <v/>
      </c>
      <c r="BO27" s="568" t="str">
        <f t="shared" si="198"/>
        <v/>
      </c>
      <c r="BP27" s="568" t="str">
        <f t="shared" si="199"/>
        <v/>
      </c>
      <c r="BQ27" s="568" t="str">
        <f t="shared" si="200"/>
        <v/>
      </c>
      <c r="BR27" s="568" t="str">
        <f t="shared" si="201"/>
        <v/>
      </c>
      <c r="BS27" s="568" t="str">
        <f t="shared" si="202"/>
        <v/>
      </c>
      <c r="BT27" s="568" t="str">
        <f t="shared" si="21"/>
        <v/>
      </c>
      <c r="BU27" s="568" t="str">
        <f t="shared" si="22"/>
        <v/>
      </c>
      <c r="BV27" s="568" t="str">
        <f t="shared" si="23"/>
        <v/>
      </c>
      <c r="BW27" s="568" t="str">
        <f t="shared" si="24"/>
        <v/>
      </c>
      <c r="BX27" s="568" t="str">
        <f t="shared" si="25"/>
        <v/>
      </c>
      <c r="BY27" s="568" t="str">
        <f t="shared" si="26"/>
        <v/>
      </c>
      <c r="BZ27" s="568" t="str">
        <f t="shared" si="27"/>
        <v/>
      </c>
      <c r="CA27" s="568" t="str">
        <f t="shared" si="28"/>
        <v/>
      </c>
      <c r="CB27" s="568" t="str">
        <f t="shared" si="29"/>
        <v/>
      </c>
      <c r="CC27" s="568" t="str">
        <f t="shared" si="30"/>
        <v/>
      </c>
      <c r="CD27" s="568" t="str">
        <f t="shared" si="31"/>
        <v/>
      </c>
      <c r="CE27" s="568" t="str">
        <f t="shared" si="32"/>
        <v/>
      </c>
      <c r="CF27" s="568" t="str">
        <f t="shared" si="33"/>
        <v/>
      </c>
      <c r="CG27" s="568" t="str">
        <f t="shared" si="34"/>
        <v/>
      </c>
      <c r="CH27" s="568" t="str">
        <f t="shared" si="35"/>
        <v/>
      </c>
      <c r="CI27" s="568" t="str">
        <f t="shared" si="36"/>
        <v/>
      </c>
      <c r="CJ27" s="568" t="str">
        <f t="shared" si="37"/>
        <v/>
      </c>
      <c r="CK27" s="568" t="str">
        <f t="shared" si="38"/>
        <v/>
      </c>
      <c r="CL27" s="568" t="str">
        <f t="shared" si="39"/>
        <v/>
      </c>
      <c r="CM27" s="568" t="str">
        <f t="shared" si="40"/>
        <v/>
      </c>
      <c r="CN27" s="568" t="str">
        <f t="shared" si="41"/>
        <v/>
      </c>
      <c r="CO27" s="568" t="str">
        <f t="shared" si="42"/>
        <v/>
      </c>
      <c r="CP27" s="568" t="str">
        <f t="shared" si="43"/>
        <v/>
      </c>
      <c r="CQ27" s="568" t="str">
        <f t="shared" si="44"/>
        <v/>
      </c>
      <c r="CR27" s="568" t="str">
        <f t="shared" si="45"/>
        <v/>
      </c>
      <c r="CS27" s="568" t="str">
        <f t="shared" si="46"/>
        <v/>
      </c>
      <c r="CT27" s="568" t="str">
        <f t="shared" si="47"/>
        <v/>
      </c>
      <c r="CU27" s="568" t="str">
        <f t="shared" si="48"/>
        <v/>
      </c>
      <c r="CV27" s="568" t="str">
        <f t="shared" si="49"/>
        <v/>
      </c>
      <c r="CW27" s="568" t="str">
        <f t="shared" si="50"/>
        <v/>
      </c>
      <c r="CX27" s="568" t="str">
        <f t="shared" si="51"/>
        <v/>
      </c>
      <c r="CY27" s="568" t="str">
        <f t="shared" si="52"/>
        <v/>
      </c>
      <c r="CZ27" s="568" t="str">
        <f t="shared" si="53"/>
        <v/>
      </c>
      <c r="DA27" s="568" t="str">
        <f t="shared" si="54"/>
        <v/>
      </c>
      <c r="DB27" s="568" t="str">
        <f t="shared" si="55"/>
        <v/>
      </c>
      <c r="DC27" s="568" t="str">
        <f t="shared" si="56"/>
        <v/>
      </c>
      <c r="DD27" s="568" t="str">
        <f t="shared" si="57"/>
        <v/>
      </c>
      <c r="DE27" s="568" t="str">
        <f t="shared" si="58"/>
        <v/>
      </c>
      <c r="DF27" s="568" t="str">
        <f t="shared" si="59"/>
        <v/>
      </c>
      <c r="DG27" s="568" t="str">
        <f t="shared" si="60"/>
        <v/>
      </c>
      <c r="DH27" s="568" t="str">
        <f t="shared" si="61"/>
        <v/>
      </c>
      <c r="DI27" s="568" t="str">
        <f t="shared" si="62"/>
        <v/>
      </c>
      <c r="DJ27" s="568" t="str">
        <f t="shared" si="63"/>
        <v/>
      </c>
      <c r="DK27" s="568" t="str">
        <f t="shared" si="64"/>
        <v/>
      </c>
      <c r="DL27" s="568" t="str">
        <f t="shared" si="65"/>
        <v/>
      </c>
      <c r="DM27" s="568" t="str">
        <f t="shared" si="66"/>
        <v/>
      </c>
      <c r="DN27" s="568" t="str">
        <f t="shared" si="67"/>
        <v/>
      </c>
      <c r="DO27" s="568" t="str">
        <f t="shared" si="68"/>
        <v/>
      </c>
      <c r="DP27" s="568" t="str">
        <f t="shared" si="69"/>
        <v/>
      </c>
      <c r="DQ27" s="568" t="str">
        <f t="shared" si="70"/>
        <v/>
      </c>
      <c r="DR27" s="568" t="str">
        <f t="shared" si="71"/>
        <v/>
      </c>
      <c r="DS27" s="568" t="str">
        <f t="shared" si="72"/>
        <v/>
      </c>
      <c r="DT27" s="568" t="str">
        <f t="shared" si="73"/>
        <v/>
      </c>
      <c r="DU27" s="568" t="str">
        <f t="shared" si="74"/>
        <v/>
      </c>
      <c r="DV27" s="568" t="str">
        <f t="shared" si="75"/>
        <v/>
      </c>
      <c r="DW27" s="568" t="str">
        <f t="shared" si="76"/>
        <v/>
      </c>
      <c r="DX27" s="568" t="str">
        <f t="shared" si="77"/>
        <v/>
      </c>
      <c r="DY27" s="568" t="str">
        <f t="shared" si="78"/>
        <v/>
      </c>
      <c r="DZ27" s="568" t="str">
        <f t="shared" si="79"/>
        <v/>
      </c>
      <c r="EA27" s="568" t="str">
        <f t="shared" si="80"/>
        <v/>
      </c>
      <c r="EB27" s="568" t="str">
        <f t="shared" si="81"/>
        <v/>
      </c>
      <c r="EC27" s="568" t="str">
        <f t="shared" si="82"/>
        <v/>
      </c>
      <c r="ED27" s="568" t="str">
        <f t="shared" si="83"/>
        <v/>
      </c>
      <c r="EE27" s="568" t="str">
        <f t="shared" si="84"/>
        <v/>
      </c>
      <c r="EF27" s="568" t="str">
        <f t="shared" si="85"/>
        <v/>
      </c>
      <c r="EG27" s="568" t="str">
        <f t="shared" si="86"/>
        <v/>
      </c>
      <c r="EH27" s="568" t="str">
        <f t="shared" si="87"/>
        <v/>
      </c>
      <c r="EI27" s="568" t="str">
        <f t="shared" si="88"/>
        <v/>
      </c>
      <c r="EJ27" s="568" t="str">
        <f t="shared" si="89"/>
        <v/>
      </c>
      <c r="EK27" s="568" t="str">
        <f t="shared" si="90"/>
        <v/>
      </c>
      <c r="EL27" s="568" t="str">
        <f t="shared" si="91"/>
        <v/>
      </c>
      <c r="EM27" s="568" t="str">
        <f t="shared" si="92"/>
        <v/>
      </c>
      <c r="EN27" s="568" t="str">
        <f t="shared" si="93"/>
        <v/>
      </c>
      <c r="EO27" s="568" t="str">
        <f t="shared" si="94"/>
        <v/>
      </c>
      <c r="EP27" s="568" t="str">
        <f t="shared" si="95"/>
        <v/>
      </c>
      <c r="EQ27" s="568" t="str">
        <f t="shared" si="96"/>
        <v/>
      </c>
      <c r="ER27" s="568" t="str">
        <f t="shared" si="97"/>
        <v/>
      </c>
      <c r="ES27" s="568" t="str">
        <f t="shared" si="98"/>
        <v/>
      </c>
      <c r="ET27" s="568" t="str">
        <f t="shared" si="99"/>
        <v/>
      </c>
      <c r="EU27" s="568" t="str">
        <f t="shared" si="100"/>
        <v/>
      </c>
      <c r="EV27" s="578" t="str">
        <f t="shared" si="101"/>
        <v/>
      </c>
      <c r="EW27" s="578" t="str">
        <f t="shared" si="102"/>
        <v/>
      </c>
      <c r="EX27" s="578" t="str">
        <f t="shared" si="103"/>
        <v/>
      </c>
      <c r="EY27" s="578" t="str">
        <f t="shared" si="104"/>
        <v/>
      </c>
      <c r="EZ27" s="578" t="str">
        <f t="shared" si="105"/>
        <v/>
      </c>
      <c r="FA27" s="578" t="str">
        <f t="shared" si="106"/>
        <v/>
      </c>
      <c r="FB27" s="578" t="str">
        <f t="shared" si="107"/>
        <v/>
      </c>
      <c r="FC27" s="578" t="str">
        <f t="shared" si="108"/>
        <v/>
      </c>
      <c r="FD27" s="578" t="str">
        <f t="shared" si="109"/>
        <v/>
      </c>
      <c r="FE27" s="578" t="str">
        <f t="shared" si="110"/>
        <v/>
      </c>
      <c r="FF27" s="578" t="str">
        <f t="shared" si="111"/>
        <v/>
      </c>
      <c r="FG27" s="578" t="str">
        <f t="shared" si="112"/>
        <v/>
      </c>
      <c r="FH27" s="578" t="str">
        <f t="shared" si="113"/>
        <v/>
      </c>
      <c r="FI27" s="578" t="str">
        <f t="shared" si="114"/>
        <v/>
      </c>
      <c r="FJ27" s="578" t="str">
        <f t="shared" si="115"/>
        <v/>
      </c>
      <c r="FK27" s="578" t="str">
        <f t="shared" si="116"/>
        <v/>
      </c>
      <c r="FL27" s="578" t="str">
        <f t="shared" si="117"/>
        <v/>
      </c>
      <c r="FM27" s="578" t="str">
        <f t="shared" si="118"/>
        <v/>
      </c>
      <c r="FN27" s="578" t="str">
        <f t="shared" si="119"/>
        <v/>
      </c>
      <c r="FO27" s="578" t="str">
        <f t="shared" si="120"/>
        <v/>
      </c>
      <c r="FP27" s="578" t="str">
        <f t="shared" si="121"/>
        <v/>
      </c>
      <c r="FQ27" s="578" t="str">
        <f t="shared" si="122"/>
        <v/>
      </c>
      <c r="FR27" s="578" t="str">
        <f t="shared" si="123"/>
        <v/>
      </c>
      <c r="FS27" s="578" t="str">
        <f t="shared" si="124"/>
        <v/>
      </c>
      <c r="FT27" s="578" t="str">
        <f t="shared" si="125"/>
        <v/>
      </c>
      <c r="FU27" s="578" t="str">
        <f t="shared" si="126"/>
        <v/>
      </c>
      <c r="FV27" s="578" t="str">
        <f t="shared" si="127"/>
        <v/>
      </c>
      <c r="FW27" s="578" t="str">
        <f t="shared" si="128"/>
        <v/>
      </c>
      <c r="FX27" s="578" t="str">
        <f t="shared" si="129"/>
        <v/>
      </c>
      <c r="FY27" s="578" t="str">
        <f t="shared" si="130"/>
        <v/>
      </c>
      <c r="FZ27" s="578" t="str">
        <f t="shared" si="131"/>
        <v/>
      </c>
      <c r="GA27" s="578" t="str">
        <f t="shared" si="132"/>
        <v/>
      </c>
      <c r="GB27" s="578" t="str">
        <f t="shared" si="133"/>
        <v/>
      </c>
      <c r="GC27" s="578" t="str">
        <f t="shared" si="134"/>
        <v/>
      </c>
      <c r="GD27" s="578" t="str">
        <f t="shared" si="135"/>
        <v/>
      </c>
      <c r="GE27" s="578" t="str">
        <f t="shared" si="136"/>
        <v/>
      </c>
      <c r="GF27" s="578" t="str">
        <f t="shared" si="137"/>
        <v/>
      </c>
      <c r="GG27" s="578" t="str">
        <f t="shared" si="138"/>
        <v/>
      </c>
      <c r="GH27" s="578" t="str">
        <f t="shared" si="139"/>
        <v/>
      </c>
      <c r="GI27" s="578" t="str">
        <f t="shared" si="140"/>
        <v/>
      </c>
      <c r="GJ27" s="578" t="str">
        <f t="shared" si="141"/>
        <v/>
      </c>
      <c r="GK27" s="578" t="str">
        <f t="shared" si="142"/>
        <v/>
      </c>
      <c r="GL27" s="578" t="str">
        <f t="shared" si="143"/>
        <v/>
      </c>
      <c r="GM27" s="578" t="str">
        <f t="shared" si="144"/>
        <v/>
      </c>
      <c r="GN27" s="578" t="str">
        <f t="shared" si="145"/>
        <v/>
      </c>
      <c r="GO27" s="579" t="str">
        <f t="shared" si="146"/>
        <v/>
      </c>
      <c r="GP27" s="579" t="str">
        <f t="shared" si="147"/>
        <v/>
      </c>
      <c r="GQ27" s="579" t="str">
        <f t="shared" si="148"/>
        <v/>
      </c>
      <c r="GR27" s="579" t="str">
        <f t="shared" si="149"/>
        <v/>
      </c>
      <c r="GS27" s="579" t="str">
        <f t="shared" si="150"/>
        <v/>
      </c>
      <c r="GT27" s="568" t="str">
        <f t="shared" si="151"/>
        <v/>
      </c>
      <c r="GU27" s="568" t="str">
        <f t="shared" si="152"/>
        <v/>
      </c>
      <c r="GV27" s="568" t="str">
        <f t="shared" si="153"/>
        <v/>
      </c>
      <c r="GW27" s="568" t="str">
        <f t="shared" si="154"/>
        <v/>
      </c>
      <c r="GX27" s="568" t="str">
        <f t="shared" si="155"/>
        <v/>
      </c>
      <c r="GY27" s="568" t="str">
        <f t="shared" si="156"/>
        <v/>
      </c>
      <c r="GZ27" s="568" t="str">
        <f t="shared" si="157"/>
        <v/>
      </c>
      <c r="HA27" s="568" t="str">
        <f t="shared" si="158"/>
        <v/>
      </c>
      <c r="HB27" s="568" t="str">
        <f t="shared" si="159"/>
        <v/>
      </c>
      <c r="HC27" s="568" t="str">
        <f t="shared" si="160"/>
        <v/>
      </c>
      <c r="HD27" s="568" t="str">
        <f t="shared" si="161"/>
        <v/>
      </c>
      <c r="HE27" s="568" t="str">
        <f t="shared" si="162"/>
        <v/>
      </c>
      <c r="HF27" s="568" t="str">
        <f t="shared" si="163"/>
        <v/>
      </c>
      <c r="HG27" s="568" t="str">
        <f t="shared" si="164"/>
        <v/>
      </c>
      <c r="HH27" s="568" t="str">
        <f t="shared" si="165"/>
        <v/>
      </c>
      <c r="HI27" s="568" t="str">
        <f t="shared" si="166"/>
        <v/>
      </c>
      <c r="HJ27" s="568" t="str">
        <f t="shared" si="167"/>
        <v/>
      </c>
      <c r="HK27" s="568" t="str">
        <f t="shared" si="168"/>
        <v/>
      </c>
      <c r="HL27" s="568" t="str">
        <f t="shared" si="169"/>
        <v/>
      </c>
      <c r="HM27" s="568" t="str">
        <f t="shared" si="170"/>
        <v/>
      </c>
    </row>
    <row r="28" spans="1:221" ht="13.15" customHeight="1">
      <c r="A28" s="126" t="str">
        <f t="shared" si="171"/>
        <v/>
      </c>
      <c r="B28" s="1748" t="s">
        <v>1895</v>
      </c>
      <c r="C28" s="1749"/>
      <c r="D28" s="1750"/>
      <c r="E28" s="1751"/>
      <c r="F28" s="1751"/>
      <c r="G28" s="1751"/>
      <c r="H28" s="1751"/>
      <c r="I28" s="1751"/>
      <c r="J28" s="1752"/>
      <c r="K28" s="199">
        <f>MAX(0,H28-I28)</f>
        <v>0</v>
      </c>
      <c r="L28" s="199">
        <f t="shared" si="0"/>
        <v>0</v>
      </c>
      <c r="M28" s="1753"/>
      <c r="N28" s="1753"/>
      <c r="O28" s="1753"/>
      <c r="P28" s="519" t="str">
        <f t="shared" si="203"/>
        <v/>
      </c>
      <c r="Q28" s="520" t="str">
        <f>IF(H28="","",P28/($P$6*VLOOKUP(C28,'DCA Underwriting Assumptions'!$J$82:$K$87,2,FALSE)))</f>
        <v/>
      </c>
      <c r="R28" s="605"/>
      <c r="S28" s="520"/>
      <c r="T28" s="1754"/>
      <c r="U28" s="1755"/>
      <c r="V28" s="568" t="str">
        <f t="shared" si="1"/>
        <v/>
      </c>
      <c r="W28" s="568" t="str">
        <f t="shared" si="2"/>
        <v/>
      </c>
      <c r="X28" s="568" t="str">
        <f t="shared" si="3"/>
        <v/>
      </c>
      <c r="Y28" s="568" t="str">
        <f t="shared" si="4"/>
        <v/>
      </c>
      <c r="Z28" s="568" t="str">
        <f t="shared" si="5"/>
        <v/>
      </c>
      <c r="AA28" s="568" t="str">
        <f t="shared" si="6"/>
        <v/>
      </c>
      <c r="AB28" s="568" t="str">
        <f t="shared" si="7"/>
        <v/>
      </c>
      <c r="AC28" s="568" t="str">
        <f t="shared" si="8"/>
        <v/>
      </c>
      <c r="AD28" s="568" t="str">
        <f t="shared" si="9"/>
        <v/>
      </c>
      <c r="AE28" s="568" t="str">
        <f t="shared" si="10"/>
        <v/>
      </c>
      <c r="AF28" s="568" t="str">
        <f t="shared" si="11"/>
        <v/>
      </c>
      <c r="AG28" s="568" t="str">
        <f t="shared" si="12"/>
        <v/>
      </c>
      <c r="AH28" s="568" t="str">
        <f t="shared" si="13"/>
        <v/>
      </c>
      <c r="AI28" s="568" t="str">
        <f t="shared" si="14"/>
        <v/>
      </c>
      <c r="AJ28" s="568" t="str">
        <f t="shared" si="15"/>
        <v/>
      </c>
      <c r="AK28" s="568" t="str">
        <f t="shared" si="16"/>
        <v/>
      </c>
      <c r="AL28" s="568" t="str">
        <f t="shared" si="17"/>
        <v/>
      </c>
      <c r="AM28" s="568" t="str">
        <f t="shared" si="18"/>
        <v/>
      </c>
      <c r="AN28" s="568" t="str">
        <f t="shared" si="19"/>
        <v/>
      </c>
      <c r="AO28" s="568" t="str">
        <f t="shared" si="20"/>
        <v/>
      </c>
      <c r="AP28" s="568" t="str">
        <f t="shared" si="173"/>
        <v/>
      </c>
      <c r="AQ28" s="568" t="str">
        <f t="shared" si="174"/>
        <v/>
      </c>
      <c r="AR28" s="568" t="str">
        <f t="shared" si="175"/>
        <v/>
      </c>
      <c r="AS28" s="568" t="str">
        <f t="shared" si="176"/>
        <v/>
      </c>
      <c r="AT28" s="568" t="str">
        <f t="shared" si="177"/>
        <v/>
      </c>
      <c r="AU28" s="568" t="str">
        <f t="shared" si="178"/>
        <v/>
      </c>
      <c r="AV28" s="568" t="str">
        <f t="shared" si="179"/>
        <v/>
      </c>
      <c r="AW28" s="568" t="str">
        <f t="shared" si="180"/>
        <v/>
      </c>
      <c r="AX28" s="568" t="str">
        <f t="shared" si="181"/>
        <v/>
      </c>
      <c r="AY28" s="568" t="str">
        <f t="shared" si="182"/>
        <v/>
      </c>
      <c r="AZ28" s="568" t="str">
        <f t="shared" si="183"/>
        <v/>
      </c>
      <c r="BA28" s="568" t="str">
        <f t="shared" si="184"/>
        <v/>
      </c>
      <c r="BB28" s="568" t="str">
        <f t="shared" si="185"/>
        <v/>
      </c>
      <c r="BC28" s="568" t="str">
        <f t="shared" si="186"/>
        <v/>
      </c>
      <c r="BD28" s="568" t="str">
        <f t="shared" si="187"/>
        <v/>
      </c>
      <c r="BE28" s="568" t="str">
        <f t="shared" si="188"/>
        <v/>
      </c>
      <c r="BF28" s="568" t="str">
        <f t="shared" si="189"/>
        <v/>
      </c>
      <c r="BG28" s="568" t="str">
        <f t="shared" si="190"/>
        <v/>
      </c>
      <c r="BH28" s="568" t="str">
        <f t="shared" si="191"/>
        <v/>
      </c>
      <c r="BI28" s="568" t="str">
        <f t="shared" si="192"/>
        <v/>
      </c>
      <c r="BJ28" s="568" t="str">
        <f t="shared" si="193"/>
        <v/>
      </c>
      <c r="BK28" s="568" t="str">
        <f t="shared" si="194"/>
        <v/>
      </c>
      <c r="BL28" s="568" t="str">
        <f t="shared" si="195"/>
        <v/>
      </c>
      <c r="BM28" s="568" t="str">
        <f t="shared" si="196"/>
        <v/>
      </c>
      <c r="BN28" s="568" t="str">
        <f t="shared" si="197"/>
        <v/>
      </c>
      <c r="BO28" s="568" t="str">
        <f t="shared" si="198"/>
        <v/>
      </c>
      <c r="BP28" s="568" t="str">
        <f t="shared" si="199"/>
        <v/>
      </c>
      <c r="BQ28" s="568" t="str">
        <f t="shared" si="200"/>
        <v/>
      </c>
      <c r="BR28" s="568" t="str">
        <f t="shared" si="201"/>
        <v/>
      </c>
      <c r="BS28" s="568" t="str">
        <f t="shared" si="202"/>
        <v/>
      </c>
      <c r="BT28" s="568" t="str">
        <f t="shared" si="21"/>
        <v/>
      </c>
      <c r="BU28" s="568" t="str">
        <f t="shared" si="22"/>
        <v/>
      </c>
      <c r="BV28" s="568" t="str">
        <f t="shared" si="23"/>
        <v/>
      </c>
      <c r="BW28" s="568" t="str">
        <f t="shared" si="24"/>
        <v/>
      </c>
      <c r="BX28" s="568" t="str">
        <f t="shared" si="25"/>
        <v/>
      </c>
      <c r="BY28" s="568" t="str">
        <f t="shared" si="26"/>
        <v/>
      </c>
      <c r="BZ28" s="568" t="str">
        <f t="shared" si="27"/>
        <v/>
      </c>
      <c r="CA28" s="568" t="str">
        <f t="shared" si="28"/>
        <v/>
      </c>
      <c r="CB28" s="568" t="str">
        <f t="shared" si="29"/>
        <v/>
      </c>
      <c r="CC28" s="568" t="str">
        <f t="shared" si="30"/>
        <v/>
      </c>
      <c r="CD28" s="568" t="str">
        <f t="shared" si="31"/>
        <v/>
      </c>
      <c r="CE28" s="568" t="str">
        <f t="shared" si="32"/>
        <v/>
      </c>
      <c r="CF28" s="568" t="str">
        <f t="shared" si="33"/>
        <v/>
      </c>
      <c r="CG28" s="568" t="str">
        <f t="shared" si="34"/>
        <v/>
      </c>
      <c r="CH28" s="568" t="str">
        <f t="shared" si="35"/>
        <v/>
      </c>
      <c r="CI28" s="568" t="str">
        <f t="shared" si="36"/>
        <v/>
      </c>
      <c r="CJ28" s="568" t="str">
        <f t="shared" si="37"/>
        <v/>
      </c>
      <c r="CK28" s="568" t="str">
        <f t="shared" si="38"/>
        <v/>
      </c>
      <c r="CL28" s="568" t="str">
        <f t="shared" si="39"/>
        <v/>
      </c>
      <c r="CM28" s="568" t="str">
        <f t="shared" si="40"/>
        <v/>
      </c>
      <c r="CN28" s="568" t="str">
        <f t="shared" si="41"/>
        <v/>
      </c>
      <c r="CO28" s="568" t="str">
        <f t="shared" si="42"/>
        <v/>
      </c>
      <c r="CP28" s="568" t="str">
        <f t="shared" si="43"/>
        <v/>
      </c>
      <c r="CQ28" s="568" t="str">
        <f t="shared" si="44"/>
        <v/>
      </c>
      <c r="CR28" s="568" t="str">
        <f t="shared" si="45"/>
        <v/>
      </c>
      <c r="CS28" s="568" t="str">
        <f t="shared" si="46"/>
        <v/>
      </c>
      <c r="CT28" s="568" t="str">
        <f t="shared" si="47"/>
        <v/>
      </c>
      <c r="CU28" s="568" t="str">
        <f t="shared" si="48"/>
        <v/>
      </c>
      <c r="CV28" s="568" t="str">
        <f t="shared" si="49"/>
        <v/>
      </c>
      <c r="CW28" s="568" t="str">
        <f t="shared" si="50"/>
        <v/>
      </c>
      <c r="CX28" s="568" t="str">
        <f t="shared" si="51"/>
        <v/>
      </c>
      <c r="CY28" s="568" t="str">
        <f t="shared" si="52"/>
        <v/>
      </c>
      <c r="CZ28" s="568" t="str">
        <f t="shared" si="53"/>
        <v/>
      </c>
      <c r="DA28" s="568" t="str">
        <f t="shared" si="54"/>
        <v/>
      </c>
      <c r="DB28" s="568" t="str">
        <f t="shared" si="55"/>
        <v/>
      </c>
      <c r="DC28" s="568" t="str">
        <f t="shared" si="56"/>
        <v/>
      </c>
      <c r="DD28" s="568" t="str">
        <f t="shared" si="57"/>
        <v/>
      </c>
      <c r="DE28" s="568" t="str">
        <f t="shared" si="58"/>
        <v/>
      </c>
      <c r="DF28" s="568" t="str">
        <f t="shared" si="59"/>
        <v/>
      </c>
      <c r="DG28" s="568" t="str">
        <f t="shared" si="60"/>
        <v/>
      </c>
      <c r="DH28" s="568" t="str">
        <f t="shared" si="61"/>
        <v/>
      </c>
      <c r="DI28" s="568" t="str">
        <f t="shared" si="62"/>
        <v/>
      </c>
      <c r="DJ28" s="568" t="str">
        <f t="shared" si="63"/>
        <v/>
      </c>
      <c r="DK28" s="568" t="str">
        <f t="shared" si="64"/>
        <v/>
      </c>
      <c r="DL28" s="568" t="str">
        <f t="shared" si="65"/>
        <v/>
      </c>
      <c r="DM28" s="568" t="str">
        <f t="shared" si="66"/>
        <v/>
      </c>
      <c r="DN28" s="568" t="str">
        <f t="shared" si="67"/>
        <v/>
      </c>
      <c r="DO28" s="568" t="str">
        <f t="shared" si="68"/>
        <v/>
      </c>
      <c r="DP28" s="568" t="str">
        <f t="shared" si="69"/>
        <v/>
      </c>
      <c r="DQ28" s="568" t="str">
        <f t="shared" si="70"/>
        <v/>
      </c>
      <c r="DR28" s="568" t="str">
        <f t="shared" si="71"/>
        <v/>
      </c>
      <c r="DS28" s="568" t="str">
        <f t="shared" si="72"/>
        <v/>
      </c>
      <c r="DT28" s="568" t="str">
        <f t="shared" si="73"/>
        <v/>
      </c>
      <c r="DU28" s="568" t="str">
        <f t="shared" si="74"/>
        <v/>
      </c>
      <c r="DV28" s="568" t="str">
        <f t="shared" si="75"/>
        <v/>
      </c>
      <c r="DW28" s="568" t="str">
        <f t="shared" si="76"/>
        <v/>
      </c>
      <c r="DX28" s="568" t="str">
        <f t="shared" si="77"/>
        <v/>
      </c>
      <c r="DY28" s="568" t="str">
        <f t="shared" si="78"/>
        <v/>
      </c>
      <c r="DZ28" s="568" t="str">
        <f t="shared" si="79"/>
        <v/>
      </c>
      <c r="EA28" s="568" t="str">
        <f t="shared" si="80"/>
        <v/>
      </c>
      <c r="EB28" s="568" t="str">
        <f t="shared" si="81"/>
        <v/>
      </c>
      <c r="EC28" s="568" t="str">
        <f t="shared" si="82"/>
        <v/>
      </c>
      <c r="ED28" s="568" t="str">
        <f t="shared" si="83"/>
        <v/>
      </c>
      <c r="EE28" s="568" t="str">
        <f t="shared" si="84"/>
        <v/>
      </c>
      <c r="EF28" s="568" t="str">
        <f t="shared" si="85"/>
        <v/>
      </c>
      <c r="EG28" s="568" t="str">
        <f t="shared" si="86"/>
        <v/>
      </c>
      <c r="EH28" s="568" t="str">
        <f t="shared" si="87"/>
        <v/>
      </c>
      <c r="EI28" s="568" t="str">
        <f t="shared" si="88"/>
        <v/>
      </c>
      <c r="EJ28" s="568" t="str">
        <f t="shared" si="89"/>
        <v/>
      </c>
      <c r="EK28" s="568" t="str">
        <f t="shared" si="90"/>
        <v/>
      </c>
      <c r="EL28" s="568" t="str">
        <f t="shared" si="91"/>
        <v/>
      </c>
      <c r="EM28" s="568" t="str">
        <f t="shared" si="92"/>
        <v/>
      </c>
      <c r="EN28" s="568" t="str">
        <f t="shared" si="93"/>
        <v/>
      </c>
      <c r="EO28" s="568" t="str">
        <f t="shared" si="94"/>
        <v/>
      </c>
      <c r="EP28" s="568" t="str">
        <f t="shared" si="95"/>
        <v/>
      </c>
      <c r="EQ28" s="568" t="str">
        <f t="shared" si="96"/>
        <v/>
      </c>
      <c r="ER28" s="568" t="str">
        <f t="shared" si="97"/>
        <v/>
      </c>
      <c r="ES28" s="568" t="str">
        <f t="shared" si="98"/>
        <v/>
      </c>
      <c r="ET28" s="568" t="str">
        <f t="shared" si="99"/>
        <v/>
      </c>
      <c r="EU28" s="568" t="str">
        <f t="shared" si="100"/>
        <v/>
      </c>
      <c r="EV28" s="578" t="str">
        <f t="shared" si="101"/>
        <v/>
      </c>
      <c r="EW28" s="578" t="str">
        <f t="shared" si="102"/>
        <v/>
      </c>
      <c r="EX28" s="578" t="str">
        <f t="shared" si="103"/>
        <v/>
      </c>
      <c r="EY28" s="578" t="str">
        <f t="shared" si="104"/>
        <v/>
      </c>
      <c r="EZ28" s="578" t="str">
        <f t="shared" si="105"/>
        <v/>
      </c>
      <c r="FA28" s="578" t="str">
        <f t="shared" si="106"/>
        <v/>
      </c>
      <c r="FB28" s="578" t="str">
        <f t="shared" si="107"/>
        <v/>
      </c>
      <c r="FC28" s="578" t="str">
        <f t="shared" si="108"/>
        <v/>
      </c>
      <c r="FD28" s="578" t="str">
        <f t="shared" si="109"/>
        <v/>
      </c>
      <c r="FE28" s="578" t="str">
        <f t="shared" si="110"/>
        <v/>
      </c>
      <c r="FF28" s="578" t="str">
        <f t="shared" si="111"/>
        <v/>
      </c>
      <c r="FG28" s="578" t="str">
        <f t="shared" si="112"/>
        <v/>
      </c>
      <c r="FH28" s="578" t="str">
        <f t="shared" si="113"/>
        <v/>
      </c>
      <c r="FI28" s="578" t="str">
        <f t="shared" si="114"/>
        <v/>
      </c>
      <c r="FJ28" s="578" t="str">
        <f t="shared" si="115"/>
        <v/>
      </c>
      <c r="FK28" s="578" t="str">
        <f t="shared" si="116"/>
        <v/>
      </c>
      <c r="FL28" s="578" t="str">
        <f t="shared" si="117"/>
        <v/>
      </c>
      <c r="FM28" s="578" t="str">
        <f t="shared" si="118"/>
        <v/>
      </c>
      <c r="FN28" s="578" t="str">
        <f t="shared" si="119"/>
        <v/>
      </c>
      <c r="FO28" s="578" t="str">
        <f t="shared" si="120"/>
        <v/>
      </c>
      <c r="FP28" s="578" t="str">
        <f t="shared" si="121"/>
        <v/>
      </c>
      <c r="FQ28" s="578" t="str">
        <f t="shared" si="122"/>
        <v/>
      </c>
      <c r="FR28" s="578" t="str">
        <f t="shared" si="123"/>
        <v/>
      </c>
      <c r="FS28" s="578" t="str">
        <f t="shared" si="124"/>
        <v/>
      </c>
      <c r="FT28" s="578" t="str">
        <f t="shared" si="125"/>
        <v/>
      </c>
      <c r="FU28" s="578" t="str">
        <f t="shared" si="126"/>
        <v/>
      </c>
      <c r="FV28" s="578" t="str">
        <f t="shared" si="127"/>
        <v/>
      </c>
      <c r="FW28" s="578" t="str">
        <f t="shared" si="128"/>
        <v/>
      </c>
      <c r="FX28" s="578" t="str">
        <f t="shared" si="129"/>
        <v/>
      </c>
      <c r="FY28" s="578" t="str">
        <f t="shared" si="130"/>
        <v/>
      </c>
      <c r="FZ28" s="578" t="str">
        <f t="shared" si="131"/>
        <v/>
      </c>
      <c r="GA28" s="578" t="str">
        <f t="shared" si="132"/>
        <v/>
      </c>
      <c r="GB28" s="578" t="str">
        <f t="shared" si="133"/>
        <v/>
      </c>
      <c r="GC28" s="578" t="str">
        <f t="shared" si="134"/>
        <v/>
      </c>
      <c r="GD28" s="578" t="str">
        <f t="shared" si="135"/>
        <v/>
      </c>
      <c r="GE28" s="578" t="str">
        <f t="shared" si="136"/>
        <v/>
      </c>
      <c r="GF28" s="578" t="str">
        <f t="shared" si="137"/>
        <v/>
      </c>
      <c r="GG28" s="578" t="str">
        <f t="shared" si="138"/>
        <v/>
      </c>
      <c r="GH28" s="578" t="str">
        <f t="shared" si="139"/>
        <v/>
      </c>
      <c r="GI28" s="578" t="str">
        <f t="shared" si="140"/>
        <v/>
      </c>
      <c r="GJ28" s="578" t="str">
        <f t="shared" si="141"/>
        <v/>
      </c>
      <c r="GK28" s="578" t="str">
        <f t="shared" si="142"/>
        <v/>
      </c>
      <c r="GL28" s="578" t="str">
        <f t="shared" si="143"/>
        <v/>
      </c>
      <c r="GM28" s="578" t="str">
        <f t="shared" si="144"/>
        <v/>
      </c>
      <c r="GN28" s="578" t="str">
        <f t="shared" si="145"/>
        <v/>
      </c>
      <c r="GO28" s="579" t="str">
        <f t="shared" si="146"/>
        <v/>
      </c>
      <c r="GP28" s="579" t="str">
        <f t="shared" si="147"/>
        <v/>
      </c>
      <c r="GQ28" s="579" t="str">
        <f t="shared" si="148"/>
        <v/>
      </c>
      <c r="GR28" s="579" t="str">
        <f t="shared" si="149"/>
        <v/>
      </c>
      <c r="GS28" s="579" t="str">
        <f t="shared" si="150"/>
        <v/>
      </c>
      <c r="GT28" s="568" t="str">
        <f t="shared" si="151"/>
        <v/>
      </c>
      <c r="GU28" s="568" t="str">
        <f t="shared" si="152"/>
        <v/>
      </c>
      <c r="GV28" s="568" t="str">
        <f t="shared" si="153"/>
        <v/>
      </c>
      <c r="GW28" s="568" t="str">
        <f t="shared" si="154"/>
        <v/>
      </c>
      <c r="GX28" s="568" t="str">
        <f t="shared" si="155"/>
        <v/>
      </c>
      <c r="GY28" s="568" t="str">
        <f t="shared" si="156"/>
        <v/>
      </c>
      <c r="GZ28" s="568" t="str">
        <f t="shared" si="157"/>
        <v/>
      </c>
      <c r="HA28" s="568" t="str">
        <f t="shared" si="158"/>
        <v/>
      </c>
      <c r="HB28" s="568" t="str">
        <f t="shared" si="159"/>
        <v/>
      </c>
      <c r="HC28" s="568" t="str">
        <f t="shared" si="160"/>
        <v/>
      </c>
      <c r="HD28" s="568" t="str">
        <f t="shared" si="161"/>
        <v/>
      </c>
      <c r="HE28" s="568" t="str">
        <f t="shared" si="162"/>
        <v/>
      </c>
      <c r="HF28" s="568" t="str">
        <f t="shared" si="163"/>
        <v/>
      </c>
      <c r="HG28" s="568" t="str">
        <f t="shared" si="164"/>
        <v/>
      </c>
      <c r="HH28" s="568" t="str">
        <f t="shared" si="165"/>
        <v/>
      </c>
      <c r="HI28" s="568" t="str">
        <f t="shared" si="166"/>
        <v/>
      </c>
      <c r="HJ28" s="568" t="str">
        <f t="shared" si="167"/>
        <v/>
      </c>
      <c r="HK28" s="568" t="str">
        <f t="shared" si="168"/>
        <v/>
      </c>
      <c r="HL28" s="568" t="str">
        <f t="shared" si="169"/>
        <v/>
      </c>
      <c r="HM28" s="568" t="str">
        <f t="shared" si="170"/>
        <v/>
      </c>
    </row>
    <row r="29" spans="1:221" ht="13.15" customHeight="1">
      <c r="A29" s="126" t="str">
        <f t="shared" si="171"/>
        <v/>
      </c>
      <c r="B29" s="1748" t="s">
        <v>1895</v>
      </c>
      <c r="C29" s="1749"/>
      <c r="D29" s="1750"/>
      <c r="E29" s="1751"/>
      <c r="F29" s="1751"/>
      <c r="G29" s="1751"/>
      <c r="H29" s="1751"/>
      <c r="I29" s="1751"/>
      <c r="J29" s="1752"/>
      <c r="K29" s="199">
        <f t="shared" ref="K29:K47" si="204">MAX(0,H29-I29)</f>
        <v>0</v>
      </c>
      <c r="L29" s="199">
        <f t="shared" si="0"/>
        <v>0</v>
      </c>
      <c r="M29" s="1753"/>
      <c r="N29" s="1753"/>
      <c r="O29" s="1753"/>
      <c r="P29" s="519" t="str">
        <f t="shared" si="203"/>
        <v/>
      </c>
      <c r="Q29" s="520" t="str">
        <f>IF(H29="","",P29/($P$6*VLOOKUP(C29,'DCA Underwriting Assumptions'!$J$82:$K$87,2,FALSE)))</f>
        <v/>
      </c>
      <c r="R29" s="605"/>
      <c r="S29" s="520"/>
      <c r="T29" s="1754"/>
      <c r="U29" s="1755"/>
      <c r="V29" s="568" t="str">
        <f t="shared" si="1"/>
        <v/>
      </c>
      <c r="W29" s="568" t="str">
        <f t="shared" si="2"/>
        <v/>
      </c>
      <c r="X29" s="568" t="str">
        <f t="shared" si="3"/>
        <v/>
      </c>
      <c r="Y29" s="568" t="str">
        <f t="shared" si="4"/>
        <v/>
      </c>
      <c r="Z29" s="568" t="str">
        <f t="shared" si="5"/>
        <v/>
      </c>
      <c r="AA29" s="568" t="str">
        <f t="shared" si="6"/>
        <v/>
      </c>
      <c r="AB29" s="568" t="str">
        <f t="shared" si="7"/>
        <v/>
      </c>
      <c r="AC29" s="568" t="str">
        <f t="shared" si="8"/>
        <v/>
      </c>
      <c r="AD29" s="568" t="str">
        <f t="shared" si="9"/>
        <v/>
      </c>
      <c r="AE29" s="568" t="str">
        <f t="shared" si="10"/>
        <v/>
      </c>
      <c r="AF29" s="568" t="str">
        <f t="shared" si="11"/>
        <v/>
      </c>
      <c r="AG29" s="568" t="str">
        <f t="shared" si="12"/>
        <v/>
      </c>
      <c r="AH29" s="568" t="str">
        <f t="shared" si="13"/>
        <v/>
      </c>
      <c r="AI29" s="568" t="str">
        <f t="shared" si="14"/>
        <v/>
      </c>
      <c r="AJ29" s="568" t="str">
        <f t="shared" si="15"/>
        <v/>
      </c>
      <c r="AK29" s="568" t="str">
        <f t="shared" si="16"/>
        <v/>
      </c>
      <c r="AL29" s="568" t="str">
        <f t="shared" si="17"/>
        <v/>
      </c>
      <c r="AM29" s="568" t="str">
        <f t="shared" si="18"/>
        <v/>
      </c>
      <c r="AN29" s="568" t="str">
        <f t="shared" si="19"/>
        <v/>
      </c>
      <c r="AO29" s="568" t="str">
        <f t="shared" si="20"/>
        <v/>
      </c>
      <c r="AP29" s="568" t="str">
        <f t="shared" si="173"/>
        <v/>
      </c>
      <c r="AQ29" s="568" t="str">
        <f t="shared" si="174"/>
        <v/>
      </c>
      <c r="AR29" s="568" t="str">
        <f t="shared" si="175"/>
        <v/>
      </c>
      <c r="AS29" s="568" t="str">
        <f t="shared" si="176"/>
        <v/>
      </c>
      <c r="AT29" s="568" t="str">
        <f t="shared" si="177"/>
        <v/>
      </c>
      <c r="AU29" s="568" t="str">
        <f t="shared" si="178"/>
        <v/>
      </c>
      <c r="AV29" s="568" t="str">
        <f t="shared" si="179"/>
        <v/>
      </c>
      <c r="AW29" s="568" t="str">
        <f t="shared" si="180"/>
        <v/>
      </c>
      <c r="AX29" s="568" t="str">
        <f t="shared" si="181"/>
        <v/>
      </c>
      <c r="AY29" s="568" t="str">
        <f t="shared" si="182"/>
        <v/>
      </c>
      <c r="AZ29" s="568" t="str">
        <f t="shared" si="183"/>
        <v/>
      </c>
      <c r="BA29" s="568" t="str">
        <f t="shared" si="184"/>
        <v/>
      </c>
      <c r="BB29" s="568" t="str">
        <f t="shared" si="185"/>
        <v/>
      </c>
      <c r="BC29" s="568" t="str">
        <f t="shared" si="186"/>
        <v/>
      </c>
      <c r="BD29" s="568" t="str">
        <f t="shared" si="187"/>
        <v/>
      </c>
      <c r="BE29" s="568" t="str">
        <f t="shared" si="188"/>
        <v/>
      </c>
      <c r="BF29" s="568" t="str">
        <f t="shared" si="189"/>
        <v/>
      </c>
      <c r="BG29" s="568" t="str">
        <f t="shared" si="190"/>
        <v/>
      </c>
      <c r="BH29" s="568" t="str">
        <f t="shared" si="191"/>
        <v/>
      </c>
      <c r="BI29" s="568" t="str">
        <f t="shared" si="192"/>
        <v/>
      </c>
      <c r="BJ29" s="568" t="str">
        <f t="shared" si="193"/>
        <v/>
      </c>
      <c r="BK29" s="568" t="str">
        <f t="shared" si="194"/>
        <v/>
      </c>
      <c r="BL29" s="568" t="str">
        <f t="shared" si="195"/>
        <v/>
      </c>
      <c r="BM29" s="568" t="str">
        <f t="shared" si="196"/>
        <v/>
      </c>
      <c r="BN29" s="568" t="str">
        <f t="shared" si="197"/>
        <v/>
      </c>
      <c r="BO29" s="568" t="str">
        <f t="shared" si="198"/>
        <v/>
      </c>
      <c r="BP29" s="568" t="str">
        <f t="shared" si="199"/>
        <v/>
      </c>
      <c r="BQ29" s="568" t="str">
        <f t="shared" si="200"/>
        <v/>
      </c>
      <c r="BR29" s="568" t="str">
        <f t="shared" si="201"/>
        <v/>
      </c>
      <c r="BS29" s="568" t="str">
        <f t="shared" si="202"/>
        <v/>
      </c>
      <c r="BT29" s="568" t="str">
        <f t="shared" si="21"/>
        <v/>
      </c>
      <c r="BU29" s="568" t="str">
        <f t="shared" si="22"/>
        <v/>
      </c>
      <c r="BV29" s="568" t="str">
        <f t="shared" si="23"/>
        <v/>
      </c>
      <c r="BW29" s="568" t="str">
        <f t="shared" si="24"/>
        <v/>
      </c>
      <c r="BX29" s="568" t="str">
        <f t="shared" si="25"/>
        <v/>
      </c>
      <c r="BY29" s="568" t="str">
        <f t="shared" si="26"/>
        <v/>
      </c>
      <c r="BZ29" s="568" t="str">
        <f t="shared" si="27"/>
        <v/>
      </c>
      <c r="CA29" s="568" t="str">
        <f t="shared" si="28"/>
        <v/>
      </c>
      <c r="CB29" s="568" t="str">
        <f t="shared" si="29"/>
        <v/>
      </c>
      <c r="CC29" s="568" t="str">
        <f t="shared" si="30"/>
        <v/>
      </c>
      <c r="CD29" s="568" t="str">
        <f t="shared" si="31"/>
        <v/>
      </c>
      <c r="CE29" s="568" t="str">
        <f t="shared" si="32"/>
        <v/>
      </c>
      <c r="CF29" s="568" t="str">
        <f t="shared" si="33"/>
        <v/>
      </c>
      <c r="CG29" s="568" t="str">
        <f t="shared" si="34"/>
        <v/>
      </c>
      <c r="CH29" s="568" t="str">
        <f t="shared" si="35"/>
        <v/>
      </c>
      <c r="CI29" s="568" t="str">
        <f t="shared" si="36"/>
        <v/>
      </c>
      <c r="CJ29" s="568" t="str">
        <f t="shared" si="37"/>
        <v/>
      </c>
      <c r="CK29" s="568" t="str">
        <f t="shared" si="38"/>
        <v/>
      </c>
      <c r="CL29" s="568" t="str">
        <f t="shared" si="39"/>
        <v/>
      </c>
      <c r="CM29" s="568" t="str">
        <f t="shared" si="40"/>
        <v/>
      </c>
      <c r="CN29" s="568" t="str">
        <f t="shared" si="41"/>
        <v/>
      </c>
      <c r="CO29" s="568" t="str">
        <f t="shared" si="42"/>
        <v/>
      </c>
      <c r="CP29" s="568" t="str">
        <f t="shared" si="43"/>
        <v/>
      </c>
      <c r="CQ29" s="568" t="str">
        <f t="shared" si="44"/>
        <v/>
      </c>
      <c r="CR29" s="568" t="str">
        <f t="shared" si="45"/>
        <v/>
      </c>
      <c r="CS29" s="568" t="str">
        <f t="shared" si="46"/>
        <v/>
      </c>
      <c r="CT29" s="568" t="str">
        <f t="shared" si="47"/>
        <v/>
      </c>
      <c r="CU29" s="568" t="str">
        <f t="shared" si="48"/>
        <v/>
      </c>
      <c r="CV29" s="568" t="str">
        <f t="shared" si="49"/>
        <v/>
      </c>
      <c r="CW29" s="568" t="str">
        <f t="shared" si="50"/>
        <v/>
      </c>
      <c r="CX29" s="568" t="str">
        <f t="shared" si="51"/>
        <v/>
      </c>
      <c r="CY29" s="568" t="str">
        <f t="shared" si="52"/>
        <v/>
      </c>
      <c r="CZ29" s="568" t="str">
        <f t="shared" si="53"/>
        <v/>
      </c>
      <c r="DA29" s="568" t="str">
        <f t="shared" si="54"/>
        <v/>
      </c>
      <c r="DB29" s="568" t="str">
        <f t="shared" si="55"/>
        <v/>
      </c>
      <c r="DC29" s="568" t="str">
        <f t="shared" si="56"/>
        <v/>
      </c>
      <c r="DD29" s="568" t="str">
        <f t="shared" si="57"/>
        <v/>
      </c>
      <c r="DE29" s="568" t="str">
        <f t="shared" si="58"/>
        <v/>
      </c>
      <c r="DF29" s="568" t="str">
        <f t="shared" si="59"/>
        <v/>
      </c>
      <c r="DG29" s="568" t="str">
        <f t="shared" si="60"/>
        <v/>
      </c>
      <c r="DH29" s="568" t="str">
        <f t="shared" si="61"/>
        <v/>
      </c>
      <c r="DI29" s="568" t="str">
        <f t="shared" si="62"/>
        <v/>
      </c>
      <c r="DJ29" s="568" t="str">
        <f t="shared" si="63"/>
        <v/>
      </c>
      <c r="DK29" s="568" t="str">
        <f t="shared" si="64"/>
        <v/>
      </c>
      <c r="DL29" s="568" t="str">
        <f t="shared" si="65"/>
        <v/>
      </c>
      <c r="DM29" s="568" t="str">
        <f t="shared" si="66"/>
        <v/>
      </c>
      <c r="DN29" s="568" t="str">
        <f t="shared" si="67"/>
        <v/>
      </c>
      <c r="DO29" s="568" t="str">
        <f t="shared" si="68"/>
        <v/>
      </c>
      <c r="DP29" s="568" t="str">
        <f t="shared" si="69"/>
        <v/>
      </c>
      <c r="DQ29" s="568" t="str">
        <f t="shared" si="70"/>
        <v/>
      </c>
      <c r="DR29" s="568" t="str">
        <f t="shared" si="71"/>
        <v/>
      </c>
      <c r="DS29" s="568" t="str">
        <f t="shared" si="72"/>
        <v/>
      </c>
      <c r="DT29" s="568" t="str">
        <f t="shared" si="73"/>
        <v/>
      </c>
      <c r="DU29" s="568" t="str">
        <f t="shared" si="74"/>
        <v/>
      </c>
      <c r="DV29" s="568" t="str">
        <f t="shared" si="75"/>
        <v/>
      </c>
      <c r="DW29" s="568" t="str">
        <f t="shared" si="76"/>
        <v/>
      </c>
      <c r="DX29" s="568" t="str">
        <f t="shared" si="77"/>
        <v/>
      </c>
      <c r="DY29" s="568" t="str">
        <f t="shared" si="78"/>
        <v/>
      </c>
      <c r="DZ29" s="568" t="str">
        <f t="shared" si="79"/>
        <v/>
      </c>
      <c r="EA29" s="568" t="str">
        <f t="shared" si="80"/>
        <v/>
      </c>
      <c r="EB29" s="568" t="str">
        <f t="shared" si="81"/>
        <v/>
      </c>
      <c r="EC29" s="568" t="str">
        <f t="shared" si="82"/>
        <v/>
      </c>
      <c r="ED29" s="568" t="str">
        <f t="shared" si="83"/>
        <v/>
      </c>
      <c r="EE29" s="568" t="str">
        <f t="shared" si="84"/>
        <v/>
      </c>
      <c r="EF29" s="568" t="str">
        <f t="shared" si="85"/>
        <v/>
      </c>
      <c r="EG29" s="568" t="str">
        <f t="shared" si="86"/>
        <v/>
      </c>
      <c r="EH29" s="568" t="str">
        <f t="shared" si="87"/>
        <v/>
      </c>
      <c r="EI29" s="568" t="str">
        <f t="shared" si="88"/>
        <v/>
      </c>
      <c r="EJ29" s="568" t="str">
        <f t="shared" si="89"/>
        <v/>
      </c>
      <c r="EK29" s="568" t="str">
        <f t="shared" si="90"/>
        <v/>
      </c>
      <c r="EL29" s="568" t="str">
        <f t="shared" si="91"/>
        <v/>
      </c>
      <c r="EM29" s="568" t="str">
        <f t="shared" si="92"/>
        <v/>
      </c>
      <c r="EN29" s="568" t="str">
        <f t="shared" si="93"/>
        <v/>
      </c>
      <c r="EO29" s="568" t="str">
        <f t="shared" si="94"/>
        <v/>
      </c>
      <c r="EP29" s="568" t="str">
        <f t="shared" si="95"/>
        <v/>
      </c>
      <c r="EQ29" s="568" t="str">
        <f t="shared" si="96"/>
        <v/>
      </c>
      <c r="ER29" s="568" t="str">
        <f t="shared" si="97"/>
        <v/>
      </c>
      <c r="ES29" s="568" t="str">
        <f t="shared" si="98"/>
        <v/>
      </c>
      <c r="ET29" s="568" t="str">
        <f t="shared" si="99"/>
        <v/>
      </c>
      <c r="EU29" s="568" t="str">
        <f t="shared" si="100"/>
        <v/>
      </c>
      <c r="EV29" s="578" t="str">
        <f t="shared" si="101"/>
        <v/>
      </c>
      <c r="EW29" s="578" t="str">
        <f t="shared" si="102"/>
        <v/>
      </c>
      <c r="EX29" s="578" t="str">
        <f t="shared" si="103"/>
        <v/>
      </c>
      <c r="EY29" s="578" t="str">
        <f t="shared" si="104"/>
        <v/>
      </c>
      <c r="EZ29" s="578" t="str">
        <f t="shared" si="105"/>
        <v/>
      </c>
      <c r="FA29" s="578" t="str">
        <f t="shared" si="106"/>
        <v/>
      </c>
      <c r="FB29" s="578" t="str">
        <f t="shared" si="107"/>
        <v/>
      </c>
      <c r="FC29" s="578" t="str">
        <f t="shared" si="108"/>
        <v/>
      </c>
      <c r="FD29" s="578" t="str">
        <f t="shared" si="109"/>
        <v/>
      </c>
      <c r="FE29" s="578" t="str">
        <f t="shared" si="110"/>
        <v/>
      </c>
      <c r="FF29" s="578" t="str">
        <f t="shared" si="111"/>
        <v/>
      </c>
      <c r="FG29" s="578" t="str">
        <f t="shared" si="112"/>
        <v/>
      </c>
      <c r="FH29" s="578" t="str">
        <f t="shared" si="113"/>
        <v/>
      </c>
      <c r="FI29" s="578" t="str">
        <f t="shared" si="114"/>
        <v/>
      </c>
      <c r="FJ29" s="578" t="str">
        <f t="shared" si="115"/>
        <v/>
      </c>
      <c r="FK29" s="578" t="str">
        <f t="shared" si="116"/>
        <v/>
      </c>
      <c r="FL29" s="578" t="str">
        <f t="shared" si="117"/>
        <v/>
      </c>
      <c r="FM29" s="578" t="str">
        <f t="shared" si="118"/>
        <v/>
      </c>
      <c r="FN29" s="578" t="str">
        <f t="shared" si="119"/>
        <v/>
      </c>
      <c r="FO29" s="578" t="str">
        <f t="shared" si="120"/>
        <v/>
      </c>
      <c r="FP29" s="578" t="str">
        <f t="shared" si="121"/>
        <v/>
      </c>
      <c r="FQ29" s="578" t="str">
        <f t="shared" si="122"/>
        <v/>
      </c>
      <c r="FR29" s="578" t="str">
        <f t="shared" si="123"/>
        <v/>
      </c>
      <c r="FS29" s="578" t="str">
        <f t="shared" si="124"/>
        <v/>
      </c>
      <c r="FT29" s="578" t="str">
        <f t="shared" si="125"/>
        <v/>
      </c>
      <c r="FU29" s="578" t="str">
        <f t="shared" si="126"/>
        <v/>
      </c>
      <c r="FV29" s="578" t="str">
        <f t="shared" si="127"/>
        <v/>
      </c>
      <c r="FW29" s="578" t="str">
        <f t="shared" si="128"/>
        <v/>
      </c>
      <c r="FX29" s="578" t="str">
        <f t="shared" si="129"/>
        <v/>
      </c>
      <c r="FY29" s="578" t="str">
        <f t="shared" si="130"/>
        <v/>
      </c>
      <c r="FZ29" s="578" t="str">
        <f t="shared" si="131"/>
        <v/>
      </c>
      <c r="GA29" s="578" t="str">
        <f t="shared" si="132"/>
        <v/>
      </c>
      <c r="GB29" s="578" t="str">
        <f t="shared" si="133"/>
        <v/>
      </c>
      <c r="GC29" s="578" t="str">
        <f t="shared" si="134"/>
        <v/>
      </c>
      <c r="GD29" s="578" t="str">
        <f t="shared" si="135"/>
        <v/>
      </c>
      <c r="GE29" s="578" t="str">
        <f t="shared" si="136"/>
        <v/>
      </c>
      <c r="GF29" s="578" t="str">
        <f t="shared" si="137"/>
        <v/>
      </c>
      <c r="GG29" s="578" t="str">
        <f t="shared" si="138"/>
        <v/>
      </c>
      <c r="GH29" s="578" t="str">
        <f t="shared" si="139"/>
        <v/>
      </c>
      <c r="GI29" s="578" t="str">
        <f t="shared" si="140"/>
        <v/>
      </c>
      <c r="GJ29" s="578" t="str">
        <f t="shared" si="141"/>
        <v/>
      </c>
      <c r="GK29" s="578" t="str">
        <f t="shared" si="142"/>
        <v/>
      </c>
      <c r="GL29" s="578" t="str">
        <f t="shared" si="143"/>
        <v/>
      </c>
      <c r="GM29" s="578" t="str">
        <f t="shared" si="144"/>
        <v/>
      </c>
      <c r="GN29" s="578" t="str">
        <f t="shared" si="145"/>
        <v/>
      </c>
      <c r="GO29" s="579" t="str">
        <f t="shared" si="146"/>
        <v/>
      </c>
      <c r="GP29" s="579" t="str">
        <f t="shared" si="147"/>
        <v/>
      </c>
      <c r="GQ29" s="579" t="str">
        <f t="shared" si="148"/>
        <v/>
      </c>
      <c r="GR29" s="579" t="str">
        <f t="shared" si="149"/>
        <v/>
      </c>
      <c r="GS29" s="579" t="str">
        <f t="shared" si="150"/>
        <v/>
      </c>
      <c r="GT29" s="568" t="str">
        <f t="shared" si="151"/>
        <v/>
      </c>
      <c r="GU29" s="568" t="str">
        <f t="shared" si="152"/>
        <v/>
      </c>
      <c r="GV29" s="568" t="str">
        <f t="shared" si="153"/>
        <v/>
      </c>
      <c r="GW29" s="568" t="str">
        <f t="shared" si="154"/>
        <v/>
      </c>
      <c r="GX29" s="568" t="str">
        <f t="shared" si="155"/>
        <v/>
      </c>
      <c r="GY29" s="568" t="str">
        <f t="shared" si="156"/>
        <v/>
      </c>
      <c r="GZ29" s="568" t="str">
        <f t="shared" si="157"/>
        <v/>
      </c>
      <c r="HA29" s="568" t="str">
        <f t="shared" si="158"/>
        <v/>
      </c>
      <c r="HB29" s="568" t="str">
        <f t="shared" si="159"/>
        <v/>
      </c>
      <c r="HC29" s="568" t="str">
        <f t="shared" si="160"/>
        <v/>
      </c>
      <c r="HD29" s="568" t="str">
        <f t="shared" si="161"/>
        <v/>
      </c>
      <c r="HE29" s="568" t="str">
        <f t="shared" si="162"/>
        <v/>
      </c>
      <c r="HF29" s="568" t="str">
        <f t="shared" si="163"/>
        <v/>
      </c>
      <c r="HG29" s="568" t="str">
        <f t="shared" si="164"/>
        <v/>
      </c>
      <c r="HH29" s="568" t="str">
        <f t="shared" si="165"/>
        <v/>
      </c>
      <c r="HI29" s="568" t="str">
        <f t="shared" si="166"/>
        <v/>
      </c>
      <c r="HJ29" s="568" t="str">
        <f t="shared" si="167"/>
        <v/>
      </c>
      <c r="HK29" s="568" t="str">
        <f t="shared" si="168"/>
        <v/>
      </c>
      <c r="HL29" s="568" t="str">
        <f t="shared" si="169"/>
        <v/>
      </c>
      <c r="HM29" s="568" t="str">
        <f t="shared" si="170"/>
        <v/>
      </c>
    </row>
    <row r="30" spans="1:221" ht="13.15" customHeight="1">
      <c r="A30" s="126" t="str">
        <f t="shared" si="171"/>
        <v/>
      </c>
      <c r="B30" s="1748" t="s">
        <v>1895</v>
      </c>
      <c r="C30" s="1749"/>
      <c r="D30" s="1750"/>
      <c r="E30" s="1751"/>
      <c r="F30" s="1751"/>
      <c r="G30" s="1751"/>
      <c r="H30" s="1751"/>
      <c r="I30" s="1751"/>
      <c r="J30" s="1752"/>
      <c r="K30" s="199">
        <f t="shared" si="204"/>
        <v>0</v>
      </c>
      <c r="L30" s="199">
        <f t="shared" si="0"/>
        <v>0</v>
      </c>
      <c r="M30" s="1753"/>
      <c r="N30" s="1753"/>
      <c r="O30" s="1753"/>
      <c r="P30" s="519" t="str">
        <f t="shared" si="203"/>
        <v/>
      </c>
      <c r="Q30" s="520" t="str">
        <f>IF(H30="","",P30/($P$6*VLOOKUP(C30,'DCA Underwriting Assumptions'!$J$82:$K$87,2,FALSE)))</f>
        <v/>
      </c>
      <c r="R30" s="605"/>
      <c r="S30" s="520"/>
      <c r="T30" s="1754"/>
      <c r="U30" s="1755"/>
      <c r="V30" s="568" t="str">
        <f t="shared" si="1"/>
        <v/>
      </c>
      <c r="W30" s="568" t="str">
        <f t="shared" si="2"/>
        <v/>
      </c>
      <c r="X30" s="568" t="str">
        <f t="shared" si="3"/>
        <v/>
      </c>
      <c r="Y30" s="568" t="str">
        <f t="shared" si="4"/>
        <v/>
      </c>
      <c r="Z30" s="568" t="str">
        <f t="shared" si="5"/>
        <v/>
      </c>
      <c r="AA30" s="568" t="str">
        <f t="shared" si="6"/>
        <v/>
      </c>
      <c r="AB30" s="568" t="str">
        <f t="shared" si="7"/>
        <v/>
      </c>
      <c r="AC30" s="568" t="str">
        <f t="shared" si="8"/>
        <v/>
      </c>
      <c r="AD30" s="568" t="str">
        <f t="shared" si="9"/>
        <v/>
      </c>
      <c r="AE30" s="568" t="str">
        <f t="shared" si="10"/>
        <v/>
      </c>
      <c r="AF30" s="568" t="str">
        <f t="shared" si="11"/>
        <v/>
      </c>
      <c r="AG30" s="568" t="str">
        <f t="shared" si="12"/>
        <v/>
      </c>
      <c r="AH30" s="568" t="str">
        <f t="shared" si="13"/>
        <v/>
      </c>
      <c r="AI30" s="568" t="str">
        <f t="shared" si="14"/>
        <v/>
      </c>
      <c r="AJ30" s="568" t="str">
        <f t="shared" si="15"/>
        <v/>
      </c>
      <c r="AK30" s="568" t="str">
        <f t="shared" si="16"/>
        <v/>
      </c>
      <c r="AL30" s="568" t="str">
        <f t="shared" si="17"/>
        <v/>
      </c>
      <c r="AM30" s="568" t="str">
        <f t="shared" si="18"/>
        <v/>
      </c>
      <c r="AN30" s="568" t="str">
        <f t="shared" si="19"/>
        <v/>
      </c>
      <c r="AO30" s="568" t="str">
        <f t="shared" si="20"/>
        <v/>
      </c>
      <c r="AP30" s="568" t="str">
        <f t="shared" si="173"/>
        <v/>
      </c>
      <c r="AQ30" s="568" t="str">
        <f t="shared" si="174"/>
        <v/>
      </c>
      <c r="AR30" s="568" t="str">
        <f t="shared" si="175"/>
        <v/>
      </c>
      <c r="AS30" s="568" t="str">
        <f t="shared" si="176"/>
        <v/>
      </c>
      <c r="AT30" s="568" t="str">
        <f t="shared" si="177"/>
        <v/>
      </c>
      <c r="AU30" s="568" t="str">
        <f t="shared" si="178"/>
        <v/>
      </c>
      <c r="AV30" s="568" t="str">
        <f t="shared" si="179"/>
        <v/>
      </c>
      <c r="AW30" s="568" t="str">
        <f t="shared" si="180"/>
        <v/>
      </c>
      <c r="AX30" s="568" t="str">
        <f t="shared" si="181"/>
        <v/>
      </c>
      <c r="AY30" s="568" t="str">
        <f t="shared" si="182"/>
        <v/>
      </c>
      <c r="AZ30" s="568" t="str">
        <f t="shared" si="183"/>
        <v/>
      </c>
      <c r="BA30" s="568" t="str">
        <f t="shared" si="184"/>
        <v/>
      </c>
      <c r="BB30" s="568" t="str">
        <f t="shared" si="185"/>
        <v/>
      </c>
      <c r="BC30" s="568" t="str">
        <f t="shared" si="186"/>
        <v/>
      </c>
      <c r="BD30" s="568" t="str">
        <f t="shared" si="187"/>
        <v/>
      </c>
      <c r="BE30" s="568" t="str">
        <f t="shared" si="188"/>
        <v/>
      </c>
      <c r="BF30" s="568" t="str">
        <f t="shared" si="189"/>
        <v/>
      </c>
      <c r="BG30" s="568" t="str">
        <f t="shared" si="190"/>
        <v/>
      </c>
      <c r="BH30" s="568" t="str">
        <f t="shared" si="191"/>
        <v/>
      </c>
      <c r="BI30" s="568" t="str">
        <f t="shared" si="192"/>
        <v/>
      </c>
      <c r="BJ30" s="568" t="str">
        <f t="shared" si="193"/>
        <v/>
      </c>
      <c r="BK30" s="568" t="str">
        <f t="shared" si="194"/>
        <v/>
      </c>
      <c r="BL30" s="568" t="str">
        <f t="shared" si="195"/>
        <v/>
      </c>
      <c r="BM30" s="568" t="str">
        <f t="shared" si="196"/>
        <v/>
      </c>
      <c r="BN30" s="568" t="str">
        <f t="shared" si="197"/>
        <v/>
      </c>
      <c r="BO30" s="568" t="str">
        <f t="shared" si="198"/>
        <v/>
      </c>
      <c r="BP30" s="568" t="str">
        <f t="shared" si="199"/>
        <v/>
      </c>
      <c r="BQ30" s="568" t="str">
        <f t="shared" si="200"/>
        <v/>
      </c>
      <c r="BR30" s="568" t="str">
        <f t="shared" si="201"/>
        <v/>
      </c>
      <c r="BS30" s="568" t="str">
        <f t="shared" si="202"/>
        <v/>
      </c>
      <c r="BT30" s="568" t="str">
        <f t="shared" si="21"/>
        <v/>
      </c>
      <c r="BU30" s="568" t="str">
        <f t="shared" si="22"/>
        <v/>
      </c>
      <c r="BV30" s="568" t="str">
        <f t="shared" si="23"/>
        <v/>
      </c>
      <c r="BW30" s="568" t="str">
        <f t="shared" si="24"/>
        <v/>
      </c>
      <c r="BX30" s="568" t="str">
        <f t="shared" si="25"/>
        <v/>
      </c>
      <c r="BY30" s="568" t="str">
        <f t="shared" si="26"/>
        <v/>
      </c>
      <c r="BZ30" s="568" t="str">
        <f t="shared" si="27"/>
        <v/>
      </c>
      <c r="CA30" s="568" t="str">
        <f t="shared" si="28"/>
        <v/>
      </c>
      <c r="CB30" s="568" t="str">
        <f t="shared" si="29"/>
        <v/>
      </c>
      <c r="CC30" s="568" t="str">
        <f t="shared" si="30"/>
        <v/>
      </c>
      <c r="CD30" s="568" t="str">
        <f t="shared" si="31"/>
        <v/>
      </c>
      <c r="CE30" s="568" t="str">
        <f t="shared" si="32"/>
        <v/>
      </c>
      <c r="CF30" s="568" t="str">
        <f t="shared" si="33"/>
        <v/>
      </c>
      <c r="CG30" s="568" t="str">
        <f t="shared" si="34"/>
        <v/>
      </c>
      <c r="CH30" s="568" t="str">
        <f t="shared" si="35"/>
        <v/>
      </c>
      <c r="CI30" s="568" t="str">
        <f t="shared" si="36"/>
        <v/>
      </c>
      <c r="CJ30" s="568" t="str">
        <f t="shared" si="37"/>
        <v/>
      </c>
      <c r="CK30" s="568" t="str">
        <f t="shared" si="38"/>
        <v/>
      </c>
      <c r="CL30" s="568" t="str">
        <f t="shared" si="39"/>
        <v/>
      </c>
      <c r="CM30" s="568" t="str">
        <f t="shared" si="40"/>
        <v/>
      </c>
      <c r="CN30" s="568" t="str">
        <f t="shared" si="41"/>
        <v/>
      </c>
      <c r="CO30" s="568" t="str">
        <f t="shared" si="42"/>
        <v/>
      </c>
      <c r="CP30" s="568" t="str">
        <f t="shared" si="43"/>
        <v/>
      </c>
      <c r="CQ30" s="568" t="str">
        <f t="shared" si="44"/>
        <v/>
      </c>
      <c r="CR30" s="568" t="str">
        <f t="shared" si="45"/>
        <v/>
      </c>
      <c r="CS30" s="568" t="str">
        <f t="shared" si="46"/>
        <v/>
      </c>
      <c r="CT30" s="568" t="str">
        <f t="shared" si="47"/>
        <v/>
      </c>
      <c r="CU30" s="568" t="str">
        <f t="shared" si="48"/>
        <v/>
      </c>
      <c r="CV30" s="568" t="str">
        <f t="shared" si="49"/>
        <v/>
      </c>
      <c r="CW30" s="568" t="str">
        <f t="shared" si="50"/>
        <v/>
      </c>
      <c r="CX30" s="568" t="str">
        <f t="shared" si="51"/>
        <v/>
      </c>
      <c r="CY30" s="568" t="str">
        <f t="shared" si="52"/>
        <v/>
      </c>
      <c r="CZ30" s="568" t="str">
        <f t="shared" si="53"/>
        <v/>
      </c>
      <c r="DA30" s="568" t="str">
        <f t="shared" si="54"/>
        <v/>
      </c>
      <c r="DB30" s="568" t="str">
        <f t="shared" si="55"/>
        <v/>
      </c>
      <c r="DC30" s="568" t="str">
        <f t="shared" si="56"/>
        <v/>
      </c>
      <c r="DD30" s="568" t="str">
        <f t="shared" si="57"/>
        <v/>
      </c>
      <c r="DE30" s="568" t="str">
        <f t="shared" si="58"/>
        <v/>
      </c>
      <c r="DF30" s="568" t="str">
        <f t="shared" si="59"/>
        <v/>
      </c>
      <c r="DG30" s="568" t="str">
        <f t="shared" si="60"/>
        <v/>
      </c>
      <c r="DH30" s="568" t="str">
        <f t="shared" si="61"/>
        <v/>
      </c>
      <c r="DI30" s="568" t="str">
        <f t="shared" si="62"/>
        <v/>
      </c>
      <c r="DJ30" s="568" t="str">
        <f t="shared" si="63"/>
        <v/>
      </c>
      <c r="DK30" s="568" t="str">
        <f t="shared" si="64"/>
        <v/>
      </c>
      <c r="DL30" s="568" t="str">
        <f t="shared" si="65"/>
        <v/>
      </c>
      <c r="DM30" s="568" t="str">
        <f t="shared" si="66"/>
        <v/>
      </c>
      <c r="DN30" s="568" t="str">
        <f t="shared" si="67"/>
        <v/>
      </c>
      <c r="DO30" s="568" t="str">
        <f t="shared" si="68"/>
        <v/>
      </c>
      <c r="DP30" s="568" t="str">
        <f t="shared" si="69"/>
        <v/>
      </c>
      <c r="DQ30" s="568" t="str">
        <f t="shared" si="70"/>
        <v/>
      </c>
      <c r="DR30" s="568" t="str">
        <f t="shared" si="71"/>
        <v/>
      </c>
      <c r="DS30" s="568" t="str">
        <f t="shared" si="72"/>
        <v/>
      </c>
      <c r="DT30" s="568" t="str">
        <f t="shared" si="73"/>
        <v/>
      </c>
      <c r="DU30" s="568" t="str">
        <f t="shared" si="74"/>
        <v/>
      </c>
      <c r="DV30" s="568" t="str">
        <f t="shared" si="75"/>
        <v/>
      </c>
      <c r="DW30" s="568" t="str">
        <f t="shared" si="76"/>
        <v/>
      </c>
      <c r="DX30" s="568" t="str">
        <f t="shared" si="77"/>
        <v/>
      </c>
      <c r="DY30" s="568" t="str">
        <f t="shared" si="78"/>
        <v/>
      </c>
      <c r="DZ30" s="568" t="str">
        <f t="shared" si="79"/>
        <v/>
      </c>
      <c r="EA30" s="568" t="str">
        <f t="shared" si="80"/>
        <v/>
      </c>
      <c r="EB30" s="568" t="str">
        <f t="shared" si="81"/>
        <v/>
      </c>
      <c r="EC30" s="568" t="str">
        <f t="shared" si="82"/>
        <v/>
      </c>
      <c r="ED30" s="568" t="str">
        <f t="shared" si="83"/>
        <v/>
      </c>
      <c r="EE30" s="568" t="str">
        <f t="shared" si="84"/>
        <v/>
      </c>
      <c r="EF30" s="568" t="str">
        <f t="shared" si="85"/>
        <v/>
      </c>
      <c r="EG30" s="568" t="str">
        <f t="shared" si="86"/>
        <v/>
      </c>
      <c r="EH30" s="568" t="str">
        <f t="shared" si="87"/>
        <v/>
      </c>
      <c r="EI30" s="568" t="str">
        <f t="shared" si="88"/>
        <v/>
      </c>
      <c r="EJ30" s="568" t="str">
        <f t="shared" si="89"/>
        <v/>
      </c>
      <c r="EK30" s="568" t="str">
        <f t="shared" si="90"/>
        <v/>
      </c>
      <c r="EL30" s="568" t="str">
        <f t="shared" si="91"/>
        <v/>
      </c>
      <c r="EM30" s="568" t="str">
        <f t="shared" si="92"/>
        <v/>
      </c>
      <c r="EN30" s="568" t="str">
        <f t="shared" si="93"/>
        <v/>
      </c>
      <c r="EO30" s="568" t="str">
        <f t="shared" si="94"/>
        <v/>
      </c>
      <c r="EP30" s="568" t="str">
        <f t="shared" si="95"/>
        <v/>
      </c>
      <c r="EQ30" s="568" t="str">
        <f t="shared" si="96"/>
        <v/>
      </c>
      <c r="ER30" s="568" t="str">
        <f t="shared" si="97"/>
        <v/>
      </c>
      <c r="ES30" s="568" t="str">
        <f t="shared" si="98"/>
        <v/>
      </c>
      <c r="ET30" s="568" t="str">
        <f t="shared" si="99"/>
        <v/>
      </c>
      <c r="EU30" s="568" t="str">
        <f t="shared" si="100"/>
        <v/>
      </c>
      <c r="EV30" s="578" t="str">
        <f t="shared" si="101"/>
        <v/>
      </c>
      <c r="EW30" s="578" t="str">
        <f t="shared" si="102"/>
        <v/>
      </c>
      <c r="EX30" s="578" t="str">
        <f t="shared" si="103"/>
        <v/>
      </c>
      <c r="EY30" s="578" t="str">
        <f t="shared" si="104"/>
        <v/>
      </c>
      <c r="EZ30" s="578" t="str">
        <f t="shared" si="105"/>
        <v/>
      </c>
      <c r="FA30" s="578" t="str">
        <f t="shared" si="106"/>
        <v/>
      </c>
      <c r="FB30" s="578" t="str">
        <f t="shared" si="107"/>
        <v/>
      </c>
      <c r="FC30" s="578" t="str">
        <f t="shared" si="108"/>
        <v/>
      </c>
      <c r="FD30" s="578" t="str">
        <f t="shared" si="109"/>
        <v/>
      </c>
      <c r="FE30" s="578" t="str">
        <f t="shared" si="110"/>
        <v/>
      </c>
      <c r="FF30" s="578" t="str">
        <f t="shared" si="111"/>
        <v/>
      </c>
      <c r="FG30" s="578" t="str">
        <f t="shared" si="112"/>
        <v/>
      </c>
      <c r="FH30" s="578" t="str">
        <f t="shared" si="113"/>
        <v/>
      </c>
      <c r="FI30" s="578" t="str">
        <f t="shared" si="114"/>
        <v/>
      </c>
      <c r="FJ30" s="578" t="str">
        <f t="shared" si="115"/>
        <v/>
      </c>
      <c r="FK30" s="578" t="str">
        <f t="shared" si="116"/>
        <v/>
      </c>
      <c r="FL30" s="578" t="str">
        <f t="shared" si="117"/>
        <v/>
      </c>
      <c r="FM30" s="578" t="str">
        <f t="shared" si="118"/>
        <v/>
      </c>
      <c r="FN30" s="578" t="str">
        <f t="shared" si="119"/>
        <v/>
      </c>
      <c r="FO30" s="578" t="str">
        <f t="shared" si="120"/>
        <v/>
      </c>
      <c r="FP30" s="578" t="str">
        <f t="shared" si="121"/>
        <v/>
      </c>
      <c r="FQ30" s="578" t="str">
        <f t="shared" si="122"/>
        <v/>
      </c>
      <c r="FR30" s="578" t="str">
        <f t="shared" si="123"/>
        <v/>
      </c>
      <c r="FS30" s="578" t="str">
        <f t="shared" si="124"/>
        <v/>
      </c>
      <c r="FT30" s="578" t="str">
        <f t="shared" si="125"/>
        <v/>
      </c>
      <c r="FU30" s="578" t="str">
        <f t="shared" si="126"/>
        <v/>
      </c>
      <c r="FV30" s="578" t="str">
        <f t="shared" si="127"/>
        <v/>
      </c>
      <c r="FW30" s="578" t="str">
        <f t="shared" si="128"/>
        <v/>
      </c>
      <c r="FX30" s="578" t="str">
        <f t="shared" si="129"/>
        <v/>
      </c>
      <c r="FY30" s="578" t="str">
        <f t="shared" si="130"/>
        <v/>
      </c>
      <c r="FZ30" s="578" t="str">
        <f t="shared" si="131"/>
        <v/>
      </c>
      <c r="GA30" s="578" t="str">
        <f t="shared" si="132"/>
        <v/>
      </c>
      <c r="GB30" s="578" t="str">
        <f t="shared" si="133"/>
        <v/>
      </c>
      <c r="GC30" s="578" t="str">
        <f t="shared" si="134"/>
        <v/>
      </c>
      <c r="GD30" s="578" t="str">
        <f t="shared" si="135"/>
        <v/>
      </c>
      <c r="GE30" s="578" t="str">
        <f t="shared" si="136"/>
        <v/>
      </c>
      <c r="GF30" s="578" t="str">
        <f t="shared" si="137"/>
        <v/>
      </c>
      <c r="GG30" s="578" t="str">
        <f t="shared" si="138"/>
        <v/>
      </c>
      <c r="GH30" s="578" t="str">
        <f t="shared" si="139"/>
        <v/>
      </c>
      <c r="GI30" s="578" t="str">
        <f t="shared" si="140"/>
        <v/>
      </c>
      <c r="GJ30" s="578" t="str">
        <f t="shared" si="141"/>
        <v/>
      </c>
      <c r="GK30" s="578" t="str">
        <f t="shared" si="142"/>
        <v/>
      </c>
      <c r="GL30" s="578" t="str">
        <f t="shared" si="143"/>
        <v/>
      </c>
      <c r="GM30" s="578" t="str">
        <f t="shared" si="144"/>
        <v/>
      </c>
      <c r="GN30" s="578" t="str">
        <f t="shared" si="145"/>
        <v/>
      </c>
      <c r="GO30" s="579" t="str">
        <f t="shared" si="146"/>
        <v/>
      </c>
      <c r="GP30" s="579" t="str">
        <f t="shared" si="147"/>
        <v/>
      </c>
      <c r="GQ30" s="579" t="str">
        <f t="shared" si="148"/>
        <v/>
      </c>
      <c r="GR30" s="579" t="str">
        <f t="shared" si="149"/>
        <v/>
      </c>
      <c r="GS30" s="579" t="str">
        <f t="shared" si="150"/>
        <v/>
      </c>
      <c r="GT30" s="568" t="str">
        <f t="shared" si="151"/>
        <v/>
      </c>
      <c r="GU30" s="568" t="str">
        <f t="shared" si="152"/>
        <v/>
      </c>
      <c r="GV30" s="568" t="str">
        <f t="shared" si="153"/>
        <v/>
      </c>
      <c r="GW30" s="568" t="str">
        <f t="shared" si="154"/>
        <v/>
      </c>
      <c r="GX30" s="568" t="str">
        <f t="shared" si="155"/>
        <v/>
      </c>
      <c r="GY30" s="568" t="str">
        <f t="shared" si="156"/>
        <v/>
      </c>
      <c r="GZ30" s="568" t="str">
        <f t="shared" si="157"/>
        <v/>
      </c>
      <c r="HA30" s="568" t="str">
        <f t="shared" si="158"/>
        <v/>
      </c>
      <c r="HB30" s="568" t="str">
        <f t="shared" si="159"/>
        <v/>
      </c>
      <c r="HC30" s="568" t="str">
        <f t="shared" si="160"/>
        <v/>
      </c>
      <c r="HD30" s="568" t="str">
        <f t="shared" si="161"/>
        <v/>
      </c>
      <c r="HE30" s="568" t="str">
        <f t="shared" si="162"/>
        <v/>
      </c>
      <c r="HF30" s="568" t="str">
        <f t="shared" si="163"/>
        <v/>
      </c>
      <c r="HG30" s="568" t="str">
        <f t="shared" si="164"/>
        <v/>
      </c>
      <c r="HH30" s="568" t="str">
        <f t="shared" si="165"/>
        <v/>
      </c>
      <c r="HI30" s="568" t="str">
        <f t="shared" si="166"/>
        <v/>
      </c>
      <c r="HJ30" s="568" t="str">
        <f t="shared" si="167"/>
        <v/>
      </c>
      <c r="HK30" s="568" t="str">
        <f t="shared" si="168"/>
        <v/>
      </c>
      <c r="HL30" s="568" t="str">
        <f t="shared" si="169"/>
        <v/>
      </c>
      <c r="HM30" s="568" t="str">
        <f t="shared" si="170"/>
        <v/>
      </c>
    </row>
    <row r="31" spans="1:221" ht="13.15" customHeight="1">
      <c r="A31" s="126" t="str">
        <f t="shared" si="171"/>
        <v/>
      </c>
      <c r="B31" s="1748" t="s">
        <v>1895</v>
      </c>
      <c r="C31" s="1749"/>
      <c r="D31" s="1750"/>
      <c r="E31" s="1751"/>
      <c r="F31" s="1751"/>
      <c r="G31" s="1751"/>
      <c r="H31" s="1751"/>
      <c r="I31" s="1751"/>
      <c r="J31" s="1752"/>
      <c r="K31" s="199">
        <f t="shared" si="204"/>
        <v>0</v>
      </c>
      <c r="L31" s="199">
        <f t="shared" si="0"/>
        <v>0</v>
      </c>
      <c r="M31" s="1753"/>
      <c r="N31" s="1753"/>
      <c r="O31" s="1753"/>
      <c r="P31" s="519" t="str">
        <f t="shared" si="203"/>
        <v/>
      </c>
      <c r="Q31" s="520" t="str">
        <f>IF(H31="","",P31/($P$6*VLOOKUP(C31,'DCA Underwriting Assumptions'!$J$82:$K$87,2,FALSE)))</f>
        <v/>
      </c>
      <c r="R31" s="605"/>
      <c r="S31" s="520"/>
      <c r="T31" s="1754"/>
      <c r="U31" s="1755"/>
      <c r="V31" s="568" t="str">
        <f t="shared" si="1"/>
        <v/>
      </c>
      <c r="W31" s="568" t="str">
        <f t="shared" si="2"/>
        <v/>
      </c>
      <c r="X31" s="568" t="str">
        <f t="shared" si="3"/>
        <v/>
      </c>
      <c r="Y31" s="568" t="str">
        <f t="shared" si="4"/>
        <v/>
      </c>
      <c r="Z31" s="568" t="str">
        <f t="shared" si="5"/>
        <v/>
      </c>
      <c r="AA31" s="568" t="str">
        <f t="shared" si="6"/>
        <v/>
      </c>
      <c r="AB31" s="568" t="str">
        <f t="shared" si="7"/>
        <v/>
      </c>
      <c r="AC31" s="568" t="str">
        <f t="shared" si="8"/>
        <v/>
      </c>
      <c r="AD31" s="568" t="str">
        <f t="shared" si="9"/>
        <v/>
      </c>
      <c r="AE31" s="568" t="str">
        <f t="shared" si="10"/>
        <v/>
      </c>
      <c r="AF31" s="568" t="str">
        <f t="shared" si="11"/>
        <v/>
      </c>
      <c r="AG31" s="568" t="str">
        <f t="shared" si="12"/>
        <v/>
      </c>
      <c r="AH31" s="568" t="str">
        <f t="shared" si="13"/>
        <v/>
      </c>
      <c r="AI31" s="568" t="str">
        <f t="shared" si="14"/>
        <v/>
      </c>
      <c r="AJ31" s="568" t="str">
        <f t="shared" si="15"/>
        <v/>
      </c>
      <c r="AK31" s="568" t="str">
        <f t="shared" si="16"/>
        <v/>
      </c>
      <c r="AL31" s="568" t="str">
        <f t="shared" si="17"/>
        <v/>
      </c>
      <c r="AM31" s="568" t="str">
        <f t="shared" si="18"/>
        <v/>
      </c>
      <c r="AN31" s="568" t="str">
        <f t="shared" si="19"/>
        <v/>
      </c>
      <c r="AO31" s="568" t="str">
        <f t="shared" si="20"/>
        <v/>
      </c>
      <c r="AP31" s="568" t="str">
        <f t="shared" si="173"/>
        <v/>
      </c>
      <c r="AQ31" s="568" t="str">
        <f t="shared" si="174"/>
        <v/>
      </c>
      <c r="AR31" s="568" t="str">
        <f t="shared" si="175"/>
        <v/>
      </c>
      <c r="AS31" s="568" t="str">
        <f t="shared" si="176"/>
        <v/>
      </c>
      <c r="AT31" s="568" t="str">
        <f t="shared" si="177"/>
        <v/>
      </c>
      <c r="AU31" s="568" t="str">
        <f t="shared" si="178"/>
        <v/>
      </c>
      <c r="AV31" s="568" t="str">
        <f t="shared" si="179"/>
        <v/>
      </c>
      <c r="AW31" s="568" t="str">
        <f t="shared" si="180"/>
        <v/>
      </c>
      <c r="AX31" s="568" t="str">
        <f t="shared" si="181"/>
        <v/>
      </c>
      <c r="AY31" s="568" t="str">
        <f t="shared" si="182"/>
        <v/>
      </c>
      <c r="AZ31" s="568" t="str">
        <f t="shared" si="183"/>
        <v/>
      </c>
      <c r="BA31" s="568" t="str">
        <f t="shared" si="184"/>
        <v/>
      </c>
      <c r="BB31" s="568" t="str">
        <f t="shared" si="185"/>
        <v/>
      </c>
      <c r="BC31" s="568" t="str">
        <f t="shared" si="186"/>
        <v/>
      </c>
      <c r="BD31" s="568" t="str">
        <f t="shared" si="187"/>
        <v/>
      </c>
      <c r="BE31" s="568" t="str">
        <f t="shared" si="188"/>
        <v/>
      </c>
      <c r="BF31" s="568" t="str">
        <f t="shared" si="189"/>
        <v/>
      </c>
      <c r="BG31" s="568" t="str">
        <f t="shared" si="190"/>
        <v/>
      </c>
      <c r="BH31" s="568" t="str">
        <f t="shared" si="191"/>
        <v/>
      </c>
      <c r="BI31" s="568" t="str">
        <f t="shared" si="192"/>
        <v/>
      </c>
      <c r="BJ31" s="568" t="str">
        <f t="shared" si="193"/>
        <v/>
      </c>
      <c r="BK31" s="568" t="str">
        <f t="shared" si="194"/>
        <v/>
      </c>
      <c r="BL31" s="568" t="str">
        <f t="shared" si="195"/>
        <v/>
      </c>
      <c r="BM31" s="568" t="str">
        <f t="shared" si="196"/>
        <v/>
      </c>
      <c r="BN31" s="568" t="str">
        <f t="shared" si="197"/>
        <v/>
      </c>
      <c r="BO31" s="568" t="str">
        <f t="shared" si="198"/>
        <v/>
      </c>
      <c r="BP31" s="568" t="str">
        <f t="shared" si="199"/>
        <v/>
      </c>
      <c r="BQ31" s="568" t="str">
        <f t="shared" si="200"/>
        <v/>
      </c>
      <c r="BR31" s="568" t="str">
        <f t="shared" si="201"/>
        <v/>
      </c>
      <c r="BS31" s="568" t="str">
        <f t="shared" si="202"/>
        <v/>
      </c>
      <c r="BT31" s="568" t="str">
        <f t="shared" si="21"/>
        <v/>
      </c>
      <c r="BU31" s="568" t="str">
        <f t="shared" si="22"/>
        <v/>
      </c>
      <c r="BV31" s="568" t="str">
        <f t="shared" si="23"/>
        <v/>
      </c>
      <c r="BW31" s="568" t="str">
        <f t="shared" si="24"/>
        <v/>
      </c>
      <c r="BX31" s="568" t="str">
        <f t="shared" si="25"/>
        <v/>
      </c>
      <c r="BY31" s="568" t="str">
        <f t="shared" si="26"/>
        <v/>
      </c>
      <c r="BZ31" s="568" t="str">
        <f t="shared" si="27"/>
        <v/>
      </c>
      <c r="CA31" s="568" t="str">
        <f t="shared" si="28"/>
        <v/>
      </c>
      <c r="CB31" s="568" t="str">
        <f t="shared" si="29"/>
        <v/>
      </c>
      <c r="CC31" s="568" t="str">
        <f t="shared" si="30"/>
        <v/>
      </c>
      <c r="CD31" s="568" t="str">
        <f t="shared" si="31"/>
        <v/>
      </c>
      <c r="CE31" s="568" t="str">
        <f t="shared" si="32"/>
        <v/>
      </c>
      <c r="CF31" s="568" t="str">
        <f t="shared" si="33"/>
        <v/>
      </c>
      <c r="CG31" s="568" t="str">
        <f t="shared" si="34"/>
        <v/>
      </c>
      <c r="CH31" s="568" t="str">
        <f t="shared" si="35"/>
        <v/>
      </c>
      <c r="CI31" s="568" t="str">
        <f t="shared" si="36"/>
        <v/>
      </c>
      <c r="CJ31" s="568" t="str">
        <f t="shared" si="37"/>
        <v/>
      </c>
      <c r="CK31" s="568" t="str">
        <f t="shared" si="38"/>
        <v/>
      </c>
      <c r="CL31" s="568" t="str">
        <f t="shared" si="39"/>
        <v/>
      </c>
      <c r="CM31" s="568" t="str">
        <f t="shared" si="40"/>
        <v/>
      </c>
      <c r="CN31" s="568" t="str">
        <f t="shared" si="41"/>
        <v/>
      </c>
      <c r="CO31" s="568" t="str">
        <f t="shared" si="42"/>
        <v/>
      </c>
      <c r="CP31" s="568" t="str">
        <f t="shared" si="43"/>
        <v/>
      </c>
      <c r="CQ31" s="568" t="str">
        <f t="shared" si="44"/>
        <v/>
      </c>
      <c r="CR31" s="568" t="str">
        <f t="shared" si="45"/>
        <v/>
      </c>
      <c r="CS31" s="568" t="str">
        <f t="shared" si="46"/>
        <v/>
      </c>
      <c r="CT31" s="568" t="str">
        <f t="shared" si="47"/>
        <v/>
      </c>
      <c r="CU31" s="568" t="str">
        <f t="shared" si="48"/>
        <v/>
      </c>
      <c r="CV31" s="568" t="str">
        <f t="shared" si="49"/>
        <v/>
      </c>
      <c r="CW31" s="568" t="str">
        <f t="shared" si="50"/>
        <v/>
      </c>
      <c r="CX31" s="568" t="str">
        <f t="shared" si="51"/>
        <v/>
      </c>
      <c r="CY31" s="568" t="str">
        <f t="shared" si="52"/>
        <v/>
      </c>
      <c r="CZ31" s="568" t="str">
        <f t="shared" si="53"/>
        <v/>
      </c>
      <c r="DA31" s="568" t="str">
        <f t="shared" si="54"/>
        <v/>
      </c>
      <c r="DB31" s="568" t="str">
        <f t="shared" si="55"/>
        <v/>
      </c>
      <c r="DC31" s="568" t="str">
        <f t="shared" si="56"/>
        <v/>
      </c>
      <c r="DD31" s="568" t="str">
        <f t="shared" si="57"/>
        <v/>
      </c>
      <c r="DE31" s="568" t="str">
        <f t="shared" si="58"/>
        <v/>
      </c>
      <c r="DF31" s="568" t="str">
        <f t="shared" si="59"/>
        <v/>
      </c>
      <c r="DG31" s="568" t="str">
        <f t="shared" si="60"/>
        <v/>
      </c>
      <c r="DH31" s="568" t="str">
        <f t="shared" si="61"/>
        <v/>
      </c>
      <c r="DI31" s="568" t="str">
        <f t="shared" si="62"/>
        <v/>
      </c>
      <c r="DJ31" s="568" t="str">
        <f t="shared" si="63"/>
        <v/>
      </c>
      <c r="DK31" s="568" t="str">
        <f t="shared" si="64"/>
        <v/>
      </c>
      <c r="DL31" s="568" t="str">
        <f t="shared" si="65"/>
        <v/>
      </c>
      <c r="DM31" s="568" t="str">
        <f t="shared" si="66"/>
        <v/>
      </c>
      <c r="DN31" s="568" t="str">
        <f t="shared" si="67"/>
        <v/>
      </c>
      <c r="DO31" s="568" t="str">
        <f t="shared" si="68"/>
        <v/>
      </c>
      <c r="DP31" s="568" t="str">
        <f t="shared" si="69"/>
        <v/>
      </c>
      <c r="DQ31" s="568" t="str">
        <f t="shared" si="70"/>
        <v/>
      </c>
      <c r="DR31" s="568" t="str">
        <f t="shared" si="71"/>
        <v/>
      </c>
      <c r="DS31" s="568" t="str">
        <f t="shared" si="72"/>
        <v/>
      </c>
      <c r="DT31" s="568" t="str">
        <f t="shared" si="73"/>
        <v/>
      </c>
      <c r="DU31" s="568" t="str">
        <f t="shared" si="74"/>
        <v/>
      </c>
      <c r="DV31" s="568" t="str">
        <f t="shared" si="75"/>
        <v/>
      </c>
      <c r="DW31" s="568" t="str">
        <f t="shared" si="76"/>
        <v/>
      </c>
      <c r="DX31" s="568" t="str">
        <f t="shared" si="77"/>
        <v/>
      </c>
      <c r="DY31" s="568" t="str">
        <f t="shared" si="78"/>
        <v/>
      </c>
      <c r="DZ31" s="568" t="str">
        <f t="shared" si="79"/>
        <v/>
      </c>
      <c r="EA31" s="568" t="str">
        <f t="shared" si="80"/>
        <v/>
      </c>
      <c r="EB31" s="568" t="str">
        <f t="shared" si="81"/>
        <v/>
      </c>
      <c r="EC31" s="568" t="str">
        <f t="shared" si="82"/>
        <v/>
      </c>
      <c r="ED31" s="568" t="str">
        <f t="shared" si="83"/>
        <v/>
      </c>
      <c r="EE31" s="568" t="str">
        <f t="shared" si="84"/>
        <v/>
      </c>
      <c r="EF31" s="568" t="str">
        <f t="shared" si="85"/>
        <v/>
      </c>
      <c r="EG31" s="568" t="str">
        <f t="shared" si="86"/>
        <v/>
      </c>
      <c r="EH31" s="568" t="str">
        <f t="shared" si="87"/>
        <v/>
      </c>
      <c r="EI31" s="568" t="str">
        <f t="shared" si="88"/>
        <v/>
      </c>
      <c r="EJ31" s="568" t="str">
        <f t="shared" si="89"/>
        <v/>
      </c>
      <c r="EK31" s="568" t="str">
        <f t="shared" si="90"/>
        <v/>
      </c>
      <c r="EL31" s="568" t="str">
        <f t="shared" si="91"/>
        <v/>
      </c>
      <c r="EM31" s="568" t="str">
        <f t="shared" si="92"/>
        <v/>
      </c>
      <c r="EN31" s="568" t="str">
        <f t="shared" si="93"/>
        <v/>
      </c>
      <c r="EO31" s="568" t="str">
        <f t="shared" si="94"/>
        <v/>
      </c>
      <c r="EP31" s="568" t="str">
        <f t="shared" si="95"/>
        <v/>
      </c>
      <c r="EQ31" s="568" t="str">
        <f t="shared" si="96"/>
        <v/>
      </c>
      <c r="ER31" s="568" t="str">
        <f t="shared" si="97"/>
        <v/>
      </c>
      <c r="ES31" s="568" t="str">
        <f t="shared" si="98"/>
        <v/>
      </c>
      <c r="ET31" s="568" t="str">
        <f t="shared" si="99"/>
        <v/>
      </c>
      <c r="EU31" s="568" t="str">
        <f t="shared" si="100"/>
        <v/>
      </c>
      <c r="EV31" s="578" t="str">
        <f t="shared" si="101"/>
        <v/>
      </c>
      <c r="EW31" s="578" t="str">
        <f t="shared" si="102"/>
        <v/>
      </c>
      <c r="EX31" s="578" t="str">
        <f t="shared" si="103"/>
        <v/>
      </c>
      <c r="EY31" s="578" t="str">
        <f t="shared" si="104"/>
        <v/>
      </c>
      <c r="EZ31" s="578" t="str">
        <f t="shared" si="105"/>
        <v/>
      </c>
      <c r="FA31" s="578" t="str">
        <f t="shared" si="106"/>
        <v/>
      </c>
      <c r="FB31" s="578" t="str">
        <f t="shared" si="107"/>
        <v/>
      </c>
      <c r="FC31" s="578" t="str">
        <f t="shared" si="108"/>
        <v/>
      </c>
      <c r="FD31" s="578" t="str">
        <f t="shared" si="109"/>
        <v/>
      </c>
      <c r="FE31" s="578" t="str">
        <f t="shared" si="110"/>
        <v/>
      </c>
      <c r="FF31" s="578" t="str">
        <f t="shared" si="111"/>
        <v/>
      </c>
      <c r="FG31" s="578" t="str">
        <f t="shared" si="112"/>
        <v/>
      </c>
      <c r="FH31" s="578" t="str">
        <f t="shared" si="113"/>
        <v/>
      </c>
      <c r="FI31" s="578" t="str">
        <f t="shared" si="114"/>
        <v/>
      </c>
      <c r="FJ31" s="578" t="str">
        <f t="shared" si="115"/>
        <v/>
      </c>
      <c r="FK31" s="578" t="str">
        <f t="shared" si="116"/>
        <v/>
      </c>
      <c r="FL31" s="578" t="str">
        <f t="shared" si="117"/>
        <v/>
      </c>
      <c r="FM31" s="578" t="str">
        <f t="shared" si="118"/>
        <v/>
      </c>
      <c r="FN31" s="578" t="str">
        <f t="shared" si="119"/>
        <v/>
      </c>
      <c r="FO31" s="578" t="str">
        <f t="shared" si="120"/>
        <v/>
      </c>
      <c r="FP31" s="578" t="str">
        <f t="shared" si="121"/>
        <v/>
      </c>
      <c r="FQ31" s="578" t="str">
        <f t="shared" si="122"/>
        <v/>
      </c>
      <c r="FR31" s="578" t="str">
        <f t="shared" si="123"/>
        <v/>
      </c>
      <c r="FS31" s="578" t="str">
        <f t="shared" si="124"/>
        <v/>
      </c>
      <c r="FT31" s="578" t="str">
        <f t="shared" si="125"/>
        <v/>
      </c>
      <c r="FU31" s="578" t="str">
        <f t="shared" si="126"/>
        <v/>
      </c>
      <c r="FV31" s="578" t="str">
        <f t="shared" si="127"/>
        <v/>
      </c>
      <c r="FW31" s="578" t="str">
        <f t="shared" si="128"/>
        <v/>
      </c>
      <c r="FX31" s="578" t="str">
        <f t="shared" si="129"/>
        <v/>
      </c>
      <c r="FY31" s="578" t="str">
        <f t="shared" si="130"/>
        <v/>
      </c>
      <c r="FZ31" s="578" t="str">
        <f t="shared" si="131"/>
        <v/>
      </c>
      <c r="GA31" s="578" t="str">
        <f t="shared" si="132"/>
        <v/>
      </c>
      <c r="GB31" s="578" t="str">
        <f t="shared" si="133"/>
        <v/>
      </c>
      <c r="GC31" s="578" t="str">
        <f t="shared" si="134"/>
        <v/>
      </c>
      <c r="GD31" s="578" t="str">
        <f t="shared" si="135"/>
        <v/>
      </c>
      <c r="GE31" s="578" t="str">
        <f t="shared" si="136"/>
        <v/>
      </c>
      <c r="GF31" s="578" t="str">
        <f t="shared" si="137"/>
        <v/>
      </c>
      <c r="GG31" s="578" t="str">
        <f t="shared" si="138"/>
        <v/>
      </c>
      <c r="GH31" s="578" t="str">
        <f t="shared" si="139"/>
        <v/>
      </c>
      <c r="GI31" s="578" t="str">
        <f t="shared" si="140"/>
        <v/>
      </c>
      <c r="GJ31" s="578" t="str">
        <f t="shared" si="141"/>
        <v/>
      </c>
      <c r="GK31" s="578" t="str">
        <f t="shared" si="142"/>
        <v/>
      </c>
      <c r="GL31" s="578" t="str">
        <f t="shared" si="143"/>
        <v/>
      </c>
      <c r="GM31" s="578" t="str">
        <f t="shared" si="144"/>
        <v/>
      </c>
      <c r="GN31" s="578" t="str">
        <f t="shared" si="145"/>
        <v/>
      </c>
      <c r="GO31" s="579" t="str">
        <f t="shared" si="146"/>
        <v/>
      </c>
      <c r="GP31" s="579" t="str">
        <f t="shared" si="147"/>
        <v/>
      </c>
      <c r="GQ31" s="579" t="str">
        <f t="shared" si="148"/>
        <v/>
      </c>
      <c r="GR31" s="579" t="str">
        <f t="shared" si="149"/>
        <v/>
      </c>
      <c r="GS31" s="579" t="str">
        <f t="shared" si="150"/>
        <v/>
      </c>
      <c r="GT31" s="568" t="str">
        <f t="shared" si="151"/>
        <v/>
      </c>
      <c r="GU31" s="568" t="str">
        <f t="shared" si="152"/>
        <v/>
      </c>
      <c r="GV31" s="568" t="str">
        <f t="shared" si="153"/>
        <v/>
      </c>
      <c r="GW31" s="568" t="str">
        <f t="shared" si="154"/>
        <v/>
      </c>
      <c r="GX31" s="568" t="str">
        <f t="shared" si="155"/>
        <v/>
      </c>
      <c r="GY31" s="568" t="str">
        <f t="shared" si="156"/>
        <v/>
      </c>
      <c r="GZ31" s="568" t="str">
        <f t="shared" si="157"/>
        <v/>
      </c>
      <c r="HA31" s="568" t="str">
        <f t="shared" si="158"/>
        <v/>
      </c>
      <c r="HB31" s="568" t="str">
        <f t="shared" si="159"/>
        <v/>
      </c>
      <c r="HC31" s="568" t="str">
        <f t="shared" si="160"/>
        <v/>
      </c>
      <c r="HD31" s="568" t="str">
        <f t="shared" si="161"/>
        <v/>
      </c>
      <c r="HE31" s="568" t="str">
        <f t="shared" si="162"/>
        <v/>
      </c>
      <c r="HF31" s="568" t="str">
        <f t="shared" si="163"/>
        <v/>
      </c>
      <c r="HG31" s="568" t="str">
        <f t="shared" si="164"/>
        <v/>
      </c>
      <c r="HH31" s="568" t="str">
        <f t="shared" si="165"/>
        <v/>
      </c>
      <c r="HI31" s="568" t="str">
        <f t="shared" si="166"/>
        <v/>
      </c>
      <c r="HJ31" s="568" t="str">
        <f t="shared" si="167"/>
        <v/>
      </c>
      <c r="HK31" s="568" t="str">
        <f t="shared" si="168"/>
        <v/>
      </c>
      <c r="HL31" s="568" t="str">
        <f t="shared" si="169"/>
        <v/>
      </c>
      <c r="HM31" s="568" t="str">
        <f t="shared" si="170"/>
        <v/>
      </c>
    </row>
    <row r="32" spans="1:221" ht="13.15" customHeight="1">
      <c r="A32" s="126" t="str">
        <f t="shared" si="171"/>
        <v/>
      </c>
      <c r="B32" s="1748" t="s">
        <v>1895</v>
      </c>
      <c r="C32" s="1749"/>
      <c r="D32" s="1750"/>
      <c r="E32" s="1751"/>
      <c r="F32" s="1751"/>
      <c r="G32" s="1751"/>
      <c r="H32" s="1751"/>
      <c r="I32" s="1751"/>
      <c r="J32" s="1752"/>
      <c r="K32" s="199">
        <f t="shared" si="204"/>
        <v>0</v>
      </c>
      <c r="L32" s="199">
        <f t="shared" si="0"/>
        <v>0</v>
      </c>
      <c r="M32" s="1753"/>
      <c r="N32" s="1753"/>
      <c r="O32" s="1753"/>
      <c r="P32" s="519" t="str">
        <f t="shared" si="203"/>
        <v/>
      </c>
      <c r="Q32" s="520" t="str">
        <f>IF(H32="","",P32/($P$6*VLOOKUP(C32,'DCA Underwriting Assumptions'!$J$82:$K$87,2,FALSE)))</f>
        <v/>
      </c>
      <c r="R32" s="605"/>
      <c r="S32" s="520"/>
      <c r="T32" s="1754"/>
      <c r="U32" s="1755"/>
      <c r="V32" s="568" t="str">
        <f t="shared" si="1"/>
        <v/>
      </c>
      <c r="W32" s="568" t="str">
        <f t="shared" si="2"/>
        <v/>
      </c>
      <c r="X32" s="568" t="str">
        <f t="shared" si="3"/>
        <v/>
      </c>
      <c r="Y32" s="568" t="str">
        <f t="shared" si="4"/>
        <v/>
      </c>
      <c r="Z32" s="568" t="str">
        <f t="shared" si="5"/>
        <v/>
      </c>
      <c r="AA32" s="568" t="str">
        <f t="shared" si="6"/>
        <v/>
      </c>
      <c r="AB32" s="568" t="str">
        <f t="shared" si="7"/>
        <v/>
      </c>
      <c r="AC32" s="568" t="str">
        <f t="shared" si="8"/>
        <v/>
      </c>
      <c r="AD32" s="568" t="str">
        <f t="shared" si="9"/>
        <v/>
      </c>
      <c r="AE32" s="568" t="str">
        <f t="shared" si="10"/>
        <v/>
      </c>
      <c r="AF32" s="568" t="str">
        <f t="shared" si="11"/>
        <v/>
      </c>
      <c r="AG32" s="568" t="str">
        <f t="shared" si="12"/>
        <v/>
      </c>
      <c r="AH32" s="568" t="str">
        <f t="shared" si="13"/>
        <v/>
      </c>
      <c r="AI32" s="568" t="str">
        <f t="shared" si="14"/>
        <v/>
      </c>
      <c r="AJ32" s="568" t="str">
        <f t="shared" si="15"/>
        <v/>
      </c>
      <c r="AK32" s="568" t="str">
        <f t="shared" si="16"/>
        <v/>
      </c>
      <c r="AL32" s="568" t="str">
        <f t="shared" si="17"/>
        <v/>
      </c>
      <c r="AM32" s="568" t="str">
        <f t="shared" si="18"/>
        <v/>
      </c>
      <c r="AN32" s="568" t="str">
        <f t="shared" si="19"/>
        <v/>
      </c>
      <c r="AO32" s="568" t="str">
        <f t="shared" si="20"/>
        <v/>
      </c>
      <c r="AP32" s="568" t="str">
        <f t="shared" si="173"/>
        <v/>
      </c>
      <c r="AQ32" s="568" t="str">
        <f t="shared" si="174"/>
        <v/>
      </c>
      <c r="AR32" s="568" t="str">
        <f t="shared" si="175"/>
        <v/>
      </c>
      <c r="AS32" s="568" t="str">
        <f t="shared" si="176"/>
        <v/>
      </c>
      <c r="AT32" s="568" t="str">
        <f t="shared" si="177"/>
        <v/>
      </c>
      <c r="AU32" s="568" t="str">
        <f t="shared" si="178"/>
        <v/>
      </c>
      <c r="AV32" s="568" t="str">
        <f t="shared" si="179"/>
        <v/>
      </c>
      <c r="AW32" s="568" t="str">
        <f t="shared" si="180"/>
        <v/>
      </c>
      <c r="AX32" s="568" t="str">
        <f t="shared" si="181"/>
        <v/>
      </c>
      <c r="AY32" s="568" t="str">
        <f t="shared" si="182"/>
        <v/>
      </c>
      <c r="AZ32" s="568" t="str">
        <f t="shared" si="183"/>
        <v/>
      </c>
      <c r="BA32" s="568" t="str">
        <f t="shared" si="184"/>
        <v/>
      </c>
      <c r="BB32" s="568" t="str">
        <f t="shared" si="185"/>
        <v/>
      </c>
      <c r="BC32" s="568" t="str">
        <f t="shared" si="186"/>
        <v/>
      </c>
      <c r="BD32" s="568" t="str">
        <f t="shared" si="187"/>
        <v/>
      </c>
      <c r="BE32" s="568" t="str">
        <f t="shared" si="188"/>
        <v/>
      </c>
      <c r="BF32" s="568" t="str">
        <f t="shared" si="189"/>
        <v/>
      </c>
      <c r="BG32" s="568" t="str">
        <f t="shared" si="190"/>
        <v/>
      </c>
      <c r="BH32" s="568" t="str">
        <f t="shared" si="191"/>
        <v/>
      </c>
      <c r="BI32" s="568" t="str">
        <f t="shared" si="192"/>
        <v/>
      </c>
      <c r="BJ32" s="568" t="str">
        <f t="shared" si="193"/>
        <v/>
      </c>
      <c r="BK32" s="568" t="str">
        <f t="shared" si="194"/>
        <v/>
      </c>
      <c r="BL32" s="568" t="str">
        <f t="shared" si="195"/>
        <v/>
      </c>
      <c r="BM32" s="568" t="str">
        <f t="shared" si="196"/>
        <v/>
      </c>
      <c r="BN32" s="568" t="str">
        <f t="shared" si="197"/>
        <v/>
      </c>
      <c r="BO32" s="568" t="str">
        <f t="shared" si="198"/>
        <v/>
      </c>
      <c r="BP32" s="568" t="str">
        <f t="shared" si="199"/>
        <v/>
      </c>
      <c r="BQ32" s="568" t="str">
        <f t="shared" si="200"/>
        <v/>
      </c>
      <c r="BR32" s="568" t="str">
        <f t="shared" si="201"/>
        <v/>
      </c>
      <c r="BS32" s="568" t="str">
        <f t="shared" si="202"/>
        <v/>
      </c>
      <c r="BT32" s="568" t="str">
        <f t="shared" si="21"/>
        <v/>
      </c>
      <c r="BU32" s="568" t="str">
        <f t="shared" si="22"/>
        <v/>
      </c>
      <c r="BV32" s="568" t="str">
        <f t="shared" si="23"/>
        <v/>
      </c>
      <c r="BW32" s="568" t="str">
        <f t="shared" si="24"/>
        <v/>
      </c>
      <c r="BX32" s="568" t="str">
        <f t="shared" si="25"/>
        <v/>
      </c>
      <c r="BY32" s="568" t="str">
        <f t="shared" si="26"/>
        <v/>
      </c>
      <c r="BZ32" s="568" t="str">
        <f t="shared" si="27"/>
        <v/>
      </c>
      <c r="CA32" s="568" t="str">
        <f t="shared" si="28"/>
        <v/>
      </c>
      <c r="CB32" s="568" t="str">
        <f t="shared" si="29"/>
        <v/>
      </c>
      <c r="CC32" s="568" t="str">
        <f t="shared" si="30"/>
        <v/>
      </c>
      <c r="CD32" s="568" t="str">
        <f t="shared" si="31"/>
        <v/>
      </c>
      <c r="CE32" s="568" t="str">
        <f t="shared" si="32"/>
        <v/>
      </c>
      <c r="CF32" s="568" t="str">
        <f t="shared" si="33"/>
        <v/>
      </c>
      <c r="CG32" s="568" t="str">
        <f t="shared" si="34"/>
        <v/>
      </c>
      <c r="CH32" s="568" t="str">
        <f t="shared" si="35"/>
        <v/>
      </c>
      <c r="CI32" s="568" t="str">
        <f t="shared" si="36"/>
        <v/>
      </c>
      <c r="CJ32" s="568" t="str">
        <f t="shared" si="37"/>
        <v/>
      </c>
      <c r="CK32" s="568" t="str">
        <f t="shared" si="38"/>
        <v/>
      </c>
      <c r="CL32" s="568" t="str">
        <f t="shared" si="39"/>
        <v/>
      </c>
      <c r="CM32" s="568" t="str">
        <f t="shared" si="40"/>
        <v/>
      </c>
      <c r="CN32" s="568" t="str">
        <f t="shared" si="41"/>
        <v/>
      </c>
      <c r="CO32" s="568" t="str">
        <f t="shared" si="42"/>
        <v/>
      </c>
      <c r="CP32" s="568" t="str">
        <f t="shared" si="43"/>
        <v/>
      </c>
      <c r="CQ32" s="568" t="str">
        <f t="shared" si="44"/>
        <v/>
      </c>
      <c r="CR32" s="568" t="str">
        <f t="shared" si="45"/>
        <v/>
      </c>
      <c r="CS32" s="568" t="str">
        <f t="shared" si="46"/>
        <v/>
      </c>
      <c r="CT32" s="568" t="str">
        <f t="shared" si="47"/>
        <v/>
      </c>
      <c r="CU32" s="568" t="str">
        <f t="shared" si="48"/>
        <v/>
      </c>
      <c r="CV32" s="568" t="str">
        <f t="shared" si="49"/>
        <v/>
      </c>
      <c r="CW32" s="568" t="str">
        <f t="shared" si="50"/>
        <v/>
      </c>
      <c r="CX32" s="568" t="str">
        <f t="shared" si="51"/>
        <v/>
      </c>
      <c r="CY32" s="568" t="str">
        <f t="shared" si="52"/>
        <v/>
      </c>
      <c r="CZ32" s="568" t="str">
        <f t="shared" si="53"/>
        <v/>
      </c>
      <c r="DA32" s="568" t="str">
        <f t="shared" si="54"/>
        <v/>
      </c>
      <c r="DB32" s="568" t="str">
        <f t="shared" si="55"/>
        <v/>
      </c>
      <c r="DC32" s="568" t="str">
        <f t="shared" si="56"/>
        <v/>
      </c>
      <c r="DD32" s="568" t="str">
        <f t="shared" si="57"/>
        <v/>
      </c>
      <c r="DE32" s="568" t="str">
        <f t="shared" si="58"/>
        <v/>
      </c>
      <c r="DF32" s="568" t="str">
        <f t="shared" si="59"/>
        <v/>
      </c>
      <c r="DG32" s="568" t="str">
        <f t="shared" si="60"/>
        <v/>
      </c>
      <c r="DH32" s="568" t="str">
        <f t="shared" si="61"/>
        <v/>
      </c>
      <c r="DI32" s="568" t="str">
        <f t="shared" si="62"/>
        <v/>
      </c>
      <c r="DJ32" s="568" t="str">
        <f t="shared" si="63"/>
        <v/>
      </c>
      <c r="DK32" s="568" t="str">
        <f t="shared" si="64"/>
        <v/>
      </c>
      <c r="DL32" s="568" t="str">
        <f t="shared" si="65"/>
        <v/>
      </c>
      <c r="DM32" s="568" t="str">
        <f t="shared" si="66"/>
        <v/>
      </c>
      <c r="DN32" s="568" t="str">
        <f t="shared" si="67"/>
        <v/>
      </c>
      <c r="DO32" s="568" t="str">
        <f t="shared" si="68"/>
        <v/>
      </c>
      <c r="DP32" s="568" t="str">
        <f t="shared" si="69"/>
        <v/>
      </c>
      <c r="DQ32" s="568" t="str">
        <f t="shared" si="70"/>
        <v/>
      </c>
      <c r="DR32" s="568" t="str">
        <f t="shared" si="71"/>
        <v/>
      </c>
      <c r="DS32" s="568" t="str">
        <f t="shared" si="72"/>
        <v/>
      </c>
      <c r="DT32" s="568" t="str">
        <f t="shared" si="73"/>
        <v/>
      </c>
      <c r="DU32" s="568" t="str">
        <f t="shared" si="74"/>
        <v/>
      </c>
      <c r="DV32" s="568" t="str">
        <f t="shared" si="75"/>
        <v/>
      </c>
      <c r="DW32" s="568" t="str">
        <f t="shared" si="76"/>
        <v/>
      </c>
      <c r="DX32" s="568" t="str">
        <f t="shared" si="77"/>
        <v/>
      </c>
      <c r="DY32" s="568" t="str">
        <f t="shared" si="78"/>
        <v/>
      </c>
      <c r="DZ32" s="568" t="str">
        <f t="shared" si="79"/>
        <v/>
      </c>
      <c r="EA32" s="568" t="str">
        <f t="shared" si="80"/>
        <v/>
      </c>
      <c r="EB32" s="568" t="str">
        <f t="shared" si="81"/>
        <v/>
      </c>
      <c r="EC32" s="568" t="str">
        <f t="shared" si="82"/>
        <v/>
      </c>
      <c r="ED32" s="568" t="str">
        <f t="shared" si="83"/>
        <v/>
      </c>
      <c r="EE32" s="568" t="str">
        <f t="shared" si="84"/>
        <v/>
      </c>
      <c r="EF32" s="568" t="str">
        <f t="shared" si="85"/>
        <v/>
      </c>
      <c r="EG32" s="568" t="str">
        <f t="shared" si="86"/>
        <v/>
      </c>
      <c r="EH32" s="568" t="str">
        <f t="shared" si="87"/>
        <v/>
      </c>
      <c r="EI32" s="568" t="str">
        <f t="shared" si="88"/>
        <v/>
      </c>
      <c r="EJ32" s="568" t="str">
        <f t="shared" si="89"/>
        <v/>
      </c>
      <c r="EK32" s="568" t="str">
        <f t="shared" si="90"/>
        <v/>
      </c>
      <c r="EL32" s="568" t="str">
        <f t="shared" si="91"/>
        <v/>
      </c>
      <c r="EM32" s="568" t="str">
        <f t="shared" si="92"/>
        <v/>
      </c>
      <c r="EN32" s="568" t="str">
        <f t="shared" si="93"/>
        <v/>
      </c>
      <c r="EO32" s="568" t="str">
        <f t="shared" si="94"/>
        <v/>
      </c>
      <c r="EP32" s="568" t="str">
        <f t="shared" si="95"/>
        <v/>
      </c>
      <c r="EQ32" s="568" t="str">
        <f t="shared" si="96"/>
        <v/>
      </c>
      <c r="ER32" s="568" t="str">
        <f t="shared" si="97"/>
        <v/>
      </c>
      <c r="ES32" s="568" t="str">
        <f t="shared" si="98"/>
        <v/>
      </c>
      <c r="ET32" s="568" t="str">
        <f t="shared" si="99"/>
        <v/>
      </c>
      <c r="EU32" s="568" t="str">
        <f t="shared" si="100"/>
        <v/>
      </c>
      <c r="EV32" s="578" t="str">
        <f t="shared" si="101"/>
        <v/>
      </c>
      <c r="EW32" s="578" t="str">
        <f t="shared" si="102"/>
        <v/>
      </c>
      <c r="EX32" s="578" t="str">
        <f t="shared" si="103"/>
        <v/>
      </c>
      <c r="EY32" s="578" t="str">
        <f t="shared" si="104"/>
        <v/>
      </c>
      <c r="EZ32" s="578" t="str">
        <f t="shared" si="105"/>
        <v/>
      </c>
      <c r="FA32" s="578" t="str">
        <f t="shared" si="106"/>
        <v/>
      </c>
      <c r="FB32" s="578" t="str">
        <f t="shared" si="107"/>
        <v/>
      </c>
      <c r="FC32" s="578" t="str">
        <f t="shared" si="108"/>
        <v/>
      </c>
      <c r="FD32" s="578" t="str">
        <f t="shared" si="109"/>
        <v/>
      </c>
      <c r="FE32" s="578" t="str">
        <f t="shared" si="110"/>
        <v/>
      </c>
      <c r="FF32" s="578" t="str">
        <f t="shared" si="111"/>
        <v/>
      </c>
      <c r="FG32" s="578" t="str">
        <f t="shared" si="112"/>
        <v/>
      </c>
      <c r="FH32" s="578" t="str">
        <f t="shared" si="113"/>
        <v/>
      </c>
      <c r="FI32" s="578" t="str">
        <f t="shared" si="114"/>
        <v/>
      </c>
      <c r="FJ32" s="578" t="str">
        <f t="shared" si="115"/>
        <v/>
      </c>
      <c r="FK32" s="578" t="str">
        <f t="shared" si="116"/>
        <v/>
      </c>
      <c r="FL32" s="578" t="str">
        <f t="shared" si="117"/>
        <v/>
      </c>
      <c r="FM32" s="578" t="str">
        <f t="shared" si="118"/>
        <v/>
      </c>
      <c r="FN32" s="578" t="str">
        <f t="shared" si="119"/>
        <v/>
      </c>
      <c r="FO32" s="578" t="str">
        <f t="shared" si="120"/>
        <v/>
      </c>
      <c r="FP32" s="578" t="str">
        <f t="shared" si="121"/>
        <v/>
      </c>
      <c r="FQ32" s="578" t="str">
        <f t="shared" si="122"/>
        <v/>
      </c>
      <c r="FR32" s="578" t="str">
        <f t="shared" si="123"/>
        <v/>
      </c>
      <c r="FS32" s="578" t="str">
        <f t="shared" si="124"/>
        <v/>
      </c>
      <c r="FT32" s="578" t="str">
        <f t="shared" si="125"/>
        <v/>
      </c>
      <c r="FU32" s="578" t="str">
        <f t="shared" si="126"/>
        <v/>
      </c>
      <c r="FV32" s="578" t="str">
        <f t="shared" si="127"/>
        <v/>
      </c>
      <c r="FW32" s="578" t="str">
        <f t="shared" si="128"/>
        <v/>
      </c>
      <c r="FX32" s="578" t="str">
        <f t="shared" si="129"/>
        <v/>
      </c>
      <c r="FY32" s="578" t="str">
        <f t="shared" si="130"/>
        <v/>
      </c>
      <c r="FZ32" s="578" t="str">
        <f t="shared" si="131"/>
        <v/>
      </c>
      <c r="GA32" s="578" t="str">
        <f t="shared" si="132"/>
        <v/>
      </c>
      <c r="GB32" s="578" t="str">
        <f t="shared" si="133"/>
        <v/>
      </c>
      <c r="GC32" s="578" t="str">
        <f t="shared" si="134"/>
        <v/>
      </c>
      <c r="GD32" s="578" t="str">
        <f t="shared" si="135"/>
        <v/>
      </c>
      <c r="GE32" s="578" t="str">
        <f t="shared" si="136"/>
        <v/>
      </c>
      <c r="GF32" s="578" t="str">
        <f t="shared" si="137"/>
        <v/>
      </c>
      <c r="GG32" s="578" t="str">
        <f t="shared" si="138"/>
        <v/>
      </c>
      <c r="GH32" s="578" t="str">
        <f t="shared" si="139"/>
        <v/>
      </c>
      <c r="GI32" s="578" t="str">
        <f t="shared" si="140"/>
        <v/>
      </c>
      <c r="GJ32" s="578" t="str">
        <f t="shared" si="141"/>
        <v/>
      </c>
      <c r="GK32" s="578" t="str">
        <f t="shared" si="142"/>
        <v/>
      </c>
      <c r="GL32" s="578" t="str">
        <f t="shared" si="143"/>
        <v/>
      </c>
      <c r="GM32" s="578" t="str">
        <f t="shared" si="144"/>
        <v/>
      </c>
      <c r="GN32" s="578" t="str">
        <f t="shared" si="145"/>
        <v/>
      </c>
      <c r="GO32" s="579" t="str">
        <f t="shared" si="146"/>
        <v/>
      </c>
      <c r="GP32" s="579" t="str">
        <f t="shared" si="147"/>
        <v/>
      </c>
      <c r="GQ32" s="579" t="str">
        <f t="shared" si="148"/>
        <v/>
      </c>
      <c r="GR32" s="579" t="str">
        <f t="shared" si="149"/>
        <v/>
      </c>
      <c r="GS32" s="579" t="str">
        <f t="shared" si="150"/>
        <v/>
      </c>
      <c r="GT32" s="568" t="str">
        <f t="shared" si="151"/>
        <v/>
      </c>
      <c r="GU32" s="568" t="str">
        <f t="shared" si="152"/>
        <v/>
      </c>
      <c r="GV32" s="568" t="str">
        <f t="shared" si="153"/>
        <v/>
      </c>
      <c r="GW32" s="568" t="str">
        <f t="shared" si="154"/>
        <v/>
      </c>
      <c r="GX32" s="568" t="str">
        <f t="shared" si="155"/>
        <v/>
      </c>
      <c r="GY32" s="568" t="str">
        <f t="shared" si="156"/>
        <v/>
      </c>
      <c r="GZ32" s="568" t="str">
        <f t="shared" si="157"/>
        <v/>
      </c>
      <c r="HA32" s="568" t="str">
        <f t="shared" si="158"/>
        <v/>
      </c>
      <c r="HB32" s="568" t="str">
        <f t="shared" si="159"/>
        <v/>
      </c>
      <c r="HC32" s="568" t="str">
        <f t="shared" si="160"/>
        <v/>
      </c>
      <c r="HD32" s="568" t="str">
        <f t="shared" si="161"/>
        <v/>
      </c>
      <c r="HE32" s="568" t="str">
        <f t="shared" si="162"/>
        <v/>
      </c>
      <c r="HF32" s="568" t="str">
        <f t="shared" si="163"/>
        <v/>
      </c>
      <c r="HG32" s="568" t="str">
        <f t="shared" si="164"/>
        <v/>
      </c>
      <c r="HH32" s="568" t="str">
        <f t="shared" si="165"/>
        <v/>
      </c>
      <c r="HI32" s="568" t="str">
        <f t="shared" si="166"/>
        <v/>
      </c>
      <c r="HJ32" s="568" t="str">
        <f t="shared" si="167"/>
        <v/>
      </c>
      <c r="HK32" s="568" t="str">
        <f t="shared" si="168"/>
        <v/>
      </c>
      <c r="HL32" s="568" t="str">
        <f t="shared" si="169"/>
        <v/>
      </c>
      <c r="HM32" s="568" t="str">
        <f t="shared" si="170"/>
        <v/>
      </c>
    </row>
    <row r="33" spans="1:221" ht="13.15" customHeight="1">
      <c r="A33" s="126" t="str">
        <f t="shared" si="171"/>
        <v/>
      </c>
      <c r="B33" s="1748" t="s">
        <v>1895</v>
      </c>
      <c r="C33" s="1749"/>
      <c r="D33" s="1750"/>
      <c r="E33" s="1751"/>
      <c r="F33" s="1751"/>
      <c r="G33" s="1751"/>
      <c r="H33" s="1751"/>
      <c r="I33" s="1751"/>
      <c r="J33" s="1752"/>
      <c r="K33" s="199">
        <f t="shared" si="204"/>
        <v>0</v>
      </c>
      <c r="L33" s="199">
        <f t="shared" si="0"/>
        <v>0</v>
      </c>
      <c r="M33" s="1753"/>
      <c r="N33" s="1753"/>
      <c r="O33" s="1753"/>
      <c r="P33" s="519" t="str">
        <f t="shared" si="203"/>
        <v/>
      </c>
      <c r="Q33" s="520" t="str">
        <f>IF(H33="","",P33/($P$6*VLOOKUP(C33,'DCA Underwriting Assumptions'!$J$82:$K$87,2,FALSE)))</f>
        <v/>
      </c>
      <c r="R33" s="605"/>
      <c r="S33" s="520"/>
      <c r="T33" s="1754"/>
      <c r="U33" s="1755"/>
      <c r="V33" s="568" t="str">
        <f t="shared" si="1"/>
        <v/>
      </c>
      <c r="W33" s="568" t="str">
        <f t="shared" si="2"/>
        <v/>
      </c>
      <c r="X33" s="568" t="str">
        <f t="shared" si="3"/>
        <v/>
      </c>
      <c r="Y33" s="568" t="str">
        <f t="shared" si="4"/>
        <v/>
      </c>
      <c r="Z33" s="568" t="str">
        <f t="shared" si="5"/>
        <v/>
      </c>
      <c r="AA33" s="568" t="str">
        <f t="shared" si="6"/>
        <v/>
      </c>
      <c r="AB33" s="568" t="str">
        <f t="shared" si="7"/>
        <v/>
      </c>
      <c r="AC33" s="568" t="str">
        <f t="shared" si="8"/>
        <v/>
      </c>
      <c r="AD33" s="568" t="str">
        <f t="shared" si="9"/>
        <v/>
      </c>
      <c r="AE33" s="568" t="str">
        <f t="shared" si="10"/>
        <v/>
      </c>
      <c r="AF33" s="568" t="str">
        <f t="shared" si="11"/>
        <v/>
      </c>
      <c r="AG33" s="568" t="str">
        <f t="shared" si="12"/>
        <v/>
      </c>
      <c r="AH33" s="568" t="str">
        <f t="shared" si="13"/>
        <v/>
      </c>
      <c r="AI33" s="568" t="str">
        <f t="shared" si="14"/>
        <v/>
      </c>
      <c r="AJ33" s="568" t="str">
        <f t="shared" si="15"/>
        <v/>
      </c>
      <c r="AK33" s="568" t="str">
        <f t="shared" si="16"/>
        <v/>
      </c>
      <c r="AL33" s="568" t="str">
        <f t="shared" si="17"/>
        <v/>
      </c>
      <c r="AM33" s="568" t="str">
        <f t="shared" si="18"/>
        <v/>
      </c>
      <c r="AN33" s="568" t="str">
        <f t="shared" si="19"/>
        <v/>
      </c>
      <c r="AO33" s="568" t="str">
        <f t="shared" si="20"/>
        <v/>
      </c>
      <c r="AP33" s="568" t="str">
        <f t="shared" si="173"/>
        <v/>
      </c>
      <c r="AQ33" s="568" t="str">
        <f t="shared" si="174"/>
        <v/>
      </c>
      <c r="AR33" s="568" t="str">
        <f t="shared" si="175"/>
        <v/>
      </c>
      <c r="AS33" s="568" t="str">
        <f t="shared" si="176"/>
        <v/>
      </c>
      <c r="AT33" s="568" t="str">
        <f t="shared" si="177"/>
        <v/>
      </c>
      <c r="AU33" s="568" t="str">
        <f t="shared" si="178"/>
        <v/>
      </c>
      <c r="AV33" s="568" t="str">
        <f t="shared" si="179"/>
        <v/>
      </c>
      <c r="AW33" s="568" t="str">
        <f t="shared" si="180"/>
        <v/>
      </c>
      <c r="AX33" s="568" t="str">
        <f t="shared" si="181"/>
        <v/>
      </c>
      <c r="AY33" s="568" t="str">
        <f t="shared" si="182"/>
        <v/>
      </c>
      <c r="AZ33" s="568" t="str">
        <f t="shared" si="183"/>
        <v/>
      </c>
      <c r="BA33" s="568" t="str">
        <f t="shared" si="184"/>
        <v/>
      </c>
      <c r="BB33" s="568" t="str">
        <f t="shared" si="185"/>
        <v/>
      </c>
      <c r="BC33" s="568" t="str">
        <f t="shared" si="186"/>
        <v/>
      </c>
      <c r="BD33" s="568" t="str">
        <f t="shared" si="187"/>
        <v/>
      </c>
      <c r="BE33" s="568" t="str">
        <f t="shared" si="188"/>
        <v/>
      </c>
      <c r="BF33" s="568" t="str">
        <f t="shared" si="189"/>
        <v/>
      </c>
      <c r="BG33" s="568" t="str">
        <f t="shared" si="190"/>
        <v/>
      </c>
      <c r="BH33" s="568" t="str">
        <f t="shared" si="191"/>
        <v/>
      </c>
      <c r="BI33" s="568" t="str">
        <f t="shared" si="192"/>
        <v/>
      </c>
      <c r="BJ33" s="568" t="str">
        <f t="shared" si="193"/>
        <v/>
      </c>
      <c r="BK33" s="568" t="str">
        <f t="shared" si="194"/>
        <v/>
      </c>
      <c r="BL33" s="568" t="str">
        <f t="shared" si="195"/>
        <v/>
      </c>
      <c r="BM33" s="568" t="str">
        <f t="shared" si="196"/>
        <v/>
      </c>
      <c r="BN33" s="568" t="str">
        <f t="shared" si="197"/>
        <v/>
      </c>
      <c r="BO33" s="568" t="str">
        <f t="shared" si="198"/>
        <v/>
      </c>
      <c r="BP33" s="568" t="str">
        <f t="shared" si="199"/>
        <v/>
      </c>
      <c r="BQ33" s="568" t="str">
        <f t="shared" si="200"/>
        <v/>
      </c>
      <c r="BR33" s="568" t="str">
        <f t="shared" si="201"/>
        <v/>
      </c>
      <c r="BS33" s="568" t="str">
        <f t="shared" si="202"/>
        <v/>
      </c>
      <c r="BT33" s="568" t="str">
        <f t="shared" si="21"/>
        <v/>
      </c>
      <c r="BU33" s="568" t="str">
        <f t="shared" si="22"/>
        <v/>
      </c>
      <c r="BV33" s="568" t="str">
        <f t="shared" si="23"/>
        <v/>
      </c>
      <c r="BW33" s="568" t="str">
        <f t="shared" si="24"/>
        <v/>
      </c>
      <c r="BX33" s="568" t="str">
        <f t="shared" si="25"/>
        <v/>
      </c>
      <c r="BY33" s="568" t="str">
        <f t="shared" si="26"/>
        <v/>
      </c>
      <c r="BZ33" s="568" t="str">
        <f t="shared" si="27"/>
        <v/>
      </c>
      <c r="CA33" s="568" t="str">
        <f t="shared" si="28"/>
        <v/>
      </c>
      <c r="CB33" s="568" t="str">
        <f t="shared" si="29"/>
        <v/>
      </c>
      <c r="CC33" s="568" t="str">
        <f t="shared" si="30"/>
        <v/>
      </c>
      <c r="CD33" s="568" t="str">
        <f t="shared" si="31"/>
        <v/>
      </c>
      <c r="CE33" s="568" t="str">
        <f t="shared" si="32"/>
        <v/>
      </c>
      <c r="CF33" s="568" t="str">
        <f t="shared" si="33"/>
        <v/>
      </c>
      <c r="CG33" s="568" t="str">
        <f t="shared" si="34"/>
        <v/>
      </c>
      <c r="CH33" s="568" t="str">
        <f t="shared" si="35"/>
        <v/>
      </c>
      <c r="CI33" s="568" t="str">
        <f t="shared" si="36"/>
        <v/>
      </c>
      <c r="CJ33" s="568" t="str">
        <f t="shared" si="37"/>
        <v/>
      </c>
      <c r="CK33" s="568" t="str">
        <f t="shared" si="38"/>
        <v/>
      </c>
      <c r="CL33" s="568" t="str">
        <f t="shared" si="39"/>
        <v/>
      </c>
      <c r="CM33" s="568" t="str">
        <f t="shared" si="40"/>
        <v/>
      </c>
      <c r="CN33" s="568" t="str">
        <f t="shared" si="41"/>
        <v/>
      </c>
      <c r="CO33" s="568" t="str">
        <f t="shared" si="42"/>
        <v/>
      </c>
      <c r="CP33" s="568" t="str">
        <f t="shared" si="43"/>
        <v/>
      </c>
      <c r="CQ33" s="568" t="str">
        <f t="shared" si="44"/>
        <v/>
      </c>
      <c r="CR33" s="568" t="str">
        <f t="shared" si="45"/>
        <v/>
      </c>
      <c r="CS33" s="568" t="str">
        <f t="shared" si="46"/>
        <v/>
      </c>
      <c r="CT33" s="568" t="str">
        <f t="shared" si="47"/>
        <v/>
      </c>
      <c r="CU33" s="568" t="str">
        <f t="shared" si="48"/>
        <v/>
      </c>
      <c r="CV33" s="568" t="str">
        <f t="shared" si="49"/>
        <v/>
      </c>
      <c r="CW33" s="568" t="str">
        <f t="shared" si="50"/>
        <v/>
      </c>
      <c r="CX33" s="568" t="str">
        <f t="shared" si="51"/>
        <v/>
      </c>
      <c r="CY33" s="568" t="str">
        <f t="shared" si="52"/>
        <v/>
      </c>
      <c r="CZ33" s="568" t="str">
        <f t="shared" si="53"/>
        <v/>
      </c>
      <c r="DA33" s="568" t="str">
        <f t="shared" si="54"/>
        <v/>
      </c>
      <c r="DB33" s="568" t="str">
        <f t="shared" si="55"/>
        <v/>
      </c>
      <c r="DC33" s="568" t="str">
        <f t="shared" si="56"/>
        <v/>
      </c>
      <c r="DD33" s="568" t="str">
        <f t="shared" si="57"/>
        <v/>
      </c>
      <c r="DE33" s="568" t="str">
        <f t="shared" si="58"/>
        <v/>
      </c>
      <c r="DF33" s="568" t="str">
        <f t="shared" si="59"/>
        <v/>
      </c>
      <c r="DG33" s="568" t="str">
        <f t="shared" si="60"/>
        <v/>
      </c>
      <c r="DH33" s="568" t="str">
        <f t="shared" si="61"/>
        <v/>
      </c>
      <c r="DI33" s="568" t="str">
        <f t="shared" si="62"/>
        <v/>
      </c>
      <c r="DJ33" s="568" t="str">
        <f t="shared" si="63"/>
        <v/>
      </c>
      <c r="DK33" s="568" t="str">
        <f t="shared" si="64"/>
        <v/>
      </c>
      <c r="DL33" s="568" t="str">
        <f t="shared" si="65"/>
        <v/>
      </c>
      <c r="DM33" s="568" t="str">
        <f t="shared" si="66"/>
        <v/>
      </c>
      <c r="DN33" s="568" t="str">
        <f t="shared" si="67"/>
        <v/>
      </c>
      <c r="DO33" s="568" t="str">
        <f t="shared" si="68"/>
        <v/>
      </c>
      <c r="DP33" s="568" t="str">
        <f t="shared" si="69"/>
        <v/>
      </c>
      <c r="DQ33" s="568" t="str">
        <f t="shared" si="70"/>
        <v/>
      </c>
      <c r="DR33" s="568" t="str">
        <f t="shared" si="71"/>
        <v/>
      </c>
      <c r="DS33" s="568" t="str">
        <f t="shared" si="72"/>
        <v/>
      </c>
      <c r="DT33" s="568" t="str">
        <f t="shared" si="73"/>
        <v/>
      </c>
      <c r="DU33" s="568" t="str">
        <f t="shared" si="74"/>
        <v/>
      </c>
      <c r="DV33" s="568" t="str">
        <f t="shared" si="75"/>
        <v/>
      </c>
      <c r="DW33" s="568" t="str">
        <f t="shared" si="76"/>
        <v/>
      </c>
      <c r="DX33" s="568" t="str">
        <f t="shared" si="77"/>
        <v/>
      </c>
      <c r="DY33" s="568" t="str">
        <f t="shared" si="78"/>
        <v/>
      </c>
      <c r="DZ33" s="568" t="str">
        <f t="shared" si="79"/>
        <v/>
      </c>
      <c r="EA33" s="568" t="str">
        <f t="shared" si="80"/>
        <v/>
      </c>
      <c r="EB33" s="568" t="str">
        <f t="shared" si="81"/>
        <v/>
      </c>
      <c r="EC33" s="568" t="str">
        <f t="shared" si="82"/>
        <v/>
      </c>
      <c r="ED33" s="568" t="str">
        <f t="shared" si="83"/>
        <v/>
      </c>
      <c r="EE33" s="568" t="str">
        <f t="shared" si="84"/>
        <v/>
      </c>
      <c r="EF33" s="568" t="str">
        <f t="shared" si="85"/>
        <v/>
      </c>
      <c r="EG33" s="568" t="str">
        <f t="shared" si="86"/>
        <v/>
      </c>
      <c r="EH33" s="568" t="str">
        <f t="shared" si="87"/>
        <v/>
      </c>
      <c r="EI33" s="568" t="str">
        <f t="shared" si="88"/>
        <v/>
      </c>
      <c r="EJ33" s="568" t="str">
        <f t="shared" si="89"/>
        <v/>
      </c>
      <c r="EK33" s="568" t="str">
        <f t="shared" si="90"/>
        <v/>
      </c>
      <c r="EL33" s="568" t="str">
        <f t="shared" si="91"/>
        <v/>
      </c>
      <c r="EM33" s="568" t="str">
        <f t="shared" si="92"/>
        <v/>
      </c>
      <c r="EN33" s="568" t="str">
        <f t="shared" si="93"/>
        <v/>
      </c>
      <c r="EO33" s="568" t="str">
        <f t="shared" si="94"/>
        <v/>
      </c>
      <c r="EP33" s="568" t="str">
        <f t="shared" si="95"/>
        <v/>
      </c>
      <c r="EQ33" s="568" t="str">
        <f t="shared" si="96"/>
        <v/>
      </c>
      <c r="ER33" s="568" t="str">
        <f t="shared" si="97"/>
        <v/>
      </c>
      <c r="ES33" s="568" t="str">
        <f t="shared" si="98"/>
        <v/>
      </c>
      <c r="ET33" s="568" t="str">
        <f t="shared" si="99"/>
        <v/>
      </c>
      <c r="EU33" s="568" t="str">
        <f t="shared" si="100"/>
        <v/>
      </c>
      <c r="EV33" s="578" t="str">
        <f t="shared" si="101"/>
        <v/>
      </c>
      <c r="EW33" s="578" t="str">
        <f t="shared" si="102"/>
        <v/>
      </c>
      <c r="EX33" s="578" t="str">
        <f t="shared" si="103"/>
        <v/>
      </c>
      <c r="EY33" s="578" t="str">
        <f t="shared" si="104"/>
        <v/>
      </c>
      <c r="EZ33" s="578" t="str">
        <f t="shared" si="105"/>
        <v/>
      </c>
      <c r="FA33" s="578" t="str">
        <f t="shared" si="106"/>
        <v/>
      </c>
      <c r="FB33" s="578" t="str">
        <f t="shared" si="107"/>
        <v/>
      </c>
      <c r="FC33" s="578" t="str">
        <f t="shared" si="108"/>
        <v/>
      </c>
      <c r="FD33" s="578" t="str">
        <f t="shared" si="109"/>
        <v/>
      </c>
      <c r="FE33" s="578" t="str">
        <f t="shared" si="110"/>
        <v/>
      </c>
      <c r="FF33" s="578" t="str">
        <f t="shared" si="111"/>
        <v/>
      </c>
      <c r="FG33" s="578" t="str">
        <f t="shared" si="112"/>
        <v/>
      </c>
      <c r="FH33" s="578" t="str">
        <f t="shared" si="113"/>
        <v/>
      </c>
      <c r="FI33" s="578" t="str">
        <f t="shared" si="114"/>
        <v/>
      </c>
      <c r="FJ33" s="578" t="str">
        <f t="shared" si="115"/>
        <v/>
      </c>
      <c r="FK33" s="578" t="str">
        <f t="shared" si="116"/>
        <v/>
      </c>
      <c r="FL33" s="578" t="str">
        <f t="shared" si="117"/>
        <v/>
      </c>
      <c r="FM33" s="578" t="str">
        <f t="shared" si="118"/>
        <v/>
      </c>
      <c r="FN33" s="578" t="str">
        <f t="shared" si="119"/>
        <v/>
      </c>
      <c r="FO33" s="578" t="str">
        <f t="shared" si="120"/>
        <v/>
      </c>
      <c r="FP33" s="578" t="str">
        <f t="shared" si="121"/>
        <v/>
      </c>
      <c r="FQ33" s="578" t="str">
        <f t="shared" si="122"/>
        <v/>
      </c>
      <c r="FR33" s="578" t="str">
        <f t="shared" si="123"/>
        <v/>
      </c>
      <c r="FS33" s="578" t="str">
        <f t="shared" si="124"/>
        <v/>
      </c>
      <c r="FT33" s="578" t="str">
        <f t="shared" si="125"/>
        <v/>
      </c>
      <c r="FU33" s="578" t="str">
        <f t="shared" si="126"/>
        <v/>
      </c>
      <c r="FV33" s="578" t="str">
        <f t="shared" si="127"/>
        <v/>
      </c>
      <c r="FW33" s="578" t="str">
        <f t="shared" si="128"/>
        <v/>
      </c>
      <c r="FX33" s="578" t="str">
        <f t="shared" si="129"/>
        <v/>
      </c>
      <c r="FY33" s="578" t="str">
        <f t="shared" si="130"/>
        <v/>
      </c>
      <c r="FZ33" s="578" t="str">
        <f t="shared" si="131"/>
        <v/>
      </c>
      <c r="GA33" s="578" t="str">
        <f t="shared" si="132"/>
        <v/>
      </c>
      <c r="GB33" s="578" t="str">
        <f t="shared" si="133"/>
        <v/>
      </c>
      <c r="GC33" s="578" t="str">
        <f t="shared" si="134"/>
        <v/>
      </c>
      <c r="GD33" s="578" t="str">
        <f t="shared" si="135"/>
        <v/>
      </c>
      <c r="GE33" s="578" t="str">
        <f t="shared" si="136"/>
        <v/>
      </c>
      <c r="GF33" s="578" t="str">
        <f t="shared" si="137"/>
        <v/>
      </c>
      <c r="GG33" s="578" t="str">
        <f t="shared" si="138"/>
        <v/>
      </c>
      <c r="GH33" s="578" t="str">
        <f t="shared" si="139"/>
        <v/>
      </c>
      <c r="GI33" s="578" t="str">
        <f t="shared" si="140"/>
        <v/>
      </c>
      <c r="GJ33" s="578" t="str">
        <f t="shared" si="141"/>
        <v/>
      </c>
      <c r="GK33" s="578" t="str">
        <f t="shared" si="142"/>
        <v/>
      </c>
      <c r="GL33" s="578" t="str">
        <f t="shared" si="143"/>
        <v/>
      </c>
      <c r="GM33" s="578" t="str">
        <f t="shared" si="144"/>
        <v/>
      </c>
      <c r="GN33" s="578" t="str">
        <f t="shared" si="145"/>
        <v/>
      </c>
      <c r="GO33" s="579" t="str">
        <f t="shared" si="146"/>
        <v/>
      </c>
      <c r="GP33" s="579" t="str">
        <f t="shared" si="147"/>
        <v/>
      </c>
      <c r="GQ33" s="579" t="str">
        <f t="shared" si="148"/>
        <v/>
      </c>
      <c r="GR33" s="579" t="str">
        <f t="shared" si="149"/>
        <v/>
      </c>
      <c r="GS33" s="579" t="str">
        <f t="shared" si="150"/>
        <v/>
      </c>
      <c r="GT33" s="568" t="str">
        <f t="shared" si="151"/>
        <v/>
      </c>
      <c r="GU33" s="568" t="str">
        <f t="shared" si="152"/>
        <v/>
      </c>
      <c r="GV33" s="568" t="str">
        <f t="shared" si="153"/>
        <v/>
      </c>
      <c r="GW33" s="568" t="str">
        <f t="shared" si="154"/>
        <v/>
      </c>
      <c r="GX33" s="568" t="str">
        <f t="shared" si="155"/>
        <v/>
      </c>
      <c r="GY33" s="568" t="str">
        <f t="shared" si="156"/>
        <v/>
      </c>
      <c r="GZ33" s="568" t="str">
        <f t="shared" si="157"/>
        <v/>
      </c>
      <c r="HA33" s="568" t="str">
        <f t="shared" si="158"/>
        <v/>
      </c>
      <c r="HB33" s="568" t="str">
        <f t="shared" si="159"/>
        <v/>
      </c>
      <c r="HC33" s="568" t="str">
        <f t="shared" si="160"/>
        <v/>
      </c>
      <c r="HD33" s="568" t="str">
        <f t="shared" si="161"/>
        <v/>
      </c>
      <c r="HE33" s="568" t="str">
        <f t="shared" si="162"/>
        <v/>
      </c>
      <c r="HF33" s="568" t="str">
        <f t="shared" si="163"/>
        <v/>
      </c>
      <c r="HG33" s="568" t="str">
        <f t="shared" si="164"/>
        <v/>
      </c>
      <c r="HH33" s="568" t="str">
        <f t="shared" si="165"/>
        <v/>
      </c>
      <c r="HI33" s="568" t="str">
        <f t="shared" si="166"/>
        <v/>
      </c>
      <c r="HJ33" s="568" t="str">
        <f t="shared" si="167"/>
        <v/>
      </c>
      <c r="HK33" s="568" t="str">
        <f t="shared" si="168"/>
        <v/>
      </c>
      <c r="HL33" s="568" t="str">
        <f t="shared" si="169"/>
        <v/>
      </c>
      <c r="HM33" s="568" t="str">
        <f t="shared" si="170"/>
        <v/>
      </c>
    </row>
    <row r="34" spans="1:221" ht="13.15" customHeight="1">
      <c r="A34" s="126" t="str">
        <f t="shared" si="171"/>
        <v/>
      </c>
      <c r="B34" s="1748" t="s">
        <v>1895</v>
      </c>
      <c r="C34" s="1749"/>
      <c r="D34" s="1750"/>
      <c r="E34" s="1751"/>
      <c r="F34" s="1751"/>
      <c r="G34" s="1751"/>
      <c r="H34" s="1751"/>
      <c r="I34" s="1751"/>
      <c r="J34" s="1752"/>
      <c r="K34" s="199">
        <f t="shared" si="204"/>
        <v>0</v>
      </c>
      <c r="L34" s="199">
        <f t="shared" si="0"/>
        <v>0</v>
      </c>
      <c r="M34" s="1753"/>
      <c r="N34" s="1753"/>
      <c r="O34" s="1753"/>
      <c r="P34" s="519" t="str">
        <f t="shared" si="203"/>
        <v/>
      </c>
      <c r="Q34" s="520" t="str">
        <f>IF(H34="","",P34/($P$6*VLOOKUP(C34,'DCA Underwriting Assumptions'!$J$82:$K$87,2,FALSE)))</f>
        <v/>
      </c>
      <c r="R34" s="605"/>
      <c r="S34" s="520"/>
      <c r="T34" s="1754"/>
      <c r="U34" s="1755"/>
      <c r="V34" s="568" t="str">
        <f t="shared" si="1"/>
        <v/>
      </c>
      <c r="W34" s="568" t="str">
        <f t="shared" si="2"/>
        <v/>
      </c>
      <c r="X34" s="568" t="str">
        <f t="shared" si="3"/>
        <v/>
      </c>
      <c r="Y34" s="568" t="str">
        <f t="shared" si="4"/>
        <v/>
      </c>
      <c r="Z34" s="568" t="str">
        <f t="shared" si="5"/>
        <v/>
      </c>
      <c r="AA34" s="568" t="str">
        <f t="shared" si="6"/>
        <v/>
      </c>
      <c r="AB34" s="568" t="str">
        <f t="shared" si="7"/>
        <v/>
      </c>
      <c r="AC34" s="568" t="str">
        <f t="shared" si="8"/>
        <v/>
      </c>
      <c r="AD34" s="568" t="str">
        <f t="shared" si="9"/>
        <v/>
      </c>
      <c r="AE34" s="568" t="str">
        <f t="shared" si="10"/>
        <v/>
      </c>
      <c r="AF34" s="568" t="str">
        <f t="shared" si="11"/>
        <v/>
      </c>
      <c r="AG34" s="568" t="str">
        <f t="shared" si="12"/>
        <v/>
      </c>
      <c r="AH34" s="568" t="str">
        <f t="shared" si="13"/>
        <v/>
      </c>
      <c r="AI34" s="568" t="str">
        <f t="shared" si="14"/>
        <v/>
      </c>
      <c r="AJ34" s="568" t="str">
        <f t="shared" si="15"/>
        <v/>
      </c>
      <c r="AK34" s="568" t="str">
        <f t="shared" si="16"/>
        <v/>
      </c>
      <c r="AL34" s="568" t="str">
        <f t="shared" si="17"/>
        <v/>
      </c>
      <c r="AM34" s="568" t="str">
        <f t="shared" si="18"/>
        <v/>
      </c>
      <c r="AN34" s="568" t="str">
        <f t="shared" si="19"/>
        <v/>
      </c>
      <c r="AO34" s="568" t="str">
        <f t="shared" si="20"/>
        <v/>
      </c>
      <c r="AP34" s="568" t="str">
        <f t="shared" si="173"/>
        <v/>
      </c>
      <c r="AQ34" s="568" t="str">
        <f t="shared" si="174"/>
        <v/>
      </c>
      <c r="AR34" s="568" t="str">
        <f t="shared" si="175"/>
        <v/>
      </c>
      <c r="AS34" s="568" t="str">
        <f t="shared" si="176"/>
        <v/>
      </c>
      <c r="AT34" s="568" t="str">
        <f t="shared" si="177"/>
        <v/>
      </c>
      <c r="AU34" s="568" t="str">
        <f t="shared" si="178"/>
        <v/>
      </c>
      <c r="AV34" s="568" t="str">
        <f t="shared" si="179"/>
        <v/>
      </c>
      <c r="AW34" s="568" t="str">
        <f t="shared" si="180"/>
        <v/>
      </c>
      <c r="AX34" s="568" t="str">
        <f t="shared" si="181"/>
        <v/>
      </c>
      <c r="AY34" s="568" t="str">
        <f t="shared" si="182"/>
        <v/>
      </c>
      <c r="AZ34" s="568" t="str">
        <f t="shared" si="183"/>
        <v/>
      </c>
      <c r="BA34" s="568" t="str">
        <f t="shared" si="184"/>
        <v/>
      </c>
      <c r="BB34" s="568" t="str">
        <f t="shared" si="185"/>
        <v/>
      </c>
      <c r="BC34" s="568" t="str">
        <f t="shared" si="186"/>
        <v/>
      </c>
      <c r="BD34" s="568" t="str">
        <f t="shared" si="187"/>
        <v/>
      </c>
      <c r="BE34" s="568" t="str">
        <f t="shared" si="188"/>
        <v/>
      </c>
      <c r="BF34" s="568" t="str">
        <f t="shared" si="189"/>
        <v/>
      </c>
      <c r="BG34" s="568" t="str">
        <f t="shared" si="190"/>
        <v/>
      </c>
      <c r="BH34" s="568" t="str">
        <f t="shared" si="191"/>
        <v/>
      </c>
      <c r="BI34" s="568" t="str">
        <f t="shared" si="192"/>
        <v/>
      </c>
      <c r="BJ34" s="568" t="str">
        <f t="shared" si="193"/>
        <v/>
      </c>
      <c r="BK34" s="568" t="str">
        <f t="shared" si="194"/>
        <v/>
      </c>
      <c r="BL34" s="568" t="str">
        <f t="shared" si="195"/>
        <v/>
      </c>
      <c r="BM34" s="568" t="str">
        <f t="shared" si="196"/>
        <v/>
      </c>
      <c r="BN34" s="568" t="str">
        <f t="shared" si="197"/>
        <v/>
      </c>
      <c r="BO34" s="568" t="str">
        <f t="shared" si="198"/>
        <v/>
      </c>
      <c r="BP34" s="568" t="str">
        <f t="shared" si="199"/>
        <v/>
      </c>
      <c r="BQ34" s="568" t="str">
        <f t="shared" si="200"/>
        <v/>
      </c>
      <c r="BR34" s="568" t="str">
        <f t="shared" si="201"/>
        <v/>
      </c>
      <c r="BS34" s="568" t="str">
        <f t="shared" si="202"/>
        <v/>
      </c>
      <c r="BT34" s="568" t="str">
        <f t="shared" si="21"/>
        <v/>
      </c>
      <c r="BU34" s="568" t="str">
        <f t="shared" si="22"/>
        <v/>
      </c>
      <c r="BV34" s="568" t="str">
        <f t="shared" si="23"/>
        <v/>
      </c>
      <c r="BW34" s="568" t="str">
        <f t="shared" si="24"/>
        <v/>
      </c>
      <c r="BX34" s="568" t="str">
        <f t="shared" si="25"/>
        <v/>
      </c>
      <c r="BY34" s="568" t="str">
        <f t="shared" si="26"/>
        <v/>
      </c>
      <c r="BZ34" s="568" t="str">
        <f t="shared" si="27"/>
        <v/>
      </c>
      <c r="CA34" s="568" t="str">
        <f t="shared" si="28"/>
        <v/>
      </c>
      <c r="CB34" s="568" t="str">
        <f t="shared" si="29"/>
        <v/>
      </c>
      <c r="CC34" s="568" t="str">
        <f t="shared" si="30"/>
        <v/>
      </c>
      <c r="CD34" s="568" t="str">
        <f t="shared" si="31"/>
        <v/>
      </c>
      <c r="CE34" s="568" t="str">
        <f t="shared" si="32"/>
        <v/>
      </c>
      <c r="CF34" s="568" t="str">
        <f t="shared" si="33"/>
        <v/>
      </c>
      <c r="CG34" s="568" t="str">
        <f t="shared" si="34"/>
        <v/>
      </c>
      <c r="CH34" s="568" t="str">
        <f t="shared" si="35"/>
        <v/>
      </c>
      <c r="CI34" s="568" t="str">
        <f t="shared" si="36"/>
        <v/>
      </c>
      <c r="CJ34" s="568" t="str">
        <f t="shared" si="37"/>
        <v/>
      </c>
      <c r="CK34" s="568" t="str">
        <f t="shared" si="38"/>
        <v/>
      </c>
      <c r="CL34" s="568" t="str">
        <f t="shared" si="39"/>
        <v/>
      </c>
      <c r="CM34" s="568" t="str">
        <f t="shared" si="40"/>
        <v/>
      </c>
      <c r="CN34" s="568" t="str">
        <f t="shared" si="41"/>
        <v/>
      </c>
      <c r="CO34" s="568" t="str">
        <f t="shared" si="42"/>
        <v/>
      </c>
      <c r="CP34" s="568" t="str">
        <f t="shared" si="43"/>
        <v/>
      </c>
      <c r="CQ34" s="568" t="str">
        <f t="shared" si="44"/>
        <v/>
      </c>
      <c r="CR34" s="568" t="str">
        <f t="shared" si="45"/>
        <v/>
      </c>
      <c r="CS34" s="568" t="str">
        <f t="shared" si="46"/>
        <v/>
      </c>
      <c r="CT34" s="568" t="str">
        <f t="shared" si="47"/>
        <v/>
      </c>
      <c r="CU34" s="568" t="str">
        <f t="shared" si="48"/>
        <v/>
      </c>
      <c r="CV34" s="568" t="str">
        <f t="shared" si="49"/>
        <v/>
      </c>
      <c r="CW34" s="568" t="str">
        <f t="shared" si="50"/>
        <v/>
      </c>
      <c r="CX34" s="568" t="str">
        <f t="shared" si="51"/>
        <v/>
      </c>
      <c r="CY34" s="568" t="str">
        <f t="shared" si="52"/>
        <v/>
      </c>
      <c r="CZ34" s="568" t="str">
        <f t="shared" si="53"/>
        <v/>
      </c>
      <c r="DA34" s="568" t="str">
        <f t="shared" si="54"/>
        <v/>
      </c>
      <c r="DB34" s="568" t="str">
        <f t="shared" si="55"/>
        <v/>
      </c>
      <c r="DC34" s="568" t="str">
        <f t="shared" si="56"/>
        <v/>
      </c>
      <c r="DD34" s="568" t="str">
        <f t="shared" si="57"/>
        <v/>
      </c>
      <c r="DE34" s="568" t="str">
        <f t="shared" si="58"/>
        <v/>
      </c>
      <c r="DF34" s="568" t="str">
        <f t="shared" si="59"/>
        <v/>
      </c>
      <c r="DG34" s="568" t="str">
        <f t="shared" si="60"/>
        <v/>
      </c>
      <c r="DH34" s="568" t="str">
        <f t="shared" si="61"/>
        <v/>
      </c>
      <c r="DI34" s="568" t="str">
        <f t="shared" si="62"/>
        <v/>
      </c>
      <c r="DJ34" s="568" t="str">
        <f t="shared" si="63"/>
        <v/>
      </c>
      <c r="DK34" s="568" t="str">
        <f t="shared" si="64"/>
        <v/>
      </c>
      <c r="DL34" s="568" t="str">
        <f t="shared" si="65"/>
        <v/>
      </c>
      <c r="DM34" s="568" t="str">
        <f t="shared" si="66"/>
        <v/>
      </c>
      <c r="DN34" s="568" t="str">
        <f t="shared" si="67"/>
        <v/>
      </c>
      <c r="DO34" s="568" t="str">
        <f t="shared" si="68"/>
        <v/>
      </c>
      <c r="DP34" s="568" t="str">
        <f t="shared" si="69"/>
        <v/>
      </c>
      <c r="DQ34" s="568" t="str">
        <f t="shared" si="70"/>
        <v/>
      </c>
      <c r="DR34" s="568" t="str">
        <f t="shared" si="71"/>
        <v/>
      </c>
      <c r="DS34" s="568" t="str">
        <f t="shared" si="72"/>
        <v/>
      </c>
      <c r="DT34" s="568" t="str">
        <f t="shared" si="73"/>
        <v/>
      </c>
      <c r="DU34" s="568" t="str">
        <f t="shared" si="74"/>
        <v/>
      </c>
      <c r="DV34" s="568" t="str">
        <f t="shared" si="75"/>
        <v/>
      </c>
      <c r="DW34" s="568" t="str">
        <f t="shared" si="76"/>
        <v/>
      </c>
      <c r="DX34" s="568" t="str">
        <f t="shared" si="77"/>
        <v/>
      </c>
      <c r="DY34" s="568" t="str">
        <f t="shared" si="78"/>
        <v/>
      </c>
      <c r="DZ34" s="568" t="str">
        <f t="shared" si="79"/>
        <v/>
      </c>
      <c r="EA34" s="568" t="str">
        <f t="shared" si="80"/>
        <v/>
      </c>
      <c r="EB34" s="568" t="str">
        <f t="shared" si="81"/>
        <v/>
      </c>
      <c r="EC34" s="568" t="str">
        <f t="shared" si="82"/>
        <v/>
      </c>
      <c r="ED34" s="568" t="str">
        <f t="shared" si="83"/>
        <v/>
      </c>
      <c r="EE34" s="568" t="str">
        <f t="shared" si="84"/>
        <v/>
      </c>
      <c r="EF34" s="568" t="str">
        <f t="shared" si="85"/>
        <v/>
      </c>
      <c r="EG34" s="568" t="str">
        <f t="shared" si="86"/>
        <v/>
      </c>
      <c r="EH34" s="568" t="str">
        <f t="shared" si="87"/>
        <v/>
      </c>
      <c r="EI34" s="568" t="str">
        <f t="shared" si="88"/>
        <v/>
      </c>
      <c r="EJ34" s="568" t="str">
        <f t="shared" si="89"/>
        <v/>
      </c>
      <c r="EK34" s="568" t="str">
        <f t="shared" si="90"/>
        <v/>
      </c>
      <c r="EL34" s="568" t="str">
        <f t="shared" si="91"/>
        <v/>
      </c>
      <c r="EM34" s="568" t="str">
        <f t="shared" si="92"/>
        <v/>
      </c>
      <c r="EN34" s="568" t="str">
        <f t="shared" si="93"/>
        <v/>
      </c>
      <c r="EO34" s="568" t="str">
        <f t="shared" si="94"/>
        <v/>
      </c>
      <c r="EP34" s="568" t="str">
        <f t="shared" si="95"/>
        <v/>
      </c>
      <c r="EQ34" s="568" t="str">
        <f t="shared" si="96"/>
        <v/>
      </c>
      <c r="ER34" s="568" t="str">
        <f t="shared" si="97"/>
        <v/>
      </c>
      <c r="ES34" s="568" t="str">
        <f t="shared" si="98"/>
        <v/>
      </c>
      <c r="ET34" s="568" t="str">
        <f t="shared" si="99"/>
        <v/>
      </c>
      <c r="EU34" s="568" t="str">
        <f t="shared" si="100"/>
        <v/>
      </c>
      <c r="EV34" s="578" t="str">
        <f t="shared" si="101"/>
        <v/>
      </c>
      <c r="EW34" s="578" t="str">
        <f t="shared" si="102"/>
        <v/>
      </c>
      <c r="EX34" s="578" t="str">
        <f t="shared" si="103"/>
        <v/>
      </c>
      <c r="EY34" s="578" t="str">
        <f t="shared" si="104"/>
        <v/>
      </c>
      <c r="EZ34" s="578" t="str">
        <f t="shared" si="105"/>
        <v/>
      </c>
      <c r="FA34" s="578" t="str">
        <f t="shared" si="106"/>
        <v/>
      </c>
      <c r="FB34" s="578" t="str">
        <f t="shared" si="107"/>
        <v/>
      </c>
      <c r="FC34" s="578" t="str">
        <f t="shared" si="108"/>
        <v/>
      </c>
      <c r="FD34" s="578" t="str">
        <f t="shared" si="109"/>
        <v/>
      </c>
      <c r="FE34" s="578" t="str">
        <f t="shared" si="110"/>
        <v/>
      </c>
      <c r="FF34" s="578" t="str">
        <f t="shared" si="111"/>
        <v/>
      </c>
      <c r="FG34" s="578" t="str">
        <f t="shared" si="112"/>
        <v/>
      </c>
      <c r="FH34" s="578" t="str">
        <f t="shared" si="113"/>
        <v/>
      </c>
      <c r="FI34" s="578" t="str">
        <f t="shared" si="114"/>
        <v/>
      </c>
      <c r="FJ34" s="578" t="str">
        <f t="shared" si="115"/>
        <v/>
      </c>
      <c r="FK34" s="578" t="str">
        <f t="shared" si="116"/>
        <v/>
      </c>
      <c r="FL34" s="578" t="str">
        <f t="shared" si="117"/>
        <v/>
      </c>
      <c r="FM34" s="578" t="str">
        <f t="shared" si="118"/>
        <v/>
      </c>
      <c r="FN34" s="578" t="str">
        <f t="shared" si="119"/>
        <v/>
      </c>
      <c r="FO34" s="578" t="str">
        <f t="shared" si="120"/>
        <v/>
      </c>
      <c r="FP34" s="578" t="str">
        <f t="shared" si="121"/>
        <v/>
      </c>
      <c r="FQ34" s="578" t="str">
        <f t="shared" si="122"/>
        <v/>
      </c>
      <c r="FR34" s="578" t="str">
        <f t="shared" si="123"/>
        <v/>
      </c>
      <c r="FS34" s="578" t="str">
        <f t="shared" si="124"/>
        <v/>
      </c>
      <c r="FT34" s="578" t="str">
        <f t="shared" si="125"/>
        <v/>
      </c>
      <c r="FU34" s="578" t="str">
        <f t="shared" si="126"/>
        <v/>
      </c>
      <c r="FV34" s="578" t="str">
        <f t="shared" si="127"/>
        <v/>
      </c>
      <c r="FW34" s="578" t="str">
        <f t="shared" si="128"/>
        <v/>
      </c>
      <c r="FX34" s="578" t="str">
        <f t="shared" si="129"/>
        <v/>
      </c>
      <c r="FY34" s="578" t="str">
        <f t="shared" si="130"/>
        <v/>
      </c>
      <c r="FZ34" s="578" t="str">
        <f t="shared" si="131"/>
        <v/>
      </c>
      <c r="GA34" s="578" t="str">
        <f t="shared" si="132"/>
        <v/>
      </c>
      <c r="GB34" s="578" t="str">
        <f t="shared" si="133"/>
        <v/>
      </c>
      <c r="GC34" s="578" t="str">
        <f t="shared" si="134"/>
        <v/>
      </c>
      <c r="GD34" s="578" t="str">
        <f t="shared" si="135"/>
        <v/>
      </c>
      <c r="GE34" s="578" t="str">
        <f t="shared" si="136"/>
        <v/>
      </c>
      <c r="GF34" s="578" t="str">
        <f t="shared" si="137"/>
        <v/>
      </c>
      <c r="GG34" s="578" t="str">
        <f t="shared" si="138"/>
        <v/>
      </c>
      <c r="GH34" s="578" t="str">
        <f t="shared" si="139"/>
        <v/>
      </c>
      <c r="GI34" s="578" t="str">
        <f t="shared" si="140"/>
        <v/>
      </c>
      <c r="GJ34" s="578" t="str">
        <f t="shared" si="141"/>
        <v/>
      </c>
      <c r="GK34" s="578" t="str">
        <f t="shared" si="142"/>
        <v/>
      </c>
      <c r="GL34" s="578" t="str">
        <f t="shared" si="143"/>
        <v/>
      </c>
      <c r="GM34" s="578" t="str">
        <f t="shared" si="144"/>
        <v/>
      </c>
      <c r="GN34" s="578" t="str">
        <f t="shared" si="145"/>
        <v/>
      </c>
      <c r="GO34" s="579" t="str">
        <f t="shared" si="146"/>
        <v/>
      </c>
      <c r="GP34" s="579" t="str">
        <f t="shared" si="147"/>
        <v/>
      </c>
      <c r="GQ34" s="579" t="str">
        <f t="shared" si="148"/>
        <v/>
      </c>
      <c r="GR34" s="579" t="str">
        <f t="shared" si="149"/>
        <v/>
      </c>
      <c r="GS34" s="579" t="str">
        <f t="shared" si="150"/>
        <v/>
      </c>
      <c r="GT34" s="568" t="str">
        <f t="shared" si="151"/>
        <v/>
      </c>
      <c r="GU34" s="568" t="str">
        <f t="shared" si="152"/>
        <v/>
      </c>
      <c r="GV34" s="568" t="str">
        <f t="shared" si="153"/>
        <v/>
      </c>
      <c r="GW34" s="568" t="str">
        <f t="shared" si="154"/>
        <v/>
      </c>
      <c r="GX34" s="568" t="str">
        <f t="shared" si="155"/>
        <v/>
      </c>
      <c r="GY34" s="568" t="str">
        <f t="shared" si="156"/>
        <v/>
      </c>
      <c r="GZ34" s="568" t="str">
        <f t="shared" si="157"/>
        <v/>
      </c>
      <c r="HA34" s="568" t="str">
        <f t="shared" si="158"/>
        <v/>
      </c>
      <c r="HB34" s="568" t="str">
        <f t="shared" si="159"/>
        <v/>
      </c>
      <c r="HC34" s="568" t="str">
        <f t="shared" si="160"/>
        <v/>
      </c>
      <c r="HD34" s="568" t="str">
        <f t="shared" si="161"/>
        <v/>
      </c>
      <c r="HE34" s="568" t="str">
        <f t="shared" si="162"/>
        <v/>
      </c>
      <c r="HF34" s="568" t="str">
        <f t="shared" si="163"/>
        <v/>
      </c>
      <c r="HG34" s="568" t="str">
        <f t="shared" si="164"/>
        <v/>
      </c>
      <c r="HH34" s="568" t="str">
        <f t="shared" si="165"/>
        <v/>
      </c>
      <c r="HI34" s="568" t="str">
        <f t="shared" si="166"/>
        <v/>
      </c>
      <c r="HJ34" s="568" t="str">
        <f t="shared" si="167"/>
        <v/>
      </c>
      <c r="HK34" s="568" t="str">
        <f t="shared" si="168"/>
        <v/>
      </c>
      <c r="HL34" s="568" t="str">
        <f t="shared" si="169"/>
        <v/>
      </c>
      <c r="HM34" s="568" t="str">
        <f t="shared" si="170"/>
        <v/>
      </c>
    </row>
    <row r="35" spans="1:221" ht="13.15" customHeight="1">
      <c r="A35" s="126" t="str">
        <f t="shared" si="171"/>
        <v/>
      </c>
      <c r="B35" s="1748" t="s">
        <v>1895</v>
      </c>
      <c r="C35" s="1749"/>
      <c r="D35" s="1750"/>
      <c r="E35" s="1751"/>
      <c r="F35" s="1751"/>
      <c r="G35" s="1751"/>
      <c r="H35" s="1751"/>
      <c r="I35" s="1751"/>
      <c r="J35" s="1752"/>
      <c r="K35" s="199">
        <f t="shared" si="204"/>
        <v>0</v>
      </c>
      <c r="L35" s="199">
        <f t="shared" si="0"/>
        <v>0</v>
      </c>
      <c r="M35" s="1753"/>
      <c r="N35" s="1753"/>
      <c r="O35" s="1753"/>
      <c r="P35" s="519" t="str">
        <f t="shared" si="203"/>
        <v/>
      </c>
      <c r="Q35" s="520" t="str">
        <f>IF(H35="","",P35/($P$6*VLOOKUP(C35,'DCA Underwriting Assumptions'!$J$82:$K$87,2,FALSE)))</f>
        <v/>
      </c>
      <c r="R35" s="605"/>
      <c r="S35" s="520"/>
      <c r="T35" s="1754"/>
      <c r="U35" s="1755"/>
      <c r="V35" s="568" t="str">
        <f t="shared" si="1"/>
        <v/>
      </c>
      <c r="W35" s="568" t="str">
        <f t="shared" si="2"/>
        <v/>
      </c>
      <c r="X35" s="568" t="str">
        <f t="shared" si="3"/>
        <v/>
      </c>
      <c r="Y35" s="568" t="str">
        <f t="shared" si="4"/>
        <v/>
      </c>
      <c r="Z35" s="568" t="str">
        <f t="shared" si="5"/>
        <v/>
      </c>
      <c r="AA35" s="568" t="str">
        <f t="shared" si="6"/>
        <v/>
      </c>
      <c r="AB35" s="568" t="str">
        <f t="shared" si="7"/>
        <v/>
      </c>
      <c r="AC35" s="568" t="str">
        <f t="shared" si="8"/>
        <v/>
      </c>
      <c r="AD35" s="568" t="str">
        <f t="shared" si="9"/>
        <v/>
      </c>
      <c r="AE35" s="568" t="str">
        <f t="shared" si="10"/>
        <v/>
      </c>
      <c r="AF35" s="568" t="str">
        <f t="shared" si="11"/>
        <v/>
      </c>
      <c r="AG35" s="568" t="str">
        <f t="shared" si="12"/>
        <v/>
      </c>
      <c r="AH35" s="568" t="str">
        <f t="shared" si="13"/>
        <v/>
      </c>
      <c r="AI35" s="568" t="str">
        <f t="shared" si="14"/>
        <v/>
      </c>
      <c r="AJ35" s="568" t="str">
        <f t="shared" si="15"/>
        <v/>
      </c>
      <c r="AK35" s="568" t="str">
        <f t="shared" si="16"/>
        <v/>
      </c>
      <c r="AL35" s="568" t="str">
        <f t="shared" si="17"/>
        <v/>
      </c>
      <c r="AM35" s="568" t="str">
        <f t="shared" si="18"/>
        <v/>
      </c>
      <c r="AN35" s="568" t="str">
        <f t="shared" si="19"/>
        <v/>
      </c>
      <c r="AO35" s="568" t="str">
        <f t="shared" si="20"/>
        <v/>
      </c>
      <c r="AP35" s="568" t="str">
        <f t="shared" si="173"/>
        <v/>
      </c>
      <c r="AQ35" s="568" t="str">
        <f t="shared" si="174"/>
        <v/>
      </c>
      <c r="AR35" s="568" t="str">
        <f t="shared" si="175"/>
        <v/>
      </c>
      <c r="AS35" s="568" t="str">
        <f t="shared" si="176"/>
        <v/>
      </c>
      <c r="AT35" s="568" t="str">
        <f t="shared" si="177"/>
        <v/>
      </c>
      <c r="AU35" s="568" t="str">
        <f t="shared" si="178"/>
        <v/>
      </c>
      <c r="AV35" s="568" t="str">
        <f t="shared" si="179"/>
        <v/>
      </c>
      <c r="AW35" s="568" t="str">
        <f t="shared" si="180"/>
        <v/>
      </c>
      <c r="AX35" s="568" t="str">
        <f t="shared" si="181"/>
        <v/>
      </c>
      <c r="AY35" s="568" t="str">
        <f t="shared" si="182"/>
        <v/>
      </c>
      <c r="AZ35" s="568" t="str">
        <f t="shared" si="183"/>
        <v/>
      </c>
      <c r="BA35" s="568" t="str">
        <f t="shared" si="184"/>
        <v/>
      </c>
      <c r="BB35" s="568" t="str">
        <f t="shared" si="185"/>
        <v/>
      </c>
      <c r="BC35" s="568" t="str">
        <f t="shared" si="186"/>
        <v/>
      </c>
      <c r="BD35" s="568" t="str">
        <f t="shared" si="187"/>
        <v/>
      </c>
      <c r="BE35" s="568" t="str">
        <f t="shared" si="188"/>
        <v/>
      </c>
      <c r="BF35" s="568" t="str">
        <f t="shared" si="189"/>
        <v/>
      </c>
      <c r="BG35" s="568" t="str">
        <f t="shared" si="190"/>
        <v/>
      </c>
      <c r="BH35" s="568" t="str">
        <f t="shared" si="191"/>
        <v/>
      </c>
      <c r="BI35" s="568" t="str">
        <f t="shared" si="192"/>
        <v/>
      </c>
      <c r="BJ35" s="568" t="str">
        <f t="shared" si="193"/>
        <v/>
      </c>
      <c r="BK35" s="568" t="str">
        <f t="shared" si="194"/>
        <v/>
      </c>
      <c r="BL35" s="568" t="str">
        <f t="shared" si="195"/>
        <v/>
      </c>
      <c r="BM35" s="568" t="str">
        <f t="shared" si="196"/>
        <v/>
      </c>
      <c r="BN35" s="568" t="str">
        <f t="shared" si="197"/>
        <v/>
      </c>
      <c r="BO35" s="568" t="str">
        <f t="shared" si="198"/>
        <v/>
      </c>
      <c r="BP35" s="568" t="str">
        <f t="shared" si="199"/>
        <v/>
      </c>
      <c r="BQ35" s="568" t="str">
        <f t="shared" si="200"/>
        <v/>
      </c>
      <c r="BR35" s="568" t="str">
        <f t="shared" si="201"/>
        <v/>
      </c>
      <c r="BS35" s="568" t="str">
        <f t="shared" si="202"/>
        <v/>
      </c>
      <c r="BT35" s="568" t="str">
        <f t="shared" si="21"/>
        <v/>
      </c>
      <c r="BU35" s="568" t="str">
        <f t="shared" si="22"/>
        <v/>
      </c>
      <c r="BV35" s="568" t="str">
        <f t="shared" si="23"/>
        <v/>
      </c>
      <c r="BW35" s="568" t="str">
        <f t="shared" si="24"/>
        <v/>
      </c>
      <c r="BX35" s="568" t="str">
        <f t="shared" si="25"/>
        <v/>
      </c>
      <c r="BY35" s="568" t="str">
        <f t="shared" si="26"/>
        <v/>
      </c>
      <c r="BZ35" s="568" t="str">
        <f t="shared" si="27"/>
        <v/>
      </c>
      <c r="CA35" s="568" t="str">
        <f t="shared" si="28"/>
        <v/>
      </c>
      <c r="CB35" s="568" t="str">
        <f t="shared" si="29"/>
        <v/>
      </c>
      <c r="CC35" s="568" t="str">
        <f t="shared" si="30"/>
        <v/>
      </c>
      <c r="CD35" s="568" t="str">
        <f t="shared" si="31"/>
        <v/>
      </c>
      <c r="CE35" s="568" t="str">
        <f t="shared" si="32"/>
        <v/>
      </c>
      <c r="CF35" s="568" t="str">
        <f t="shared" si="33"/>
        <v/>
      </c>
      <c r="CG35" s="568" t="str">
        <f t="shared" si="34"/>
        <v/>
      </c>
      <c r="CH35" s="568" t="str">
        <f t="shared" si="35"/>
        <v/>
      </c>
      <c r="CI35" s="568" t="str">
        <f t="shared" si="36"/>
        <v/>
      </c>
      <c r="CJ35" s="568" t="str">
        <f t="shared" si="37"/>
        <v/>
      </c>
      <c r="CK35" s="568" t="str">
        <f t="shared" si="38"/>
        <v/>
      </c>
      <c r="CL35" s="568" t="str">
        <f t="shared" si="39"/>
        <v/>
      </c>
      <c r="CM35" s="568" t="str">
        <f t="shared" si="40"/>
        <v/>
      </c>
      <c r="CN35" s="568" t="str">
        <f t="shared" si="41"/>
        <v/>
      </c>
      <c r="CO35" s="568" t="str">
        <f t="shared" si="42"/>
        <v/>
      </c>
      <c r="CP35" s="568" t="str">
        <f t="shared" si="43"/>
        <v/>
      </c>
      <c r="CQ35" s="568" t="str">
        <f t="shared" si="44"/>
        <v/>
      </c>
      <c r="CR35" s="568" t="str">
        <f t="shared" si="45"/>
        <v/>
      </c>
      <c r="CS35" s="568" t="str">
        <f t="shared" si="46"/>
        <v/>
      </c>
      <c r="CT35" s="568" t="str">
        <f t="shared" si="47"/>
        <v/>
      </c>
      <c r="CU35" s="568" t="str">
        <f t="shared" si="48"/>
        <v/>
      </c>
      <c r="CV35" s="568" t="str">
        <f t="shared" si="49"/>
        <v/>
      </c>
      <c r="CW35" s="568" t="str">
        <f t="shared" si="50"/>
        <v/>
      </c>
      <c r="CX35" s="568" t="str">
        <f t="shared" si="51"/>
        <v/>
      </c>
      <c r="CY35" s="568" t="str">
        <f t="shared" si="52"/>
        <v/>
      </c>
      <c r="CZ35" s="568" t="str">
        <f t="shared" si="53"/>
        <v/>
      </c>
      <c r="DA35" s="568" t="str">
        <f t="shared" si="54"/>
        <v/>
      </c>
      <c r="DB35" s="568" t="str">
        <f t="shared" si="55"/>
        <v/>
      </c>
      <c r="DC35" s="568" t="str">
        <f t="shared" si="56"/>
        <v/>
      </c>
      <c r="DD35" s="568" t="str">
        <f t="shared" si="57"/>
        <v/>
      </c>
      <c r="DE35" s="568" t="str">
        <f t="shared" si="58"/>
        <v/>
      </c>
      <c r="DF35" s="568" t="str">
        <f t="shared" si="59"/>
        <v/>
      </c>
      <c r="DG35" s="568" t="str">
        <f t="shared" si="60"/>
        <v/>
      </c>
      <c r="DH35" s="568" t="str">
        <f t="shared" si="61"/>
        <v/>
      </c>
      <c r="DI35" s="568" t="str">
        <f t="shared" si="62"/>
        <v/>
      </c>
      <c r="DJ35" s="568" t="str">
        <f t="shared" si="63"/>
        <v/>
      </c>
      <c r="DK35" s="568" t="str">
        <f t="shared" si="64"/>
        <v/>
      </c>
      <c r="DL35" s="568" t="str">
        <f t="shared" si="65"/>
        <v/>
      </c>
      <c r="DM35" s="568" t="str">
        <f t="shared" si="66"/>
        <v/>
      </c>
      <c r="DN35" s="568" t="str">
        <f t="shared" si="67"/>
        <v/>
      </c>
      <c r="DO35" s="568" t="str">
        <f t="shared" si="68"/>
        <v/>
      </c>
      <c r="DP35" s="568" t="str">
        <f t="shared" si="69"/>
        <v/>
      </c>
      <c r="DQ35" s="568" t="str">
        <f t="shared" si="70"/>
        <v/>
      </c>
      <c r="DR35" s="568" t="str">
        <f t="shared" si="71"/>
        <v/>
      </c>
      <c r="DS35" s="568" t="str">
        <f t="shared" si="72"/>
        <v/>
      </c>
      <c r="DT35" s="568" t="str">
        <f t="shared" si="73"/>
        <v/>
      </c>
      <c r="DU35" s="568" t="str">
        <f t="shared" si="74"/>
        <v/>
      </c>
      <c r="DV35" s="568" t="str">
        <f t="shared" si="75"/>
        <v/>
      </c>
      <c r="DW35" s="568" t="str">
        <f t="shared" si="76"/>
        <v/>
      </c>
      <c r="DX35" s="568" t="str">
        <f t="shared" si="77"/>
        <v/>
      </c>
      <c r="DY35" s="568" t="str">
        <f t="shared" si="78"/>
        <v/>
      </c>
      <c r="DZ35" s="568" t="str">
        <f t="shared" si="79"/>
        <v/>
      </c>
      <c r="EA35" s="568" t="str">
        <f t="shared" si="80"/>
        <v/>
      </c>
      <c r="EB35" s="568" t="str">
        <f t="shared" si="81"/>
        <v/>
      </c>
      <c r="EC35" s="568" t="str">
        <f t="shared" si="82"/>
        <v/>
      </c>
      <c r="ED35" s="568" t="str">
        <f t="shared" si="83"/>
        <v/>
      </c>
      <c r="EE35" s="568" t="str">
        <f t="shared" si="84"/>
        <v/>
      </c>
      <c r="EF35" s="568" t="str">
        <f t="shared" si="85"/>
        <v/>
      </c>
      <c r="EG35" s="568" t="str">
        <f t="shared" si="86"/>
        <v/>
      </c>
      <c r="EH35" s="568" t="str">
        <f t="shared" si="87"/>
        <v/>
      </c>
      <c r="EI35" s="568" t="str">
        <f t="shared" si="88"/>
        <v/>
      </c>
      <c r="EJ35" s="568" t="str">
        <f t="shared" si="89"/>
        <v/>
      </c>
      <c r="EK35" s="568" t="str">
        <f t="shared" si="90"/>
        <v/>
      </c>
      <c r="EL35" s="568" t="str">
        <f t="shared" si="91"/>
        <v/>
      </c>
      <c r="EM35" s="568" t="str">
        <f t="shared" si="92"/>
        <v/>
      </c>
      <c r="EN35" s="568" t="str">
        <f t="shared" si="93"/>
        <v/>
      </c>
      <c r="EO35" s="568" t="str">
        <f t="shared" si="94"/>
        <v/>
      </c>
      <c r="EP35" s="568" t="str">
        <f t="shared" si="95"/>
        <v/>
      </c>
      <c r="EQ35" s="568" t="str">
        <f t="shared" si="96"/>
        <v/>
      </c>
      <c r="ER35" s="568" t="str">
        <f t="shared" si="97"/>
        <v/>
      </c>
      <c r="ES35" s="568" t="str">
        <f t="shared" si="98"/>
        <v/>
      </c>
      <c r="ET35" s="568" t="str">
        <f t="shared" si="99"/>
        <v/>
      </c>
      <c r="EU35" s="568" t="str">
        <f t="shared" si="100"/>
        <v/>
      </c>
      <c r="EV35" s="578" t="str">
        <f t="shared" si="101"/>
        <v/>
      </c>
      <c r="EW35" s="578" t="str">
        <f t="shared" si="102"/>
        <v/>
      </c>
      <c r="EX35" s="578" t="str">
        <f t="shared" si="103"/>
        <v/>
      </c>
      <c r="EY35" s="578" t="str">
        <f t="shared" si="104"/>
        <v/>
      </c>
      <c r="EZ35" s="578" t="str">
        <f t="shared" si="105"/>
        <v/>
      </c>
      <c r="FA35" s="578" t="str">
        <f t="shared" si="106"/>
        <v/>
      </c>
      <c r="FB35" s="578" t="str">
        <f t="shared" si="107"/>
        <v/>
      </c>
      <c r="FC35" s="578" t="str">
        <f t="shared" si="108"/>
        <v/>
      </c>
      <c r="FD35" s="578" t="str">
        <f t="shared" si="109"/>
        <v/>
      </c>
      <c r="FE35" s="578" t="str">
        <f t="shared" si="110"/>
        <v/>
      </c>
      <c r="FF35" s="578" t="str">
        <f t="shared" si="111"/>
        <v/>
      </c>
      <c r="FG35" s="578" t="str">
        <f t="shared" si="112"/>
        <v/>
      </c>
      <c r="FH35" s="578" t="str">
        <f t="shared" si="113"/>
        <v/>
      </c>
      <c r="FI35" s="578" t="str">
        <f t="shared" si="114"/>
        <v/>
      </c>
      <c r="FJ35" s="578" t="str">
        <f t="shared" si="115"/>
        <v/>
      </c>
      <c r="FK35" s="578" t="str">
        <f t="shared" si="116"/>
        <v/>
      </c>
      <c r="FL35" s="578" t="str">
        <f t="shared" si="117"/>
        <v/>
      </c>
      <c r="FM35" s="578" t="str">
        <f t="shared" si="118"/>
        <v/>
      </c>
      <c r="FN35" s="578" t="str">
        <f t="shared" si="119"/>
        <v/>
      </c>
      <c r="FO35" s="578" t="str">
        <f t="shared" si="120"/>
        <v/>
      </c>
      <c r="FP35" s="578" t="str">
        <f t="shared" si="121"/>
        <v/>
      </c>
      <c r="FQ35" s="578" t="str">
        <f t="shared" si="122"/>
        <v/>
      </c>
      <c r="FR35" s="578" t="str">
        <f t="shared" si="123"/>
        <v/>
      </c>
      <c r="FS35" s="578" t="str">
        <f t="shared" si="124"/>
        <v/>
      </c>
      <c r="FT35" s="578" t="str">
        <f t="shared" si="125"/>
        <v/>
      </c>
      <c r="FU35" s="578" t="str">
        <f t="shared" si="126"/>
        <v/>
      </c>
      <c r="FV35" s="578" t="str">
        <f t="shared" si="127"/>
        <v/>
      </c>
      <c r="FW35" s="578" t="str">
        <f t="shared" si="128"/>
        <v/>
      </c>
      <c r="FX35" s="578" t="str">
        <f t="shared" si="129"/>
        <v/>
      </c>
      <c r="FY35" s="578" t="str">
        <f t="shared" si="130"/>
        <v/>
      </c>
      <c r="FZ35" s="578" t="str">
        <f t="shared" si="131"/>
        <v/>
      </c>
      <c r="GA35" s="578" t="str">
        <f t="shared" si="132"/>
        <v/>
      </c>
      <c r="GB35" s="578" t="str">
        <f t="shared" si="133"/>
        <v/>
      </c>
      <c r="GC35" s="578" t="str">
        <f t="shared" si="134"/>
        <v/>
      </c>
      <c r="GD35" s="578" t="str">
        <f t="shared" si="135"/>
        <v/>
      </c>
      <c r="GE35" s="578" t="str">
        <f t="shared" si="136"/>
        <v/>
      </c>
      <c r="GF35" s="578" t="str">
        <f t="shared" si="137"/>
        <v/>
      </c>
      <c r="GG35" s="578" t="str">
        <f t="shared" si="138"/>
        <v/>
      </c>
      <c r="GH35" s="578" t="str">
        <f t="shared" si="139"/>
        <v/>
      </c>
      <c r="GI35" s="578" t="str">
        <f t="shared" si="140"/>
        <v/>
      </c>
      <c r="GJ35" s="578" t="str">
        <f t="shared" si="141"/>
        <v/>
      </c>
      <c r="GK35" s="578" t="str">
        <f t="shared" si="142"/>
        <v/>
      </c>
      <c r="GL35" s="578" t="str">
        <f t="shared" si="143"/>
        <v/>
      </c>
      <c r="GM35" s="578" t="str">
        <f t="shared" si="144"/>
        <v/>
      </c>
      <c r="GN35" s="578" t="str">
        <f t="shared" si="145"/>
        <v/>
      </c>
      <c r="GO35" s="579" t="str">
        <f t="shared" si="146"/>
        <v/>
      </c>
      <c r="GP35" s="579" t="str">
        <f t="shared" si="147"/>
        <v/>
      </c>
      <c r="GQ35" s="579" t="str">
        <f t="shared" si="148"/>
        <v/>
      </c>
      <c r="GR35" s="579" t="str">
        <f t="shared" si="149"/>
        <v/>
      </c>
      <c r="GS35" s="579" t="str">
        <f t="shared" si="150"/>
        <v/>
      </c>
      <c r="GT35" s="568" t="str">
        <f t="shared" si="151"/>
        <v/>
      </c>
      <c r="GU35" s="568" t="str">
        <f t="shared" si="152"/>
        <v/>
      </c>
      <c r="GV35" s="568" t="str">
        <f t="shared" si="153"/>
        <v/>
      </c>
      <c r="GW35" s="568" t="str">
        <f t="shared" si="154"/>
        <v/>
      </c>
      <c r="GX35" s="568" t="str">
        <f t="shared" si="155"/>
        <v/>
      </c>
      <c r="GY35" s="568" t="str">
        <f t="shared" si="156"/>
        <v/>
      </c>
      <c r="GZ35" s="568" t="str">
        <f t="shared" si="157"/>
        <v/>
      </c>
      <c r="HA35" s="568" t="str">
        <f t="shared" si="158"/>
        <v/>
      </c>
      <c r="HB35" s="568" t="str">
        <f t="shared" si="159"/>
        <v/>
      </c>
      <c r="HC35" s="568" t="str">
        <f t="shared" si="160"/>
        <v/>
      </c>
      <c r="HD35" s="568" t="str">
        <f t="shared" si="161"/>
        <v/>
      </c>
      <c r="HE35" s="568" t="str">
        <f t="shared" si="162"/>
        <v/>
      </c>
      <c r="HF35" s="568" t="str">
        <f t="shared" si="163"/>
        <v/>
      </c>
      <c r="HG35" s="568" t="str">
        <f t="shared" si="164"/>
        <v/>
      </c>
      <c r="HH35" s="568" t="str">
        <f t="shared" si="165"/>
        <v/>
      </c>
      <c r="HI35" s="568" t="str">
        <f t="shared" si="166"/>
        <v/>
      </c>
      <c r="HJ35" s="568" t="str">
        <f t="shared" si="167"/>
        <v/>
      </c>
      <c r="HK35" s="568" t="str">
        <f t="shared" si="168"/>
        <v/>
      </c>
      <c r="HL35" s="568" t="str">
        <f t="shared" si="169"/>
        <v/>
      </c>
      <c r="HM35" s="568" t="str">
        <f t="shared" si="170"/>
        <v/>
      </c>
    </row>
    <row r="36" spans="1:221" ht="13.15" customHeight="1">
      <c r="A36" s="126" t="str">
        <f t="shared" si="171"/>
        <v/>
      </c>
      <c r="B36" s="1748" t="s">
        <v>1895</v>
      </c>
      <c r="C36" s="1749"/>
      <c r="D36" s="1750"/>
      <c r="E36" s="1751"/>
      <c r="F36" s="1751"/>
      <c r="G36" s="1751"/>
      <c r="H36" s="1751"/>
      <c r="I36" s="1751"/>
      <c r="J36" s="1752"/>
      <c r="K36" s="199">
        <f t="shared" si="204"/>
        <v>0</v>
      </c>
      <c r="L36" s="199">
        <f t="shared" si="0"/>
        <v>0</v>
      </c>
      <c r="M36" s="1753"/>
      <c r="N36" s="1753"/>
      <c r="O36" s="1753"/>
      <c r="P36" s="519" t="str">
        <f t="shared" si="203"/>
        <v/>
      </c>
      <c r="Q36" s="520" t="str">
        <f>IF(H36="","",P36/($P$6*VLOOKUP(C36,'DCA Underwriting Assumptions'!$J$82:$K$87,2,FALSE)))</f>
        <v/>
      </c>
      <c r="R36" s="605"/>
      <c r="S36" s="520"/>
      <c r="T36" s="1754"/>
      <c r="U36" s="1755"/>
      <c r="V36" s="568" t="str">
        <f t="shared" si="1"/>
        <v/>
      </c>
      <c r="W36" s="568" t="str">
        <f t="shared" si="2"/>
        <v/>
      </c>
      <c r="X36" s="568" t="str">
        <f t="shared" si="3"/>
        <v/>
      </c>
      <c r="Y36" s="568" t="str">
        <f t="shared" si="4"/>
        <v/>
      </c>
      <c r="Z36" s="568" t="str">
        <f t="shared" si="5"/>
        <v/>
      </c>
      <c r="AA36" s="568" t="str">
        <f t="shared" si="6"/>
        <v/>
      </c>
      <c r="AB36" s="568" t="str">
        <f t="shared" si="7"/>
        <v/>
      </c>
      <c r="AC36" s="568" t="str">
        <f t="shared" si="8"/>
        <v/>
      </c>
      <c r="AD36" s="568" t="str">
        <f t="shared" si="9"/>
        <v/>
      </c>
      <c r="AE36" s="568" t="str">
        <f t="shared" si="10"/>
        <v/>
      </c>
      <c r="AF36" s="568" t="str">
        <f t="shared" si="11"/>
        <v/>
      </c>
      <c r="AG36" s="568" t="str">
        <f t="shared" si="12"/>
        <v/>
      </c>
      <c r="AH36" s="568" t="str">
        <f t="shared" si="13"/>
        <v/>
      </c>
      <c r="AI36" s="568" t="str">
        <f t="shared" si="14"/>
        <v/>
      </c>
      <c r="AJ36" s="568" t="str">
        <f t="shared" si="15"/>
        <v/>
      </c>
      <c r="AK36" s="568" t="str">
        <f t="shared" si="16"/>
        <v/>
      </c>
      <c r="AL36" s="568" t="str">
        <f t="shared" si="17"/>
        <v/>
      </c>
      <c r="AM36" s="568" t="str">
        <f t="shared" si="18"/>
        <v/>
      </c>
      <c r="AN36" s="568" t="str">
        <f t="shared" si="19"/>
        <v/>
      </c>
      <c r="AO36" s="568" t="str">
        <f t="shared" si="20"/>
        <v/>
      </c>
      <c r="AP36" s="568" t="str">
        <f t="shared" si="173"/>
        <v/>
      </c>
      <c r="AQ36" s="568" t="str">
        <f t="shared" si="174"/>
        <v/>
      </c>
      <c r="AR36" s="568" t="str">
        <f t="shared" si="175"/>
        <v/>
      </c>
      <c r="AS36" s="568" t="str">
        <f t="shared" si="176"/>
        <v/>
      </c>
      <c r="AT36" s="568" t="str">
        <f t="shared" si="177"/>
        <v/>
      </c>
      <c r="AU36" s="568" t="str">
        <f t="shared" si="178"/>
        <v/>
      </c>
      <c r="AV36" s="568" t="str">
        <f t="shared" si="179"/>
        <v/>
      </c>
      <c r="AW36" s="568" t="str">
        <f t="shared" si="180"/>
        <v/>
      </c>
      <c r="AX36" s="568" t="str">
        <f t="shared" si="181"/>
        <v/>
      </c>
      <c r="AY36" s="568" t="str">
        <f t="shared" si="182"/>
        <v/>
      </c>
      <c r="AZ36" s="568" t="str">
        <f t="shared" si="183"/>
        <v/>
      </c>
      <c r="BA36" s="568" t="str">
        <f t="shared" si="184"/>
        <v/>
      </c>
      <c r="BB36" s="568" t="str">
        <f t="shared" si="185"/>
        <v/>
      </c>
      <c r="BC36" s="568" t="str">
        <f t="shared" si="186"/>
        <v/>
      </c>
      <c r="BD36" s="568" t="str">
        <f t="shared" si="187"/>
        <v/>
      </c>
      <c r="BE36" s="568" t="str">
        <f t="shared" si="188"/>
        <v/>
      </c>
      <c r="BF36" s="568" t="str">
        <f t="shared" si="189"/>
        <v/>
      </c>
      <c r="BG36" s="568" t="str">
        <f t="shared" si="190"/>
        <v/>
      </c>
      <c r="BH36" s="568" t="str">
        <f t="shared" si="191"/>
        <v/>
      </c>
      <c r="BI36" s="568" t="str">
        <f t="shared" si="192"/>
        <v/>
      </c>
      <c r="BJ36" s="568" t="str">
        <f t="shared" si="193"/>
        <v/>
      </c>
      <c r="BK36" s="568" t="str">
        <f t="shared" si="194"/>
        <v/>
      </c>
      <c r="BL36" s="568" t="str">
        <f t="shared" si="195"/>
        <v/>
      </c>
      <c r="BM36" s="568" t="str">
        <f t="shared" si="196"/>
        <v/>
      </c>
      <c r="BN36" s="568" t="str">
        <f t="shared" si="197"/>
        <v/>
      </c>
      <c r="BO36" s="568" t="str">
        <f t="shared" si="198"/>
        <v/>
      </c>
      <c r="BP36" s="568" t="str">
        <f t="shared" si="199"/>
        <v/>
      </c>
      <c r="BQ36" s="568" t="str">
        <f t="shared" si="200"/>
        <v/>
      </c>
      <c r="BR36" s="568" t="str">
        <f t="shared" si="201"/>
        <v/>
      </c>
      <c r="BS36" s="568" t="str">
        <f t="shared" si="202"/>
        <v/>
      </c>
      <c r="BT36" s="568" t="str">
        <f t="shared" si="21"/>
        <v/>
      </c>
      <c r="BU36" s="568" t="str">
        <f t="shared" si="22"/>
        <v/>
      </c>
      <c r="BV36" s="568" t="str">
        <f t="shared" si="23"/>
        <v/>
      </c>
      <c r="BW36" s="568" t="str">
        <f t="shared" si="24"/>
        <v/>
      </c>
      <c r="BX36" s="568" t="str">
        <f t="shared" si="25"/>
        <v/>
      </c>
      <c r="BY36" s="568" t="str">
        <f t="shared" si="26"/>
        <v/>
      </c>
      <c r="BZ36" s="568" t="str">
        <f t="shared" si="27"/>
        <v/>
      </c>
      <c r="CA36" s="568" t="str">
        <f t="shared" si="28"/>
        <v/>
      </c>
      <c r="CB36" s="568" t="str">
        <f t="shared" si="29"/>
        <v/>
      </c>
      <c r="CC36" s="568" t="str">
        <f t="shared" si="30"/>
        <v/>
      </c>
      <c r="CD36" s="568" t="str">
        <f t="shared" si="31"/>
        <v/>
      </c>
      <c r="CE36" s="568" t="str">
        <f t="shared" si="32"/>
        <v/>
      </c>
      <c r="CF36" s="568" t="str">
        <f t="shared" si="33"/>
        <v/>
      </c>
      <c r="CG36" s="568" t="str">
        <f t="shared" si="34"/>
        <v/>
      </c>
      <c r="CH36" s="568" t="str">
        <f t="shared" si="35"/>
        <v/>
      </c>
      <c r="CI36" s="568" t="str">
        <f t="shared" si="36"/>
        <v/>
      </c>
      <c r="CJ36" s="568" t="str">
        <f t="shared" si="37"/>
        <v/>
      </c>
      <c r="CK36" s="568" t="str">
        <f t="shared" si="38"/>
        <v/>
      </c>
      <c r="CL36" s="568" t="str">
        <f t="shared" si="39"/>
        <v/>
      </c>
      <c r="CM36" s="568" t="str">
        <f t="shared" si="40"/>
        <v/>
      </c>
      <c r="CN36" s="568" t="str">
        <f t="shared" si="41"/>
        <v/>
      </c>
      <c r="CO36" s="568" t="str">
        <f t="shared" si="42"/>
        <v/>
      </c>
      <c r="CP36" s="568" t="str">
        <f t="shared" si="43"/>
        <v/>
      </c>
      <c r="CQ36" s="568" t="str">
        <f t="shared" si="44"/>
        <v/>
      </c>
      <c r="CR36" s="568" t="str">
        <f t="shared" si="45"/>
        <v/>
      </c>
      <c r="CS36" s="568" t="str">
        <f t="shared" si="46"/>
        <v/>
      </c>
      <c r="CT36" s="568" t="str">
        <f t="shared" si="47"/>
        <v/>
      </c>
      <c r="CU36" s="568" t="str">
        <f t="shared" si="48"/>
        <v/>
      </c>
      <c r="CV36" s="568" t="str">
        <f t="shared" si="49"/>
        <v/>
      </c>
      <c r="CW36" s="568" t="str">
        <f t="shared" si="50"/>
        <v/>
      </c>
      <c r="CX36" s="568" t="str">
        <f t="shared" si="51"/>
        <v/>
      </c>
      <c r="CY36" s="568" t="str">
        <f t="shared" si="52"/>
        <v/>
      </c>
      <c r="CZ36" s="568" t="str">
        <f t="shared" si="53"/>
        <v/>
      </c>
      <c r="DA36" s="568" t="str">
        <f t="shared" si="54"/>
        <v/>
      </c>
      <c r="DB36" s="568" t="str">
        <f t="shared" si="55"/>
        <v/>
      </c>
      <c r="DC36" s="568" t="str">
        <f t="shared" si="56"/>
        <v/>
      </c>
      <c r="DD36" s="568" t="str">
        <f t="shared" si="57"/>
        <v/>
      </c>
      <c r="DE36" s="568" t="str">
        <f t="shared" si="58"/>
        <v/>
      </c>
      <c r="DF36" s="568" t="str">
        <f t="shared" si="59"/>
        <v/>
      </c>
      <c r="DG36" s="568" t="str">
        <f t="shared" si="60"/>
        <v/>
      </c>
      <c r="DH36" s="568" t="str">
        <f t="shared" si="61"/>
        <v/>
      </c>
      <c r="DI36" s="568" t="str">
        <f t="shared" si="62"/>
        <v/>
      </c>
      <c r="DJ36" s="568" t="str">
        <f t="shared" si="63"/>
        <v/>
      </c>
      <c r="DK36" s="568" t="str">
        <f t="shared" si="64"/>
        <v/>
      </c>
      <c r="DL36" s="568" t="str">
        <f t="shared" si="65"/>
        <v/>
      </c>
      <c r="DM36" s="568" t="str">
        <f t="shared" si="66"/>
        <v/>
      </c>
      <c r="DN36" s="568" t="str">
        <f t="shared" si="67"/>
        <v/>
      </c>
      <c r="DO36" s="568" t="str">
        <f t="shared" si="68"/>
        <v/>
      </c>
      <c r="DP36" s="568" t="str">
        <f t="shared" si="69"/>
        <v/>
      </c>
      <c r="DQ36" s="568" t="str">
        <f t="shared" si="70"/>
        <v/>
      </c>
      <c r="DR36" s="568" t="str">
        <f t="shared" si="71"/>
        <v/>
      </c>
      <c r="DS36" s="568" t="str">
        <f t="shared" si="72"/>
        <v/>
      </c>
      <c r="DT36" s="568" t="str">
        <f t="shared" si="73"/>
        <v/>
      </c>
      <c r="DU36" s="568" t="str">
        <f t="shared" si="74"/>
        <v/>
      </c>
      <c r="DV36" s="568" t="str">
        <f t="shared" si="75"/>
        <v/>
      </c>
      <c r="DW36" s="568" t="str">
        <f t="shared" si="76"/>
        <v/>
      </c>
      <c r="DX36" s="568" t="str">
        <f t="shared" si="77"/>
        <v/>
      </c>
      <c r="DY36" s="568" t="str">
        <f t="shared" si="78"/>
        <v/>
      </c>
      <c r="DZ36" s="568" t="str">
        <f t="shared" si="79"/>
        <v/>
      </c>
      <c r="EA36" s="568" t="str">
        <f t="shared" si="80"/>
        <v/>
      </c>
      <c r="EB36" s="568" t="str">
        <f t="shared" si="81"/>
        <v/>
      </c>
      <c r="EC36" s="568" t="str">
        <f t="shared" si="82"/>
        <v/>
      </c>
      <c r="ED36" s="568" t="str">
        <f t="shared" si="83"/>
        <v/>
      </c>
      <c r="EE36" s="568" t="str">
        <f t="shared" si="84"/>
        <v/>
      </c>
      <c r="EF36" s="568" t="str">
        <f t="shared" si="85"/>
        <v/>
      </c>
      <c r="EG36" s="568" t="str">
        <f t="shared" si="86"/>
        <v/>
      </c>
      <c r="EH36" s="568" t="str">
        <f t="shared" si="87"/>
        <v/>
      </c>
      <c r="EI36" s="568" t="str">
        <f t="shared" si="88"/>
        <v/>
      </c>
      <c r="EJ36" s="568" t="str">
        <f t="shared" si="89"/>
        <v/>
      </c>
      <c r="EK36" s="568" t="str">
        <f t="shared" si="90"/>
        <v/>
      </c>
      <c r="EL36" s="568" t="str">
        <f t="shared" si="91"/>
        <v/>
      </c>
      <c r="EM36" s="568" t="str">
        <f t="shared" si="92"/>
        <v/>
      </c>
      <c r="EN36" s="568" t="str">
        <f t="shared" si="93"/>
        <v/>
      </c>
      <c r="EO36" s="568" t="str">
        <f t="shared" si="94"/>
        <v/>
      </c>
      <c r="EP36" s="568" t="str">
        <f t="shared" si="95"/>
        <v/>
      </c>
      <c r="EQ36" s="568" t="str">
        <f t="shared" si="96"/>
        <v/>
      </c>
      <c r="ER36" s="568" t="str">
        <f t="shared" si="97"/>
        <v/>
      </c>
      <c r="ES36" s="568" t="str">
        <f t="shared" si="98"/>
        <v/>
      </c>
      <c r="ET36" s="568" t="str">
        <f t="shared" si="99"/>
        <v/>
      </c>
      <c r="EU36" s="568" t="str">
        <f t="shared" si="100"/>
        <v/>
      </c>
      <c r="EV36" s="578" t="str">
        <f t="shared" si="101"/>
        <v/>
      </c>
      <c r="EW36" s="578" t="str">
        <f t="shared" si="102"/>
        <v/>
      </c>
      <c r="EX36" s="578" t="str">
        <f t="shared" si="103"/>
        <v/>
      </c>
      <c r="EY36" s="578" t="str">
        <f t="shared" si="104"/>
        <v/>
      </c>
      <c r="EZ36" s="578" t="str">
        <f t="shared" si="105"/>
        <v/>
      </c>
      <c r="FA36" s="578" t="str">
        <f t="shared" si="106"/>
        <v/>
      </c>
      <c r="FB36" s="578" t="str">
        <f t="shared" si="107"/>
        <v/>
      </c>
      <c r="FC36" s="578" t="str">
        <f t="shared" si="108"/>
        <v/>
      </c>
      <c r="FD36" s="578" t="str">
        <f t="shared" si="109"/>
        <v/>
      </c>
      <c r="FE36" s="578" t="str">
        <f t="shared" si="110"/>
        <v/>
      </c>
      <c r="FF36" s="578" t="str">
        <f t="shared" si="111"/>
        <v/>
      </c>
      <c r="FG36" s="578" t="str">
        <f t="shared" si="112"/>
        <v/>
      </c>
      <c r="FH36" s="578" t="str">
        <f t="shared" si="113"/>
        <v/>
      </c>
      <c r="FI36" s="578" t="str">
        <f t="shared" si="114"/>
        <v/>
      </c>
      <c r="FJ36" s="578" t="str">
        <f t="shared" si="115"/>
        <v/>
      </c>
      <c r="FK36" s="578" t="str">
        <f t="shared" si="116"/>
        <v/>
      </c>
      <c r="FL36" s="578" t="str">
        <f t="shared" si="117"/>
        <v/>
      </c>
      <c r="FM36" s="578" t="str">
        <f t="shared" si="118"/>
        <v/>
      </c>
      <c r="FN36" s="578" t="str">
        <f t="shared" si="119"/>
        <v/>
      </c>
      <c r="FO36" s="578" t="str">
        <f t="shared" si="120"/>
        <v/>
      </c>
      <c r="FP36" s="578" t="str">
        <f t="shared" si="121"/>
        <v/>
      </c>
      <c r="FQ36" s="578" t="str">
        <f t="shared" si="122"/>
        <v/>
      </c>
      <c r="FR36" s="578" t="str">
        <f t="shared" si="123"/>
        <v/>
      </c>
      <c r="FS36" s="578" t="str">
        <f t="shared" si="124"/>
        <v/>
      </c>
      <c r="FT36" s="578" t="str">
        <f t="shared" si="125"/>
        <v/>
      </c>
      <c r="FU36" s="578" t="str">
        <f t="shared" si="126"/>
        <v/>
      </c>
      <c r="FV36" s="578" t="str">
        <f t="shared" si="127"/>
        <v/>
      </c>
      <c r="FW36" s="578" t="str">
        <f t="shared" si="128"/>
        <v/>
      </c>
      <c r="FX36" s="578" t="str">
        <f t="shared" si="129"/>
        <v/>
      </c>
      <c r="FY36" s="578" t="str">
        <f t="shared" si="130"/>
        <v/>
      </c>
      <c r="FZ36" s="578" t="str">
        <f t="shared" si="131"/>
        <v/>
      </c>
      <c r="GA36" s="578" t="str">
        <f t="shared" si="132"/>
        <v/>
      </c>
      <c r="GB36" s="578" t="str">
        <f t="shared" si="133"/>
        <v/>
      </c>
      <c r="GC36" s="578" t="str">
        <f t="shared" si="134"/>
        <v/>
      </c>
      <c r="GD36" s="578" t="str">
        <f t="shared" si="135"/>
        <v/>
      </c>
      <c r="GE36" s="578" t="str">
        <f t="shared" si="136"/>
        <v/>
      </c>
      <c r="GF36" s="578" t="str">
        <f t="shared" si="137"/>
        <v/>
      </c>
      <c r="GG36" s="578" t="str">
        <f t="shared" si="138"/>
        <v/>
      </c>
      <c r="GH36" s="578" t="str">
        <f t="shared" si="139"/>
        <v/>
      </c>
      <c r="GI36" s="578" t="str">
        <f t="shared" si="140"/>
        <v/>
      </c>
      <c r="GJ36" s="578" t="str">
        <f t="shared" si="141"/>
        <v/>
      </c>
      <c r="GK36" s="578" t="str">
        <f t="shared" si="142"/>
        <v/>
      </c>
      <c r="GL36" s="578" t="str">
        <f t="shared" si="143"/>
        <v/>
      </c>
      <c r="GM36" s="578" t="str">
        <f t="shared" si="144"/>
        <v/>
      </c>
      <c r="GN36" s="578" t="str">
        <f t="shared" si="145"/>
        <v/>
      </c>
      <c r="GO36" s="579" t="str">
        <f t="shared" si="146"/>
        <v/>
      </c>
      <c r="GP36" s="579" t="str">
        <f t="shared" si="147"/>
        <v/>
      </c>
      <c r="GQ36" s="579" t="str">
        <f t="shared" si="148"/>
        <v/>
      </c>
      <c r="GR36" s="579" t="str">
        <f t="shared" si="149"/>
        <v/>
      </c>
      <c r="GS36" s="579" t="str">
        <f t="shared" si="150"/>
        <v/>
      </c>
      <c r="GT36" s="568" t="str">
        <f t="shared" si="151"/>
        <v/>
      </c>
      <c r="GU36" s="568" t="str">
        <f t="shared" si="152"/>
        <v/>
      </c>
      <c r="GV36" s="568" t="str">
        <f t="shared" si="153"/>
        <v/>
      </c>
      <c r="GW36" s="568" t="str">
        <f t="shared" si="154"/>
        <v/>
      </c>
      <c r="GX36" s="568" t="str">
        <f t="shared" si="155"/>
        <v/>
      </c>
      <c r="GY36" s="568" t="str">
        <f t="shared" si="156"/>
        <v/>
      </c>
      <c r="GZ36" s="568" t="str">
        <f t="shared" si="157"/>
        <v/>
      </c>
      <c r="HA36" s="568" t="str">
        <f t="shared" si="158"/>
        <v/>
      </c>
      <c r="HB36" s="568" t="str">
        <f t="shared" si="159"/>
        <v/>
      </c>
      <c r="HC36" s="568" t="str">
        <f t="shared" si="160"/>
        <v/>
      </c>
      <c r="HD36" s="568" t="str">
        <f t="shared" si="161"/>
        <v/>
      </c>
      <c r="HE36" s="568" t="str">
        <f t="shared" si="162"/>
        <v/>
      </c>
      <c r="HF36" s="568" t="str">
        <f t="shared" si="163"/>
        <v/>
      </c>
      <c r="HG36" s="568" t="str">
        <f t="shared" si="164"/>
        <v/>
      </c>
      <c r="HH36" s="568" t="str">
        <f t="shared" si="165"/>
        <v/>
      </c>
      <c r="HI36" s="568" t="str">
        <f t="shared" si="166"/>
        <v/>
      </c>
      <c r="HJ36" s="568" t="str">
        <f t="shared" si="167"/>
        <v/>
      </c>
      <c r="HK36" s="568" t="str">
        <f t="shared" si="168"/>
        <v/>
      </c>
      <c r="HL36" s="568" t="str">
        <f t="shared" si="169"/>
        <v/>
      </c>
      <c r="HM36" s="568" t="str">
        <f t="shared" si="170"/>
        <v/>
      </c>
    </row>
    <row r="37" spans="1:221" ht="13.15" customHeight="1">
      <c r="A37" s="126" t="str">
        <f t="shared" si="171"/>
        <v/>
      </c>
      <c r="B37" s="1748" t="s">
        <v>1895</v>
      </c>
      <c r="C37" s="1749"/>
      <c r="D37" s="1750"/>
      <c r="E37" s="1751"/>
      <c r="F37" s="1751"/>
      <c r="G37" s="1751"/>
      <c r="H37" s="1751"/>
      <c r="I37" s="1751"/>
      <c r="J37" s="1752"/>
      <c r="K37" s="199">
        <f t="shared" si="204"/>
        <v>0</v>
      </c>
      <c r="L37" s="199">
        <f t="shared" si="0"/>
        <v>0</v>
      </c>
      <c r="M37" s="1753"/>
      <c r="N37" s="1753"/>
      <c r="O37" s="1753"/>
      <c r="P37" s="519" t="str">
        <f t="shared" si="203"/>
        <v/>
      </c>
      <c r="Q37" s="520" t="str">
        <f>IF(H37="","",P37/($P$6*VLOOKUP(C37,'DCA Underwriting Assumptions'!$J$82:$K$87,2,FALSE)))</f>
        <v/>
      </c>
      <c r="R37" s="605"/>
      <c r="S37" s="520"/>
      <c r="T37" s="1754"/>
      <c r="U37" s="1755"/>
      <c r="V37" s="568" t="str">
        <f t="shared" si="1"/>
        <v/>
      </c>
      <c r="W37" s="568" t="str">
        <f t="shared" si="2"/>
        <v/>
      </c>
      <c r="X37" s="568" t="str">
        <f t="shared" si="3"/>
        <v/>
      </c>
      <c r="Y37" s="568" t="str">
        <f t="shared" si="4"/>
        <v/>
      </c>
      <c r="Z37" s="568" t="str">
        <f t="shared" si="5"/>
        <v/>
      </c>
      <c r="AA37" s="568" t="str">
        <f t="shared" si="6"/>
        <v/>
      </c>
      <c r="AB37" s="568" t="str">
        <f t="shared" si="7"/>
        <v/>
      </c>
      <c r="AC37" s="568" t="str">
        <f t="shared" si="8"/>
        <v/>
      </c>
      <c r="AD37" s="568" t="str">
        <f t="shared" si="9"/>
        <v/>
      </c>
      <c r="AE37" s="568" t="str">
        <f t="shared" si="10"/>
        <v/>
      </c>
      <c r="AF37" s="568" t="str">
        <f t="shared" si="11"/>
        <v/>
      </c>
      <c r="AG37" s="568" t="str">
        <f t="shared" si="12"/>
        <v/>
      </c>
      <c r="AH37" s="568" t="str">
        <f t="shared" si="13"/>
        <v/>
      </c>
      <c r="AI37" s="568" t="str">
        <f t="shared" si="14"/>
        <v/>
      </c>
      <c r="AJ37" s="568" t="str">
        <f t="shared" si="15"/>
        <v/>
      </c>
      <c r="AK37" s="568" t="str">
        <f t="shared" si="16"/>
        <v/>
      </c>
      <c r="AL37" s="568" t="str">
        <f t="shared" si="17"/>
        <v/>
      </c>
      <c r="AM37" s="568" t="str">
        <f t="shared" si="18"/>
        <v/>
      </c>
      <c r="AN37" s="568" t="str">
        <f t="shared" si="19"/>
        <v/>
      </c>
      <c r="AO37" s="568" t="str">
        <f t="shared" si="20"/>
        <v/>
      </c>
      <c r="AP37" s="568" t="str">
        <f t="shared" si="173"/>
        <v/>
      </c>
      <c r="AQ37" s="568" t="str">
        <f t="shared" si="174"/>
        <v/>
      </c>
      <c r="AR37" s="568" t="str">
        <f t="shared" si="175"/>
        <v/>
      </c>
      <c r="AS37" s="568" t="str">
        <f t="shared" si="176"/>
        <v/>
      </c>
      <c r="AT37" s="568" t="str">
        <f t="shared" si="177"/>
        <v/>
      </c>
      <c r="AU37" s="568" t="str">
        <f t="shared" si="178"/>
        <v/>
      </c>
      <c r="AV37" s="568" t="str">
        <f t="shared" si="179"/>
        <v/>
      </c>
      <c r="AW37" s="568" t="str">
        <f t="shared" si="180"/>
        <v/>
      </c>
      <c r="AX37" s="568" t="str">
        <f t="shared" si="181"/>
        <v/>
      </c>
      <c r="AY37" s="568" t="str">
        <f t="shared" si="182"/>
        <v/>
      </c>
      <c r="AZ37" s="568" t="str">
        <f t="shared" si="183"/>
        <v/>
      </c>
      <c r="BA37" s="568" t="str">
        <f t="shared" si="184"/>
        <v/>
      </c>
      <c r="BB37" s="568" t="str">
        <f t="shared" si="185"/>
        <v/>
      </c>
      <c r="BC37" s="568" t="str">
        <f t="shared" si="186"/>
        <v/>
      </c>
      <c r="BD37" s="568" t="str">
        <f t="shared" si="187"/>
        <v/>
      </c>
      <c r="BE37" s="568" t="str">
        <f t="shared" si="188"/>
        <v/>
      </c>
      <c r="BF37" s="568" t="str">
        <f t="shared" si="189"/>
        <v/>
      </c>
      <c r="BG37" s="568" t="str">
        <f t="shared" si="190"/>
        <v/>
      </c>
      <c r="BH37" s="568" t="str">
        <f t="shared" si="191"/>
        <v/>
      </c>
      <c r="BI37" s="568" t="str">
        <f t="shared" si="192"/>
        <v/>
      </c>
      <c r="BJ37" s="568" t="str">
        <f t="shared" si="193"/>
        <v/>
      </c>
      <c r="BK37" s="568" t="str">
        <f t="shared" si="194"/>
        <v/>
      </c>
      <c r="BL37" s="568" t="str">
        <f t="shared" si="195"/>
        <v/>
      </c>
      <c r="BM37" s="568" t="str">
        <f t="shared" si="196"/>
        <v/>
      </c>
      <c r="BN37" s="568" t="str">
        <f t="shared" si="197"/>
        <v/>
      </c>
      <c r="BO37" s="568" t="str">
        <f t="shared" si="198"/>
        <v/>
      </c>
      <c r="BP37" s="568" t="str">
        <f t="shared" si="199"/>
        <v/>
      </c>
      <c r="BQ37" s="568" t="str">
        <f t="shared" si="200"/>
        <v/>
      </c>
      <c r="BR37" s="568" t="str">
        <f t="shared" si="201"/>
        <v/>
      </c>
      <c r="BS37" s="568" t="str">
        <f t="shared" si="202"/>
        <v/>
      </c>
      <c r="BT37" s="568" t="str">
        <f t="shared" si="21"/>
        <v/>
      </c>
      <c r="BU37" s="568" t="str">
        <f t="shared" si="22"/>
        <v/>
      </c>
      <c r="BV37" s="568" t="str">
        <f t="shared" si="23"/>
        <v/>
      </c>
      <c r="BW37" s="568" t="str">
        <f t="shared" si="24"/>
        <v/>
      </c>
      <c r="BX37" s="568" t="str">
        <f t="shared" si="25"/>
        <v/>
      </c>
      <c r="BY37" s="568" t="str">
        <f t="shared" si="26"/>
        <v/>
      </c>
      <c r="BZ37" s="568" t="str">
        <f t="shared" si="27"/>
        <v/>
      </c>
      <c r="CA37" s="568" t="str">
        <f t="shared" si="28"/>
        <v/>
      </c>
      <c r="CB37" s="568" t="str">
        <f t="shared" si="29"/>
        <v/>
      </c>
      <c r="CC37" s="568" t="str">
        <f t="shared" si="30"/>
        <v/>
      </c>
      <c r="CD37" s="568" t="str">
        <f t="shared" si="31"/>
        <v/>
      </c>
      <c r="CE37" s="568" t="str">
        <f t="shared" si="32"/>
        <v/>
      </c>
      <c r="CF37" s="568" t="str">
        <f t="shared" si="33"/>
        <v/>
      </c>
      <c r="CG37" s="568" t="str">
        <f t="shared" si="34"/>
        <v/>
      </c>
      <c r="CH37" s="568" t="str">
        <f t="shared" si="35"/>
        <v/>
      </c>
      <c r="CI37" s="568" t="str">
        <f t="shared" si="36"/>
        <v/>
      </c>
      <c r="CJ37" s="568" t="str">
        <f t="shared" si="37"/>
        <v/>
      </c>
      <c r="CK37" s="568" t="str">
        <f t="shared" si="38"/>
        <v/>
      </c>
      <c r="CL37" s="568" t="str">
        <f t="shared" si="39"/>
        <v/>
      </c>
      <c r="CM37" s="568" t="str">
        <f t="shared" si="40"/>
        <v/>
      </c>
      <c r="CN37" s="568" t="str">
        <f t="shared" si="41"/>
        <v/>
      </c>
      <c r="CO37" s="568" t="str">
        <f t="shared" si="42"/>
        <v/>
      </c>
      <c r="CP37" s="568" t="str">
        <f t="shared" si="43"/>
        <v/>
      </c>
      <c r="CQ37" s="568" t="str">
        <f t="shared" si="44"/>
        <v/>
      </c>
      <c r="CR37" s="568" t="str">
        <f t="shared" si="45"/>
        <v/>
      </c>
      <c r="CS37" s="568" t="str">
        <f t="shared" si="46"/>
        <v/>
      </c>
      <c r="CT37" s="568" t="str">
        <f t="shared" si="47"/>
        <v/>
      </c>
      <c r="CU37" s="568" t="str">
        <f t="shared" si="48"/>
        <v/>
      </c>
      <c r="CV37" s="568" t="str">
        <f t="shared" si="49"/>
        <v/>
      </c>
      <c r="CW37" s="568" t="str">
        <f t="shared" si="50"/>
        <v/>
      </c>
      <c r="CX37" s="568" t="str">
        <f t="shared" si="51"/>
        <v/>
      </c>
      <c r="CY37" s="568" t="str">
        <f t="shared" si="52"/>
        <v/>
      </c>
      <c r="CZ37" s="568" t="str">
        <f t="shared" si="53"/>
        <v/>
      </c>
      <c r="DA37" s="568" t="str">
        <f t="shared" si="54"/>
        <v/>
      </c>
      <c r="DB37" s="568" t="str">
        <f t="shared" si="55"/>
        <v/>
      </c>
      <c r="DC37" s="568" t="str">
        <f t="shared" si="56"/>
        <v/>
      </c>
      <c r="DD37" s="568" t="str">
        <f t="shared" si="57"/>
        <v/>
      </c>
      <c r="DE37" s="568" t="str">
        <f t="shared" si="58"/>
        <v/>
      </c>
      <c r="DF37" s="568" t="str">
        <f t="shared" si="59"/>
        <v/>
      </c>
      <c r="DG37" s="568" t="str">
        <f t="shared" si="60"/>
        <v/>
      </c>
      <c r="DH37" s="568" t="str">
        <f t="shared" si="61"/>
        <v/>
      </c>
      <c r="DI37" s="568" t="str">
        <f t="shared" si="62"/>
        <v/>
      </c>
      <c r="DJ37" s="568" t="str">
        <f t="shared" si="63"/>
        <v/>
      </c>
      <c r="DK37" s="568" t="str">
        <f t="shared" si="64"/>
        <v/>
      </c>
      <c r="DL37" s="568" t="str">
        <f t="shared" si="65"/>
        <v/>
      </c>
      <c r="DM37" s="568" t="str">
        <f t="shared" si="66"/>
        <v/>
      </c>
      <c r="DN37" s="568" t="str">
        <f t="shared" si="67"/>
        <v/>
      </c>
      <c r="DO37" s="568" t="str">
        <f t="shared" si="68"/>
        <v/>
      </c>
      <c r="DP37" s="568" t="str">
        <f t="shared" si="69"/>
        <v/>
      </c>
      <c r="DQ37" s="568" t="str">
        <f t="shared" si="70"/>
        <v/>
      </c>
      <c r="DR37" s="568" t="str">
        <f t="shared" si="71"/>
        <v/>
      </c>
      <c r="DS37" s="568" t="str">
        <f t="shared" si="72"/>
        <v/>
      </c>
      <c r="DT37" s="568" t="str">
        <f t="shared" si="73"/>
        <v/>
      </c>
      <c r="DU37" s="568" t="str">
        <f t="shared" si="74"/>
        <v/>
      </c>
      <c r="DV37" s="568" t="str">
        <f t="shared" si="75"/>
        <v/>
      </c>
      <c r="DW37" s="568" t="str">
        <f t="shared" si="76"/>
        <v/>
      </c>
      <c r="DX37" s="568" t="str">
        <f t="shared" si="77"/>
        <v/>
      </c>
      <c r="DY37" s="568" t="str">
        <f t="shared" si="78"/>
        <v/>
      </c>
      <c r="DZ37" s="568" t="str">
        <f t="shared" si="79"/>
        <v/>
      </c>
      <c r="EA37" s="568" t="str">
        <f t="shared" si="80"/>
        <v/>
      </c>
      <c r="EB37" s="568" t="str">
        <f t="shared" si="81"/>
        <v/>
      </c>
      <c r="EC37" s="568" t="str">
        <f t="shared" si="82"/>
        <v/>
      </c>
      <c r="ED37" s="568" t="str">
        <f t="shared" si="83"/>
        <v/>
      </c>
      <c r="EE37" s="568" t="str">
        <f t="shared" si="84"/>
        <v/>
      </c>
      <c r="EF37" s="568" t="str">
        <f t="shared" si="85"/>
        <v/>
      </c>
      <c r="EG37" s="568" t="str">
        <f t="shared" si="86"/>
        <v/>
      </c>
      <c r="EH37" s="568" t="str">
        <f t="shared" si="87"/>
        <v/>
      </c>
      <c r="EI37" s="568" t="str">
        <f t="shared" si="88"/>
        <v/>
      </c>
      <c r="EJ37" s="568" t="str">
        <f t="shared" si="89"/>
        <v/>
      </c>
      <c r="EK37" s="568" t="str">
        <f t="shared" si="90"/>
        <v/>
      </c>
      <c r="EL37" s="568" t="str">
        <f t="shared" si="91"/>
        <v/>
      </c>
      <c r="EM37" s="568" t="str">
        <f t="shared" si="92"/>
        <v/>
      </c>
      <c r="EN37" s="568" t="str">
        <f t="shared" si="93"/>
        <v/>
      </c>
      <c r="EO37" s="568" t="str">
        <f t="shared" si="94"/>
        <v/>
      </c>
      <c r="EP37" s="568" t="str">
        <f t="shared" si="95"/>
        <v/>
      </c>
      <c r="EQ37" s="568" t="str">
        <f t="shared" si="96"/>
        <v/>
      </c>
      <c r="ER37" s="568" t="str">
        <f t="shared" si="97"/>
        <v/>
      </c>
      <c r="ES37" s="568" t="str">
        <f t="shared" si="98"/>
        <v/>
      </c>
      <c r="ET37" s="568" t="str">
        <f t="shared" si="99"/>
        <v/>
      </c>
      <c r="EU37" s="568" t="str">
        <f t="shared" si="100"/>
        <v/>
      </c>
      <c r="EV37" s="578" t="str">
        <f t="shared" si="101"/>
        <v/>
      </c>
      <c r="EW37" s="578" t="str">
        <f t="shared" si="102"/>
        <v/>
      </c>
      <c r="EX37" s="578" t="str">
        <f t="shared" si="103"/>
        <v/>
      </c>
      <c r="EY37" s="578" t="str">
        <f t="shared" si="104"/>
        <v/>
      </c>
      <c r="EZ37" s="578" t="str">
        <f t="shared" si="105"/>
        <v/>
      </c>
      <c r="FA37" s="578" t="str">
        <f t="shared" si="106"/>
        <v/>
      </c>
      <c r="FB37" s="578" t="str">
        <f t="shared" si="107"/>
        <v/>
      </c>
      <c r="FC37" s="578" t="str">
        <f t="shared" si="108"/>
        <v/>
      </c>
      <c r="FD37" s="578" t="str">
        <f t="shared" si="109"/>
        <v/>
      </c>
      <c r="FE37" s="578" t="str">
        <f t="shared" si="110"/>
        <v/>
      </c>
      <c r="FF37" s="578" t="str">
        <f t="shared" si="111"/>
        <v/>
      </c>
      <c r="FG37" s="578" t="str">
        <f t="shared" si="112"/>
        <v/>
      </c>
      <c r="FH37" s="578" t="str">
        <f t="shared" si="113"/>
        <v/>
      </c>
      <c r="FI37" s="578" t="str">
        <f t="shared" si="114"/>
        <v/>
      </c>
      <c r="FJ37" s="578" t="str">
        <f t="shared" si="115"/>
        <v/>
      </c>
      <c r="FK37" s="578" t="str">
        <f t="shared" si="116"/>
        <v/>
      </c>
      <c r="FL37" s="578" t="str">
        <f t="shared" si="117"/>
        <v/>
      </c>
      <c r="FM37" s="578" t="str">
        <f t="shared" si="118"/>
        <v/>
      </c>
      <c r="FN37" s="578" t="str">
        <f t="shared" si="119"/>
        <v/>
      </c>
      <c r="FO37" s="578" t="str">
        <f t="shared" si="120"/>
        <v/>
      </c>
      <c r="FP37" s="578" t="str">
        <f t="shared" si="121"/>
        <v/>
      </c>
      <c r="FQ37" s="578" t="str">
        <f t="shared" si="122"/>
        <v/>
      </c>
      <c r="FR37" s="578" t="str">
        <f t="shared" si="123"/>
        <v/>
      </c>
      <c r="FS37" s="578" t="str">
        <f t="shared" si="124"/>
        <v/>
      </c>
      <c r="FT37" s="578" t="str">
        <f t="shared" si="125"/>
        <v/>
      </c>
      <c r="FU37" s="578" t="str">
        <f t="shared" si="126"/>
        <v/>
      </c>
      <c r="FV37" s="578" t="str">
        <f t="shared" si="127"/>
        <v/>
      </c>
      <c r="FW37" s="578" t="str">
        <f t="shared" si="128"/>
        <v/>
      </c>
      <c r="FX37" s="578" t="str">
        <f t="shared" si="129"/>
        <v/>
      </c>
      <c r="FY37" s="578" t="str">
        <f t="shared" si="130"/>
        <v/>
      </c>
      <c r="FZ37" s="578" t="str">
        <f t="shared" si="131"/>
        <v/>
      </c>
      <c r="GA37" s="578" t="str">
        <f t="shared" si="132"/>
        <v/>
      </c>
      <c r="GB37" s="578" t="str">
        <f t="shared" si="133"/>
        <v/>
      </c>
      <c r="GC37" s="578" t="str">
        <f t="shared" si="134"/>
        <v/>
      </c>
      <c r="GD37" s="578" t="str">
        <f t="shared" si="135"/>
        <v/>
      </c>
      <c r="GE37" s="578" t="str">
        <f t="shared" si="136"/>
        <v/>
      </c>
      <c r="GF37" s="578" t="str">
        <f t="shared" si="137"/>
        <v/>
      </c>
      <c r="GG37" s="578" t="str">
        <f t="shared" si="138"/>
        <v/>
      </c>
      <c r="GH37" s="578" t="str">
        <f t="shared" si="139"/>
        <v/>
      </c>
      <c r="GI37" s="578" t="str">
        <f t="shared" si="140"/>
        <v/>
      </c>
      <c r="GJ37" s="578" t="str">
        <f t="shared" si="141"/>
        <v/>
      </c>
      <c r="GK37" s="578" t="str">
        <f t="shared" si="142"/>
        <v/>
      </c>
      <c r="GL37" s="578" t="str">
        <f t="shared" si="143"/>
        <v/>
      </c>
      <c r="GM37" s="578" t="str">
        <f t="shared" si="144"/>
        <v/>
      </c>
      <c r="GN37" s="578" t="str">
        <f t="shared" si="145"/>
        <v/>
      </c>
      <c r="GO37" s="579" t="str">
        <f t="shared" si="146"/>
        <v/>
      </c>
      <c r="GP37" s="579" t="str">
        <f t="shared" si="147"/>
        <v/>
      </c>
      <c r="GQ37" s="579" t="str">
        <f t="shared" si="148"/>
        <v/>
      </c>
      <c r="GR37" s="579" t="str">
        <f t="shared" si="149"/>
        <v/>
      </c>
      <c r="GS37" s="579" t="str">
        <f t="shared" si="150"/>
        <v/>
      </c>
      <c r="GT37" s="568" t="str">
        <f t="shared" si="151"/>
        <v/>
      </c>
      <c r="GU37" s="568" t="str">
        <f t="shared" si="152"/>
        <v/>
      </c>
      <c r="GV37" s="568" t="str">
        <f t="shared" si="153"/>
        <v/>
      </c>
      <c r="GW37" s="568" t="str">
        <f t="shared" si="154"/>
        <v/>
      </c>
      <c r="GX37" s="568" t="str">
        <f t="shared" si="155"/>
        <v/>
      </c>
      <c r="GY37" s="568" t="str">
        <f t="shared" si="156"/>
        <v/>
      </c>
      <c r="GZ37" s="568" t="str">
        <f t="shared" si="157"/>
        <v/>
      </c>
      <c r="HA37" s="568" t="str">
        <f t="shared" si="158"/>
        <v/>
      </c>
      <c r="HB37" s="568" t="str">
        <f t="shared" si="159"/>
        <v/>
      </c>
      <c r="HC37" s="568" t="str">
        <f t="shared" si="160"/>
        <v/>
      </c>
      <c r="HD37" s="568" t="str">
        <f t="shared" si="161"/>
        <v/>
      </c>
      <c r="HE37" s="568" t="str">
        <f t="shared" si="162"/>
        <v/>
      </c>
      <c r="HF37" s="568" t="str">
        <f t="shared" si="163"/>
        <v/>
      </c>
      <c r="HG37" s="568" t="str">
        <f t="shared" si="164"/>
        <v/>
      </c>
      <c r="HH37" s="568" t="str">
        <f t="shared" si="165"/>
        <v/>
      </c>
      <c r="HI37" s="568" t="str">
        <f t="shared" si="166"/>
        <v/>
      </c>
      <c r="HJ37" s="568" t="str">
        <f t="shared" si="167"/>
        <v/>
      </c>
      <c r="HK37" s="568" t="str">
        <f t="shared" si="168"/>
        <v/>
      </c>
      <c r="HL37" s="568" t="str">
        <f t="shared" si="169"/>
        <v/>
      </c>
      <c r="HM37" s="568" t="str">
        <f t="shared" si="170"/>
        <v/>
      </c>
    </row>
    <row r="38" spans="1:221" ht="13.15" customHeight="1">
      <c r="A38" s="126" t="str">
        <f t="shared" si="171"/>
        <v/>
      </c>
      <c r="B38" s="1748" t="s">
        <v>1895</v>
      </c>
      <c r="C38" s="1749"/>
      <c r="D38" s="1750"/>
      <c r="E38" s="1751"/>
      <c r="F38" s="1751"/>
      <c r="G38" s="1751"/>
      <c r="H38" s="1751"/>
      <c r="I38" s="1751"/>
      <c r="J38" s="1752"/>
      <c r="K38" s="199">
        <f>MAX(0,H38-I38)</f>
        <v>0</v>
      </c>
      <c r="L38" s="199">
        <f t="shared" si="0"/>
        <v>0</v>
      </c>
      <c r="M38" s="1753"/>
      <c r="N38" s="1753"/>
      <c r="O38" s="1753"/>
      <c r="P38" s="519" t="str">
        <f t="shared" si="203"/>
        <v/>
      </c>
      <c r="Q38" s="520" t="str">
        <f>IF(H38="","",P38/($P$6*VLOOKUP(C38,'DCA Underwriting Assumptions'!$J$82:$K$87,2,FALSE)))</f>
        <v/>
      </c>
      <c r="R38" s="605"/>
      <c r="S38" s="520"/>
      <c r="T38" s="1754"/>
      <c r="U38" s="1755"/>
      <c r="V38" s="568" t="str">
        <f t="shared" si="1"/>
        <v/>
      </c>
      <c r="W38" s="568" t="str">
        <f t="shared" si="2"/>
        <v/>
      </c>
      <c r="X38" s="568" t="str">
        <f t="shared" si="3"/>
        <v/>
      </c>
      <c r="Y38" s="568" t="str">
        <f t="shared" si="4"/>
        <v/>
      </c>
      <c r="Z38" s="568" t="str">
        <f t="shared" si="5"/>
        <v/>
      </c>
      <c r="AA38" s="568" t="str">
        <f t="shared" si="6"/>
        <v/>
      </c>
      <c r="AB38" s="568" t="str">
        <f t="shared" si="7"/>
        <v/>
      </c>
      <c r="AC38" s="568" t="str">
        <f t="shared" si="8"/>
        <v/>
      </c>
      <c r="AD38" s="568" t="str">
        <f t="shared" si="9"/>
        <v/>
      </c>
      <c r="AE38" s="568" t="str">
        <f t="shared" si="10"/>
        <v/>
      </c>
      <c r="AF38" s="568" t="str">
        <f t="shared" si="11"/>
        <v/>
      </c>
      <c r="AG38" s="568" t="str">
        <f t="shared" si="12"/>
        <v/>
      </c>
      <c r="AH38" s="568" t="str">
        <f t="shared" si="13"/>
        <v/>
      </c>
      <c r="AI38" s="568" t="str">
        <f t="shared" si="14"/>
        <v/>
      </c>
      <c r="AJ38" s="568" t="str">
        <f t="shared" si="15"/>
        <v/>
      </c>
      <c r="AK38" s="568" t="str">
        <f t="shared" si="16"/>
        <v/>
      </c>
      <c r="AL38" s="568" t="str">
        <f t="shared" si="17"/>
        <v/>
      </c>
      <c r="AM38" s="568" t="str">
        <f t="shared" si="18"/>
        <v/>
      </c>
      <c r="AN38" s="568" t="str">
        <f t="shared" si="19"/>
        <v/>
      </c>
      <c r="AO38" s="568" t="str">
        <f t="shared" si="20"/>
        <v/>
      </c>
      <c r="AP38" s="568" t="str">
        <f t="shared" si="173"/>
        <v/>
      </c>
      <c r="AQ38" s="568" t="str">
        <f t="shared" si="174"/>
        <v/>
      </c>
      <c r="AR38" s="568" t="str">
        <f t="shared" si="175"/>
        <v/>
      </c>
      <c r="AS38" s="568" t="str">
        <f t="shared" si="176"/>
        <v/>
      </c>
      <c r="AT38" s="568" t="str">
        <f t="shared" si="177"/>
        <v/>
      </c>
      <c r="AU38" s="568" t="str">
        <f t="shared" si="178"/>
        <v/>
      </c>
      <c r="AV38" s="568" t="str">
        <f t="shared" si="179"/>
        <v/>
      </c>
      <c r="AW38" s="568" t="str">
        <f t="shared" si="180"/>
        <v/>
      </c>
      <c r="AX38" s="568" t="str">
        <f t="shared" si="181"/>
        <v/>
      </c>
      <c r="AY38" s="568" t="str">
        <f t="shared" si="182"/>
        <v/>
      </c>
      <c r="AZ38" s="568" t="str">
        <f t="shared" si="183"/>
        <v/>
      </c>
      <c r="BA38" s="568" t="str">
        <f t="shared" si="184"/>
        <v/>
      </c>
      <c r="BB38" s="568" t="str">
        <f t="shared" si="185"/>
        <v/>
      </c>
      <c r="BC38" s="568" t="str">
        <f t="shared" si="186"/>
        <v/>
      </c>
      <c r="BD38" s="568" t="str">
        <f t="shared" si="187"/>
        <v/>
      </c>
      <c r="BE38" s="568" t="str">
        <f t="shared" si="188"/>
        <v/>
      </c>
      <c r="BF38" s="568" t="str">
        <f t="shared" si="189"/>
        <v/>
      </c>
      <c r="BG38" s="568" t="str">
        <f t="shared" si="190"/>
        <v/>
      </c>
      <c r="BH38" s="568" t="str">
        <f t="shared" si="191"/>
        <v/>
      </c>
      <c r="BI38" s="568" t="str">
        <f t="shared" si="192"/>
        <v/>
      </c>
      <c r="BJ38" s="568" t="str">
        <f t="shared" si="193"/>
        <v/>
      </c>
      <c r="BK38" s="568" t="str">
        <f t="shared" si="194"/>
        <v/>
      </c>
      <c r="BL38" s="568" t="str">
        <f t="shared" si="195"/>
        <v/>
      </c>
      <c r="BM38" s="568" t="str">
        <f t="shared" si="196"/>
        <v/>
      </c>
      <c r="BN38" s="568" t="str">
        <f t="shared" si="197"/>
        <v/>
      </c>
      <c r="BO38" s="568" t="str">
        <f t="shared" si="198"/>
        <v/>
      </c>
      <c r="BP38" s="568" t="str">
        <f t="shared" si="199"/>
        <v/>
      </c>
      <c r="BQ38" s="568" t="str">
        <f t="shared" si="200"/>
        <v/>
      </c>
      <c r="BR38" s="568" t="str">
        <f t="shared" si="201"/>
        <v/>
      </c>
      <c r="BS38" s="568" t="str">
        <f t="shared" si="202"/>
        <v/>
      </c>
      <c r="BT38" s="568" t="str">
        <f t="shared" si="21"/>
        <v/>
      </c>
      <c r="BU38" s="568" t="str">
        <f t="shared" si="22"/>
        <v/>
      </c>
      <c r="BV38" s="568" t="str">
        <f t="shared" si="23"/>
        <v/>
      </c>
      <c r="BW38" s="568" t="str">
        <f t="shared" si="24"/>
        <v/>
      </c>
      <c r="BX38" s="568" t="str">
        <f t="shared" si="25"/>
        <v/>
      </c>
      <c r="BY38" s="568" t="str">
        <f t="shared" si="26"/>
        <v/>
      </c>
      <c r="BZ38" s="568" t="str">
        <f t="shared" si="27"/>
        <v/>
      </c>
      <c r="CA38" s="568" t="str">
        <f t="shared" si="28"/>
        <v/>
      </c>
      <c r="CB38" s="568" t="str">
        <f t="shared" si="29"/>
        <v/>
      </c>
      <c r="CC38" s="568" t="str">
        <f t="shared" si="30"/>
        <v/>
      </c>
      <c r="CD38" s="568" t="str">
        <f t="shared" si="31"/>
        <v/>
      </c>
      <c r="CE38" s="568" t="str">
        <f t="shared" si="32"/>
        <v/>
      </c>
      <c r="CF38" s="568" t="str">
        <f t="shared" si="33"/>
        <v/>
      </c>
      <c r="CG38" s="568" t="str">
        <f t="shared" si="34"/>
        <v/>
      </c>
      <c r="CH38" s="568" t="str">
        <f t="shared" si="35"/>
        <v/>
      </c>
      <c r="CI38" s="568" t="str">
        <f t="shared" si="36"/>
        <v/>
      </c>
      <c r="CJ38" s="568" t="str">
        <f t="shared" si="37"/>
        <v/>
      </c>
      <c r="CK38" s="568" t="str">
        <f t="shared" si="38"/>
        <v/>
      </c>
      <c r="CL38" s="568" t="str">
        <f t="shared" si="39"/>
        <v/>
      </c>
      <c r="CM38" s="568" t="str">
        <f t="shared" si="40"/>
        <v/>
      </c>
      <c r="CN38" s="568" t="str">
        <f t="shared" si="41"/>
        <v/>
      </c>
      <c r="CO38" s="568" t="str">
        <f t="shared" si="42"/>
        <v/>
      </c>
      <c r="CP38" s="568" t="str">
        <f t="shared" si="43"/>
        <v/>
      </c>
      <c r="CQ38" s="568" t="str">
        <f t="shared" si="44"/>
        <v/>
      </c>
      <c r="CR38" s="568" t="str">
        <f t="shared" si="45"/>
        <v/>
      </c>
      <c r="CS38" s="568" t="str">
        <f t="shared" si="46"/>
        <v/>
      </c>
      <c r="CT38" s="568" t="str">
        <f t="shared" si="47"/>
        <v/>
      </c>
      <c r="CU38" s="568" t="str">
        <f t="shared" si="48"/>
        <v/>
      </c>
      <c r="CV38" s="568" t="str">
        <f t="shared" si="49"/>
        <v/>
      </c>
      <c r="CW38" s="568" t="str">
        <f t="shared" si="50"/>
        <v/>
      </c>
      <c r="CX38" s="568" t="str">
        <f t="shared" si="51"/>
        <v/>
      </c>
      <c r="CY38" s="568" t="str">
        <f t="shared" si="52"/>
        <v/>
      </c>
      <c r="CZ38" s="568" t="str">
        <f t="shared" si="53"/>
        <v/>
      </c>
      <c r="DA38" s="568" t="str">
        <f t="shared" si="54"/>
        <v/>
      </c>
      <c r="DB38" s="568" t="str">
        <f t="shared" si="55"/>
        <v/>
      </c>
      <c r="DC38" s="568" t="str">
        <f t="shared" si="56"/>
        <v/>
      </c>
      <c r="DD38" s="568" t="str">
        <f t="shared" si="57"/>
        <v/>
      </c>
      <c r="DE38" s="568" t="str">
        <f t="shared" si="58"/>
        <v/>
      </c>
      <c r="DF38" s="568" t="str">
        <f t="shared" si="59"/>
        <v/>
      </c>
      <c r="DG38" s="568" t="str">
        <f t="shared" si="60"/>
        <v/>
      </c>
      <c r="DH38" s="568" t="str">
        <f t="shared" si="61"/>
        <v/>
      </c>
      <c r="DI38" s="568" t="str">
        <f t="shared" si="62"/>
        <v/>
      </c>
      <c r="DJ38" s="568" t="str">
        <f t="shared" si="63"/>
        <v/>
      </c>
      <c r="DK38" s="568" t="str">
        <f t="shared" si="64"/>
        <v/>
      </c>
      <c r="DL38" s="568" t="str">
        <f t="shared" si="65"/>
        <v/>
      </c>
      <c r="DM38" s="568" t="str">
        <f t="shared" si="66"/>
        <v/>
      </c>
      <c r="DN38" s="568" t="str">
        <f t="shared" si="67"/>
        <v/>
      </c>
      <c r="DO38" s="568" t="str">
        <f t="shared" si="68"/>
        <v/>
      </c>
      <c r="DP38" s="568" t="str">
        <f t="shared" si="69"/>
        <v/>
      </c>
      <c r="DQ38" s="568" t="str">
        <f t="shared" si="70"/>
        <v/>
      </c>
      <c r="DR38" s="568" t="str">
        <f t="shared" si="71"/>
        <v/>
      </c>
      <c r="DS38" s="568" t="str">
        <f t="shared" si="72"/>
        <v/>
      </c>
      <c r="DT38" s="568" t="str">
        <f t="shared" si="73"/>
        <v/>
      </c>
      <c r="DU38" s="568" t="str">
        <f t="shared" si="74"/>
        <v/>
      </c>
      <c r="DV38" s="568" t="str">
        <f t="shared" si="75"/>
        <v/>
      </c>
      <c r="DW38" s="568" t="str">
        <f t="shared" si="76"/>
        <v/>
      </c>
      <c r="DX38" s="568" t="str">
        <f t="shared" si="77"/>
        <v/>
      </c>
      <c r="DY38" s="568" t="str">
        <f t="shared" si="78"/>
        <v/>
      </c>
      <c r="DZ38" s="568" t="str">
        <f t="shared" si="79"/>
        <v/>
      </c>
      <c r="EA38" s="568" t="str">
        <f t="shared" si="80"/>
        <v/>
      </c>
      <c r="EB38" s="568" t="str">
        <f t="shared" si="81"/>
        <v/>
      </c>
      <c r="EC38" s="568" t="str">
        <f t="shared" si="82"/>
        <v/>
      </c>
      <c r="ED38" s="568" t="str">
        <f t="shared" si="83"/>
        <v/>
      </c>
      <c r="EE38" s="568" t="str">
        <f t="shared" si="84"/>
        <v/>
      </c>
      <c r="EF38" s="568" t="str">
        <f t="shared" si="85"/>
        <v/>
      </c>
      <c r="EG38" s="568" t="str">
        <f t="shared" si="86"/>
        <v/>
      </c>
      <c r="EH38" s="568" t="str">
        <f t="shared" si="87"/>
        <v/>
      </c>
      <c r="EI38" s="568" t="str">
        <f t="shared" si="88"/>
        <v/>
      </c>
      <c r="EJ38" s="568" t="str">
        <f t="shared" si="89"/>
        <v/>
      </c>
      <c r="EK38" s="568" t="str">
        <f t="shared" si="90"/>
        <v/>
      </c>
      <c r="EL38" s="568" t="str">
        <f t="shared" si="91"/>
        <v/>
      </c>
      <c r="EM38" s="568" t="str">
        <f t="shared" si="92"/>
        <v/>
      </c>
      <c r="EN38" s="568" t="str">
        <f t="shared" si="93"/>
        <v/>
      </c>
      <c r="EO38" s="568" t="str">
        <f t="shared" si="94"/>
        <v/>
      </c>
      <c r="EP38" s="568" t="str">
        <f t="shared" si="95"/>
        <v/>
      </c>
      <c r="EQ38" s="568" t="str">
        <f t="shared" si="96"/>
        <v/>
      </c>
      <c r="ER38" s="568" t="str">
        <f t="shared" si="97"/>
        <v/>
      </c>
      <c r="ES38" s="568" t="str">
        <f t="shared" si="98"/>
        <v/>
      </c>
      <c r="ET38" s="568" t="str">
        <f t="shared" si="99"/>
        <v/>
      </c>
      <c r="EU38" s="568" t="str">
        <f t="shared" si="100"/>
        <v/>
      </c>
      <c r="EV38" s="578" t="str">
        <f t="shared" si="101"/>
        <v/>
      </c>
      <c r="EW38" s="578" t="str">
        <f t="shared" si="102"/>
        <v/>
      </c>
      <c r="EX38" s="578" t="str">
        <f t="shared" si="103"/>
        <v/>
      </c>
      <c r="EY38" s="578" t="str">
        <f t="shared" si="104"/>
        <v/>
      </c>
      <c r="EZ38" s="578" t="str">
        <f t="shared" si="105"/>
        <v/>
      </c>
      <c r="FA38" s="578" t="str">
        <f t="shared" si="106"/>
        <v/>
      </c>
      <c r="FB38" s="578" t="str">
        <f t="shared" si="107"/>
        <v/>
      </c>
      <c r="FC38" s="578" t="str">
        <f t="shared" si="108"/>
        <v/>
      </c>
      <c r="FD38" s="578" t="str">
        <f t="shared" si="109"/>
        <v/>
      </c>
      <c r="FE38" s="578" t="str">
        <f t="shared" si="110"/>
        <v/>
      </c>
      <c r="FF38" s="578" t="str">
        <f t="shared" si="111"/>
        <v/>
      </c>
      <c r="FG38" s="578" t="str">
        <f t="shared" si="112"/>
        <v/>
      </c>
      <c r="FH38" s="578" t="str">
        <f t="shared" si="113"/>
        <v/>
      </c>
      <c r="FI38" s="578" t="str">
        <f t="shared" si="114"/>
        <v/>
      </c>
      <c r="FJ38" s="578" t="str">
        <f t="shared" si="115"/>
        <v/>
      </c>
      <c r="FK38" s="578" t="str">
        <f t="shared" si="116"/>
        <v/>
      </c>
      <c r="FL38" s="578" t="str">
        <f t="shared" si="117"/>
        <v/>
      </c>
      <c r="FM38" s="578" t="str">
        <f t="shared" si="118"/>
        <v/>
      </c>
      <c r="FN38" s="578" t="str">
        <f t="shared" si="119"/>
        <v/>
      </c>
      <c r="FO38" s="578" t="str">
        <f t="shared" si="120"/>
        <v/>
      </c>
      <c r="FP38" s="578" t="str">
        <f t="shared" si="121"/>
        <v/>
      </c>
      <c r="FQ38" s="578" t="str">
        <f t="shared" si="122"/>
        <v/>
      </c>
      <c r="FR38" s="578" t="str">
        <f t="shared" si="123"/>
        <v/>
      </c>
      <c r="FS38" s="578" t="str">
        <f t="shared" si="124"/>
        <v/>
      </c>
      <c r="FT38" s="578" t="str">
        <f t="shared" si="125"/>
        <v/>
      </c>
      <c r="FU38" s="578" t="str">
        <f t="shared" si="126"/>
        <v/>
      </c>
      <c r="FV38" s="578" t="str">
        <f t="shared" si="127"/>
        <v/>
      </c>
      <c r="FW38" s="578" t="str">
        <f t="shared" si="128"/>
        <v/>
      </c>
      <c r="FX38" s="578" t="str">
        <f t="shared" si="129"/>
        <v/>
      </c>
      <c r="FY38" s="578" t="str">
        <f t="shared" si="130"/>
        <v/>
      </c>
      <c r="FZ38" s="578" t="str">
        <f t="shared" si="131"/>
        <v/>
      </c>
      <c r="GA38" s="578" t="str">
        <f t="shared" si="132"/>
        <v/>
      </c>
      <c r="GB38" s="578" t="str">
        <f t="shared" si="133"/>
        <v/>
      </c>
      <c r="GC38" s="578" t="str">
        <f t="shared" si="134"/>
        <v/>
      </c>
      <c r="GD38" s="578" t="str">
        <f t="shared" si="135"/>
        <v/>
      </c>
      <c r="GE38" s="578" t="str">
        <f t="shared" si="136"/>
        <v/>
      </c>
      <c r="GF38" s="578" t="str">
        <f t="shared" si="137"/>
        <v/>
      </c>
      <c r="GG38" s="578" t="str">
        <f t="shared" si="138"/>
        <v/>
      </c>
      <c r="GH38" s="578" t="str">
        <f t="shared" si="139"/>
        <v/>
      </c>
      <c r="GI38" s="578" t="str">
        <f t="shared" si="140"/>
        <v/>
      </c>
      <c r="GJ38" s="578" t="str">
        <f t="shared" si="141"/>
        <v/>
      </c>
      <c r="GK38" s="578" t="str">
        <f t="shared" si="142"/>
        <v/>
      </c>
      <c r="GL38" s="578" t="str">
        <f t="shared" si="143"/>
        <v/>
      </c>
      <c r="GM38" s="578" t="str">
        <f t="shared" si="144"/>
        <v/>
      </c>
      <c r="GN38" s="578" t="str">
        <f t="shared" si="145"/>
        <v/>
      </c>
      <c r="GO38" s="579" t="str">
        <f t="shared" si="146"/>
        <v/>
      </c>
      <c r="GP38" s="579" t="str">
        <f t="shared" si="147"/>
        <v/>
      </c>
      <c r="GQ38" s="579" t="str">
        <f t="shared" si="148"/>
        <v/>
      </c>
      <c r="GR38" s="579" t="str">
        <f t="shared" si="149"/>
        <v/>
      </c>
      <c r="GS38" s="579" t="str">
        <f t="shared" si="150"/>
        <v/>
      </c>
      <c r="GT38" s="568" t="str">
        <f t="shared" si="151"/>
        <v/>
      </c>
      <c r="GU38" s="568" t="str">
        <f t="shared" si="152"/>
        <v/>
      </c>
      <c r="GV38" s="568" t="str">
        <f t="shared" si="153"/>
        <v/>
      </c>
      <c r="GW38" s="568" t="str">
        <f t="shared" si="154"/>
        <v/>
      </c>
      <c r="GX38" s="568" t="str">
        <f t="shared" si="155"/>
        <v/>
      </c>
      <c r="GY38" s="568" t="str">
        <f t="shared" si="156"/>
        <v/>
      </c>
      <c r="GZ38" s="568" t="str">
        <f t="shared" si="157"/>
        <v/>
      </c>
      <c r="HA38" s="568" t="str">
        <f t="shared" si="158"/>
        <v/>
      </c>
      <c r="HB38" s="568" t="str">
        <f t="shared" si="159"/>
        <v/>
      </c>
      <c r="HC38" s="568" t="str">
        <f t="shared" si="160"/>
        <v/>
      </c>
      <c r="HD38" s="568" t="str">
        <f t="shared" si="161"/>
        <v/>
      </c>
      <c r="HE38" s="568" t="str">
        <f t="shared" si="162"/>
        <v/>
      </c>
      <c r="HF38" s="568" t="str">
        <f t="shared" si="163"/>
        <v/>
      </c>
      <c r="HG38" s="568" t="str">
        <f t="shared" si="164"/>
        <v/>
      </c>
      <c r="HH38" s="568" t="str">
        <f t="shared" si="165"/>
        <v/>
      </c>
      <c r="HI38" s="568" t="str">
        <f t="shared" si="166"/>
        <v/>
      </c>
      <c r="HJ38" s="568" t="str">
        <f t="shared" si="167"/>
        <v/>
      </c>
      <c r="HK38" s="568" t="str">
        <f t="shared" si="168"/>
        <v/>
      </c>
      <c r="HL38" s="568" t="str">
        <f t="shared" si="169"/>
        <v/>
      </c>
      <c r="HM38" s="568" t="str">
        <f t="shared" si="170"/>
        <v/>
      </c>
    </row>
    <row r="39" spans="1:221" ht="13.15" customHeight="1">
      <c r="A39" s="126" t="str">
        <f t="shared" si="171"/>
        <v/>
      </c>
      <c r="B39" s="1748" t="s">
        <v>1895</v>
      </c>
      <c r="C39" s="1749"/>
      <c r="D39" s="1750"/>
      <c r="E39" s="1751"/>
      <c r="F39" s="1751"/>
      <c r="G39" s="1751"/>
      <c r="H39" s="1751"/>
      <c r="I39" s="1751"/>
      <c r="J39" s="1752"/>
      <c r="K39" s="199">
        <f t="shared" ref="K39:K46" si="205">MAX(0,H39-I39)</f>
        <v>0</v>
      </c>
      <c r="L39" s="199">
        <f t="shared" si="0"/>
        <v>0</v>
      </c>
      <c r="M39" s="1753"/>
      <c r="N39" s="1753"/>
      <c r="O39" s="1753"/>
      <c r="P39" s="519" t="str">
        <f t="shared" si="203"/>
        <v/>
      </c>
      <c r="Q39" s="520" t="str">
        <f>IF(H39="","",P39/($P$6*VLOOKUP(C39,'DCA Underwriting Assumptions'!$J$82:$K$87,2,FALSE)))</f>
        <v/>
      </c>
      <c r="R39" s="605"/>
      <c r="S39" s="520"/>
      <c r="T39" s="1754"/>
      <c r="U39" s="1755"/>
      <c r="V39" s="568" t="str">
        <f t="shared" si="1"/>
        <v/>
      </c>
      <c r="W39" s="568" t="str">
        <f t="shared" si="2"/>
        <v/>
      </c>
      <c r="X39" s="568" t="str">
        <f t="shared" si="3"/>
        <v/>
      </c>
      <c r="Y39" s="568" t="str">
        <f t="shared" si="4"/>
        <v/>
      </c>
      <c r="Z39" s="568" t="str">
        <f t="shared" si="5"/>
        <v/>
      </c>
      <c r="AA39" s="568" t="str">
        <f t="shared" si="6"/>
        <v/>
      </c>
      <c r="AB39" s="568" t="str">
        <f t="shared" si="7"/>
        <v/>
      </c>
      <c r="AC39" s="568" t="str">
        <f t="shared" si="8"/>
        <v/>
      </c>
      <c r="AD39" s="568" t="str">
        <f t="shared" si="9"/>
        <v/>
      </c>
      <c r="AE39" s="568" t="str">
        <f t="shared" si="10"/>
        <v/>
      </c>
      <c r="AF39" s="568" t="str">
        <f t="shared" si="11"/>
        <v/>
      </c>
      <c r="AG39" s="568" t="str">
        <f t="shared" si="12"/>
        <v/>
      </c>
      <c r="AH39" s="568" t="str">
        <f t="shared" si="13"/>
        <v/>
      </c>
      <c r="AI39" s="568" t="str">
        <f t="shared" si="14"/>
        <v/>
      </c>
      <c r="AJ39" s="568" t="str">
        <f t="shared" si="15"/>
        <v/>
      </c>
      <c r="AK39" s="568" t="str">
        <f t="shared" si="16"/>
        <v/>
      </c>
      <c r="AL39" s="568" t="str">
        <f t="shared" si="17"/>
        <v/>
      </c>
      <c r="AM39" s="568" t="str">
        <f t="shared" si="18"/>
        <v/>
      </c>
      <c r="AN39" s="568" t="str">
        <f t="shared" si="19"/>
        <v/>
      </c>
      <c r="AO39" s="568" t="str">
        <f t="shared" si="20"/>
        <v/>
      </c>
      <c r="AP39" s="568" t="str">
        <f t="shared" si="173"/>
        <v/>
      </c>
      <c r="AQ39" s="568" t="str">
        <f t="shared" si="174"/>
        <v/>
      </c>
      <c r="AR39" s="568" t="str">
        <f t="shared" si="175"/>
        <v/>
      </c>
      <c r="AS39" s="568" t="str">
        <f t="shared" si="176"/>
        <v/>
      </c>
      <c r="AT39" s="568" t="str">
        <f t="shared" si="177"/>
        <v/>
      </c>
      <c r="AU39" s="568" t="str">
        <f t="shared" si="178"/>
        <v/>
      </c>
      <c r="AV39" s="568" t="str">
        <f t="shared" si="179"/>
        <v/>
      </c>
      <c r="AW39" s="568" t="str">
        <f t="shared" si="180"/>
        <v/>
      </c>
      <c r="AX39" s="568" t="str">
        <f t="shared" si="181"/>
        <v/>
      </c>
      <c r="AY39" s="568" t="str">
        <f t="shared" si="182"/>
        <v/>
      </c>
      <c r="AZ39" s="568" t="str">
        <f t="shared" si="183"/>
        <v/>
      </c>
      <c r="BA39" s="568" t="str">
        <f t="shared" si="184"/>
        <v/>
      </c>
      <c r="BB39" s="568" t="str">
        <f t="shared" si="185"/>
        <v/>
      </c>
      <c r="BC39" s="568" t="str">
        <f t="shared" si="186"/>
        <v/>
      </c>
      <c r="BD39" s="568" t="str">
        <f t="shared" si="187"/>
        <v/>
      </c>
      <c r="BE39" s="568" t="str">
        <f t="shared" si="188"/>
        <v/>
      </c>
      <c r="BF39" s="568" t="str">
        <f t="shared" si="189"/>
        <v/>
      </c>
      <c r="BG39" s="568" t="str">
        <f t="shared" si="190"/>
        <v/>
      </c>
      <c r="BH39" s="568" t="str">
        <f t="shared" si="191"/>
        <v/>
      </c>
      <c r="BI39" s="568" t="str">
        <f t="shared" si="192"/>
        <v/>
      </c>
      <c r="BJ39" s="568" t="str">
        <f t="shared" si="193"/>
        <v/>
      </c>
      <c r="BK39" s="568" t="str">
        <f t="shared" si="194"/>
        <v/>
      </c>
      <c r="BL39" s="568" t="str">
        <f t="shared" si="195"/>
        <v/>
      </c>
      <c r="BM39" s="568" t="str">
        <f t="shared" si="196"/>
        <v/>
      </c>
      <c r="BN39" s="568" t="str">
        <f t="shared" si="197"/>
        <v/>
      </c>
      <c r="BO39" s="568" t="str">
        <f t="shared" si="198"/>
        <v/>
      </c>
      <c r="BP39" s="568" t="str">
        <f t="shared" si="199"/>
        <v/>
      </c>
      <c r="BQ39" s="568" t="str">
        <f t="shared" si="200"/>
        <v/>
      </c>
      <c r="BR39" s="568" t="str">
        <f t="shared" si="201"/>
        <v/>
      </c>
      <c r="BS39" s="568" t="str">
        <f t="shared" si="202"/>
        <v/>
      </c>
      <c r="BT39" s="568" t="str">
        <f t="shared" si="21"/>
        <v/>
      </c>
      <c r="BU39" s="568" t="str">
        <f t="shared" si="22"/>
        <v/>
      </c>
      <c r="BV39" s="568" t="str">
        <f t="shared" si="23"/>
        <v/>
      </c>
      <c r="BW39" s="568" t="str">
        <f t="shared" si="24"/>
        <v/>
      </c>
      <c r="BX39" s="568" t="str">
        <f t="shared" si="25"/>
        <v/>
      </c>
      <c r="BY39" s="568" t="str">
        <f t="shared" si="26"/>
        <v/>
      </c>
      <c r="BZ39" s="568" t="str">
        <f t="shared" si="27"/>
        <v/>
      </c>
      <c r="CA39" s="568" t="str">
        <f t="shared" si="28"/>
        <v/>
      </c>
      <c r="CB39" s="568" t="str">
        <f t="shared" si="29"/>
        <v/>
      </c>
      <c r="CC39" s="568" t="str">
        <f t="shared" si="30"/>
        <v/>
      </c>
      <c r="CD39" s="568" t="str">
        <f t="shared" si="31"/>
        <v/>
      </c>
      <c r="CE39" s="568" t="str">
        <f t="shared" si="32"/>
        <v/>
      </c>
      <c r="CF39" s="568" t="str">
        <f t="shared" si="33"/>
        <v/>
      </c>
      <c r="CG39" s="568" t="str">
        <f t="shared" si="34"/>
        <v/>
      </c>
      <c r="CH39" s="568" t="str">
        <f t="shared" si="35"/>
        <v/>
      </c>
      <c r="CI39" s="568" t="str">
        <f t="shared" si="36"/>
        <v/>
      </c>
      <c r="CJ39" s="568" t="str">
        <f t="shared" si="37"/>
        <v/>
      </c>
      <c r="CK39" s="568" t="str">
        <f t="shared" si="38"/>
        <v/>
      </c>
      <c r="CL39" s="568" t="str">
        <f t="shared" si="39"/>
        <v/>
      </c>
      <c r="CM39" s="568" t="str">
        <f t="shared" si="40"/>
        <v/>
      </c>
      <c r="CN39" s="568" t="str">
        <f t="shared" si="41"/>
        <v/>
      </c>
      <c r="CO39" s="568" t="str">
        <f t="shared" si="42"/>
        <v/>
      </c>
      <c r="CP39" s="568" t="str">
        <f t="shared" si="43"/>
        <v/>
      </c>
      <c r="CQ39" s="568" t="str">
        <f t="shared" si="44"/>
        <v/>
      </c>
      <c r="CR39" s="568" t="str">
        <f t="shared" si="45"/>
        <v/>
      </c>
      <c r="CS39" s="568" t="str">
        <f t="shared" si="46"/>
        <v/>
      </c>
      <c r="CT39" s="568" t="str">
        <f t="shared" si="47"/>
        <v/>
      </c>
      <c r="CU39" s="568" t="str">
        <f t="shared" si="48"/>
        <v/>
      </c>
      <c r="CV39" s="568" t="str">
        <f t="shared" si="49"/>
        <v/>
      </c>
      <c r="CW39" s="568" t="str">
        <f t="shared" si="50"/>
        <v/>
      </c>
      <c r="CX39" s="568" t="str">
        <f t="shared" si="51"/>
        <v/>
      </c>
      <c r="CY39" s="568" t="str">
        <f t="shared" si="52"/>
        <v/>
      </c>
      <c r="CZ39" s="568" t="str">
        <f t="shared" si="53"/>
        <v/>
      </c>
      <c r="DA39" s="568" t="str">
        <f t="shared" si="54"/>
        <v/>
      </c>
      <c r="DB39" s="568" t="str">
        <f t="shared" si="55"/>
        <v/>
      </c>
      <c r="DC39" s="568" t="str">
        <f t="shared" si="56"/>
        <v/>
      </c>
      <c r="DD39" s="568" t="str">
        <f t="shared" si="57"/>
        <v/>
      </c>
      <c r="DE39" s="568" t="str">
        <f t="shared" si="58"/>
        <v/>
      </c>
      <c r="DF39" s="568" t="str">
        <f t="shared" si="59"/>
        <v/>
      </c>
      <c r="DG39" s="568" t="str">
        <f t="shared" si="60"/>
        <v/>
      </c>
      <c r="DH39" s="568" t="str">
        <f t="shared" si="61"/>
        <v/>
      </c>
      <c r="DI39" s="568" t="str">
        <f t="shared" si="62"/>
        <v/>
      </c>
      <c r="DJ39" s="568" t="str">
        <f t="shared" si="63"/>
        <v/>
      </c>
      <c r="DK39" s="568" t="str">
        <f t="shared" si="64"/>
        <v/>
      </c>
      <c r="DL39" s="568" t="str">
        <f t="shared" si="65"/>
        <v/>
      </c>
      <c r="DM39" s="568" t="str">
        <f t="shared" si="66"/>
        <v/>
      </c>
      <c r="DN39" s="568" t="str">
        <f t="shared" si="67"/>
        <v/>
      </c>
      <c r="DO39" s="568" t="str">
        <f t="shared" si="68"/>
        <v/>
      </c>
      <c r="DP39" s="568" t="str">
        <f t="shared" si="69"/>
        <v/>
      </c>
      <c r="DQ39" s="568" t="str">
        <f t="shared" si="70"/>
        <v/>
      </c>
      <c r="DR39" s="568" t="str">
        <f t="shared" si="71"/>
        <v/>
      </c>
      <c r="DS39" s="568" t="str">
        <f t="shared" si="72"/>
        <v/>
      </c>
      <c r="DT39" s="568" t="str">
        <f t="shared" si="73"/>
        <v/>
      </c>
      <c r="DU39" s="568" t="str">
        <f t="shared" si="74"/>
        <v/>
      </c>
      <c r="DV39" s="568" t="str">
        <f t="shared" si="75"/>
        <v/>
      </c>
      <c r="DW39" s="568" t="str">
        <f t="shared" si="76"/>
        <v/>
      </c>
      <c r="DX39" s="568" t="str">
        <f t="shared" si="77"/>
        <v/>
      </c>
      <c r="DY39" s="568" t="str">
        <f t="shared" si="78"/>
        <v/>
      </c>
      <c r="DZ39" s="568" t="str">
        <f t="shared" si="79"/>
        <v/>
      </c>
      <c r="EA39" s="568" t="str">
        <f t="shared" si="80"/>
        <v/>
      </c>
      <c r="EB39" s="568" t="str">
        <f t="shared" si="81"/>
        <v/>
      </c>
      <c r="EC39" s="568" t="str">
        <f t="shared" si="82"/>
        <v/>
      </c>
      <c r="ED39" s="568" t="str">
        <f t="shared" si="83"/>
        <v/>
      </c>
      <c r="EE39" s="568" t="str">
        <f t="shared" si="84"/>
        <v/>
      </c>
      <c r="EF39" s="568" t="str">
        <f t="shared" si="85"/>
        <v/>
      </c>
      <c r="EG39" s="568" t="str">
        <f t="shared" si="86"/>
        <v/>
      </c>
      <c r="EH39" s="568" t="str">
        <f t="shared" si="87"/>
        <v/>
      </c>
      <c r="EI39" s="568" t="str">
        <f t="shared" si="88"/>
        <v/>
      </c>
      <c r="EJ39" s="568" t="str">
        <f t="shared" si="89"/>
        <v/>
      </c>
      <c r="EK39" s="568" t="str">
        <f t="shared" si="90"/>
        <v/>
      </c>
      <c r="EL39" s="568" t="str">
        <f t="shared" si="91"/>
        <v/>
      </c>
      <c r="EM39" s="568" t="str">
        <f t="shared" si="92"/>
        <v/>
      </c>
      <c r="EN39" s="568" t="str">
        <f t="shared" si="93"/>
        <v/>
      </c>
      <c r="EO39" s="568" t="str">
        <f t="shared" si="94"/>
        <v/>
      </c>
      <c r="EP39" s="568" t="str">
        <f t="shared" si="95"/>
        <v/>
      </c>
      <c r="EQ39" s="568" t="str">
        <f t="shared" si="96"/>
        <v/>
      </c>
      <c r="ER39" s="568" t="str">
        <f t="shared" si="97"/>
        <v/>
      </c>
      <c r="ES39" s="568" t="str">
        <f t="shared" si="98"/>
        <v/>
      </c>
      <c r="ET39" s="568" t="str">
        <f t="shared" si="99"/>
        <v/>
      </c>
      <c r="EU39" s="568" t="str">
        <f t="shared" si="100"/>
        <v/>
      </c>
      <c r="EV39" s="578" t="str">
        <f t="shared" si="101"/>
        <v/>
      </c>
      <c r="EW39" s="578" t="str">
        <f t="shared" si="102"/>
        <v/>
      </c>
      <c r="EX39" s="578" t="str">
        <f t="shared" si="103"/>
        <v/>
      </c>
      <c r="EY39" s="578" t="str">
        <f t="shared" si="104"/>
        <v/>
      </c>
      <c r="EZ39" s="578" t="str">
        <f t="shared" si="105"/>
        <v/>
      </c>
      <c r="FA39" s="578" t="str">
        <f t="shared" si="106"/>
        <v/>
      </c>
      <c r="FB39" s="578" t="str">
        <f t="shared" si="107"/>
        <v/>
      </c>
      <c r="FC39" s="578" t="str">
        <f t="shared" si="108"/>
        <v/>
      </c>
      <c r="FD39" s="578" t="str">
        <f t="shared" si="109"/>
        <v/>
      </c>
      <c r="FE39" s="578" t="str">
        <f t="shared" si="110"/>
        <v/>
      </c>
      <c r="FF39" s="578" t="str">
        <f t="shared" si="111"/>
        <v/>
      </c>
      <c r="FG39" s="578" t="str">
        <f t="shared" si="112"/>
        <v/>
      </c>
      <c r="FH39" s="578" t="str">
        <f t="shared" si="113"/>
        <v/>
      </c>
      <c r="FI39" s="578" t="str">
        <f t="shared" si="114"/>
        <v/>
      </c>
      <c r="FJ39" s="578" t="str">
        <f t="shared" si="115"/>
        <v/>
      </c>
      <c r="FK39" s="578" t="str">
        <f t="shared" si="116"/>
        <v/>
      </c>
      <c r="FL39" s="578" t="str">
        <f t="shared" si="117"/>
        <v/>
      </c>
      <c r="FM39" s="578" t="str">
        <f t="shared" si="118"/>
        <v/>
      </c>
      <c r="FN39" s="578" t="str">
        <f t="shared" si="119"/>
        <v/>
      </c>
      <c r="FO39" s="578" t="str">
        <f t="shared" si="120"/>
        <v/>
      </c>
      <c r="FP39" s="578" t="str">
        <f t="shared" si="121"/>
        <v/>
      </c>
      <c r="FQ39" s="578" t="str">
        <f t="shared" si="122"/>
        <v/>
      </c>
      <c r="FR39" s="578" t="str">
        <f t="shared" si="123"/>
        <v/>
      </c>
      <c r="FS39" s="578" t="str">
        <f t="shared" si="124"/>
        <v/>
      </c>
      <c r="FT39" s="578" t="str">
        <f t="shared" si="125"/>
        <v/>
      </c>
      <c r="FU39" s="578" t="str">
        <f t="shared" si="126"/>
        <v/>
      </c>
      <c r="FV39" s="578" t="str">
        <f t="shared" si="127"/>
        <v/>
      </c>
      <c r="FW39" s="578" t="str">
        <f t="shared" si="128"/>
        <v/>
      </c>
      <c r="FX39" s="578" t="str">
        <f t="shared" si="129"/>
        <v/>
      </c>
      <c r="FY39" s="578" t="str">
        <f t="shared" si="130"/>
        <v/>
      </c>
      <c r="FZ39" s="578" t="str">
        <f t="shared" si="131"/>
        <v/>
      </c>
      <c r="GA39" s="578" t="str">
        <f t="shared" si="132"/>
        <v/>
      </c>
      <c r="GB39" s="578" t="str">
        <f t="shared" si="133"/>
        <v/>
      </c>
      <c r="GC39" s="578" t="str">
        <f t="shared" si="134"/>
        <v/>
      </c>
      <c r="GD39" s="578" t="str">
        <f t="shared" si="135"/>
        <v/>
      </c>
      <c r="GE39" s="578" t="str">
        <f t="shared" si="136"/>
        <v/>
      </c>
      <c r="GF39" s="578" t="str">
        <f t="shared" si="137"/>
        <v/>
      </c>
      <c r="GG39" s="578" t="str">
        <f t="shared" si="138"/>
        <v/>
      </c>
      <c r="GH39" s="578" t="str">
        <f t="shared" si="139"/>
        <v/>
      </c>
      <c r="GI39" s="578" t="str">
        <f t="shared" si="140"/>
        <v/>
      </c>
      <c r="GJ39" s="578" t="str">
        <f t="shared" si="141"/>
        <v/>
      </c>
      <c r="GK39" s="578" t="str">
        <f t="shared" si="142"/>
        <v/>
      </c>
      <c r="GL39" s="578" t="str">
        <f t="shared" si="143"/>
        <v/>
      </c>
      <c r="GM39" s="578" t="str">
        <f t="shared" si="144"/>
        <v/>
      </c>
      <c r="GN39" s="578" t="str">
        <f t="shared" si="145"/>
        <v/>
      </c>
      <c r="GO39" s="579" t="str">
        <f t="shared" si="146"/>
        <v/>
      </c>
      <c r="GP39" s="579" t="str">
        <f t="shared" si="147"/>
        <v/>
      </c>
      <c r="GQ39" s="579" t="str">
        <f t="shared" si="148"/>
        <v/>
      </c>
      <c r="GR39" s="579" t="str">
        <f t="shared" si="149"/>
        <v/>
      </c>
      <c r="GS39" s="579" t="str">
        <f t="shared" si="150"/>
        <v/>
      </c>
      <c r="GT39" s="568" t="str">
        <f t="shared" si="151"/>
        <v/>
      </c>
      <c r="GU39" s="568" t="str">
        <f t="shared" si="152"/>
        <v/>
      </c>
      <c r="GV39" s="568" t="str">
        <f t="shared" si="153"/>
        <v/>
      </c>
      <c r="GW39" s="568" t="str">
        <f t="shared" si="154"/>
        <v/>
      </c>
      <c r="GX39" s="568" t="str">
        <f t="shared" si="155"/>
        <v/>
      </c>
      <c r="GY39" s="568" t="str">
        <f t="shared" si="156"/>
        <v/>
      </c>
      <c r="GZ39" s="568" t="str">
        <f t="shared" si="157"/>
        <v/>
      </c>
      <c r="HA39" s="568" t="str">
        <f t="shared" si="158"/>
        <v/>
      </c>
      <c r="HB39" s="568" t="str">
        <f t="shared" si="159"/>
        <v/>
      </c>
      <c r="HC39" s="568" t="str">
        <f t="shared" si="160"/>
        <v/>
      </c>
      <c r="HD39" s="568" t="str">
        <f t="shared" si="161"/>
        <v/>
      </c>
      <c r="HE39" s="568" t="str">
        <f t="shared" si="162"/>
        <v/>
      </c>
      <c r="HF39" s="568" t="str">
        <f t="shared" si="163"/>
        <v/>
      </c>
      <c r="HG39" s="568" t="str">
        <f t="shared" si="164"/>
        <v/>
      </c>
      <c r="HH39" s="568" t="str">
        <f t="shared" si="165"/>
        <v/>
      </c>
      <c r="HI39" s="568" t="str">
        <f t="shared" si="166"/>
        <v/>
      </c>
      <c r="HJ39" s="568" t="str">
        <f t="shared" si="167"/>
        <v/>
      </c>
      <c r="HK39" s="568" t="str">
        <f t="shared" si="168"/>
        <v/>
      </c>
      <c r="HL39" s="568" t="str">
        <f t="shared" si="169"/>
        <v/>
      </c>
      <c r="HM39" s="568" t="str">
        <f t="shared" si="170"/>
        <v/>
      </c>
    </row>
    <row r="40" spans="1:221" ht="13.15" customHeight="1">
      <c r="A40" s="126" t="str">
        <f t="shared" si="171"/>
        <v/>
      </c>
      <c r="B40" s="1748" t="s">
        <v>1895</v>
      </c>
      <c r="C40" s="1749"/>
      <c r="D40" s="1750"/>
      <c r="E40" s="1751"/>
      <c r="F40" s="1751"/>
      <c r="G40" s="1751"/>
      <c r="H40" s="1751"/>
      <c r="I40" s="1751"/>
      <c r="J40" s="1752"/>
      <c r="K40" s="199">
        <f t="shared" si="205"/>
        <v>0</v>
      </c>
      <c r="L40" s="199">
        <f t="shared" si="0"/>
        <v>0</v>
      </c>
      <c r="M40" s="1753"/>
      <c r="N40" s="1753"/>
      <c r="O40" s="1753"/>
      <c r="P40" s="519" t="str">
        <f t="shared" si="203"/>
        <v/>
      </c>
      <c r="Q40" s="520" t="str">
        <f>IF(H40="","",P40/($P$6*VLOOKUP(C40,'DCA Underwriting Assumptions'!$J$82:$K$87,2,FALSE)))</f>
        <v/>
      </c>
      <c r="R40" s="605"/>
      <c r="S40" s="520"/>
      <c r="T40" s="1754"/>
      <c r="U40" s="1755"/>
      <c r="V40" s="568" t="str">
        <f t="shared" si="1"/>
        <v/>
      </c>
      <c r="W40" s="568" t="str">
        <f t="shared" si="2"/>
        <v/>
      </c>
      <c r="X40" s="568" t="str">
        <f t="shared" si="3"/>
        <v/>
      </c>
      <c r="Y40" s="568" t="str">
        <f t="shared" si="4"/>
        <v/>
      </c>
      <c r="Z40" s="568" t="str">
        <f t="shared" si="5"/>
        <v/>
      </c>
      <c r="AA40" s="568" t="str">
        <f t="shared" si="6"/>
        <v/>
      </c>
      <c r="AB40" s="568" t="str">
        <f t="shared" si="7"/>
        <v/>
      </c>
      <c r="AC40" s="568" t="str">
        <f t="shared" si="8"/>
        <v/>
      </c>
      <c r="AD40" s="568" t="str">
        <f t="shared" si="9"/>
        <v/>
      </c>
      <c r="AE40" s="568" t="str">
        <f t="shared" si="10"/>
        <v/>
      </c>
      <c r="AF40" s="568" t="str">
        <f t="shared" si="11"/>
        <v/>
      </c>
      <c r="AG40" s="568" t="str">
        <f t="shared" si="12"/>
        <v/>
      </c>
      <c r="AH40" s="568" t="str">
        <f t="shared" si="13"/>
        <v/>
      </c>
      <c r="AI40" s="568" t="str">
        <f t="shared" si="14"/>
        <v/>
      </c>
      <c r="AJ40" s="568" t="str">
        <f t="shared" si="15"/>
        <v/>
      </c>
      <c r="AK40" s="568" t="str">
        <f t="shared" si="16"/>
        <v/>
      </c>
      <c r="AL40" s="568" t="str">
        <f t="shared" si="17"/>
        <v/>
      </c>
      <c r="AM40" s="568" t="str">
        <f t="shared" si="18"/>
        <v/>
      </c>
      <c r="AN40" s="568" t="str">
        <f t="shared" si="19"/>
        <v/>
      </c>
      <c r="AO40" s="568" t="str">
        <f t="shared" si="20"/>
        <v/>
      </c>
      <c r="AP40" s="568" t="str">
        <f t="shared" si="173"/>
        <v/>
      </c>
      <c r="AQ40" s="568" t="str">
        <f t="shared" si="174"/>
        <v/>
      </c>
      <c r="AR40" s="568" t="str">
        <f t="shared" si="175"/>
        <v/>
      </c>
      <c r="AS40" s="568" t="str">
        <f t="shared" si="176"/>
        <v/>
      </c>
      <c r="AT40" s="568" t="str">
        <f t="shared" si="177"/>
        <v/>
      </c>
      <c r="AU40" s="568" t="str">
        <f t="shared" si="178"/>
        <v/>
      </c>
      <c r="AV40" s="568" t="str">
        <f t="shared" si="179"/>
        <v/>
      </c>
      <c r="AW40" s="568" t="str">
        <f t="shared" si="180"/>
        <v/>
      </c>
      <c r="AX40" s="568" t="str">
        <f t="shared" si="181"/>
        <v/>
      </c>
      <c r="AY40" s="568" t="str">
        <f t="shared" si="182"/>
        <v/>
      </c>
      <c r="AZ40" s="568" t="str">
        <f t="shared" si="183"/>
        <v/>
      </c>
      <c r="BA40" s="568" t="str">
        <f t="shared" si="184"/>
        <v/>
      </c>
      <c r="BB40" s="568" t="str">
        <f t="shared" si="185"/>
        <v/>
      </c>
      <c r="BC40" s="568" t="str">
        <f t="shared" si="186"/>
        <v/>
      </c>
      <c r="BD40" s="568" t="str">
        <f t="shared" si="187"/>
        <v/>
      </c>
      <c r="BE40" s="568" t="str">
        <f t="shared" si="188"/>
        <v/>
      </c>
      <c r="BF40" s="568" t="str">
        <f t="shared" si="189"/>
        <v/>
      </c>
      <c r="BG40" s="568" t="str">
        <f t="shared" si="190"/>
        <v/>
      </c>
      <c r="BH40" s="568" t="str">
        <f t="shared" si="191"/>
        <v/>
      </c>
      <c r="BI40" s="568" t="str">
        <f t="shared" si="192"/>
        <v/>
      </c>
      <c r="BJ40" s="568" t="str">
        <f t="shared" si="193"/>
        <v/>
      </c>
      <c r="BK40" s="568" t="str">
        <f t="shared" si="194"/>
        <v/>
      </c>
      <c r="BL40" s="568" t="str">
        <f t="shared" si="195"/>
        <v/>
      </c>
      <c r="BM40" s="568" t="str">
        <f t="shared" si="196"/>
        <v/>
      </c>
      <c r="BN40" s="568" t="str">
        <f t="shared" si="197"/>
        <v/>
      </c>
      <c r="BO40" s="568" t="str">
        <f t="shared" si="198"/>
        <v/>
      </c>
      <c r="BP40" s="568" t="str">
        <f t="shared" si="199"/>
        <v/>
      </c>
      <c r="BQ40" s="568" t="str">
        <f t="shared" si="200"/>
        <v/>
      </c>
      <c r="BR40" s="568" t="str">
        <f t="shared" si="201"/>
        <v/>
      </c>
      <c r="BS40" s="568" t="str">
        <f t="shared" si="202"/>
        <v/>
      </c>
      <c r="BT40" s="568" t="str">
        <f t="shared" si="21"/>
        <v/>
      </c>
      <c r="BU40" s="568" t="str">
        <f t="shared" si="22"/>
        <v/>
      </c>
      <c r="BV40" s="568" t="str">
        <f t="shared" si="23"/>
        <v/>
      </c>
      <c r="BW40" s="568" t="str">
        <f t="shared" si="24"/>
        <v/>
      </c>
      <c r="BX40" s="568" t="str">
        <f t="shared" si="25"/>
        <v/>
      </c>
      <c r="BY40" s="568" t="str">
        <f t="shared" si="26"/>
        <v/>
      </c>
      <c r="BZ40" s="568" t="str">
        <f t="shared" si="27"/>
        <v/>
      </c>
      <c r="CA40" s="568" t="str">
        <f t="shared" si="28"/>
        <v/>
      </c>
      <c r="CB40" s="568" t="str">
        <f t="shared" si="29"/>
        <v/>
      </c>
      <c r="CC40" s="568" t="str">
        <f t="shared" si="30"/>
        <v/>
      </c>
      <c r="CD40" s="568" t="str">
        <f t="shared" si="31"/>
        <v/>
      </c>
      <c r="CE40" s="568" t="str">
        <f t="shared" si="32"/>
        <v/>
      </c>
      <c r="CF40" s="568" t="str">
        <f t="shared" si="33"/>
        <v/>
      </c>
      <c r="CG40" s="568" t="str">
        <f t="shared" si="34"/>
        <v/>
      </c>
      <c r="CH40" s="568" t="str">
        <f t="shared" si="35"/>
        <v/>
      </c>
      <c r="CI40" s="568" t="str">
        <f t="shared" si="36"/>
        <v/>
      </c>
      <c r="CJ40" s="568" t="str">
        <f t="shared" si="37"/>
        <v/>
      </c>
      <c r="CK40" s="568" t="str">
        <f t="shared" si="38"/>
        <v/>
      </c>
      <c r="CL40" s="568" t="str">
        <f t="shared" si="39"/>
        <v/>
      </c>
      <c r="CM40" s="568" t="str">
        <f t="shared" si="40"/>
        <v/>
      </c>
      <c r="CN40" s="568" t="str">
        <f t="shared" si="41"/>
        <v/>
      </c>
      <c r="CO40" s="568" t="str">
        <f t="shared" si="42"/>
        <v/>
      </c>
      <c r="CP40" s="568" t="str">
        <f t="shared" si="43"/>
        <v/>
      </c>
      <c r="CQ40" s="568" t="str">
        <f t="shared" si="44"/>
        <v/>
      </c>
      <c r="CR40" s="568" t="str">
        <f t="shared" si="45"/>
        <v/>
      </c>
      <c r="CS40" s="568" t="str">
        <f t="shared" si="46"/>
        <v/>
      </c>
      <c r="CT40" s="568" t="str">
        <f t="shared" si="47"/>
        <v/>
      </c>
      <c r="CU40" s="568" t="str">
        <f t="shared" si="48"/>
        <v/>
      </c>
      <c r="CV40" s="568" t="str">
        <f t="shared" si="49"/>
        <v/>
      </c>
      <c r="CW40" s="568" t="str">
        <f t="shared" si="50"/>
        <v/>
      </c>
      <c r="CX40" s="568" t="str">
        <f t="shared" si="51"/>
        <v/>
      </c>
      <c r="CY40" s="568" t="str">
        <f t="shared" si="52"/>
        <v/>
      </c>
      <c r="CZ40" s="568" t="str">
        <f t="shared" si="53"/>
        <v/>
      </c>
      <c r="DA40" s="568" t="str">
        <f t="shared" si="54"/>
        <v/>
      </c>
      <c r="DB40" s="568" t="str">
        <f t="shared" si="55"/>
        <v/>
      </c>
      <c r="DC40" s="568" t="str">
        <f t="shared" si="56"/>
        <v/>
      </c>
      <c r="DD40" s="568" t="str">
        <f t="shared" si="57"/>
        <v/>
      </c>
      <c r="DE40" s="568" t="str">
        <f t="shared" si="58"/>
        <v/>
      </c>
      <c r="DF40" s="568" t="str">
        <f t="shared" si="59"/>
        <v/>
      </c>
      <c r="DG40" s="568" t="str">
        <f t="shared" si="60"/>
        <v/>
      </c>
      <c r="DH40" s="568" t="str">
        <f t="shared" si="61"/>
        <v/>
      </c>
      <c r="DI40" s="568" t="str">
        <f t="shared" si="62"/>
        <v/>
      </c>
      <c r="DJ40" s="568" t="str">
        <f t="shared" si="63"/>
        <v/>
      </c>
      <c r="DK40" s="568" t="str">
        <f t="shared" si="64"/>
        <v/>
      </c>
      <c r="DL40" s="568" t="str">
        <f t="shared" si="65"/>
        <v/>
      </c>
      <c r="DM40" s="568" t="str">
        <f t="shared" si="66"/>
        <v/>
      </c>
      <c r="DN40" s="568" t="str">
        <f t="shared" si="67"/>
        <v/>
      </c>
      <c r="DO40" s="568" t="str">
        <f t="shared" si="68"/>
        <v/>
      </c>
      <c r="DP40" s="568" t="str">
        <f t="shared" si="69"/>
        <v/>
      </c>
      <c r="DQ40" s="568" t="str">
        <f t="shared" si="70"/>
        <v/>
      </c>
      <c r="DR40" s="568" t="str">
        <f t="shared" si="71"/>
        <v/>
      </c>
      <c r="DS40" s="568" t="str">
        <f t="shared" si="72"/>
        <v/>
      </c>
      <c r="DT40" s="568" t="str">
        <f t="shared" si="73"/>
        <v/>
      </c>
      <c r="DU40" s="568" t="str">
        <f t="shared" si="74"/>
        <v/>
      </c>
      <c r="DV40" s="568" t="str">
        <f t="shared" si="75"/>
        <v/>
      </c>
      <c r="DW40" s="568" t="str">
        <f t="shared" si="76"/>
        <v/>
      </c>
      <c r="DX40" s="568" t="str">
        <f t="shared" si="77"/>
        <v/>
      </c>
      <c r="DY40" s="568" t="str">
        <f t="shared" si="78"/>
        <v/>
      </c>
      <c r="DZ40" s="568" t="str">
        <f t="shared" si="79"/>
        <v/>
      </c>
      <c r="EA40" s="568" t="str">
        <f t="shared" si="80"/>
        <v/>
      </c>
      <c r="EB40" s="568" t="str">
        <f t="shared" si="81"/>
        <v/>
      </c>
      <c r="EC40" s="568" t="str">
        <f t="shared" si="82"/>
        <v/>
      </c>
      <c r="ED40" s="568" t="str">
        <f t="shared" si="83"/>
        <v/>
      </c>
      <c r="EE40" s="568" t="str">
        <f t="shared" si="84"/>
        <v/>
      </c>
      <c r="EF40" s="568" t="str">
        <f t="shared" si="85"/>
        <v/>
      </c>
      <c r="EG40" s="568" t="str">
        <f t="shared" si="86"/>
        <v/>
      </c>
      <c r="EH40" s="568" t="str">
        <f t="shared" si="87"/>
        <v/>
      </c>
      <c r="EI40" s="568" t="str">
        <f t="shared" si="88"/>
        <v/>
      </c>
      <c r="EJ40" s="568" t="str">
        <f t="shared" si="89"/>
        <v/>
      </c>
      <c r="EK40" s="568" t="str">
        <f t="shared" si="90"/>
        <v/>
      </c>
      <c r="EL40" s="568" t="str">
        <f t="shared" si="91"/>
        <v/>
      </c>
      <c r="EM40" s="568" t="str">
        <f t="shared" si="92"/>
        <v/>
      </c>
      <c r="EN40" s="568" t="str">
        <f t="shared" si="93"/>
        <v/>
      </c>
      <c r="EO40" s="568" t="str">
        <f t="shared" si="94"/>
        <v/>
      </c>
      <c r="EP40" s="568" t="str">
        <f t="shared" si="95"/>
        <v/>
      </c>
      <c r="EQ40" s="568" t="str">
        <f t="shared" si="96"/>
        <v/>
      </c>
      <c r="ER40" s="568" t="str">
        <f t="shared" si="97"/>
        <v/>
      </c>
      <c r="ES40" s="568" t="str">
        <f t="shared" si="98"/>
        <v/>
      </c>
      <c r="ET40" s="568" t="str">
        <f t="shared" si="99"/>
        <v/>
      </c>
      <c r="EU40" s="568" t="str">
        <f t="shared" si="100"/>
        <v/>
      </c>
      <c r="EV40" s="578" t="str">
        <f t="shared" si="101"/>
        <v/>
      </c>
      <c r="EW40" s="578" t="str">
        <f t="shared" si="102"/>
        <v/>
      </c>
      <c r="EX40" s="578" t="str">
        <f t="shared" si="103"/>
        <v/>
      </c>
      <c r="EY40" s="578" t="str">
        <f t="shared" si="104"/>
        <v/>
      </c>
      <c r="EZ40" s="578" t="str">
        <f t="shared" si="105"/>
        <v/>
      </c>
      <c r="FA40" s="578" t="str">
        <f t="shared" si="106"/>
        <v/>
      </c>
      <c r="FB40" s="578" t="str">
        <f t="shared" si="107"/>
        <v/>
      </c>
      <c r="FC40" s="578" t="str">
        <f t="shared" si="108"/>
        <v/>
      </c>
      <c r="FD40" s="578" t="str">
        <f t="shared" si="109"/>
        <v/>
      </c>
      <c r="FE40" s="578" t="str">
        <f t="shared" si="110"/>
        <v/>
      </c>
      <c r="FF40" s="578" t="str">
        <f t="shared" si="111"/>
        <v/>
      </c>
      <c r="FG40" s="578" t="str">
        <f t="shared" si="112"/>
        <v/>
      </c>
      <c r="FH40" s="578" t="str">
        <f t="shared" si="113"/>
        <v/>
      </c>
      <c r="FI40" s="578" t="str">
        <f t="shared" si="114"/>
        <v/>
      </c>
      <c r="FJ40" s="578" t="str">
        <f t="shared" si="115"/>
        <v/>
      </c>
      <c r="FK40" s="578" t="str">
        <f t="shared" si="116"/>
        <v/>
      </c>
      <c r="FL40" s="578" t="str">
        <f t="shared" si="117"/>
        <v/>
      </c>
      <c r="FM40" s="578" t="str">
        <f t="shared" si="118"/>
        <v/>
      </c>
      <c r="FN40" s="578" t="str">
        <f t="shared" si="119"/>
        <v/>
      </c>
      <c r="FO40" s="578" t="str">
        <f t="shared" si="120"/>
        <v/>
      </c>
      <c r="FP40" s="578" t="str">
        <f t="shared" si="121"/>
        <v/>
      </c>
      <c r="FQ40" s="578" t="str">
        <f t="shared" si="122"/>
        <v/>
      </c>
      <c r="FR40" s="578" t="str">
        <f t="shared" si="123"/>
        <v/>
      </c>
      <c r="FS40" s="578" t="str">
        <f t="shared" si="124"/>
        <v/>
      </c>
      <c r="FT40" s="578" t="str">
        <f t="shared" si="125"/>
        <v/>
      </c>
      <c r="FU40" s="578" t="str">
        <f t="shared" si="126"/>
        <v/>
      </c>
      <c r="FV40" s="578" t="str">
        <f t="shared" si="127"/>
        <v/>
      </c>
      <c r="FW40" s="578" t="str">
        <f t="shared" si="128"/>
        <v/>
      </c>
      <c r="FX40" s="578" t="str">
        <f t="shared" si="129"/>
        <v/>
      </c>
      <c r="FY40" s="578" t="str">
        <f t="shared" si="130"/>
        <v/>
      </c>
      <c r="FZ40" s="578" t="str">
        <f t="shared" si="131"/>
        <v/>
      </c>
      <c r="GA40" s="578" t="str">
        <f t="shared" si="132"/>
        <v/>
      </c>
      <c r="GB40" s="578" t="str">
        <f t="shared" si="133"/>
        <v/>
      </c>
      <c r="GC40" s="578" t="str">
        <f t="shared" si="134"/>
        <v/>
      </c>
      <c r="GD40" s="578" t="str">
        <f t="shared" si="135"/>
        <v/>
      </c>
      <c r="GE40" s="578" t="str">
        <f t="shared" si="136"/>
        <v/>
      </c>
      <c r="GF40" s="578" t="str">
        <f t="shared" si="137"/>
        <v/>
      </c>
      <c r="GG40" s="578" t="str">
        <f t="shared" si="138"/>
        <v/>
      </c>
      <c r="GH40" s="578" t="str">
        <f t="shared" si="139"/>
        <v/>
      </c>
      <c r="GI40" s="578" t="str">
        <f t="shared" si="140"/>
        <v/>
      </c>
      <c r="GJ40" s="578" t="str">
        <f t="shared" si="141"/>
        <v/>
      </c>
      <c r="GK40" s="578" t="str">
        <f t="shared" si="142"/>
        <v/>
      </c>
      <c r="GL40" s="578" t="str">
        <f t="shared" si="143"/>
        <v/>
      </c>
      <c r="GM40" s="578" t="str">
        <f t="shared" si="144"/>
        <v/>
      </c>
      <c r="GN40" s="578" t="str">
        <f t="shared" si="145"/>
        <v/>
      </c>
      <c r="GO40" s="579" t="str">
        <f t="shared" si="146"/>
        <v/>
      </c>
      <c r="GP40" s="579" t="str">
        <f t="shared" si="147"/>
        <v/>
      </c>
      <c r="GQ40" s="579" t="str">
        <f t="shared" si="148"/>
        <v/>
      </c>
      <c r="GR40" s="579" t="str">
        <f t="shared" si="149"/>
        <v/>
      </c>
      <c r="GS40" s="579" t="str">
        <f t="shared" si="150"/>
        <v/>
      </c>
      <c r="GT40" s="568" t="str">
        <f t="shared" si="151"/>
        <v/>
      </c>
      <c r="GU40" s="568" t="str">
        <f t="shared" si="152"/>
        <v/>
      </c>
      <c r="GV40" s="568" t="str">
        <f t="shared" si="153"/>
        <v/>
      </c>
      <c r="GW40" s="568" t="str">
        <f t="shared" si="154"/>
        <v/>
      </c>
      <c r="GX40" s="568" t="str">
        <f t="shared" si="155"/>
        <v/>
      </c>
      <c r="GY40" s="568" t="str">
        <f t="shared" si="156"/>
        <v/>
      </c>
      <c r="GZ40" s="568" t="str">
        <f t="shared" si="157"/>
        <v/>
      </c>
      <c r="HA40" s="568" t="str">
        <f t="shared" si="158"/>
        <v/>
      </c>
      <c r="HB40" s="568" t="str">
        <f t="shared" si="159"/>
        <v/>
      </c>
      <c r="HC40" s="568" t="str">
        <f t="shared" si="160"/>
        <v/>
      </c>
      <c r="HD40" s="568" t="str">
        <f t="shared" si="161"/>
        <v/>
      </c>
      <c r="HE40" s="568" t="str">
        <f t="shared" si="162"/>
        <v/>
      </c>
      <c r="HF40" s="568" t="str">
        <f t="shared" si="163"/>
        <v/>
      </c>
      <c r="HG40" s="568" t="str">
        <f t="shared" si="164"/>
        <v/>
      </c>
      <c r="HH40" s="568" t="str">
        <f t="shared" si="165"/>
        <v/>
      </c>
      <c r="HI40" s="568" t="str">
        <f t="shared" si="166"/>
        <v/>
      </c>
      <c r="HJ40" s="568" t="str">
        <f t="shared" si="167"/>
        <v/>
      </c>
      <c r="HK40" s="568" t="str">
        <f t="shared" si="168"/>
        <v/>
      </c>
      <c r="HL40" s="568" t="str">
        <f t="shared" si="169"/>
        <v/>
      </c>
      <c r="HM40" s="568" t="str">
        <f t="shared" si="170"/>
        <v/>
      </c>
    </row>
    <row r="41" spans="1:221" ht="13.15" customHeight="1">
      <c r="A41" s="126" t="str">
        <f t="shared" si="171"/>
        <v/>
      </c>
      <c r="B41" s="1748" t="s">
        <v>1895</v>
      </c>
      <c r="C41" s="1749"/>
      <c r="D41" s="1750"/>
      <c r="E41" s="1751"/>
      <c r="F41" s="1751"/>
      <c r="G41" s="1751"/>
      <c r="H41" s="1751"/>
      <c r="I41" s="1751"/>
      <c r="J41" s="1752"/>
      <c r="K41" s="199">
        <f t="shared" si="205"/>
        <v>0</v>
      </c>
      <c r="L41" s="199">
        <f t="shared" si="0"/>
        <v>0</v>
      </c>
      <c r="M41" s="1753"/>
      <c r="N41" s="1753"/>
      <c r="O41" s="1753"/>
      <c r="P41" s="519" t="str">
        <f t="shared" si="203"/>
        <v/>
      </c>
      <c r="Q41" s="520" t="str">
        <f>IF(H41="","",P41/($P$6*VLOOKUP(C41,'DCA Underwriting Assumptions'!$J$82:$K$87,2,FALSE)))</f>
        <v/>
      </c>
      <c r="R41" s="605"/>
      <c r="S41" s="520"/>
      <c r="T41" s="1754"/>
      <c r="U41" s="1755"/>
      <c r="V41" s="568" t="str">
        <f t="shared" si="1"/>
        <v/>
      </c>
      <c r="W41" s="568" t="str">
        <f t="shared" si="2"/>
        <v/>
      </c>
      <c r="X41" s="568" t="str">
        <f t="shared" si="3"/>
        <v/>
      </c>
      <c r="Y41" s="568" t="str">
        <f t="shared" si="4"/>
        <v/>
      </c>
      <c r="Z41" s="568" t="str">
        <f t="shared" si="5"/>
        <v/>
      </c>
      <c r="AA41" s="568" t="str">
        <f t="shared" si="6"/>
        <v/>
      </c>
      <c r="AB41" s="568" t="str">
        <f t="shared" si="7"/>
        <v/>
      </c>
      <c r="AC41" s="568" t="str">
        <f t="shared" si="8"/>
        <v/>
      </c>
      <c r="AD41" s="568" t="str">
        <f t="shared" si="9"/>
        <v/>
      </c>
      <c r="AE41" s="568" t="str">
        <f t="shared" si="10"/>
        <v/>
      </c>
      <c r="AF41" s="568" t="str">
        <f t="shared" si="11"/>
        <v/>
      </c>
      <c r="AG41" s="568" t="str">
        <f t="shared" si="12"/>
        <v/>
      </c>
      <c r="AH41" s="568" t="str">
        <f t="shared" si="13"/>
        <v/>
      </c>
      <c r="AI41" s="568" t="str">
        <f t="shared" si="14"/>
        <v/>
      </c>
      <c r="AJ41" s="568" t="str">
        <f t="shared" si="15"/>
        <v/>
      </c>
      <c r="AK41" s="568" t="str">
        <f t="shared" si="16"/>
        <v/>
      </c>
      <c r="AL41" s="568" t="str">
        <f t="shared" si="17"/>
        <v/>
      </c>
      <c r="AM41" s="568" t="str">
        <f t="shared" si="18"/>
        <v/>
      </c>
      <c r="AN41" s="568" t="str">
        <f t="shared" si="19"/>
        <v/>
      </c>
      <c r="AO41" s="568" t="str">
        <f t="shared" si="20"/>
        <v/>
      </c>
      <c r="AP41" s="568" t="str">
        <f t="shared" si="173"/>
        <v/>
      </c>
      <c r="AQ41" s="568" t="str">
        <f t="shared" si="174"/>
        <v/>
      </c>
      <c r="AR41" s="568" t="str">
        <f t="shared" si="175"/>
        <v/>
      </c>
      <c r="AS41" s="568" t="str">
        <f t="shared" si="176"/>
        <v/>
      </c>
      <c r="AT41" s="568" t="str">
        <f t="shared" si="177"/>
        <v/>
      </c>
      <c r="AU41" s="568" t="str">
        <f t="shared" si="178"/>
        <v/>
      </c>
      <c r="AV41" s="568" t="str">
        <f t="shared" si="179"/>
        <v/>
      </c>
      <c r="AW41" s="568" t="str">
        <f t="shared" si="180"/>
        <v/>
      </c>
      <c r="AX41" s="568" t="str">
        <f t="shared" si="181"/>
        <v/>
      </c>
      <c r="AY41" s="568" t="str">
        <f t="shared" si="182"/>
        <v/>
      </c>
      <c r="AZ41" s="568" t="str">
        <f t="shared" si="183"/>
        <v/>
      </c>
      <c r="BA41" s="568" t="str">
        <f t="shared" si="184"/>
        <v/>
      </c>
      <c r="BB41" s="568" t="str">
        <f t="shared" si="185"/>
        <v/>
      </c>
      <c r="BC41" s="568" t="str">
        <f t="shared" si="186"/>
        <v/>
      </c>
      <c r="BD41" s="568" t="str">
        <f t="shared" si="187"/>
        <v/>
      </c>
      <c r="BE41" s="568" t="str">
        <f t="shared" si="188"/>
        <v/>
      </c>
      <c r="BF41" s="568" t="str">
        <f t="shared" si="189"/>
        <v/>
      </c>
      <c r="BG41" s="568" t="str">
        <f t="shared" si="190"/>
        <v/>
      </c>
      <c r="BH41" s="568" t="str">
        <f t="shared" si="191"/>
        <v/>
      </c>
      <c r="BI41" s="568" t="str">
        <f t="shared" si="192"/>
        <v/>
      </c>
      <c r="BJ41" s="568" t="str">
        <f t="shared" si="193"/>
        <v/>
      </c>
      <c r="BK41" s="568" t="str">
        <f t="shared" si="194"/>
        <v/>
      </c>
      <c r="BL41" s="568" t="str">
        <f t="shared" si="195"/>
        <v/>
      </c>
      <c r="BM41" s="568" t="str">
        <f t="shared" si="196"/>
        <v/>
      </c>
      <c r="BN41" s="568" t="str">
        <f t="shared" si="197"/>
        <v/>
      </c>
      <c r="BO41" s="568" t="str">
        <f t="shared" si="198"/>
        <v/>
      </c>
      <c r="BP41" s="568" t="str">
        <f t="shared" si="199"/>
        <v/>
      </c>
      <c r="BQ41" s="568" t="str">
        <f t="shared" si="200"/>
        <v/>
      </c>
      <c r="BR41" s="568" t="str">
        <f t="shared" si="201"/>
        <v/>
      </c>
      <c r="BS41" s="568" t="str">
        <f t="shared" si="202"/>
        <v/>
      </c>
      <c r="BT41" s="568" t="str">
        <f t="shared" si="21"/>
        <v/>
      </c>
      <c r="BU41" s="568" t="str">
        <f t="shared" si="22"/>
        <v/>
      </c>
      <c r="BV41" s="568" t="str">
        <f t="shared" si="23"/>
        <v/>
      </c>
      <c r="BW41" s="568" t="str">
        <f t="shared" si="24"/>
        <v/>
      </c>
      <c r="BX41" s="568" t="str">
        <f t="shared" si="25"/>
        <v/>
      </c>
      <c r="BY41" s="568" t="str">
        <f t="shared" si="26"/>
        <v/>
      </c>
      <c r="BZ41" s="568" t="str">
        <f t="shared" si="27"/>
        <v/>
      </c>
      <c r="CA41" s="568" t="str">
        <f t="shared" si="28"/>
        <v/>
      </c>
      <c r="CB41" s="568" t="str">
        <f t="shared" si="29"/>
        <v/>
      </c>
      <c r="CC41" s="568" t="str">
        <f t="shared" si="30"/>
        <v/>
      </c>
      <c r="CD41" s="568" t="str">
        <f t="shared" si="31"/>
        <v/>
      </c>
      <c r="CE41" s="568" t="str">
        <f t="shared" si="32"/>
        <v/>
      </c>
      <c r="CF41" s="568" t="str">
        <f t="shared" si="33"/>
        <v/>
      </c>
      <c r="CG41" s="568" t="str">
        <f t="shared" si="34"/>
        <v/>
      </c>
      <c r="CH41" s="568" t="str">
        <f t="shared" si="35"/>
        <v/>
      </c>
      <c r="CI41" s="568" t="str">
        <f t="shared" si="36"/>
        <v/>
      </c>
      <c r="CJ41" s="568" t="str">
        <f t="shared" si="37"/>
        <v/>
      </c>
      <c r="CK41" s="568" t="str">
        <f t="shared" si="38"/>
        <v/>
      </c>
      <c r="CL41" s="568" t="str">
        <f t="shared" si="39"/>
        <v/>
      </c>
      <c r="CM41" s="568" t="str">
        <f t="shared" si="40"/>
        <v/>
      </c>
      <c r="CN41" s="568" t="str">
        <f t="shared" si="41"/>
        <v/>
      </c>
      <c r="CO41" s="568" t="str">
        <f t="shared" si="42"/>
        <v/>
      </c>
      <c r="CP41" s="568" t="str">
        <f t="shared" si="43"/>
        <v/>
      </c>
      <c r="CQ41" s="568" t="str">
        <f t="shared" si="44"/>
        <v/>
      </c>
      <c r="CR41" s="568" t="str">
        <f t="shared" si="45"/>
        <v/>
      </c>
      <c r="CS41" s="568" t="str">
        <f t="shared" si="46"/>
        <v/>
      </c>
      <c r="CT41" s="568" t="str">
        <f t="shared" si="47"/>
        <v/>
      </c>
      <c r="CU41" s="568" t="str">
        <f t="shared" si="48"/>
        <v/>
      </c>
      <c r="CV41" s="568" t="str">
        <f t="shared" si="49"/>
        <v/>
      </c>
      <c r="CW41" s="568" t="str">
        <f t="shared" si="50"/>
        <v/>
      </c>
      <c r="CX41" s="568" t="str">
        <f t="shared" si="51"/>
        <v/>
      </c>
      <c r="CY41" s="568" t="str">
        <f t="shared" si="52"/>
        <v/>
      </c>
      <c r="CZ41" s="568" t="str">
        <f t="shared" si="53"/>
        <v/>
      </c>
      <c r="DA41" s="568" t="str">
        <f t="shared" si="54"/>
        <v/>
      </c>
      <c r="DB41" s="568" t="str">
        <f t="shared" si="55"/>
        <v/>
      </c>
      <c r="DC41" s="568" t="str">
        <f t="shared" si="56"/>
        <v/>
      </c>
      <c r="DD41" s="568" t="str">
        <f t="shared" si="57"/>
        <v/>
      </c>
      <c r="DE41" s="568" t="str">
        <f t="shared" si="58"/>
        <v/>
      </c>
      <c r="DF41" s="568" t="str">
        <f t="shared" si="59"/>
        <v/>
      </c>
      <c r="DG41" s="568" t="str">
        <f t="shared" si="60"/>
        <v/>
      </c>
      <c r="DH41" s="568" t="str">
        <f t="shared" si="61"/>
        <v/>
      </c>
      <c r="DI41" s="568" t="str">
        <f t="shared" si="62"/>
        <v/>
      </c>
      <c r="DJ41" s="568" t="str">
        <f t="shared" si="63"/>
        <v/>
      </c>
      <c r="DK41" s="568" t="str">
        <f t="shared" si="64"/>
        <v/>
      </c>
      <c r="DL41" s="568" t="str">
        <f t="shared" si="65"/>
        <v/>
      </c>
      <c r="DM41" s="568" t="str">
        <f t="shared" si="66"/>
        <v/>
      </c>
      <c r="DN41" s="568" t="str">
        <f t="shared" si="67"/>
        <v/>
      </c>
      <c r="DO41" s="568" t="str">
        <f t="shared" si="68"/>
        <v/>
      </c>
      <c r="DP41" s="568" t="str">
        <f t="shared" si="69"/>
        <v/>
      </c>
      <c r="DQ41" s="568" t="str">
        <f t="shared" si="70"/>
        <v/>
      </c>
      <c r="DR41" s="568" t="str">
        <f t="shared" si="71"/>
        <v/>
      </c>
      <c r="DS41" s="568" t="str">
        <f t="shared" si="72"/>
        <v/>
      </c>
      <c r="DT41" s="568" t="str">
        <f t="shared" si="73"/>
        <v/>
      </c>
      <c r="DU41" s="568" t="str">
        <f t="shared" si="74"/>
        <v/>
      </c>
      <c r="DV41" s="568" t="str">
        <f t="shared" si="75"/>
        <v/>
      </c>
      <c r="DW41" s="568" t="str">
        <f t="shared" si="76"/>
        <v/>
      </c>
      <c r="DX41" s="568" t="str">
        <f t="shared" si="77"/>
        <v/>
      </c>
      <c r="DY41" s="568" t="str">
        <f t="shared" si="78"/>
        <v/>
      </c>
      <c r="DZ41" s="568" t="str">
        <f t="shared" si="79"/>
        <v/>
      </c>
      <c r="EA41" s="568" t="str">
        <f t="shared" si="80"/>
        <v/>
      </c>
      <c r="EB41" s="568" t="str">
        <f t="shared" si="81"/>
        <v/>
      </c>
      <c r="EC41" s="568" t="str">
        <f t="shared" si="82"/>
        <v/>
      </c>
      <c r="ED41" s="568" t="str">
        <f t="shared" si="83"/>
        <v/>
      </c>
      <c r="EE41" s="568" t="str">
        <f t="shared" si="84"/>
        <v/>
      </c>
      <c r="EF41" s="568" t="str">
        <f t="shared" si="85"/>
        <v/>
      </c>
      <c r="EG41" s="568" t="str">
        <f t="shared" si="86"/>
        <v/>
      </c>
      <c r="EH41" s="568" t="str">
        <f t="shared" si="87"/>
        <v/>
      </c>
      <c r="EI41" s="568" t="str">
        <f t="shared" si="88"/>
        <v/>
      </c>
      <c r="EJ41" s="568" t="str">
        <f t="shared" si="89"/>
        <v/>
      </c>
      <c r="EK41" s="568" t="str">
        <f t="shared" si="90"/>
        <v/>
      </c>
      <c r="EL41" s="568" t="str">
        <f t="shared" si="91"/>
        <v/>
      </c>
      <c r="EM41" s="568" t="str">
        <f t="shared" si="92"/>
        <v/>
      </c>
      <c r="EN41" s="568" t="str">
        <f t="shared" si="93"/>
        <v/>
      </c>
      <c r="EO41" s="568" t="str">
        <f t="shared" si="94"/>
        <v/>
      </c>
      <c r="EP41" s="568" t="str">
        <f t="shared" si="95"/>
        <v/>
      </c>
      <c r="EQ41" s="568" t="str">
        <f t="shared" si="96"/>
        <v/>
      </c>
      <c r="ER41" s="568" t="str">
        <f t="shared" si="97"/>
        <v/>
      </c>
      <c r="ES41" s="568" t="str">
        <f t="shared" si="98"/>
        <v/>
      </c>
      <c r="ET41" s="568" t="str">
        <f t="shared" si="99"/>
        <v/>
      </c>
      <c r="EU41" s="568" t="str">
        <f t="shared" si="100"/>
        <v/>
      </c>
      <c r="EV41" s="578" t="str">
        <f t="shared" si="101"/>
        <v/>
      </c>
      <c r="EW41" s="578" t="str">
        <f t="shared" si="102"/>
        <v/>
      </c>
      <c r="EX41" s="578" t="str">
        <f t="shared" si="103"/>
        <v/>
      </c>
      <c r="EY41" s="578" t="str">
        <f t="shared" si="104"/>
        <v/>
      </c>
      <c r="EZ41" s="578" t="str">
        <f t="shared" si="105"/>
        <v/>
      </c>
      <c r="FA41" s="578" t="str">
        <f t="shared" si="106"/>
        <v/>
      </c>
      <c r="FB41" s="578" t="str">
        <f t="shared" si="107"/>
        <v/>
      </c>
      <c r="FC41" s="578" t="str">
        <f t="shared" si="108"/>
        <v/>
      </c>
      <c r="FD41" s="578" t="str">
        <f t="shared" si="109"/>
        <v/>
      </c>
      <c r="FE41" s="578" t="str">
        <f t="shared" si="110"/>
        <v/>
      </c>
      <c r="FF41" s="578" t="str">
        <f t="shared" si="111"/>
        <v/>
      </c>
      <c r="FG41" s="578" t="str">
        <f t="shared" si="112"/>
        <v/>
      </c>
      <c r="FH41" s="578" t="str">
        <f t="shared" si="113"/>
        <v/>
      </c>
      <c r="FI41" s="578" t="str">
        <f t="shared" si="114"/>
        <v/>
      </c>
      <c r="FJ41" s="578" t="str">
        <f t="shared" si="115"/>
        <v/>
      </c>
      <c r="FK41" s="578" t="str">
        <f t="shared" si="116"/>
        <v/>
      </c>
      <c r="FL41" s="578" t="str">
        <f t="shared" si="117"/>
        <v/>
      </c>
      <c r="FM41" s="578" t="str">
        <f t="shared" si="118"/>
        <v/>
      </c>
      <c r="FN41" s="578" t="str">
        <f t="shared" si="119"/>
        <v/>
      </c>
      <c r="FO41" s="578" t="str">
        <f t="shared" si="120"/>
        <v/>
      </c>
      <c r="FP41" s="578" t="str">
        <f t="shared" si="121"/>
        <v/>
      </c>
      <c r="FQ41" s="578" t="str">
        <f t="shared" si="122"/>
        <v/>
      </c>
      <c r="FR41" s="578" t="str">
        <f t="shared" si="123"/>
        <v/>
      </c>
      <c r="FS41" s="578" t="str">
        <f t="shared" si="124"/>
        <v/>
      </c>
      <c r="FT41" s="578" t="str">
        <f t="shared" si="125"/>
        <v/>
      </c>
      <c r="FU41" s="578" t="str">
        <f t="shared" si="126"/>
        <v/>
      </c>
      <c r="FV41" s="578" t="str">
        <f t="shared" si="127"/>
        <v/>
      </c>
      <c r="FW41" s="578" t="str">
        <f t="shared" si="128"/>
        <v/>
      </c>
      <c r="FX41" s="578" t="str">
        <f t="shared" si="129"/>
        <v/>
      </c>
      <c r="FY41" s="578" t="str">
        <f t="shared" si="130"/>
        <v/>
      </c>
      <c r="FZ41" s="578" t="str">
        <f t="shared" si="131"/>
        <v/>
      </c>
      <c r="GA41" s="578" t="str">
        <f t="shared" si="132"/>
        <v/>
      </c>
      <c r="GB41" s="578" t="str">
        <f t="shared" si="133"/>
        <v/>
      </c>
      <c r="GC41" s="578" t="str">
        <f t="shared" si="134"/>
        <v/>
      </c>
      <c r="GD41" s="578" t="str">
        <f t="shared" si="135"/>
        <v/>
      </c>
      <c r="GE41" s="578" t="str">
        <f t="shared" si="136"/>
        <v/>
      </c>
      <c r="GF41" s="578" t="str">
        <f t="shared" si="137"/>
        <v/>
      </c>
      <c r="GG41" s="578" t="str">
        <f t="shared" si="138"/>
        <v/>
      </c>
      <c r="GH41" s="578" t="str">
        <f t="shared" si="139"/>
        <v/>
      </c>
      <c r="GI41" s="578" t="str">
        <f t="shared" si="140"/>
        <v/>
      </c>
      <c r="GJ41" s="578" t="str">
        <f t="shared" si="141"/>
        <v/>
      </c>
      <c r="GK41" s="578" t="str">
        <f t="shared" si="142"/>
        <v/>
      </c>
      <c r="GL41" s="578" t="str">
        <f t="shared" si="143"/>
        <v/>
      </c>
      <c r="GM41" s="578" t="str">
        <f t="shared" si="144"/>
        <v/>
      </c>
      <c r="GN41" s="578" t="str">
        <f t="shared" si="145"/>
        <v/>
      </c>
      <c r="GO41" s="579" t="str">
        <f t="shared" si="146"/>
        <v/>
      </c>
      <c r="GP41" s="579" t="str">
        <f t="shared" si="147"/>
        <v/>
      </c>
      <c r="GQ41" s="579" t="str">
        <f t="shared" si="148"/>
        <v/>
      </c>
      <c r="GR41" s="579" t="str">
        <f t="shared" si="149"/>
        <v/>
      </c>
      <c r="GS41" s="579" t="str">
        <f t="shared" si="150"/>
        <v/>
      </c>
      <c r="GT41" s="568" t="str">
        <f t="shared" si="151"/>
        <v/>
      </c>
      <c r="GU41" s="568" t="str">
        <f t="shared" si="152"/>
        <v/>
      </c>
      <c r="GV41" s="568" t="str">
        <f t="shared" si="153"/>
        <v/>
      </c>
      <c r="GW41" s="568" t="str">
        <f t="shared" si="154"/>
        <v/>
      </c>
      <c r="GX41" s="568" t="str">
        <f t="shared" si="155"/>
        <v/>
      </c>
      <c r="GY41" s="568" t="str">
        <f t="shared" si="156"/>
        <v/>
      </c>
      <c r="GZ41" s="568" t="str">
        <f t="shared" si="157"/>
        <v/>
      </c>
      <c r="HA41" s="568" t="str">
        <f t="shared" si="158"/>
        <v/>
      </c>
      <c r="HB41" s="568" t="str">
        <f t="shared" si="159"/>
        <v/>
      </c>
      <c r="HC41" s="568" t="str">
        <f t="shared" si="160"/>
        <v/>
      </c>
      <c r="HD41" s="568" t="str">
        <f t="shared" si="161"/>
        <v/>
      </c>
      <c r="HE41" s="568" t="str">
        <f t="shared" si="162"/>
        <v/>
      </c>
      <c r="HF41" s="568" t="str">
        <f t="shared" si="163"/>
        <v/>
      </c>
      <c r="HG41" s="568" t="str">
        <f t="shared" si="164"/>
        <v/>
      </c>
      <c r="HH41" s="568" t="str">
        <f t="shared" si="165"/>
        <v/>
      </c>
      <c r="HI41" s="568" t="str">
        <f t="shared" si="166"/>
        <v/>
      </c>
      <c r="HJ41" s="568" t="str">
        <f t="shared" si="167"/>
        <v/>
      </c>
      <c r="HK41" s="568" t="str">
        <f t="shared" si="168"/>
        <v/>
      </c>
      <c r="HL41" s="568" t="str">
        <f t="shared" si="169"/>
        <v/>
      </c>
      <c r="HM41" s="568" t="str">
        <f t="shared" si="170"/>
        <v/>
      </c>
    </row>
    <row r="42" spans="1:221" ht="13.15" customHeight="1">
      <c r="A42" s="126" t="str">
        <f t="shared" si="171"/>
        <v/>
      </c>
      <c r="B42" s="1748" t="s">
        <v>1895</v>
      </c>
      <c r="C42" s="1749"/>
      <c r="D42" s="1750"/>
      <c r="E42" s="1751"/>
      <c r="F42" s="1751"/>
      <c r="G42" s="1751"/>
      <c r="H42" s="1751"/>
      <c r="I42" s="1751"/>
      <c r="J42" s="1752"/>
      <c r="K42" s="199">
        <f t="shared" si="205"/>
        <v>0</v>
      </c>
      <c r="L42" s="199">
        <f t="shared" si="0"/>
        <v>0</v>
      </c>
      <c r="M42" s="1753"/>
      <c r="N42" s="1753"/>
      <c r="O42" s="1753"/>
      <c r="P42" s="519" t="str">
        <f t="shared" si="203"/>
        <v/>
      </c>
      <c r="Q42" s="520" t="str">
        <f>IF(H42="","",P42/($P$6*VLOOKUP(C42,'DCA Underwriting Assumptions'!$J$82:$K$87,2,FALSE)))</f>
        <v/>
      </c>
      <c r="R42" s="605"/>
      <c r="S42" s="520"/>
      <c r="T42" s="1754"/>
      <c r="U42" s="1755"/>
      <c r="V42" s="568" t="str">
        <f t="shared" si="1"/>
        <v/>
      </c>
      <c r="W42" s="568" t="str">
        <f t="shared" si="2"/>
        <v/>
      </c>
      <c r="X42" s="568" t="str">
        <f t="shared" si="3"/>
        <v/>
      </c>
      <c r="Y42" s="568" t="str">
        <f t="shared" si="4"/>
        <v/>
      </c>
      <c r="Z42" s="568" t="str">
        <f t="shared" si="5"/>
        <v/>
      </c>
      <c r="AA42" s="568" t="str">
        <f t="shared" si="6"/>
        <v/>
      </c>
      <c r="AB42" s="568" t="str">
        <f t="shared" si="7"/>
        <v/>
      </c>
      <c r="AC42" s="568" t="str">
        <f t="shared" si="8"/>
        <v/>
      </c>
      <c r="AD42" s="568" t="str">
        <f t="shared" si="9"/>
        <v/>
      </c>
      <c r="AE42" s="568" t="str">
        <f t="shared" si="10"/>
        <v/>
      </c>
      <c r="AF42" s="568" t="str">
        <f t="shared" si="11"/>
        <v/>
      </c>
      <c r="AG42" s="568" t="str">
        <f t="shared" si="12"/>
        <v/>
      </c>
      <c r="AH42" s="568" t="str">
        <f t="shared" si="13"/>
        <v/>
      </c>
      <c r="AI42" s="568" t="str">
        <f t="shared" si="14"/>
        <v/>
      </c>
      <c r="AJ42" s="568" t="str">
        <f t="shared" si="15"/>
        <v/>
      </c>
      <c r="AK42" s="568" t="str">
        <f t="shared" si="16"/>
        <v/>
      </c>
      <c r="AL42" s="568" t="str">
        <f t="shared" si="17"/>
        <v/>
      </c>
      <c r="AM42" s="568" t="str">
        <f t="shared" si="18"/>
        <v/>
      </c>
      <c r="AN42" s="568" t="str">
        <f t="shared" si="19"/>
        <v/>
      </c>
      <c r="AO42" s="568" t="str">
        <f t="shared" si="20"/>
        <v/>
      </c>
      <c r="AP42" s="568" t="str">
        <f t="shared" si="173"/>
        <v/>
      </c>
      <c r="AQ42" s="568" t="str">
        <f t="shared" si="174"/>
        <v/>
      </c>
      <c r="AR42" s="568" t="str">
        <f t="shared" si="175"/>
        <v/>
      </c>
      <c r="AS42" s="568" t="str">
        <f t="shared" si="176"/>
        <v/>
      </c>
      <c r="AT42" s="568" t="str">
        <f t="shared" si="177"/>
        <v/>
      </c>
      <c r="AU42" s="568" t="str">
        <f t="shared" si="178"/>
        <v/>
      </c>
      <c r="AV42" s="568" t="str">
        <f t="shared" si="179"/>
        <v/>
      </c>
      <c r="AW42" s="568" t="str">
        <f t="shared" si="180"/>
        <v/>
      </c>
      <c r="AX42" s="568" t="str">
        <f t="shared" si="181"/>
        <v/>
      </c>
      <c r="AY42" s="568" t="str">
        <f t="shared" si="182"/>
        <v/>
      </c>
      <c r="AZ42" s="568" t="str">
        <f t="shared" si="183"/>
        <v/>
      </c>
      <c r="BA42" s="568" t="str">
        <f t="shared" si="184"/>
        <v/>
      </c>
      <c r="BB42" s="568" t="str">
        <f t="shared" si="185"/>
        <v/>
      </c>
      <c r="BC42" s="568" t="str">
        <f t="shared" si="186"/>
        <v/>
      </c>
      <c r="BD42" s="568" t="str">
        <f t="shared" si="187"/>
        <v/>
      </c>
      <c r="BE42" s="568" t="str">
        <f t="shared" si="188"/>
        <v/>
      </c>
      <c r="BF42" s="568" t="str">
        <f t="shared" si="189"/>
        <v/>
      </c>
      <c r="BG42" s="568" t="str">
        <f t="shared" si="190"/>
        <v/>
      </c>
      <c r="BH42" s="568" t="str">
        <f t="shared" si="191"/>
        <v/>
      </c>
      <c r="BI42" s="568" t="str">
        <f t="shared" si="192"/>
        <v/>
      </c>
      <c r="BJ42" s="568" t="str">
        <f t="shared" si="193"/>
        <v/>
      </c>
      <c r="BK42" s="568" t="str">
        <f t="shared" si="194"/>
        <v/>
      </c>
      <c r="BL42" s="568" t="str">
        <f t="shared" si="195"/>
        <v/>
      </c>
      <c r="BM42" s="568" t="str">
        <f t="shared" si="196"/>
        <v/>
      </c>
      <c r="BN42" s="568" t="str">
        <f t="shared" si="197"/>
        <v/>
      </c>
      <c r="BO42" s="568" t="str">
        <f t="shared" si="198"/>
        <v/>
      </c>
      <c r="BP42" s="568" t="str">
        <f t="shared" si="199"/>
        <v/>
      </c>
      <c r="BQ42" s="568" t="str">
        <f t="shared" si="200"/>
        <v/>
      </c>
      <c r="BR42" s="568" t="str">
        <f t="shared" si="201"/>
        <v/>
      </c>
      <c r="BS42" s="568" t="str">
        <f t="shared" si="202"/>
        <v/>
      </c>
      <c r="BT42" s="568" t="str">
        <f t="shared" si="21"/>
        <v/>
      </c>
      <c r="BU42" s="568" t="str">
        <f t="shared" si="22"/>
        <v/>
      </c>
      <c r="BV42" s="568" t="str">
        <f t="shared" si="23"/>
        <v/>
      </c>
      <c r="BW42" s="568" t="str">
        <f t="shared" si="24"/>
        <v/>
      </c>
      <c r="BX42" s="568" t="str">
        <f t="shared" si="25"/>
        <v/>
      </c>
      <c r="BY42" s="568" t="str">
        <f t="shared" si="26"/>
        <v/>
      </c>
      <c r="BZ42" s="568" t="str">
        <f t="shared" si="27"/>
        <v/>
      </c>
      <c r="CA42" s="568" t="str">
        <f t="shared" si="28"/>
        <v/>
      </c>
      <c r="CB42" s="568" t="str">
        <f t="shared" si="29"/>
        <v/>
      </c>
      <c r="CC42" s="568" t="str">
        <f t="shared" si="30"/>
        <v/>
      </c>
      <c r="CD42" s="568" t="str">
        <f t="shared" si="31"/>
        <v/>
      </c>
      <c r="CE42" s="568" t="str">
        <f t="shared" si="32"/>
        <v/>
      </c>
      <c r="CF42" s="568" t="str">
        <f t="shared" si="33"/>
        <v/>
      </c>
      <c r="CG42" s="568" t="str">
        <f t="shared" si="34"/>
        <v/>
      </c>
      <c r="CH42" s="568" t="str">
        <f t="shared" si="35"/>
        <v/>
      </c>
      <c r="CI42" s="568" t="str">
        <f t="shared" si="36"/>
        <v/>
      </c>
      <c r="CJ42" s="568" t="str">
        <f t="shared" si="37"/>
        <v/>
      </c>
      <c r="CK42" s="568" t="str">
        <f t="shared" si="38"/>
        <v/>
      </c>
      <c r="CL42" s="568" t="str">
        <f t="shared" si="39"/>
        <v/>
      </c>
      <c r="CM42" s="568" t="str">
        <f t="shared" si="40"/>
        <v/>
      </c>
      <c r="CN42" s="568" t="str">
        <f t="shared" si="41"/>
        <v/>
      </c>
      <c r="CO42" s="568" t="str">
        <f t="shared" si="42"/>
        <v/>
      </c>
      <c r="CP42" s="568" t="str">
        <f t="shared" si="43"/>
        <v/>
      </c>
      <c r="CQ42" s="568" t="str">
        <f t="shared" si="44"/>
        <v/>
      </c>
      <c r="CR42" s="568" t="str">
        <f t="shared" si="45"/>
        <v/>
      </c>
      <c r="CS42" s="568" t="str">
        <f t="shared" si="46"/>
        <v/>
      </c>
      <c r="CT42" s="568" t="str">
        <f t="shared" si="47"/>
        <v/>
      </c>
      <c r="CU42" s="568" t="str">
        <f t="shared" si="48"/>
        <v/>
      </c>
      <c r="CV42" s="568" t="str">
        <f t="shared" si="49"/>
        <v/>
      </c>
      <c r="CW42" s="568" t="str">
        <f t="shared" si="50"/>
        <v/>
      </c>
      <c r="CX42" s="568" t="str">
        <f t="shared" si="51"/>
        <v/>
      </c>
      <c r="CY42" s="568" t="str">
        <f t="shared" si="52"/>
        <v/>
      </c>
      <c r="CZ42" s="568" t="str">
        <f t="shared" si="53"/>
        <v/>
      </c>
      <c r="DA42" s="568" t="str">
        <f t="shared" si="54"/>
        <v/>
      </c>
      <c r="DB42" s="568" t="str">
        <f t="shared" si="55"/>
        <v/>
      </c>
      <c r="DC42" s="568" t="str">
        <f t="shared" si="56"/>
        <v/>
      </c>
      <c r="DD42" s="568" t="str">
        <f t="shared" si="57"/>
        <v/>
      </c>
      <c r="DE42" s="568" t="str">
        <f t="shared" si="58"/>
        <v/>
      </c>
      <c r="DF42" s="568" t="str">
        <f t="shared" si="59"/>
        <v/>
      </c>
      <c r="DG42" s="568" t="str">
        <f t="shared" si="60"/>
        <v/>
      </c>
      <c r="DH42" s="568" t="str">
        <f t="shared" si="61"/>
        <v/>
      </c>
      <c r="DI42" s="568" t="str">
        <f t="shared" si="62"/>
        <v/>
      </c>
      <c r="DJ42" s="568" t="str">
        <f t="shared" si="63"/>
        <v/>
      </c>
      <c r="DK42" s="568" t="str">
        <f t="shared" si="64"/>
        <v/>
      </c>
      <c r="DL42" s="568" t="str">
        <f t="shared" si="65"/>
        <v/>
      </c>
      <c r="DM42" s="568" t="str">
        <f t="shared" si="66"/>
        <v/>
      </c>
      <c r="DN42" s="568" t="str">
        <f t="shared" si="67"/>
        <v/>
      </c>
      <c r="DO42" s="568" t="str">
        <f t="shared" si="68"/>
        <v/>
      </c>
      <c r="DP42" s="568" t="str">
        <f t="shared" si="69"/>
        <v/>
      </c>
      <c r="DQ42" s="568" t="str">
        <f t="shared" si="70"/>
        <v/>
      </c>
      <c r="DR42" s="568" t="str">
        <f t="shared" si="71"/>
        <v/>
      </c>
      <c r="DS42" s="568" t="str">
        <f t="shared" si="72"/>
        <v/>
      </c>
      <c r="DT42" s="568" t="str">
        <f t="shared" si="73"/>
        <v/>
      </c>
      <c r="DU42" s="568" t="str">
        <f t="shared" si="74"/>
        <v/>
      </c>
      <c r="DV42" s="568" t="str">
        <f t="shared" si="75"/>
        <v/>
      </c>
      <c r="DW42" s="568" t="str">
        <f t="shared" si="76"/>
        <v/>
      </c>
      <c r="DX42" s="568" t="str">
        <f t="shared" si="77"/>
        <v/>
      </c>
      <c r="DY42" s="568" t="str">
        <f t="shared" si="78"/>
        <v/>
      </c>
      <c r="DZ42" s="568" t="str">
        <f t="shared" si="79"/>
        <v/>
      </c>
      <c r="EA42" s="568" t="str">
        <f t="shared" si="80"/>
        <v/>
      </c>
      <c r="EB42" s="568" t="str">
        <f t="shared" si="81"/>
        <v/>
      </c>
      <c r="EC42" s="568" t="str">
        <f t="shared" si="82"/>
        <v/>
      </c>
      <c r="ED42" s="568" t="str">
        <f t="shared" si="83"/>
        <v/>
      </c>
      <c r="EE42" s="568" t="str">
        <f t="shared" si="84"/>
        <v/>
      </c>
      <c r="EF42" s="568" t="str">
        <f t="shared" si="85"/>
        <v/>
      </c>
      <c r="EG42" s="568" t="str">
        <f t="shared" si="86"/>
        <v/>
      </c>
      <c r="EH42" s="568" t="str">
        <f t="shared" si="87"/>
        <v/>
      </c>
      <c r="EI42" s="568" t="str">
        <f t="shared" si="88"/>
        <v/>
      </c>
      <c r="EJ42" s="568" t="str">
        <f t="shared" si="89"/>
        <v/>
      </c>
      <c r="EK42" s="568" t="str">
        <f t="shared" si="90"/>
        <v/>
      </c>
      <c r="EL42" s="568" t="str">
        <f t="shared" si="91"/>
        <v/>
      </c>
      <c r="EM42" s="568" t="str">
        <f t="shared" si="92"/>
        <v/>
      </c>
      <c r="EN42" s="568" t="str">
        <f t="shared" si="93"/>
        <v/>
      </c>
      <c r="EO42" s="568" t="str">
        <f t="shared" si="94"/>
        <v/>
      </c>
      <c r="EP42" s="568" t="str">
        <f t="shared" si="95"/>
        <v/>
      </c>
      <c r="EQ42" s="568" t="str">
        <f t="shared" si="96"/>
        <v/>
      </c>
      <c r="ER42" s="568" t="str">
        <f t="shared" si="97"/>
        <v/>
      </c>
      <c r="ES42" s="568" t="str">
        <f t="shared" si="98"/>
        <v/>
      </c>
      <c r="ET42" s="568" t="str">
        <f t="shared" si="99"/>
        <v/>
      </c>
      <c r="EU42" s="568" t="str">
        <f t="shared" si="100"/>
        <v/>
      </c>
      <c r="EV42" s="578" t="str">
        <f t="shared" si="101"/>
        <v/>
      </c>
      <c r="EW42" s="578" t="str">
        <f t="shared" si="102"/>
        <v/>
      </c>
      <c r="EX42" s="578" t="str">
        <f t="shared" si="103"/>
        <v/>
      </c>
      <c r="EY42" s="578" t="str">
        <f t="shared" si="104"/>
        <v/>
      </c>
      <c r="EZ42" s="578" t="str">
        <f t="shared" si="105"/>
        <v/>
      </c>
      <c r="FA42" s="578" t="str">
        <f t="shared" si="106"/>
        <v/>
      </c>
      <c r="FB42" s="578" t="str">
        <f t="shared" si="107"/>
        <v/>
      </c>
      <c r="FC42" s="578" t="str">
        <f t="shared" si="108"/>
        <v/>
      </c>
      <c r="FD42" s="578" t="str">
        <f t="shared" si="109"/>
        <v/>
      </c>
      <c r="FE42" s="578" t="str">
        <f t="shared" si="110"/>
        <v/>
      </c>
      <c r="FF42" s="578" t="str">
        <f t="shared" si="111"/>
        <v/>
      </c>
      <c r="FG42" s="578" t="str">
        <f t="shared" si="112"/>
        <v/>
      </c>
      <c r="FH42" s="578" t="str">
        <f t="shared" si="113"/>
        <v/>
      </c>
      <c r="FI42" s="578" t="str">
        <f t="shared" si="114"/>
        <v/>
      </c>
      <c r="FJ42" s="578" t="str">
        <f t="shared" si="115"/>
        <v/>
      </c>
      <c r="FK42" s="578" t="str">
        <f t="shared" si="116"/>
        <v/>
      </c>
      <c r="FL42" s="578" t="str">
        <f t="shared" si="117"/>
        <v/>
      </c>
      <c r="FM42" s="578" t="str">
        <f t="shared" si="118"/>
        <v/>
      </c>
      <c r="FN42" s="578" t="str">
        <f t="shared" si="119"/>
        <v/>
      </c>
      <c r="FO42" s="578" t="str">
        <f t="shared" si="120"/>
        <v/>
      </c>
      <c r="FP42" s="578" t="str">
        <f t="shared" si="121"/>
        <v/>
      </c>
      <c r="FQ42" s="578" t="str">
        <f t="shared" si="122"/>
        <v/>
      </c>
      <c r="FR42" s="578" t="str">
        <f t="shared" si="123"/>
        <v/>
      </c>
      <c r="FS42" s="578" t="str">
        <f t="shared" si="124"/>
        <v/>
      </c>
      <c r="FT42" s="578" t="str">
        <f t="shared" si="125"/>
        <v/>
      </c>
      <c r="FU42" s="578" t="str">
        <f t="shared" si="126"/>
        <v/>
      </c>
      <c r="FV42" s="578" t="str">
        <f t="shared" si="127"/>
        <v/>
      </c>
      <c r="FW42" s="578" t="str">
        <f t="shared" si="128"/>
        <v/>
      </c>
      <c r="FX42" s="578" t="str">
        <f t="shared" si="129"/>
        <v/>
      </c>
      <c r="FY42" s="578" t="str">
        <f t="shared" si="130"/>
        <v/>
      </c>
      <c r="FZ42" s="578" t="str">
        <f t="shared" si="131"/>
        <v/>
      </c>
      <c r="GA42" s="578" t="str">
        <f t="shared" si="132"/>
        <v/>
      </c>
      <c r="GB42" s="578" t="str">
        <f t="shared" si="133"/>
        <v/>
      </c>
      <c r="GC42" s="578" t="str">
        <f t="shared" si="134"/>
        <v/>
      </c>
      <c r="GD42" s="578" t="str">
        <f t="shared" si="135"/>
        <v/>
      </c>
      <c r="GE42" s="578" t="str">
        <f t="shared" si="136"/>
        <v/>
      </c>
      <c r="GF42" s="578" t="str">
        <f t="shared" si="137"/>
        <v/>
      </c>
      <c r="GG42" s="578" t="str">
        <f t="shared" si="138"/>
        <v/>
      </c>
      <c r="GH42" s="578" t="str">
        <f t="shared" si="139"/>
        <v/>
      </c>
      <c r="GI42" s="578" t="str">
        <f t="shared" si="140"/>
        <v/>
      </c>
      <c r="GJ42" s="578" t="str">
        <f t="shared" si="141"/>
        <v/>
      </c>
      <c r="GK42" s="578" t="str">
        <f t="shared" si="142"/>
        <v/>
      </c>
      <c r="GL42" s="578" t="str">
        <f t="shared" si="143"/>
        <v/>
      </c>
      <c r="GM42" s="578" t="str">
        <f t="shared" si="144"/>
        <v/>
      </c>
      <c r="GN42" s="578" t="str">
        <f t="shared" si="145"/>
        <v/>
      </c>
      <c r="GO42" s="579" t="str">
        <f t="shared" si="146"/>
        <v/>
      </c>
      <c r="GP42" s="579" t="str">
        <f t="shared" si="147"/>
        <v/>
      </c>
      <c r="GQ42" s="579" t="str">
        <f t="shared" si="148"/>
        <v/>
      </c>
      <c r="GR42" s="579" t="str">
        <f t="shared" si="149"/>
        <v/>
      </c>
      <c r="GS42" s="579" t="str">
        <f t="shared" si="150"/>
        <v/>
      </c>
      <c r="GT42" s="568" t="str">
        <f t="shared" si="151"/>
        <v/>
      </c>
      <c r="GU42" s="568" t="str">
        <f t="shared" si="152"/>
        <v/>
      </c>
      <c r="GV42" s="568" t="str">
        <f t="shared" si="153"/>
        <v/>
      </c>
      <c r="GW42" s="568" t="str">
        <f t="shared" si="154"/>
        <v/>
      </c>
      <c r="GX42" s="568" t="str">
        <f t="shared" si="155"/>
        <v/>
      </c>
      <c r="GY42" s="568" t="str">
        <f t="shared" si="156"/>
        <v/>
      </c>
      <c r="GZ42" s="568" t="str">
        <f t="shared" si="157"/>
        <v/>
      </c>
      <c r="HA42" s="568" t="str">
        <f t="shared" si="158"/>
        <v/>
      </c>
      <c r="HB42" s="568" t="str">
        <f t="shared" si="159"/>
        <v/>
      </c>
      <c r="HC42" s="568" t="str">
        <f t="shared" si="160"/>
        <v/>
      </c>
      <c r="HD42" s="568" t="str">
        <f t="shared" si="161"/>
        <v/>
      </c>
      <c r="HE42" s="568" t="str">
        <f t="shared" si="162"/>
        <v/>
      </c>
      <c r="HF42" s="568" t="str">
        <f t="shared" si="163"/>
        <v/>
      </c>
      <c r="HG42" s="568" t="str">
        <f t="shared" si="164"/>
        <v/>
      </c>
      <c r="HH42" s="568" t="str">
        <f t="shared" si="165"/>
        <v/>
      </c>
      <c r="HI42" s="568" t="str">
        <f t="shared" si="166"/>
        <v/>
      </c>
      <c r="HJ42" s="568" t="str">
        <f t="shared" si="167"/>
        <v/>
      </c>
      <c r="HK42" s="568" t="str">
        <f t="shared" si="168"/>
        <v/>
      </c>
      <c r="HL42" s="568" t="str">
        <f t="shared" si="169"/>
        <v/>
      </c>
      <c r="HM42" s="568" t="str">
        <f t="shared" si="170"/>
        <v/>
      </c>
    </row>
    <row r="43" spans="1:221" ht="13.15" customHeight="1">
      <c r="A43" s="126" t="str">
        <f t="shared" si="171"/>
        <v/>
      </c>
      <c r="B43" s="1748" t="s">
        <v>1895</v>
      </c>
      <c r="C43" s="1749"/>
      <c r="D43" s="1750"/>
      <c r="E43" s="1751"/>
      <c r="F43" s="1751"/>
      <c r="G43" s="1751"/>
      <c r="H43" s="1751"/>
      <c r="I43" s="1751"/>
      <c r="J43" s="1752"/>
      <c r="K43" s="199">
        <f t="shared" si="205"/>
        <v>0</v>
      </c>
      <c r="L43" s="199">
        <f t="shared" si="0"/>
        <v>0</v>
      </c>
      <c r="M43" s="1753"/>
      <c r="N43" s="1753"/>
      <c r="O43" s="1753"/>
      <c r="P43" s="519" t="str">
        <f t="shared" si="203"/>
        <v/>
      </c>
      <c r="Q43" s="520" t="str">
        <f>IF(H43="","",P43/($P$6*VLOOKUP(C43,'DCA Underwriting Assumptions'!$J$82:$K$87,2,FALSE)))</f>
        <v/>
      </c>
      <c r="R43" s="605"/>
      <c r="S43" s="520"/>
      <c r="T43" s="1754"/>
      <c r="U43" s="1755"/>
      <c r="V43" s="568" t="str">
        <f t="shared" si="1"/>
        <v/>
      </c>
      <c r="W43" s="568" t="str">
        <f t="shared" si="2"/>
        <v/>
      </c>
      <c r="X43" s="568" t="str">
        <f t="shared" si="3"/>
        <v/>
      </c>
      <c r="Y43" s="568" t="str">
        <f t="shared" si="4"/>
        <v/>
      </c>
      <c r="Z43" s="568" t="str">
        <f t="shared" si="5"/>
        <v/>
      </c>
      <c r="AA43" s="568" t="str">
        <f t="shared" si="6"/>
        <v/>
      </c>
      <c r="AB43" s="568" t="str">
        <f t="shared" si="7"/>
        <v/>
      </c>
      <c r="AC43" s="568" t="str">
        <f t="shared" si="8"/>
        <v/>
      </c>
      <c r="AD43" s="568" t="str">
        <f t="shared" si="9"/>
        <v/>
      </c>
      <c r="AE43" s="568" t="str">
        <f t="shared" si="10"/>
        <v/>
      </c>
      <c r="AF43" s="568" t="str">
        <f t="shared" si="11"/>
        <v/>
      </c>
      <c r="AG43" s="568" t="str">
        <f t="shared" si="12"/>
        <v/>
      </c>
      <c r="AH43" s="568" t="str">
        <f t="shared" si="13"/>
        <v/>
      </c>
      <c r="AI43" s="568" t="str">
        <f t="shared" si="14"/>
        <v/>
      </c>
      <c r="AJ43" s="568" t="str">
        <f t="shared" si="15"/>
        <v/>
      </c>
      <c r="AK43" s="568" t="str">
        <f t="shared" si="16"/>
        <v/>
      </c>
      <c r="AL43" s="568" t="str">
        <f t="shared" si="17"/>
        <v/>
      </c>
      <c r="AM43" s="568" t="str">
        <f t="shared" si="18"/>
        <v/>
      </c>
      <c r="AN43" s="568" t="str">
        <f t="shared" si="19"/>
        <v/>
      </c>
      <c r="AO43" s="568" t="str">
        <f t="shared" si="20"/>
        <v/>
      </c>
      <c r="AP43" s="568" t="str">
        <f t="shared" si="173"/>
        <v/>
      </c>
      <c r="AQ43" s="568" t="str">
        <f t="shared" si="174"/>
        <v/>
      </c>
      <c r="AR43" s="568" t="str">
        <f t="shared" si="175"/>
        <v/>
      </c>
      <c r="AS43" s="568" t="str">
        <f t="shared" si="176"/>
        <v/>
      </c>
      <c r="AT43" s="568" t="str">
        <f t="shared" si="177"/>
        <v/>
      </c>
      <c r="AU43" s="568" t="str">
        <f t="shared" si="178"/>
        <v/>
      </c>
      <c r="AV43" s="568" t="str">
        <f t="shared" si="179"/>
        <v/>
      </c>
      <c r="AW43" s="568" t="str">
        <f t="shared" si="180"/>
        <v/>
      </c>
      <c r="AX43" s="568" t="str">
        <f t="shared" si="181"/>
        <v/>
      </c>
      <c r="AY43" s="568" t="str">
        <f t="shared" si="182"/>
        <v/>
      </c>
      <c r="AZ43" s="568" t="str">
        <f t="shared" si="183"/>
        <v/>
      </c>
      <c r="BA43" s="568" t="str">
        <f t="shared" si="184"/>
        <v/>
      </c>
      <c r="BB43" s="568" t="str">
        <f t="shared" si="185"/>
        <v/>
      </c>
      <c r="BC43" s="568" t="str">
        <f t="shared" si="186"/>
        <v/>
      </c>
      <c r="BD43" s="568" t="str">
        <f t="shared" si="187"/>
        <v/>
      </c>
      <c r="BE43" s="568" t="str">
        <f t="shared" si="188"/>
        <v/>
      </c>
      <c r="BF43" s="568" t="str">
        <f t="shared" si="189"/>
        <v/>
      </c>
      <c r="BG43" s="568" t="str">
        <f t="shared" si="190"/>
        <v/>
      </c>
      <c r="BH43" s="568" t="str">
        <f t="shared" si="191"/>
        <v/>
      </c>
      <c r="BI43" s="568" t="str">
        <f t="shared" si="192"/>
        <v/>
      </c>
      <c r="BJ43" s="568" t="str">
        <f t="shared" si="193"/>
        <v/>
      </c>
      <c r="BK43" s="568" t="str">
        <f t="shared" si="194"/>
        <v/>
      </c>
      <c r="BL43" s="568" t="str">
        <f t="shared" si="195"/>
        <v/>
      </c>
      <c r="BM43" s="568" t="str">
        <f t="shared" si="196"/>
        <v/>
      </c>
      <c r="BN43" s="568" t="str">
        <f t="shared" si="197"/>
        <v/>
      </c>
      <c r="BO43" s="568" t="str">
        <f t="shared" si="198"/>
        <v/>
      </c>
      <c r="BP43" s="568" t="str">
        <f t="shared" si="199"/>
        <v/>
      </c>
      <c r="BQ43" s="568" t="str">
        <f t="shared" si="200"/>
        <v/>
      </c>
      <c r="BR43" s="568" t="str">
        <f t="shared" si="201"/>
        <v/>
      </c>
      <c r="BS43" s="568" t="str">
        <f t="shared" si="202"/>
        <v/>
      </c>
      <c r="BT43" s="568" t="str">
        <f t="shared" si="21"/>
        <v/>
      </c>
      <c r="BU43" s="568" t="str">
        <f t="shared" si="22"/>
        <v/>
      </c>
      <c r="BV43" s="568" t="str">
        <f t="shared" si="23"/>
        <v/>
      </c>
      <c r="BW43" s="568" t="str">
        <f t="shared" si="24"/>
        <v/>
      </c>
      <c r="BX43" s="568" t="str">
        <f t="shared" si="25"/>
        <v/>
      </c>
      <c r="BY43" s="568" t="str">
        <f t="shared" si="26"/>
        <v/>
      </c>
      <c r="BZ43" s="568" t="str">
        <f t="shared" si="27"/>
        <v/>
      </c>
      <c r="CA43" s="568" t="str">
        <f t="shared" si="28"/>
        <v/>
      </c>
      <c r="CB43" s="568" t="str">
        <f t="shared" si="29"/>
        <v/>
      </c>
      <c r="CC43" s="568" t="str">
        <f t="shared" si="30"/>
        <v/>
      </c>
      <c r="CD43" s="568" t="str">
        <f t="shared" si="31"/>
        <v/>
      </c>
      <c r="CE43" s="568" t="str">
        <f t="shared" si="32"/>
        <v/>
      </c>
      <c r="CF43" s="568" t="str">
        <f t="shared" si="33"/>
        <v/>
      </c>
      <c r="CG43" s="568" t="str">
        <f t="shared" si="34"/>
        <v/>
      </c>
      <c r="CH43" s="568" t="str">
        <f t="shared" si="35"/>
        <v/>
      </c>
      <c r="CI43" s="568" t="str">
        <f t="shared" si="36"/>
        <v/>
      </c>
      <c r="CJ43" s="568" t="str">
        <f t="shared" si="37"/>
        <v/>
      </c>
      <c r="CK43" s="568" t="str">
        <f t="shared" si="38"/>
        <v/>
      </c>
      <c r="CL43" s="568" t="str">
        <f t="shared" si="39"/>
        <v/>
      </c>
      <c r="CM43" s="568" t="str">
        <f t="shared" si="40"/>
        <v/>
      </c>
      <c r="CN43" s="568" t="str">
        <f t="shared" si="41"/>
        <v/>
      </c>
      <c r="CO43" s="568" t="str">
        <f t="shared" si="42"/>
        <v/>
      </c>
      <c r="CP43" s="568" t="str">
        <f t="shared" si="43"/>
        <v/>
      </c>
      <c r="CQ43" s="568" t="str">
        <f t="shared" si="44"/>
        <v/>
      </c>
      <c r="CR43" s="568" t="str">
        <f t="shared" si="45"/>
        <v/>
      </c>
      <c r="CS43" s="568" t="str">
        <f t="shared" si="46"/>
        <v/>
      </c>
      <c r="CT43" s="568" t="str">
        <f t="shared" si="47"/>
        <v/>
      </c>
      <c r="CU43" s="568" t="str">
        <f t="shared" si="48"/>
        <v/>
      </c>
      <c r="CV43" s="568" t="str">
        <f t="shared" si="49"/>
        <v/>
      </c>
      <c r="CW43" s="568" t="str">
        <f t="shared" si="50"/>
        <v/>
      </c>
      <c r="CX43" s="568" t="str">
        <f t="shared" si="51"/>
        <v/>
      </c>
      <c r="CY43" s="568" t="str">
        <f t="shared" si="52"/>
        <v/>
      </c>
      <c r="CZ43" s="568" t="str">
        <f t="shared" si="53"/>
        <v/>
      </c>
      <c r="DA43" s="568" t="str">
        <f t="shared" si="54"/>
        <v/>
      </c>
      <c r="DB43" s="568" t="str">
        <f t="shared" si="55"/>
        <v/>
      </c>
      <c r="DC43" s="568" t="str">
        <f t="shared" si="56"/>
        <v/>
      </c>
      <c r="DD43" s="568" t="str">
        <f t="shared" si="57"/>
        <v/>
      </c>
      <c r="DE43" s="568" t="str">
        <f t="shared" si="58"/>
        <v/>
      </c>
      <c r="DF43" s="568" t="str">
        <f t="shared" si="59"/>
        <v/>
      </c>
      <c r="DG43" s="568" t="str">
        <f t="shared" si="60"/>
        <v/>
      </c>
      <c r="DH43" s="568" t="str">
        <f t="shared" si="61"/>
        <v/>
      </c>
      <c r="DI43" s="568" t="str">
        <f t="shared" si="62"/>
        <v/>
      </c>
      <c r="DJ43" s="568" t="str">
        <f t="shared" si="63"/>
        <v/>
      </c>
      <c r="DK43" s="568" t="str">
        <f t="shared" si="64"/>
        <v/>
      </c>
      <c r="DL43" s="568" t="str">
        <f t="shared" si="65"/>
        <v/>
      </c>
      <c r="DM43" s="568" t="str">
        <f t="shared" si="66"/>
        <v/>
      </c>
      <c r="DN43" s="568" t="str">
        <f t="shared" si="67"/>
        <v/>
      </c>
      <c r="DO43" s="568" t="str">
        <f t="shared" si="68"/>
        <v/>
      </c>
      <c r="DP43" s="568" t="str">
        <f t="shared" si="69"/>
        <v/>
      </c>
      <c r="DQ43" s="568" t="str">
        <f t="shared" si="70"/>
        <v/>
      </c>
      <c r="DR43" s="568" t="str">
        <f t="shared" si="71"/>
        <v/>
      </c>
      <c r="DS43" s="568" t="str">
        <f t="shared" si="72"/>
        <v/>
      </c>
      <c r="DT43" s="568" t="str">
        <f t="shared" si="73"/>
        <v/>
      </c>
      <c r="DU43" s="568" t="str">
        <f t="shared" si="74"/>
        <v/>
      </c>
      <c r="DV43" s="568" t="str">
        <f t="shared" si="75"/>
        <v/>
      </c>
      <c r="DW43" s="568" t="str">
        <f t="shared" si="76"/>
        <v/>
      </c>
      <c r="DX43" s="568" t="str">
        <f t="shared" si="77"/>
        <v/>
      </c>
      <c r="DY43" s="568" t="str">
        <f t="shared" si="78"/>
        <v/>
      </c>
      <c r="DZ43" s="568" t="str">
        <f t="shared" si="79"/>
        <v/>
      </c>
      <c r="EA43" s="568" t="str">
        <f t="shared" si="80"/>
        <v/>
      </c>
      <c r="EB43" s="568" t="str">
        <f t="shared" si="81"/>
        <v/>
      </c>
      <c r="EC43" s="568" t="str">
        <f t="shared" si="82"/>
        <v/>
      </c>
      <c r="ED43" s="568" t="str">
        <f t="shared" si="83"/>
        <v/>
      </c>
      <c r="EE43" s="568" t="str">
        <f t="shared" si="84"/>
        <v/>
      </c>
      <c r="EF43" s="568" t="str">
        <f t="shared" si="85"/>
        <v/>
      </c>
      <c r="EG43" s="568" t="str">
        <f t="shared" si="86"/>
        <v/>
      </c>
      <c r="EH43" s="568" t="str">
        <f t="shared" si="87"/>
        <v/>
      </c>
      <c r="EI43" s="568" t="str">
        <f t="shared" si="88"/>
        <v/>
      </c>
      <c r="EJ43" s="568" t="str">
        <f t="shared" si="89"/>
        <v/>
      </c>
      <c r="EK43" s="568" t="str">
        <f t="shared" si="90"/>
        <v/>
      </c>
      <c r="EL43" s="568" t="str">
        <f t="shared" si="91"/>
        <v/>
      </c>
      <c r="EM43" s="568" t="str">
        <f t="shared" si="92"/>
        <v/>
      </c>
      <c r="EN43" s="568" t="str">
        <f t="shared" si="93"/>
        <v/>
      </c>
      <c r="EO43" s="568" t="str">
        <f t="shared" si="94"/>
        <v/>
      </c>
      <c r="EP43" s="568" t="str">
        <f t="shared" si="95"/>
        <v/>
      </c>
      <c r="EQ43" s="568" t="str">
        <f t="shared" si="96"/>
        <v/>
      </c>
      <c r="ER43" s="568" t="str">
        <f t="shared" si="97"/>
        <v/>
      </c>
      <c r="ES43" s="568" t="str">
        <f t="shared" si="98"/>
        <v/>
      </c>
      <c r="ET43" s="568" t="str">
        <f t="shared" si="99"/>
        <v/>
      </c>
      <c r="EU43" s="568" t="str">
        <f t="shared" si="100"/>
        <v/>
      </c>
      <c r="EV43" s="578" t="str">
        <f t="shared" si="101"/>
        <v/>
      </c>
      <c r="EW43" s="578" t="str">
        <f t="shared" si="102"/>
        <v/>
      </c>
      <c r="EX43" s="578" t="str">
        <f t="shared" si="103"/>
        <v/>
      </c>
      <c r="EY43" s="578" t="str">
        <f t="shared" si="104"/>
        <v/>
      </c>
      <c r="EZ43" s="578" t="str">
        <f t="shared" si="105"/>
        <v/>
      </c>
      <c r="FA43" s="578" t="str">
        <f t="shared" si="106"/>
        <v/>
      </c>
      <c r="FB43" s="578" t="str">
        <f t="shared" si="107"/>
        <v/>
      </c>
      <c r="FC43" s="578" t="str">
        <f t="shared" si="108"/>
        <v/>
      </c>
      <c r="FD43" s="578" t="str">
        <f t="shared" si="109"/>
        <v/>
      </c>
      <c r="FE43" s="578" t="str">
        <f t="shared" si="110"/>
        <v/>
      </c>
      <c r="FF43" s="578" t="str">
        <f t="shared" si="111"/>
        <v/>
      </c>
      <c r="FG43" s="578" t="str">
        <f t="shared" si="112"/>
        <v/>
      </c>
      <c r="FH43" s="578" t="str">
        <f t="shared" si="113"/>
        <v/>
      </c>
      <c r="FI43" s="578" t="str">
        <f t="shared" si="114"/>
        <v/>
      </c>
      <c r="FJ43" s="578" t="str">
        <f t="shared" si="115"/>
        <v/>
      </c>
      <c r="FK43" s="578" t="str">
        <f t="shared" si="116"/>
        <v/>
      </c>
      <c r="FL43" s="578" t="str">
        <f t="shared" si="117"/>
        <v/>
      </c>
      <c r="FM43" s="578" t="str">
        <f t="shared" si="118"/>
        <v/>
      </c>
      <c r="FN43" s="578" t="str">
        <f t="shared" si="119"/>
        <v/>
      </c>
      <c r="FO43" s="578" t="str">
        <f t="shared" si="120"/>
        <v/>
      </c>
      <c r="FP43" s="578" t="str">
        <f t="shared" si="121"/>
        <v/>
      </c>
      <c r="FQ43" s="578" t="str">
        <f t="shared" si="122"/>
        <v/>
      </c>
      <c r="FR43" s="578" t="str">
        <f t="shared" si="123"/>
        <v/>
      </c>
      <c r="FS43" s="578" t="str">
        <f t="shared" si="124"/>
        <v/>
      </c>
      <c r="FT43" s="578" t="str">
        <f t="shared" si="125"/>
        <v/>
      </c>
      <c r="FU43" s="578" t="str">
        <f t="shared" si="126"/>
        <v/>
      </c>
      <c r="FV43" s="578" t="str">
        <f t="shared" si="127"/>
        <v/>
      </c>
      <c r="FW43" s="578" t="str">
        <f t="shared" si="128"/>
        <v/>
      </c>
      <c r="FX43" s="578" t="str">
        <f t="shared" si="129"/>
        <v/>
      </c>
      <c r="FY43" s="578" t="str">
        <f t="shared" si="130"/>
        <v/>
      </c>
      <c r="FZ43" s="578" t="str">
        <f t="shared" si="131"/>
        <v/>
      </c>
      <c r="GA43" s="578" t="str">
        <f t="shared" si="132"/>
        <v/>
      </c>
      <c r="GB43" s="578" t="str">
        <f t="shared" si="133"/>
        <v/>
      </c>
      <c r="GC43" s="578" t="str">
        <f t="shared" si="134"/>
        <v/>
      </c>
      <c r="GD43" s="578" t="str">
        <f t="shared" si="135"/>
        <v/>
      </c>
      <c r="GE43" s="578" t="str">
        <f t="shared" si="136"/>
        <v/>
      </c>
      <c r="GF43" s="578" t="str">
        <f t="shared" si="137"/>
        <v/>
      </c>
      <c r="GG43" s="578" t="str">
        <f t="shared" si="138"/>
        <v/>
      </c>
      <c r="GH43" s="578" t="str">
        <f t="shared" si="139"/>
        <v/>
      </c>
      <c r="GI43" s="578" t="str">
        <f t="shared" si="140"/>
        <v/>
      </c>
      <c r="GJ43" s="578" t="str">
        <f t="shared" si="141"/>
        <v/>
      </c>
      <c r="GK43" s="578" t="str">
        <f t="shared" si="142"/>
        <v/>
      </c>
      <c r="GL43" s="578" t="str">
        <f t="shared" si="143"/>
        <v/>
      </c>
      <c r="GM43" s="578" t="str">
        <f t="shared" si="144"/>
        <v/>
      </c>
      <c r="GN43" s="578" t="str">
        <f t="shared" si="145"/>
        <v/>
      </c>
      <c r="GO43" s="579" t="str">
        <f t="shared" si="146"/>
        <v/>
      </c>
      <c r="GP43" s="579" t="str">
        <f t="shared" si="147"/>
        <v/>
      </c>
      <c r="GQ43" s="579" t="str">
        <f t="shared" si="148"/>
        <v/>
      </c>
      <c r="GR43" s="579" t="str">
        <f t="shared" si="149"/>
        <v/>
      </c>
      <c r="GS43" s="579" t="str">
        <f t="shared" si="150"/>
        <v/>
      </c>
      <c r="GT43" s="568" t="str">
        <f t="shared" si="151"/>
        <v/>
      </c>
      <c r="GU43" s="568" t="str">
        <f t="shared" si="152"/>
        <v/>
      </c>
      <c r="GV43" s="568" t="str">
        <f t="shared" si="153"/>
        <v/>
      </c>
      <c r="GW43" s="568" t="str">
        <f t="shared" si="154"/>
        <v/>
      </c>
      <c r="GX43" s="568" t="str">
        <f t="shared" si="155"/>
        <v/>
      </c>
      <c r="GY43" s="568" t="str">
        <f t="shared" si="156"/>
        <v/>
      </c>
      <c r="GZ43" s="568" t="str">
        <f t="shared" si="157"/>
        <v/>
      </c>
      <c r="HA43" s="568" t="str">
        <f t="shared" si="158"/>
        <v/>
      </c>
      <c r="HB43" s="568" t="str">
        <f t="shared" si="159"/>
        <v/>
      </c>
      <c r="HC43" s="568" t="str">
        <f t="shared" si="160"/>
        <v/>
      </c>
      <c r="HD43" s="568" t="str">
        <f t="shared" si="161"/>
        <v/>
      </c>
      <c r="HE43" s="568" t="str">
        <f t="shared" si="162"/>
        <v/>
      </c>
      <c r="HF43" s="568" t="str">
        <f t="shared" si="163"/>
        <v/>
      </c>
      <c r="HG43" s="568" t="str">
        <f t="shared" si="164"/>
        <v/>
      </c>
      <c r="HH43" s="568" t="str">
        <f t="shared" si="165"/>
        <v/>
      </c>
      <c r="HI43" s="568" t="str">
        <f t="shared" si="166"/>
        <v/>
      </c>
      <c r="HJ43" s="568" t="str">
        <f t="shared" si="167"/>
        <v/>
      </c>
      <c r="HK43" s="568" t="str">
        <f t="shared" si="168"/>
        <v/>
      </c>
      <c r="HL43" s="568" t="str">
        <f t="shared" si="169"/>
        <v/>
      </c>
      <c r="HM43" s="568" t="str">
        <f t="shared" si="170"/>
        <v/>
      </c>
    </row>
    <row r="44" spans="1:221" ht="13.15" customHeight="1">
      <c r="A44" s="126" t="str">
        <f t="shared" si="171"/>
        <v/>
      </c>
      <c r="B44" s="1748" t="s">
        <v>1895</v>
      </c>
      <c r="C44" s="1749"/>
      <c r="D44" s="1750"/>
      <c r="E44" s="1751"/>
      <c r="F44" s="1751"/>
      <c r="G44" s="1751"/>
      <c r="H44" s="1751"/>
      <c r="I44" s="1751"/>
      <c r="J44" s="1752"/>
      <c r="K44" s="199">
        <f t="shared" si="205"/>
        <v>0</v>
      </c>
      <c r="L44" s="199">
        <f t="shared" si="0"/>
        <v>0</v>
      </c>
      <c r="M44" s="1753"/>
      <c r="N44" s="1753"/>
      <c r="O44" s="1753"/>
      <c r="P44" s="519" t="str">
        <f t="shared" si="203"/>
        <v/>
      </c>
      <c r="Q44" s="520" t="str">
        <f>IF(H44="","",P44/($P$6*VLOOKUP(C44,'DCA Underwriting Assumptions'!$J$82:$K$87,2,FALSE)))</f>
        <v/>
      </c>
      <c r="R44" s="605"/>
      <c r="S44" s="520"/>
      <c r="T44" s="1754"/>
      <c r="U44" s="1755"/>
      <c r="V44" s="568" t="str">
        <f t="shared" si="1"/>
        <v/>
      </c>
      <c r="W44" s="568" t="str">
        <f t="shared" si="2"/>
        <v/>
      </c>
      <c r="X44" s="568" t="str">
        <f t="shared" si="3"/>
        <v/>
      </c>
      <c r="Y44" s="568" t="str">
        <f t="shared" si="4"/>
        <v/>
      </c>
      <c r="Z44" s="568" t="str">
        <f t="shared" si="5"/>
        <v/>
      </c>
      <c r="AA44" s="568" t="str">
        <f t="shared" si="6"/>
        <v/>
      </c>
      <c r="AB44" s="568" t="str">
        <f t="shared" si="7"/>
        <v/>
      </c>
      <c r="AC44" s="568" t="str">
        <f t="shared" si="8"/>
        <v/>
      </c>
      <c r="AD44" s="568" t="str">
        <f t="shared" si="9"/>
        <v/>
      </c>
      <c r="AE44" s="568" t="str">
        <f t="shared" si="10"/>
        <v/>
      </c>
      <c r="AF44" s="568" t="str">
        <f t="shared" si="11"/>
        <v/>
      </c>
      <c r="AG44" s="568" t="str">
        <f t="shared" si="12"/>
        <v/>
      </c>
      <c r="AH44" s="568" t="str">
        <f t="shared" si="13"/>
        <v/>
      </c>
      <c r="AI44" s="568" t="str">
        <f t="shared" si="14"/>
        <v/>
      </c>
      <c r="AJ44" s="568" t="str">
        <f t="shared" si="15"/>
        <v/>
      </c>
      <c r="AK44" s="568" t="str">
        <f t="shared" si="16"/>
        <v/>
      </c>
      <c r="AL44" s="568" t="str">
        <f t="shared" si="17"/>
        <v/>
      </c>
      <c r="AM44" s="568" t="str">
        <f t="shared" si="18"/>
        <v/>
      </c>
      <c r="AN44" s="568" t="str">
        <f t="shared" si="19"/>
        <v/>
      </c>
      <c r="AO44" s="568" t="str">
        <f t="shared" si="20"/>
        <v/>
      </c>
      <c r="AP44" s="568" t="str">
        <f t="shared" si="173"/>
        <v/>
      </c>
      <c r="AQ44" s="568" t="str">
        <f t="shared" si="174"/>
        <v/>
      </c>
      <c r="AR44" s="568" t="str">
        <f t="shared" si="175"/>
        <v/>
      </c>
      <c r="AS44" s="568" t="str">
        <f t="shared" si="176"/>
        <v/>
      </c>
      <c r="AT44" s="568" t="str">
        <f t="shared" si="177"/>
        <v/>
      </c>
      <c r="AU44" s="568" t="str">
        <f t="shared" si="178"/>
        <v/>
      </c>
      <c r="AV44" s="568" t="str">
        <f t="shared" si="179"/>
        <v/>
      </c>
      <c r="AW44" s="568" t="str">
        <f t="shared" si="180"/>
        <v/>
      </c>
      <c r="AX44" s="568" t="str">
        <f t="shared" si="181"/>
        <v/>
      </c>
      <c r="AY44" s="568" t="str">
        <f t="shared" si="182"/>
        <v/>
      </c>
      <c r="AZ44" s="568" t="str">
        <f t="shared" si="183"/>
        <v/>
      </c>
      <c r="BA44" s="568" t="str">
        <f t="shared" si="184"/>
        <v/>
      </c>
      <c r="BB44" s="568" t="str">
        <f t="shared" si="185"/>
        <v/>
      </c>
      <c r="BC44" s="568" t="str">
        <f t="shared" si="186"/>
        <v/>
      </c>
      <c r="BD44" s="568" t="str">
        <f t="shared" si="187"/>
        <v/>
      </c>
      <c r="BE44" s="568" t="str">
        <f t="shared" si="188"/>
        <v/>
      </c>
      <c r="BF44" s="568" t="str">
        <f t="shared" si="189"/>
        <v/>
      </c>
      <c r="BG44" s="568" t="str">
        <f t="shared" si="190"/>
        <v/>
      </c>
      <c r="BH44" s="568" t="str">
        <f t="shared" si="191"/>
        <v/>
      </c>
      <c r="BI44" s="568" t="str">
        <f t="shared" si="192"/>
        <v/>
      </c>
      <c r="BJ44" s="568" t="str">
        <f t="shared" si="193"/>
        <v/>
      </c>
      <c r="BK44" s="568" t="str">
        <f t="shared" si="194"/>
        <v/>
      </c>
      <c r="BL44" s="568" t="str">
        <f t="shared" si="195"/>
        <v/>
      </c>
      <c r="BM44" s="568" t="str">
        <f t="shared" si="196"/>
        <v/>
      </c>
      <c r="BN44" s="568" t="str">
        <f t="shared" si="197"/>
        <v/>
      </c>
      <c r="BO44" s="568" t="str">
        <f t="shared" si="198"/>
        <v/>
      </c>
      <c r="BP44" s="568" t="str">
        <f t="shared" si="199"/>
        <v/>
      </c>
      <c r="BQ44" s="568" t="str">
        <f t="shared" si="200"/>
        <v/>
      </c>
      <c r="BR44" s="568" t="str">
        <f t="shared" si="201"/>
        <v/>
      </c>
      <c r="BS44" s="568" t="str">
        <f t="shared" si="202"/>
        <v/>
      </c>
      <c r="BT44" s="568" t="str">
        <f t="shared" si="21"/>
        <v/>
      </c>
      <c r="BU44" s="568" t="str">
        <f t="shared" si="22"/>
        <v/>
      </c>
      <c r="BV44" s="568" t="str">
        <f t="shared" si="23"/>
        <v/>
      </c>
      <c r="BW44" s="568" t="str">
        <f t="shared" si="24"/>
        <v/>
      </c>
      <c r="BX44" s="568" t="str">
        <f t="shared" si="25"/>
        <v/>
      </c>
      <c r="BY44" s="568" t="str">
        <f t="shared" si="26"/>
        <v/>
      </c>
      <c r="BZ44" s="568" t="str">
        <f t="shared" si="27"/>
        <v/>
      </c>
      <c r="CA44" s="568" t="str">
        <f t="shared" si="28"/>
        <v/>
      </c>
      <c r="CB44" s="568" t="str">
        <f t="shared" si="29"/>
        <v/>
      </c>
      <c r="CC44" s="568" t="str">
        <f t="shared" si="30"/>
        <v/>
      </c>
      <c r="CD44" s="568" t="str">
        <f t="shared" si="31"/>
        <v/>
      </c>
      <c r="CE44" s="568" t="str">
        <f t="shared" si="32"/>
        <v/>
      </c>
      <c r="CF44" s="568" t="str">
        <f t="shared" si="33"/>
        <v/>
      </c>
      <c r="CG44" s="568" t="str">
        <f t="shared" si="34"/>
        <v/>
      </c>
      <c r="CH44" s="568" t="str">
        <f t="shared" si="35"/>
        <v/>
      </c>
      <c r="CI44" s="568" t="str">
        <f t="shared" si="36"/>
        <v/>
      </c>
      <c r="CJ44" s="568" t="str">
        <f t="shared" si="37"/>
        <v/>
      </c>
      <c r="CK44" s="568" t="str">
        <f t="shared" si="38"/>
        <v/>
      </c>
      <c r="CL44" s="568" t="str">
        <f t="shared" si="39"/>
        <v/>
      </c>
      <c r="CM44" s="568" t="str">
        <f t="shared" si="40"/>
        <v/>
      </c>
      <c r="CN44" s="568" t="str">
        <f t="shared" si="41"/>
        <v/>
      </c>
      <c r="CO44" s="568" t="str">
        <f t="shared" si="42"/>
        <v/>
      </c>
      <c r="CP44" s="568" t="str">
        <f t="shared" si="43"/>
        <v/>
      </c>
      <c r="CQ44" s="568" t="str">
        <f t="shared" si="44"/>
        <v/>
      </c>
      <c r="CR44" s="568" t="str">
        <f t="shared" si="45"/>
        <v/>
      </c>
      <c r="CS44" s="568" t="str">
        <f t="shared" si="46"/>
        <v/>
      </c>
      <c r="CT44" s="568" t="str">
        <f t="shared" si="47"/>
        <v/>
      </c>
      <c r="CU44" s="568" t="str">
        <f t="shared" si="48"/>
        <v/>
      </c>
      <c r="CV44" s="568" t="str">
        <f t="shared" si="49"/>
        <v/>
      </c>
      <c r="CW44" s="568" t="str">
        <f t="shared" si="50"/>
        <v/>
      </c>
      <c r="CX44" s="568" t="str">
        <f t="shared" si="51"/>
        <v/>
      </c>
      <c r="CY44" s="568" t="str">
        <f t="shared" si="52"/>
        <v/>
      </c>
      <c r="CZ44" s="568" t="str">
        <f t="shared" si="53"/>
        <v/>
      </c>
      <c r="DA44" s="568" t="str">
        <f t="shared" si="54"/>
        <v/>
      </c>
      <c r="DB44" s="568" t="str">
        <f t="shared" si="55"/>
        <v/>
      </c>
      <c r="DC44" s="568" t="str">
        <f t="shared" si="56"/>
        <v/>
      </c>
      <c r="DD44" s="568" t="str">
        <f t="shared" si="57"/>
        <v/>
      </c>
      <c r="DE44" s="568" t="str">
        <f t="shared" si="58"/>
        <v/>
      </c>
      <c r="DF44" s="568" t="str">
        <f t="shared" si="59"/>
        <v/>
      </c>
      <c r="DG44" s="568" t="str">
        <f t="shared" si="60"/>
        <v/>
      </c>
      <c r="DH44" s="568" t="str">
        <f t="shared" si="61"/>
        <v/>
      </c>
      <c r="DI44" s="568" t="str">
        <f t="shared" si="62"/>
        <v/>
      </c>
      <c r="DJ44" s="568" t="str">
        <f t="shared" si="63"/>
        <v/>
      </c>
      <c r="DK44" s="568" t="str">
        <f t="shared" si="64"/>
        <v/>
      </c>
      <c r="DL44" s="568" t="str">
        <f t="shared" si="65"/>
        <v/>
      </c>
      <c r="DM44" s="568" t="str">
        <f t="shared" si="66"/>
        <v/>
      </c>
      <c r="DN44" s="568" t="str">
        <f t="shared" si="67"/>
        <v/>
      </c>
      <c r="DO44" s="568" t="str">
        <f t="shared" si="68"/>
        <v/>
      </c>
      <c r="DP44" s="568" t="str">
        <f t="shared" si="69"/>
        <v/>
      </c>
      <c r="DQ44" s="568" t="str">
        <f t="shared" si="70"/>
        <v/>
      </c>
      <c r="DR44" s="568" t="str">
        <f t="shared" si="71"/>
        <v/>
      </c>
      <c r="DS44" s="568" t="str">
        <f t="shared" si="72"/>
        <v/>
      </c>
      <c r="DT44" s="568" t="str">
        <f t="shared" si="73"/>
        <v/>
      </c>
      <c r="DU44" s="568" t="str">
        <f t="shared" si="74"/>
        <v/>
      </c>
      <c r="DV44" s="568" t="str">
        <f t="shared" si="75"/>
        <v/>
      </c>
      <c r="DW44" s="568" t="str">
        <f t="shared" si="76"/>
        <v/>
      </c>
      <c r="DX44" s="568" t="str">
        <f t="shared" si="77"/>
        <v/>
      </c>
      <c r="DY44" s="568" t="str">
        <f t="shared" si="78"/>
        <v/>
      </c>
      <c r="DZ44" s="568" t="str">
        <f t="shared" si="79"/>
        <v/>
      </c>
      <c r="EA44" s="568" t="str">
        <f t="shared" si="80"/>
        <v/>
      </c>
      <c r="EB44" s="568" t="str">
        <f t="shared" si="81"/>
        <v/>
      </c>
      <c r="EC44" s="568" t="str">
        <f t="shared" si="82"/>
        <v/>
      </c>
      <c r="ED44" s="568" t="str">
        <f t="shared" si="83"/>
        <v/>
      </c>
      <c r="EE44" s="568" t="str">
        <f t="shared" si="84"/>
        <v/>
      </c>
      <c r="EF44" s="568" t="str">
        <f t="shared" si="85"/>
        <v/>
      </c>
      <c r="EG44" s="568" t="str">
        <f t="shared" si="86"/>
        <v/>
      </c>
      <c r="EH44" s="568" t="str">
        <f t="shared" si="87"/>
        <v/>
      </c>
      <c r="EI44" s="568" t="str">
        <f t="shared" si="88"/>
        <v/>
      </c>
      <c r="EJ44" s="568" t="str">
        <f t="shared" si="89"/>
        <v/>
      </c>
      <c r="EK44" s="568" t="str">
        <f t="shared" si="90"/>
        <v/>
      </c>
      <c r="EL44" s="568" t="str">
        <f t="shared" si="91"/>
        <v/>
      </c>
      <c r="EM44" s="568" t="str">
        <f t="shared" si="92"/>
        <v/>
      </c>
      <c r="EN44" s="568" t="str">
        <f t="shared" si="93"/>
        <v/>
      </c>
      <c r="EO44" s="568" t="str">
        <f t="shared" si="94"/>
        <v/>
      </c>
      <c r="EP44" s="568" t="str">
        <f t="shared" si="95"/>
        <v/>
      </c>
      <c r="EQ44" s="568" t="str">
        <f t="shared" si="96"/>
        <v/>
      </c>
      <c r="ER44" s="568" t="str">
        <f t="shared" si="97"/>
        <v/>
      </c>
      <c r="ES44" s="568" t="str">
        <f t="shared" si="98"/>
        <v/>
      </c>
      <c r="ET44" s="568" t="str">
        <f t="shared" si="99"/>
        <v/>
      </c>
      <c r="EU44" s="568" t="str">
        <f t="shared" si="100"/>
        <v/>
      </c>
      <c r="EV44" s="578" t="str">
        <f t="shared" si="101"/>
        <v/>
      </c>
      <c r="EW44" s="578" t="str">
        <f t="shared" si="102"/>
        <v/>
      </c>
      <c r="EX44" s="578" t="str">
        <f t="shared" si="103"/>
        <v/>
      </c>
      <c r="EY44" s="578" t="str">
        <f t="shared" si="104"/>
        <v/>
      </c>
      <c r="EZ44" s="578" t="str">
        <f t="shared" si="105"/>
        <v/>
      </c>
      <c r="FA44" s="578" t="str">
        <f t="shared" si="106"/>
        <v/>
      </c>
      <c r="FB44" s="578" t="str">
        <f t="shared" si="107"/>
        <v/>
      </c>
      <c r="FC44" s="578" t="str">
        <f t="shared" si="108"/>
        <v/>
      </c>
      <c r="FD44" s="578" t="str">
        <f t="shared" si="109"/>
        <v/>
      </c>
      <c r="FE44" s="578" t="str">
        <f t="shared" si="110"/>
        <v/>
      </c>
      <c r="FF44" s="578" t="str">
        <f t="shared" si="111"/>
        <v/>
      </c>
      <c r="FG44" s="578" t="str">
        <f t="shared" si="112"/>
        <v/>
      </c>
      <c r="FH44" s="578" t="str">
        <f t="shared" si="113"/>
        <v/>
      </c>
      <c r="FI44" s="578" t="str">
        <f t="shared" si="114"/>
        <v/>
      </c>
      <c r="FJ44" s="578" t="str">
        <f t="shared" si="115"/>
        <v/>
      </c>
      <c r="FK44" s="578" t="str">
        <f t="shared" si="116"/>
        <v/>
      </c>
      <c r="FL44" s="578" t="str">
        <f t="shared" si="117"/>
        <v/>
      </c>
      <c r="FM44" s="578" t="str">
        <f t="shared" si="118"/>
        <v/>
      </c>
      <c r="FN44" s="578" t="str">
        <f t="shared" si="119"/>
        <v/>
      </c>
      <c r="FO44" s="578" t="str">
        <f t="shared" si="120"/>
        <v/>
      </c>
      <c r="FP44" s="578" t="str">
        <f t="shared" si="121"/>
        <v/>
      </c>
      <c r="FQ44" s="578" t="str">
        <f t="shared" si="122"/>
        <v/>
      </c>
      <c r="FR44" s="578" t="str">
        <f t="shared" si="123"/>
        <v/>
      </c>
      <c r="FS44" s="578" t="str">
        <f t="shared" si="124"/>
        <v/>
      </c>
      <c r="FT44" s="578" t="str">
        <f t="shared" si="125"/>
        <v/>
      </c>
      <c r="FU44" s="578" t="str">
        <f t="shared" si="126"/>
        <v/>
      </c>
      <c r="FV44" s="578" t="str">
        <f t="shared" si="127"/>
        <v/>
      </c>
      <c r="FW44" s="578" t="str">
        <f t="shared" si="128"/>
        <v/>
      </c>
      <c r="FX44" s="578" t="str">
        <f t="shared" si="129"/>
        <v/>
      </c>
      <c r="FY44" s="578" t="str">
        <f t="shared" si="130"/>
        <v/>
      </c>
      <c r="FZ44" s="578" t="str">
        <f t="shared" si="131"/>
        <v/>
      </c>
      <c r="GA44" s="578" t="str">
        <f t="shared" si="132"/>
        <v/>
      </c>
      <c r="GB44" s="578" t="str">
        <f t="shared" si="133"/>
        <v/>
      </c>
      <c r="GC44" s="578" t="str">
        <f t="shared" si="134"/>
        <v/>
      </c>
      <c r="GD44" s="578" t="str">
        <f t="shared" si="135"/>
        <v/>
      </c>
      <c r="GE44" s="578" t="str">
        <f t="shared" si="136"/>
        <v/>
      </c>
      <c r="GF44" s="578" t="str">
        <f t="shared" si="137"/>
        <v/>
      </c>
      <c r="GG44" s="578" t="str">
        <f t="shared" si="138"/>
        <v/>
      </c>
      <c r="GH44" s="578" t="str">
        <f t="shared" si="139"/>
        <v/>
      </c>
      <c r="GI44" s="578" t="str">
        <f t="shared" si="140"/>
        <v/>
      </c>
      <c r="GJ44" s="578" t="str">
        <f t="shared" si="141"/>
        <v/>
      </c>
      <c r="GK44" s="578" t="str">
        <f t="shared" si="142"/>
        <v/>
      </c>
      <c r="GL44" s="578" t="str">
        <f t="shared" si="143"/>
        <v/>
      </c>
      <c r="GM44" s="578" t="str">
        <f t="shared" si="144"/>
        <v/>
      </c>
      <c r="GN44" s="578" t="str">
        <f t="shared" si="145"/>
        <v/>
      </c>
      <c r="GO44" s="579" t="str">
        <f t="shared" si="146"/>
        <v/>
      </c>
      <c r="GP44" s="579" t="str">
        <f t="shared" si="147"/>
        <v/>
      </c>
      <c r="GQ44" s="579" t="str">
        <f t="shared" si="148"/>
        <v/>
      </c>
      <c r="GR44" s="579" t="str">
        <f t="shared" si="149"/>
        <v/>
      </c>
      <c r="GS44" s="579" t="str">
        <f t="shared" si="150"/>
        <v/>
      </c>
      <c r="GT44" s="568" t="str">
        <f t="shared" si="151"/>
        <v/>
      </c>
      <c r="GU44" s="568" t="str">
        <f t="shared" si="152"/>
        <v/>
      </c>
      <c r="GV44" s="568" t="str">
        <f t="shared" si="153"/>
        <v/>
      </c>
      <c r="GW44" s="568" t="str">
        <f t="shared" si="154"/>
        <v/>
      </c>
      <c r="GX44" s="568" t="str">
        <f t="shared" si="155"/>
        <v/>
      </c>
      <c r="GY44" s="568" t="str">
        <f t="shared" si="156"/>
        <v/>
      </c>
      <c r="GZ44" s="568" t="str">
        <f t="shared" si="157"/>
        <v/>
      </c>
      <c r="HA44" s="568" t="str">
        <f t="shared" si="158"/>
        <v/>
      </c>
      <c r="HB44" s="568" t="str">
        <f t="shared" si="159"/>
        <v/>
      </c>
      <c r="HC44" s="568" t="str">
        <f t="shared" si="160"/>
        <v/>
      </c>
      <c r="HD44" s="568" t="str">
        <f t="shared" si="161"/>
        <v/>
      </c>
      <c r="HE44" s="568" t="str">
        <f t="shared" si="162"/>
        <v/>
      </c>
      <c r="HF44" s="568" t="str">
        <f t="shared" si="163"/>
        <v/>
      </c>
      <c r="HG44" s="568" t="str">
        <f t="shared" si="164"/>
        <v/>
      </c>
      <c r="HH44" s="568" t="str">
        <f t="shared" si="165"/>
        <v/>
      </c>
      <c r="HI44" s="568" t="str">
        <f t="shared" si="166"/>
        <v/>
      </c>
      <c r="HJ44" s="568" t="str">
        <f t="shared" si="167"/>
        <v/>
      </c>
      <c r="HK44" s="568" t="str">
        <f t="shared" si="168"/>
        <v/>
      </c>
      <c r="HL44" s="568" t="str">
        <f t="shared" si="169"/>
        <v/>
      </c>
      <c r="HM44" s="568" t="str">
        <f t="shared" si="170"/>
        <v/>
      </c>
    </row>
    <row r="45" spans="1:221" ht="13.15" customHeight="1">
      <c r="A45" s="126" t="str">
        <f t="shared" si="171"/>
        <v/>
      </c>
      <c r="B45" s="1748" t="s">
        <v>1895</v>
      </c>
      <c r="C45" s="1749"/>
      <c r="D45" s="1750"/>
      <c r="E45" s="1751"/>
      <c r="F45" s="1751"/>
      <c r="G45" s="1751"/>
      <c r="H45" s="1751"/>
      <c r="I45" s="1751"/>
      <c r="J45" s="1752"/>
      <c r="K45" s="199">
        <f t="shared" si="205"/>
        <v>0</v>
      </c>
      <c r="L45" s="199">
        <f t="shared" si="0"/>
        <v>0</v>
      </c>
      <c r="M45" s="1753"/>
      <c r="N45" s="1753"/>
      <c r="O45" s="1753"/>
      <c r="P45" s="519" t="str">
        <f t="shared" si="203"/>
        <v/>
      </c>
      <c r="Q45" s="520" t="str">
        <f>IF(H45="","",P45/($P$6*VLOOKUP(C45,'DCA Underwriting Assumptions'!$J$82:$K$87,2,FALSE)))</f>
        <v/>
      </c>
      <c r="R45" s="605"/>
      <c r="S45" s="520"/>
      <c r="T45" s="1754"/>
      <c r="U45" s="1755"/>
      <c r="V45" s="568" t="str">
        <f t="shared" si="1"/>
        <v/>
      </c>
      <c r="W45" s="568" t="str">
        <f t="shared" si="2"/>
        <v/>
      </c>
      <c r="X45" s="568" t="str">
        <f t="shared" si="3"/>
        <v/>
      </c>
      <c r="Y45" s="568" t="str">
        <f t="shared" si="4"/>
        <v/>
      </c>
      <c r="Z45" s="568" t="str">
        <f t="shared" si="5"/>
        <v/>
      </c>
      <c r="AA45" s="568" t="str">
        <f t="shared" si="6"/>
        <v/>
      </c>
      <c r="AB45" s="568" t="str">
        <f t="shared" si="7"/>
        <v/>
      </c>
      <c r="AC45" s="568" t="str">
        <f t="shared" si="8"/>
        <v/>
      </c>
      <c r="AD45" s="568" t="str">
        <f t="shared" si="9"/>
        <v/>
      </c>
      <c r="AE45" s="568" t="str">
        <f t="shared" si="10"/>
        <v/>
      </c>
      <c r="AF45" s="568" t="str">
        <f t="shared" si="11"/>
        <v/>
      </c>
      <c r="AG45" s="568" t="str">
        <f t="shared" si="12"/>
        <v/>
      </c>
      <c r="AH45" s="568" t="str">
        <f t="shared" si="13"/>
        <v/>
      </c>
      <c r="AI45" s="568" t="str">
        <f t="shared" si="14"/>
        <v/>
      </c>
      <c r="AJ45" s="568" t="str">
        <f t="shared" si="15"/>
        <v/>
      </c>
      <c r="AK45" s="568" t="str">
        <f t="shared" si="16"/>
        <v/>
      </c>
      <c r="AL45" s="568" t="str">
        <f t="shared" si="17"/>
        <v/>
      </c>
      <c r="AM45" s="568" t="str">
        <f t="shared" si="18"/>
        <v/>
      </c>
      <c r="AN45" s="568" t="str">
        <f t="shared" si="19"/>
        <v/>
      </c>
      <c r="AO45" s="568" t="str">
        <f t="shared" si="20"/>
        <v/>
      </c>
      <c r="AP45" s="568" t="str">
        <f t="shared" si="173"/>
        <v/>
      </c>
      <c r="AQ45" s="568" t="str">
        <f t="shared" si="174"/>
        <v/>
      </c>
      <c r="AR45" s="568" t="str">
        <f t="shared" si="175"/>
        <v/>
      </c>
      <c r="AS45" s="568" t="str">
        <f t="shared" si="176"/>
        <v/>
      </c>
      <c r="AT45" s="568" t="str">
        <f t="shared" si="177"/>
        <v/>
      </c>
      <c r="AU45" s="568" t="str">
        <f t="shared" si="178"/>
        <v/>
      </c>
      <c r="AV45" s="568" t="str">
        <f t="shared" si="179"/>
        <v/>
      </c>
      <c r="AW45" s="568" t="str">
        <f t="shared" si="180"/>
        <v/>
      </c>
      <c r="AX45" s="568" t="str">
        <f t="shared" si="181"/>
        <v/>
      </c>
      <c r="AY45" s="568" t="str">
        <f t="shared" si="182"/>
        <v/>
      </c>
      <c r="AZ45" s="568" t="str">
        <f t="shared" si="183"/>
        <v/>
      </c>
      <c r="BA45" s="568" t="str">
        <f t="shared" si="184"/>
        <v/>
      </c>
      <c r="BB45" s="568" t="str">
        <f t="shared" si="185"/>
        <v/>
      </c>
      <c r="BC45" s="568" t="str">
        <f t="shared" si="186"/>
        <v/>
      </c>
      <c r="BD45" s="568" t="str">
        <f t="shared" si="187"/>
        <v/>
      </c>
      <c r="BE45" s="568" t="str">
        <f t="shared" si="188"/>
        <v/>
      </c>
      <c r="BF45" s="568" t="str">
        <f t="shared" si="189"/>
        <v/>
      </c>
      <c r="BG45" s="568" t="str">
        <f t="shared" si="190"/>
        <v/>
      </c>
      <c r="BH45" s="568" t="str">
        <f t="shared" si="191"/>
        <v/>
      </c>
      <c r="BI45" s="568" t="str">
        <f t="shared" si="192"/>
        <v/>
      </c>
      <c r="BJ45" s="568" t="str">
        <f t="shared" si="193"/>
        <v/>
      </c>
      <c r="BK45" s="568" t="str">
        <f t="shared" si="194"/>
        <v/>
      </c>
      <c r="BL45" s="568" t="str">
        <f t="shared" si="195"/>
        <v/>
      </c>
      <c r="BM45" s="568" t="str">
        <f t="shared" si="196"/>
        <v/>
      </c>
      <c r="BN45" s="568" t="str">
        <f t="shared" si="197"/>
        <v/>
      </c>
      <c r="BO45" s="568" t="str">
        <f t="shared" si="198"/>
        <v/>
      </c>
      <c r="BP45" s="568" t="str">
        <f t="shared" si="199"/>
        <v/>
      </c>
      <c r="BQ45" s="568" t="str">
        <f t="shared" si="200"/>
        <v/>
      </c>
      <c r="BR45" s="568" t="str">
        <f t="shared" si="201"/>
        <v/>
      </c>
      <c r="BS45" s="568" t="str">
        <f t="shared" si="202"/>
        <v/>
      </c>
      <c r="BT45" s="568" t="str">
        <f t="shared" si="21"/>
        <v/>
      </c>
      <c r="BU45" s="568" t="str">
        <f t="shared" si="22"/>
        <v/>
      </c>
      <c r="BV45" s="568" t="str">
        <f t="shared" si="23"/>
        <v/>
      </c>
      <c r="BW45" s="568" t="str">
        <f t="shared" si="24"/>
        <v/>
      </c>
      <c r="BX45" s="568" t="str">
        <f t="shared" si="25"/>
        <v/>
      </c>
      <c r="BY45" s="568" t="str">
        <f t="shared" si="26"/>
        <v/>
      </c>
      <c r="BZ45" s="568" t="str">
        <f t="shared" si="27"/>
        <v/>
      </c>
      <c r="CA45" s="568" t="str">
        <f t="shared" si="28"/>
        <v/>
      </c>
      <c r="CB45" s="568" t="str">
        <f t="shared" si="29"/>
        <v/>
      </c>
      <c r="CC45" s="568" t="str">
        <f t="shared" si="30"/>
        <v/>
      </c>
      <c r="CD45" s="568" t="str">
        <f t="shared" si="31"/>
        <v/>
      </c>
      <c r="CE45" s="568" t="str">
        <f t="shared" si="32"/>
        <v/>
      </c>
      <c r="CF45" s="568" t="str">
        <f t="shared" si="33"/>
        <v/>
      </c>
      <c r="CG45" s="568" t="str">
        <f t="shared" si="34"/>
        <v/>
      </c>
      <c r="CH45" s="568" t="str">
        <f t="shared" si="35"/>
        <v/>
      </c>
      <c r="CI45" s="568" t="str">
        <f t="shared" si="36"/>
        <v/>
      </c>
      <c r="CJ45" s="568" t="str">
        <f t="shared" si="37"/>
        <v/>
      </c>
      <c r="CK45" s="568" t="str">
        <f t="shared" si="38"/>
        <v/>
      </c>
      <c r="CL45" s="568" t="str">
        <f t="shared" si="39"/>
        <v/>
      </c>
      <c r="CM45" s="568" t="str">
        <f t="shared" si="40"/>
        <v/>
      </c>
      <c r="CN45" s="568" t="str">
        <f t="shared" si="41"/>
        <v/>
      </c>
      <c r="CO45" s="568" t="str">
        <f t="shared" si="42"/>
        <v/>
      </c>
      <c r="CP45" s="568" t="str">
        <f t="shared" si="43"/>
        <v/>
      </c>
      <c r="CQ45" s="568" t="str">
        <f t="shared" si="44"/>
        <v/>
      </c>
      <c r="CR45" s="568" t="str">
        <f t="shared" si="45"/>
        <v/>
      </c>
      <c r="CS45" s="568" t="str">
        <f t="shared" si="46"/>
        <v/>
      </c>
      <c r="CT45" s="568" t="str">
        <f t="shared" si="47"/>
        <v/>
      </c>
      <c r="CU45" s="568" t="str">
        <f t="shared" si="48"/>
        <v/>
      </c>
      <c r="CV45" s="568" t="str">
        <f t="shared" si="49"/>
        <v/>
      </c>
      <c r="CW45" s="568" t="str">
        <f t="shared" si="50"/>
        <v/>
      </c>
      <c r="CX45" s="568" t="str">
        <f t="shared" si="51"/>
        <v/>
      </c>
      <c r="CY45" s="568" t="str">
        <f t="shared" si="52"/>
        <v/>
      </c>
      <c r="CZ45" s="568" t="str">
        <f t="shared" si="53"/>
        <v/>
      </c>
      <c r="DA45" s="568" t="str">
        <f t="shared" si="54"/>
        <v/>
      </c>
      <c r="DB45" s="568" t="str">
        <f t="shared" si="55"/>
        <v/>
      </c>
      <c r="DC45" s="568" t="str">
        <f t="shared" si="56"/>
        <v/>
      </c>
      <c r="DD45" s="568" t="str">
        <f t="shared" si="57"/>
        <v/>
      </c>
      <c r="DE45" s="568" t="str">
        <f t="shared" si="58"/>
        <v/>
      </c>
      <c r="DF45" s="568" t="str">
        <f t="shared" si="59"/>
        <v/>
      </c>
      <c r="DG45" s="568" t="str">
        <f t="shared" si="60"/>
        <v/>
      </c>
      <c r="DH45" s="568" t="str">
        <f t="shared" si="61"/>
        <v/>
      </c>
      <c r="DI45" s="568" t="str">
        <f t="shared" si="62"/>
        <v/>
      </c>
      <c r="DJ45" s="568" t="str">
        <f t="shared" si="63"/>
        <v/>
      </c>
      <c r="DK45" s="568" t="str">
        <f t="shared" si="64"/>
        <v/>
      </c>
      <c r="DL45" s="568" t="str">
        <f t="shared" si="65"/>
        <v/>
      </c>
      <c r="DM45" s="568" t="str">
        <f t="shared" si="66"/>
        <v/>
      </c>
      <c r="DN45" s="568" t="str">
        <f t="shared" si="67"/>
        <v/>
      </c>
      <c r="DO45" s="568" t="str">
        <f t="shared" si="68"/>
        <v/>
      </c>
      <c r="DP45" s="568" t="str">
        <f t="shared" si="69"/>
        <v/>
      </c>
      <c r="DQ45" s="568" t="str">
        <f t="shared" si="70"/>
        <v/>
      </c>
      <c r="DR45" s="568" t="str">
        <f t="shared" si="71"/>
        <v/>
      </c>
      <c r="DS45" s="568" t="str">
        <f t="shared" si="72"/>
        <v/>
      </c>
      <c r="DT45" s="568" t="str">
        <f t="shared" si="73"/>
        <v/>
      </c>
      <c r="DU45" s="568" t="str">
        <f t="shared" si="74"/>
        <v/>
      </c>
      <c r="DV45" s="568" t="str">
        <f t="shared" si="75"/>
        <v/>
      </c>
      <c r="DW45" s="568" t="str">
        <f t="shared" si="76"/>
        <v/>
      </c>
      <c r="DX45" s="568" t="str">
        <f t="shared" si="77"/>
        <v/>
      </c>
      <c r="DY45" s="568" t="str">
        <f t="shared" si="78"/>
        <v/>
      </c>
      <c r="DZ45" s="568" t="str">
        <f t="shared" si="79"/>
        <v/>
      </c>
      <c r="EA45" s="568" t="str">
        <f t="shared" si="80"/>
        <v/>
      </c>
      <c r="EB45" s="568" t="str">
        <f t="shared" si="81"/>
        <v/>
      </c>
      <c r="EC45" s="568" t="str">
        <f t="shared" si="82"/>
        <v/>
      </c>
      <c r="ED45" s="568" t="str">
        <f t="shared" si="83"/>
        <v/>
      </c>
      <c r="EE45" s="568" t="str">
        <f t="shared" si="84"/>
        <v/>
      </c>
      <c r="EF45" s="568" t="str">
        <f t="shared" si="85"/>
        <v/>
      </c>
      <c r="EG45" s="568" t="str">
        <f t="shared" si="86"/>
        <v/>
      </c>
      <c r="EH45" s="568" t="str">
        <f t="shared" si="87"/>
        <v/>
      </c>
      <c r="EI45" s="568" t="str">
        <f t="shared" si="88"/>
        <v/>
      </c>
      <c r="EJ45" s="568" t="str">
        <f t="shared" si="89"/>
        <v/>
      </c>
      <c r="EK45" s="568" t="str">
        <f t="shared" si="90"/>
        <v/>
      </c>
      <c r="EL45" s="568" t="str">
        <f t="shared" si="91"/>
        <v/>
      </c>
      <c r="EM45" s="568" t="str">
        <f t="shared" si="92"/>
        <v/>
      </c>
      <c r="EN45" s="568" t="str">
        <f t="shared" si="93"/>
        <v/>
      </c>
      <c r="EO45" s="568" t="str">
        <f t="shared" si="94"/>
        <v/>
      </c>
      <c r="EP45" s="568" t="str">
        <f t="shared" si="95"/>
        <v/>
      </c>
      <c r="EQ45" s="568" t="str">
        <f t="shared" si="96"/>
        <v/>
      </c>
      <c r="ER45" s="568" t="str">
        <f t="shared" si="97"/>
        <v/>
      </c>
      <c r="ES45" s="568" t="str">
        <f t="shared" si="98"/>
        <v/>
      </c>
      <c r="ET45" s="568" t="str">
        <f t="shared" si="99"/>
        <v/>
      </c>
      <c r="EU45" s="568" t="str">
        <f t="shared" si="100"/>
        <v/>
      </c>
      <c r="EV45" s="578" t="str">
        <f t="shared" si="101"/>
        <v/>
      </c>
      <c r="EW45" s="578" t="str">
        <f t="shared" si="102"/>
        <v/>
      </c>
      <c r="EX45" s="578" t="str">
        <f t="shared" si="103"/>
        <v/>
      </c>
      <c r="EY45" s="578" t="str">
        <f t="shared" si="104"/>
        <v/>
      </c>
      <c r="EZ45" s="578" t="str">
        <f t="shared" si="105"/>
        <v/>
      </c>
      <c r="FA45" s="578" t="str">
        <f t="shared" si="106"/>
        <v/>
      </c>
      <c r="FB45" s="578" t="str">
        <f t="shared" si="107"/>
        <v/>
      </c>
      <c r="FC45" s="578" t="str">
        <f t="shared" si="108"/>
        <v/>
      </c>
      <c r="FD45" s="578" t="str">
        <f t="shared" si="109"/>
        <v/>
      </c>
      <c r="FE45" s="578" t="str">
        <f t="shared" si="110"/>
        <v/>
      </c>
      <c r="FF45" s="578" t="str">
        <f t="shared" si="111"/>
        <v/>
      </c>
      <c r="FG45" s="578" t="str">
        <f t="shared" si="112"/>
        <v/>
      </c>
      <c r="FH45" s="578" t="str">
        <f t="shared" si="113"/>
        <v/>
      </c>
      <c r="FI45" s="578" t="str">
        <f t="shared" si="114"/>
        <v/>
      </c>
      <c r="FJ45" s="578" t="str">
        <f t="shared" si="115"/>
        <v/>
      </c>
      <c r="FK45" s="578" t="str">
        <f t="shared" si="116"/>
        <v/>
      </c>
      <c r="FL45" s="578" t="str">
        <f t="shared" si="117"/>
        <v/>
      </c>
      <c r="FM45" s="578" t="str">
        <f t="shared" si="118"/>
        <v/>
      </c>
      <c r="FN45" s="578" t="str">
        <f t="shared" si="119"/>
        <v/>
      </c>
      <c r="FO45" s="578" t="str">
        <f t="shared" si="120"/>
        <v/>
      </c>
      <c r="FP45" s="578" t="str">
        <f t="shared" si="121"/>
        <v/>
      </c>
      <c r="FQ45" s="578" t="str">
        <f t="shared" si="122"/>
        <v/>
      </c>
      <c r="FR45" s="578" t="str">
        <f t="shared" si="123"/>
        <v/>
      </c>
      <c r="FS45" s="578" t="str">
        <f t="shared" si="124"/>
        <v/>
      </c>
      <c r="FT45" s="578" t="str">
        <f t="shared" si="125"/>
        <v/>
      </c>
      <c r="FU45" s="578" t="str">
        <f t="shared" si="126"/>
        <v/>
      </c>
      <c r="FV45" s="578" t="str">
        <f t="shared" si="127"/>
        <v/>
      </c>
      <c r="FW45" s="578" t="str">
        <f t="shared" si="128"/>
        <v/>
      </c>
      <c r="FX45" s="578" t="str">
        <f t="shared" si="129"/>
        <v/>
      </c>
      <c r="FY45" s="578" t="str">
        <f t="shared" si="130"/>
        <v/>
      </c>
      <c r="FZ45" s="578" t="str">
        <f t="shared" si="131"/>
        <v/>
      </c>
      <c r="GA45" s="578" t="str">
        <f t="shared" si="132"/>
        <v/>
      </c>
      <c r="GB45" s="578" t="str">
        <f t="shared" si="133"/>
        <v/>
      </c>
      <c r="GC45" s="578" t="str">
        <f t="shared" si="134"/>
        <v/>
      </c>
      <c r="GD45" s="578" t="str">
        <f t="shared" si="135"/>
        <v/>
      </c>
      <c r="GE45" s="578" t="str">
        <f t="shared" si="136"/>
        <v/>
      </c>
      <c r="GF45" s="578" t="str">
        <f t="shared" si="137"/>
        <v/>
      </c>
      <c r="GG45" s="578" t="str">
        <f t="shared" si="138"/>
        <v/>
      </c>
      <c r="GH45" s="578" t="str">
        <f t="shared" si="139"/>
        <v/>
      </c>
      <c r="GI45" s="578" t="str">
        <f t="shared" si="140"/>
        <v/>
      </c>
      <c r="GJ45" s="578" t="str">
        <f t="shared" si="141"/>
        <v/>
      </c>
      <c r="GK45" s="578" t="str">
        <f t="shared" si="142"/>
        <v/>
      </c>
      <c r="GL45" s="578" t="str">
        <f t="shared" si="143"/>
        <v/>
      </c>
      <c r="GM45" s="578" t="str">
        <f t="shared" si="144"/>
        <v/>
      </c>
      <c r="GN45" s="578" t="str">
        <f t="shared" si="145"/>
        <v/>
      </c>
      <c r="GO45" s="579" t="str">
        <f t="shared" si="146"/>
        <v/>
      </c>
      <c r="GP45" s="579" t="str">
        <f t="shared" si="147"/>
        <v/>
      </c>
      <c r="GQ45" s="579" t="str">
        <f t="shared" si="148"/>
        <v/>
      </c>
      <c r="GR45" s="579" t="str">
        <f t="shared" si="149"/>
        <v/>
      </c>
      <c r="GS45" s="579" t="str">
        <f t="shared" si="150"/>
        <v/>
      </c>
      <c r="GT45" s="568" t="str">
        <f t="shared" si="151"/>
        <v/>
      </c>
      <c r="GU45" s="568" t="str">
        <f t="shared" si="152"/>
        <v/>
      </c>
      <c r="GV45" s="568" t="str">
        <f t="shared" si="153"/>
        <v/>
      </c>
      <c r="GW45" s="568" t="str">
        <f t="shared" si="154"/>
        <v/>
      </c>
      <c r="GX45" s="568" t="str">
        <f t="shared" si="155"/>
        <v/>
      </c>
      <c r="GY45" s="568" t="str">
        <f t="shared" si="156"/>
        <v/>
      </c>
      <c r="GZ45" s="568" t="str">
        <f t="shared" si="157"/>
        <v/>
      </c>
      <c r="HA45" s="568" t="str">
        <f t="shared" si="158"/>
        <v/>
      </c>
      <c r="HB45" s="568" t="str">
        <f t="shared" si="159"/>
        <v/>
      </c>
      <c r="HC45" s="568" t="str">
        <f t="shared" si="160"/>
        <v/>
      </c>
      <c r="HD45" s="568" t="str">
        <f t="shared" si="161"/>
        <v/>
      </c>
      <c r="HE45" s="568" t="str">
        <f t="shared" si="162"/>
        <v/>
      </c>
      <c r="HF45" s="568" t="str">
        <f t="shared" si="163"/>
        <v/>
      </c>
      <c r="HG45" s="568" t="str">
        <f t="shared" si="164"/>
        <v/>
      </c>
      <c r="HH45" s="568" t="str">
        <f t="shared" si="165"/>
        <v/>
      </c>
      <c r="HI45" s="568" t="str">
        <f t="shared" si="166"/>
        <v/>
      </c>
      <c r="HJ45" s="568" t="str">
        <f t="shared" si="167"/>
        <v/>
      </c>
      <c r="HK45" s="568" t="str">
        <f t="shared" si="168"/>
        <v/>
      </c>
      <c r="HL45" s="568" t="str">
        <f t="shared" si="169"/>
        <v/>
      </c>
      <c r="HM45" s="568" t="str">
        <f t="shared" si="170"/>
        <v/>
      </c>
    </row>
    <row r="46" spans="1:221" ht="13.15" customHeight="1">
      <c r="A46" s="126" t="str">
        <f t="shared" si="171"/>
        <v/>
      </c>
      <c r="B46" s="1748" t="s">
        <v>1895</v>
      </c>
      <c r="C46" s="1749"/>
      <c r="D46" s="1750"/>
      <c r="E46" s="1751"/>
      <c r="F46" s="1751"/>
      <c r="G46" s="1751"/>
      <c r="H46" s="1751"/>
      <c r="I46" s="1751"/>
      <c r="J46" s="1752"/>
      <c r="K46" s="199">
        <f t="shared" si="205"/>
        <v>0</v>
      </c>
      <c r="L46" s="199">
        <f t="shared" si="0"/>
        <v>0</v>
      </c>
      <c r="M46" s="1753"/>
      <c r="N46" s="1753"/>
      <c r="O46" s="1753"/>
      <c r="P46" s="519" t="str">
        <f t="shared" si="203"/>
        <v/>
      </c>
      <c r="Q46" s="520" t="str">
        <f>IF(H46="","",P46/($P$6*VLOOKUP(C46,'DCA Underwriting Assumptions'!$J$82:$K$87,2,FALSE)))</f>
        <v/>
      </c>
      <c r="R46" s="605"/>
      <c r="S46" s="520"/>
      <c r="T46" s="1754"/>
      <c r="U46" s="1755"/>
      <c r="V46" s="568" t="str">
        <f t="shared" si="1"/>
        <v/>
      </c>
      <c r="W46" s="568" t="str">
        <f t="shared" si="2"/>
        <v/>
      </c>
      <c r="X46" s="568" t="str">
        <f t="shared" si="3"/>
        <v/>
      </c>
      <c r="Y46" s="568" t="str">
        <f t="shared" si="4"/>
        <v/>
      </c>
      <c r="Z46" s="568" t="str">
        <f t="shared" si="5"/>
        <v/>
      </c>
      <c r="AA46" s="568" t="str">
        <f t="shared" si="6"/>
        <v/>
      </c>
      <c r="AB46" s="568" t="str">
        <f t="shared" si="7"/>
        <v/>
      </c>
      <c r="AC46" s="568" t="str">
        <f t="shared" si="8"/>
        <v/>
      </c>
      <c r="AD46" s="568" t="str">
        <f t="shared" si="9"/>
        <v/>
      </c>
      <c r="AE46" s="568" t="str">
        <f t="shared" si="10"/>
        <v/>
      </c>
      <c r="AF46" s="568" t="str">
        <f t="shared" si="11"/>
        <v/>
      </c>
      <c r="AG46" s="568" t="str">
        <f t="shared" si="12"/>
        <v/>
      </c>
      <c r="AH46" s="568" t="str">
        <f t="shared" si="13"/>
        <v/>
      </c>
      <c r="AI46" s="568" t="str">
        <f t="shared" si="14"/>
        <v/>
      </c>
      <c r="AJ46" s="568" t="str">
        <f t="shared" si="15"/>
        <v/>
      </c>
      <c r="AK46" s="568" t="str">
        <f t="shared" si="16"/>
        <v/>
      </c>
      <c r="AL46" s="568" t="str">
        <f t="shared" si="17"/>
        <v/>
      </c>
      <c r="AM46" s="568" t="str">
        <f t="shared" si="18"/>
        <v/>
      </c>
      <c r="AN46" s="568" t="str">
        <f t="shared" si="19"/>
        <v/>
      </c>
      <c r="AO46" s="568" t="str">
        <f t="shared" si="20"/>
        <v/>
      </c>
      <c r="AP46" s="568" t="str">
        <f t="shared" si="173"/>
        <v/>
      </c>
      <c r="AQ46" s="568" t="str">
        <f t="shared" si="174"/>
        <v/>
      </c>
      <c r="AR46" s="568" t="str">
        <f t="shared" si="175"/>
        <v/>
      </c>
      <c r="AS46" s="568" t="str">
        <f t="shared" si="176"/>
        <v/>
      </c>
      <c r="AT46" s="568" t="str">
        <f t="shared" si="177"/>
        <v/>
      </c>
      <c r="AU46" s="568" t="str">
        <f t="shared" si="178"/>
        <v/>
      </c>
      <c r="AV46" s="568" t="str">
        <f t="shared" si="179"/>
        <v/>
      </c>
      <c r="AW46" s="568" t="str">
        <f t="shared" si="180"/>
        <v/>
      </c>
      <c r="AX46" s="568" t="str">
        <f t="shared" si="181"/>
        <v/>
      </c>
      <c r="AY46" s="568" t="str">
        <f t="shared" si="182"/>
        <v/>
      </c>
      <c r="AZ46" s="568" t="str">
        <f t="shared" si="183"/>
        <v/>
      </c>
      <c r="BA46" s="568" t="str">
        <f t="shared" si="184"/>
        <v/>
      </c>
      <c r="BB46" s="568" t="str">
        <f t="shared" si="185"/>
        <v/>
      </c>
      <c r="BC46" s="568" t="str">
        <f t="shared" si="186"/>
        <v/>
      </c>
      <c r="BD46" s="568" t="str">
        <f t="shared" si="187"/>
        <v/>
      </c>
      <c r="BE46" s="568" t="str">
        <f t="shared" si="188"/>
        <v/>
      </c>
      <c r="BF46" s="568" t="str">
        <f t="shared" si="189"/>
        <v/>
      </c>
      <c r="BG46" s="568" t="str">
        <f t="shared" si="190"/>
        <v/>
      </c>
      <c r="BH46" s="568" t="str">
        <f t="shared" si="191"/>
        <v/>
      </c>
      <c r="BI46" s="568" t="str">
        <f t="shared" si="192"/>
        <v/>
      </c>
      <c r="BJ46" s="568" t="str">
        <f t="shared" si="193"/>
        <v/>
      </c>
      <c r="BK46" s="568" t="str">
        <f t="shared" si="194"/>
        <v/>
      </c>
      <c r="BL46" s="568" t="str">
        <f t="shared" si="195"/>
        <v/>
      </c>
      <c r="BM46" s="568" t="str">
        <f t="shared" si="196"/>
        <v/>
      </c>
      <c r="BN46" s="568" t="str">
        <f t="shared" si="197"/>
        <v/>
      </c>
      <c r="BO46" s="568" t="str">
        <f t="shared" si="198"/>
        <v/>
      </c>
      <c r="BP46" s="568" t="str">
        <f t="shared" si="199"/>
        <v/>
      </c>
      <c r="BQ46" s="568" t="str">
        <f t="shared" si="200"/>
        <v/>
      </c>
      <c r="BR46" s="568" t="str">
        <f t="shared" si="201"/>
        <v/>
      </c>
      <c r="BS46" s="568" t="str">
        <f t="shared" si="202"/>
        <v/>
      </c>
      <c r="BT46" s="568" t="str">
        <f t="shared" si="21"/>
        <v/>
      </c>
      <c r="BU46" s="568" t="str">
        <f t="shared" si="22"/>
        <v/>
      </c>
      <c r="BV46" s="568" t="str">
        <f t="shared" si="23"/>
        <v/>
      </c>
      <c r="BW46" s="568" t="str">
        <f t="shared" si="24"/>
        <v/>
      </c>
      <c r="BX46" s="568" t="str">
        <f t="shared" si="25"/>
        <v/>
      </c>
      <c r="BY46" s="568" t="str">
        <f t="shared" si="26"/>
        <v/>
      </c>
      <c r="BZ46" s="568" t="str">
        <f t="shared" si="27"/>
        <v/>
      </c>
      <c r="CA46" s="568" t="str">
        <f t="shared" si="28"/>
        <v/>
      </c>
      <c r="CB46" s="568" t="str">
        <f t="shared" si="29"/>
        <v/>
      </c>
      <c r="CC46" s="568" t="str">
        <f t="shared" si="30"/>
        <v/>
      </c>
      <c r="CD46" s="568" t="str">
        <f t="shared" si="31"/>
        <v/>
      </c>
      <c r="CE46" s="568" t="str">
        <f t="shared" si="32"/>
        <v/>
      </c>
      <c r="CF46" s="568" t="str">
        <f t="shared" si="33"/>
        <v/>
      </c>
      <c r="CG46" s="568" t="str">
        <f t="shared" si="34"/>
        <v/>
      </c>
      <c r="CH46" s="568" t="str">
        <f t="shared" si="35"/>
        <v/>
      </c>
      <c r="CI46" s="568" t="str">
        <f t="shared" si="36"/>
        <v/>
      </c>
      <c r="CJ46" s="568" t="str">
        <f t="shared" si="37"/>
        <v/>
      </c>
      <c r="CK46" s="568" t="str">
        <f t="shared" si="38"/>
        <v/>
      </c>
      <c r="CL46" s="568" t="str">
        <f t="shared" si="39"/>
        <v/>
      </c>
      <c r="CM46" s="568" t="str">
        <f t="shared" si="40"/>
        <v/>
      </c>
      <c r="CN46" s="568" t="str">
        <f t="shared" si="41"/>
        <v/>
      </c>
      <c r="CO46" s="568" t="str">
        <f t="shared" si="42"/>
        <v/>
      </c>
      <c r="CP46" s="568" t="str">
        <f t="shared" si="43"/>
        <v/>
      </c>
      <c r="CQ46" s="568" t="str">
        <f t="shared" si="44"/>
        <v/>
      </c>
      <c r="CR46" s="568" t="str">
        <f t="shared" si="45"/>
        <v/>
      </c>
      <c r="CS46" s="568" t="str">
        <f t="shared" si="46"/>
        <v/>
      </c>
      <c r="CT46" s="568" t="str">
        <f t="shared" si="47"/>
        <v/>
      </c>
      <c r="CU46" s="568" t="str">
        <f t="shared" si="48"/>
        <v/>
      </c>
      <c r="CV46" s="568" t="str">
        <f t="shared" si="49"/>
        <v/>
      </c>
      <c r="CW46" s="568" t="str">
        <f t="shared" si="50"/>
        <v/>
      </c>
      <c r="CX46" s="568" t="str">
        <f t="shared" si="51"/>
        <v/>
      </c>
      <c r="CY46" s="568" t="str">
        <f t="shared" si="52"/>
        <v/>
      </c>
      <c r="CZ46" s="568" t="str">
        <f t="shared" si="53"/>
        <v/>
      </c>
      <c r="DA46" s="568" t="str">
        <f t="shared" si="54"/>
        <v/>
      </c>
      <c r="DB46" s="568" t="str">
        <f t="shared" si="55"/>
        <v/>
      </c>
      <c r="DC46" s="568" t="str">
        <f t="shared" si="56"/>
        <v/>
      </c>
      <c r="DD46" s="568" t="str">
        <f t="shared" si="57"/>
        <v/>
      </c>
      <c r="DE46" s="568" t="str">
        <f t="shared" si="58"/>
        <v/>
      </c>
      <c r="DF46" s="568" t="str">
        <f t="shared" si="59"/>
        <v/>
      </c>
      <c r="DG46" s="568" t="str">
        <f t="shared" si="60"/>
        <v/>
      </c>
      <c r="DH46" s="568" t="str">
        <f t="shared" si="61"/>
        <v/>
      </c>
      <c r="DI46" s="568" t="str">
        <f t="shared" si="62"/>
        <v/>
      </c>
      <c r="DJ46" s="568" t="str">
        <f t="shared" si="63"/>
        <v/>
      </c>
      <c r="DK46" s="568" t="str">
        <f t="shared" si="64"/>
        <v/>
      </c>
      <c r="DL46" s="568" t="str">
        <f t="shared" si="65"/>
        <v/>
      </c>
      <c r="DM46" s="568" t="str">
        <f t="shared" si="66"/>
        <v/>
      </c>
      <c r="DN46" s="568" t="str">
        <f t="shared" si="67"/>
        <v/>
      </c>
      <c r="DO46" s="568" t="str">
        <f t="shared" si="68"/>
        <v/>
      </c>
      <c r="DP46" s="568" t="str">
        <f t="shared" si="69"/>
        <v/>
      </c>
      <c r="DQ46" s="568" t="str">
        <f t="shared" si="70"/>
        <v/>
      </c>
      <c r="DR46" s="568" t="str">
        <f t="shared" si="71"/>
        <v/>
      </c>
      <c r="DS46" s="568" t="str">
        <f t="shared" si="72"/>
        <v/>
      </c>
      <c r="DT46" s="568" t="str">
        <f t="shared" si="73"/>
        <v/>
      </c>
      <c r="DU46" s="568" t="str">
        <f t="shared" si="74"/>
        <v/>
      </c>
      <c r="DV46" s="568" t="str">
        <f t="shared" si="75"/>
        <v/>
      </c>
      <c r="DW46" s="568" t="str">
        <f t="shared" si="76"/>
        <v/>
      </c>
      <c r="DX46" s="568" t="str">
        <f t="shared" si="77"/>
        <v/>
      </c>
      <c r="DY46" s="568" t="str">
        <f t="shared" si="78"/>
        <v/>
      </c>
      <c r="DZ46" s="568" t="str">
        <f t="shared" si="79"/>
        <v/>
      </c>
      <c r="EA46" s="568" t="str">
        <f t="shared" si="80"/>
        <v/>
      </c>
      <c r="EB46" s="568" t="str">
        <f t="shared" si="81"/>
        <v/>
      </c>
      <c r="EC46" s="568" t="str">
        <f t="shared" si="82"/>
        <v/>
      </c>
      <c r="ED46" s="568" t="str">
        <f t="shared" si="83"/>
        <v/>
      </c>
      <c r="EE46" s="568" t="str">
        <f t="shared" si="84"/>
        <v/>
      </c>
      <c r="EF46" s="568" t="str">
        <f t="shared" si="85"/>
        <v/>
      </c>
      <c r="EG46" s="568" t="str">
        <f t="shared" si="86"/>
        <v/>
      </c>
      <c r="EH46" s="568" t="str">
        <f t="shared" si="87"/>
        <v/>
      </c>
      <c r="EI46" s="568" t="str">
        <f t="shared" si="88"/>
        <v/>
      </c>
      <c r="EJ46" s="568" t="str">
        <f t="shared" si="89"/>
        <v/>
      </c>
      <c r="EK46" s="568" t="str">
        <f t="shared" si="90"/>
        <v/>
      </c>
      <c r="EL46" s="568" t="str">
        <f t="shared" si="91"/>
        <v/>
      </c>
      <c r="EM46" s="568" t="str">
        <f t="shared" si="92"/>
        <v/>
      </c>
      <c r="EN46" s="568" t="str">
        <f t="shared" si="93"/>
        <v/>
      </c>
      <c r="EO46" s="568" t="str">
        <f t="shared" si="94"/>
        <v/>
      </c>
      <c r="EP46" s="568" t="str">
        <f t="shared" si="95"/>
        <v/>
      </c>
      <c r="EQ46" s="568" t="str">
        <f t="shared" si="96"/>
        <v/>
      </c>
      <c r="ER46" s="568" t="str">
        <f t="shared" si="97"/>
        <v/>
      </c>
      <c r="ES46" s="568" t="str">
        <f t="shared" si="98"/>
        <v/>
      </c>
      <c r="ET46" s="568" t="str">
        <f t="shared" si="99"/>
        <v/>
      </c>
      <c r="EU46" s="568" t="str">
        <f t="shared" si="100"/>
        <v/>
      </c>
      <c r="EV46" s="578" t="str">
        <f t="shared" si="101"/>
        <v/>
      </c>
      <c r="EW46" s="578" t="str">
        <f t="shared" si="102"/>
        <v/>
      </c>
      <c r="EX46" s="578" t="str">
        <f t="shared" si="103"/>
        <v/>
      </c>
      <c r="EY46" s="578" t="str">
        <f t="shared" si="104"/>
        <v/>
      </c>
      <c r="EZ46" s="578" t="str">
        <f t="shared" si="105"/>
        <v/>
      </c>
      <c r="FA46" s="578" t="str">
        <f t="shared" si="106"/>
        <v/>
      </c>
      <c r="FB46" s="578" t="str">
        <f t="shared" si="107"/>
        <v/>
      </c>
      <c r="FC46" s="578" t="str">
        <f t="shared" si="108"/>
        <v/>
      </c>
      <c r="FD46" s="578" t="str">
        <f t="shared" si="109"/>
        <v/>
      </c>
      <c r="FE46" s="578" t="str">
        <f t="shared" si="110"/>
        <v/>
      </c>
      <c r="FF46" s="578" t="str">
        <f t="shared" si="111"/>
        <v/>
      </c>
      <c r="FG46" s="578" t="str">
        <f t="shared" si="112"/>
        <v/>
      </c>
      <c r="FH46" s="578" t="str">
        <f t="shared" si="113"/>
        <v/>
      </c>
      <c r="FI46" s="578" t="str">
        <f t="shared" si="114"/>
        <v/>
      </c>
      <c r="FJ46" s="578" t="str">
        <f t="shared" si="115"/>
        <v/>
      </c>
      <c r="FK46" s="578" t="str">
        <f t="shared" si="116"/>
        <v/>
      </c>
      <c r="FL46" s="578" t="str">
        <f t="shared" si="117"/>
        <v/>
      </c>
      <c r="FM46" s="578" t="str">
        <f t="shared" si="118"/>
        <v/>
      </c>
      <c r="FN46" s="578" t="str">
        <f t="shared" si="119"/>
        <v/>
      </c>
      <c r="FO46" s="578" t="str">
        <f t="shared" si="120"/>
        <v/>
      </c>
      <c r="FP46" s="578" t="str">
        <f t="shared" si="121"/>
        <v/>
      </c>
      <c r="FQ46" s="578" t="str">
        <f t="shared" si="122"/>
        <v/>
      </c>
      <c r="FR46" s="578" t="str">
        <f t="shared" si="123"/>
        <v/>
      </c>
      <c r="FS46" s="578" t="str">
        <f t="shared" si="124"/>
        <v/>
      </c>
      <c r="FT46" s="578" t="str">
        <f t="shared" si="125"/>
        <v/>
      </c>
      <c r="FU46" s="578" t="str">
        <f t="shared" si="126"/>
        <v/>
      </c>
      <c r="FV46" s="578" t="str">
        <f t="shared" si="127"/>
        <v/>
      </c>
      <c r="FW46" s="578" t="str">
        <f t="shared" si="128"/>
        <v/>
      </c>
      <c r="FX46" s="578" t="str">
        <f t="shared" si="129"/>
        <v/>
      </c>
      <c r="FY46" s="578" t="str">
        <f t="shared" si="130"/>
        <v/>
      </c>
      <c r="FZ46" s="578" t="str">
        <f t="shared" si="131"/>
        <v/>
      </c>
      <c r="GA46" s="578" t="str">
        <f t="shared" si="132"/>
        <v/>
      </c>
      <c r="GB46" s="578" t="str">
        <f t="shared" si="133"/>
        <v/>
      </c>
      <c r="GC46" s="578" t="str">
        <f t="shared" si="134"/>
        <v/>
      </c>
      <c r="GD46" s="578" t="str">
        <f t="shared" si="135"/>
        <v/>
      </c>
      <c r="GE46" s="578" t="str">
        <f t="shared" si="136"/>
        <v/>
      </c>
      <c r="GF46" s="578" t="str">
        <f t="shared" si="137"/>
        <v/>
      </c>
      <c r="GG46" s="578" t="str">
        <f t="shared" si="138"/>
        <v/>
      </c>
      <c r="GH46" s="578" t="str">
        <f t="shared" si="139"/>
        <v/>
      </c>
      <c r="GI46" s="578" t="str">
        <f t="shared" si="140"/>
        <v/>
      </c>
      <c r="GJ46" s="578" t="str">
        <f t="shared" si="141"/>
        <v/>
      </c>
      <c r="GK46" s="578" t="str">
        <f t="shared" si="142"/>
        <v/>
      </c>
      <c r="GL46" s="578" t="str">
        <f t="shared" si="143"/>
        <v/>
      </c>
      <c r="GM46" s="578" t="str">
        <f t="shared" si="144"/>
        <v/>
      </c>
      <c r="GN46" s="578" t="str">
        <f t="shared" si="145"/>
        <v/>
      </c>
      <c r="GO46" s="579" t="str">
        <f t="shared" si="146"/>
        <v/>
      </c>
      <c r="GP46" s="579" t="str">
        <f t="shared" si="147"/>
        <v/>
      </c>
      <c r="GQ46" s="579" t="str">
        <f t="shared" si="148"/>
        <v/>
      </c>
      <c r="GR46" s="579" t="str">
        <f t="shared" si="149"/>
        <v/>
      </c>
      <c r="GS46" s="579" t="str">
        <f t="shared" si="150"/>
        <v/>
      </c>
      <c r="GT46" s="568" t="str">
        <f t="shared" si="151"/>
        <v/>
      </c>
      <c r="GU46" s="568" t="str">
        <f t="shared" si="152"/>
        <v/>
      </c>
      <c r="GV46" s="568" t="str">
        <f t="shared" si="153"/>
        <v/>
      </c>
      <c r="GW46" s="568" t="str">
        <f t="shared" si="154"/>
        <v/>
      </c>
      <c r="GX46" s="568" t="str">
        <f t="shared" si="155"/>
        <v/>
      </c>
      <c r="GY46" s="568" t="str">
        <f t="shared" si="156"/>
        <v/>
      </c>
      <c r="GZ46" s="568" t="str">
        <f t="shared" si="157"/>
        <v/>
      </c>
      <c r="HA46" s="568" t="str">
        <f t="shared" si="158"/>
        <v/>
      </c>
      <c r="HB46" s="568" t="str">
        <f t="shared" si="159"/>
        <v/>
      </c>
      <c r="HC46" s="568" t="str">
        <f t="shared" si="160"/>
        <v/>
      </c>
      <c r="HD46" s="568" t="str">
        <f t="shared" si="161"/>
        <v/>
      </c>
      <c r="HE46" s="568" t="str">
        <f t="shared" si="162"/>
        <v/>
      </c>
      <c r="HF46" s="568" t="str">
        <f t="shared" si="163"/>
        <v/>
      </c>
      <c r="HG46" s="568" t="str">
        <f t="shared" si="164"/>
        <v/>
      </c>
      <c r="HH46" s="568" t="str">
        <f t="shared" si="165"/>
        <v/>
      </c>
      <c r="HI46" s="568" t="str">
        <f t="shared" si="166"/>
        <v/>
      </c>
      <c r="HJ46" s="568" t="str">
        <f t="shared" si="167"/>
        <v/>
      </c>
      <c r="HK46" s="568" t="str">
        <f t="shared" si="168"/>
        <v/>
      </c>
      <c r="HL46" s="568" t="str">
        <f t="shared" si="169"/>
        <v/>
      </c>
      <c r="HM46" s="568" t="str">
        <f t="shared" si="170"/>
        <v/>
      </c>
    </row>
    <row r="47" spans="1:221" ht="13.15" customHeight="1">
      <c r="A47" s="126" t="str">
        <f t="shared" si="171"/>
        <v/>
      </c>
      <c r="B47" s="1756" t="s">
        <v>1895</v>
      </c>
      <c r="C47" s="1757"/>
      <c r="D47" s="1758"/>
      <c r="E47" s="1759"/>
      <c r="F47" s="1759"/>
      <c r="G47" s="1759"/>
      <c r="H47" s="1759"/>
      <c r="I47" s="1759"/>
      <c r="J47" s="1760"/>
      <c r="K47" s="200">
        <f t="shared" si="204"/>
        <v>0</v>
      </c>
      <c r="L47" s="200">
        <f t="shared" si="0"/>
        <v>0</v>
      </c>
      <c r="M47" s="1761"/>
      <c r="N47" s="1761"/>
      <c r="O47" s="1761"/>
      <c r="P47" s="519" t="str">
        <f t="shared" si="203"/>
        <v/>
      </c>
      <c r="Q47" s="520" t="str">
        <f>IF(H47="","",P47/($P$6*VLOOKUP(C47,'DCA Underwriting Assumptions'!$J$82:$K$87,2,FALSE)))</f>
        <v/>
      </c>
      <c r="R47" s="605"/>
      <c r="S47" s="520"/>
      <c r="T47" s="1762"/>
      <c r="U47" s="1763"/>
      <c r="V47" s="568" t="str">
        <f t="shared" si="1"/>
        <v/>
      </c>
      <c r="W47" s="568" t="str">
        <f t="shared" si="2"/>
        <v/>
      </c>
      <c r="X47" s="568" t="str">
        <f t="shared" si="3"/>
        <v/>
      </c>
      <c r="Y47" s="568" t="str">
        <f t="shared" si="4"/>
        <v/>
      </c>
      <c r="Z47" s="568" t="str">
        <f t="shared" si="5"/>
        <v/>
      </c>
      <c r="AA47" s="568" t="str">
        <f t="shared" si="6"/>
        <v/>
      </c>
      <c r="AB47" s="568" t="str">
        <f t="shared" si="7"/>
        <v/>
      </c>
      <c r="AC47" s="568" t="str">
        <f t="shared" si="8"/>
        <v/>
      </c>
      <c r="AD47" s="568" t="str">
        <f t="shared" si="9"/>
        <v/>
      </c>
      <c r="AE47" s="568" t="str">
        <f t="shared" si="10"/>
        <v/>
      </c>
      <c r="AF47" s="568" t="str">
        <f t="shared" si="11"/>
        <v/>
      </c>
      <c r="AG47" s="568" t="str">
        <f t="shared" si="12"/>
        <v/>
      </c>
      <c r="AH47" s="568" t="str">
        <f t="shared" si="13"/>
        <v/>
      </c>
      <c r="AI47" s="568" t="str">
        <f t="shared" si="14"/>
        <v/>
      </c>
      <c r="AJ47" s="568" t="str">
        <f t="shared" si="15"/>
        <v/>
      </c>
      <c r="AK47" s="568" t="str">
        <f t="shared" si="16"/>
        <v/>
      </c>
      <c r="AL47" s="568" t="str">
        <f t="shared" si="17"/>
        <v/>
      </c>
      <c r="AM47" s="568" t="str">
        <f t="shared" si="18"/>
        <v/>
      </c>
      <c r="AN47" s="568" t="str">
        <f t="shared" si="19"/>
        <v/>
      </c>
      <c r="AO47" s="568" t="str">
        <f t="shared" si="20"/>
        <v/>
      </c>
      <c r="AP47" s="568" t="str">
        <f t="shared" si="173"/>
        <v/>
      </c>
      <c r="AQ47" s="568" t="str">
        <f t="shared" si="174"/>
        <v/>
      </c>
      <c r="AR47" s="568" t="str">
        <f t="shared" si="175"/>
        <v/>
      </c>
      <c r="AS47" s="568" t="str">
        <f t="shared" si="176"/>
        <v/>
      </c>
      <c r="AT47" s="568" t="str">
        <f t="shared" si="177"/>
        <v/>
      </c>
      <c r="AU47" s="568" t="str">
        <f t="shared" si="178"/>
        <v/>
      </c>
      <c r="AV47" s="568" t="str">
        <f t="shared" si="179"/>
        <v/>
      </c>
      <c r="AW47" s="568" t="str">
        <f t="shared" si="180"/>
        <v/>
      </c>
      <c r="AX47" s="568" t="str">
        <f t="shared" si="181"/>
        <v/>
      </c>
      <c r="AY47" s="568" t="str">
        <f t="shared" si="182"/>
        <v/>
      </c>
      <c r="AZ47" s="568" t="str">
        <f t="shared" si="183"/>
        <v/>
      </c>
      <c r="BA47" s="568" t="str">
        <f t="shared" si="184"/>
        <v/>
      </c>
      <c r="BB47" s="568" t="str">
        <f t="shared" si="185"/>
        <v/>
      </c>
      <c r="BC47" s="568" t="str">
        <f t="shared" si="186"/>
        <v/>
      </c>
      <c r="BD47" s="568" t="str">
        <f t="shared" si="187"/>
        <v/>
      </c>
      <c r="BE47" s="568" t="str">
        <f t="shared" si="188"/>
        <v/>
      </c>
      <c r="BF47" s="568" t="str">
        <f t="shared" si="189"/>
        <v/>
      </c>
      <c r="BG47" s="568" t="str">
        <f t="shared" si="190"/>
        <v/>
      </c>
      <c r="BH47" s="568" t="str">
        <f t="shared" si="191"/>
        <v/>
      </c>
      <c r="BI47" s="568" t="str">
        <f t="shared" si="192"/>
        <v/>
      </c>
      <c r="BJ47" s="568" t="str">
        <f t="shared" si="193"/>
        <v/>
      </c>
      <c r="BK47" s="568" t="str">
        <f t="shared" si="194"/>
        <v/>
      </c>
      <c r="BL47" s="568" t="str">
        <f t="shared" si="195"/>
        <v/>
      </c>
      <c r="BM47" s="568" t="str">
        <f t="shared" si="196"/>
        <v/>
      </c>
      <c r="BN47" s="568" t="str">
        <f t="shared" si="197"/>
        <v/>
      </c>
      <c r="BO47" s="568" t="str">
        <f t="shared" si="198"/>
        <v/>
      </c>
      <c r="BP47" s="568" t="str">
        <f t="shared" si="199"/>
        <v/>
      </c>
      <c r="BQ47" s="568" t="str">
        <f t="shared" si="200"/>
        <v/>
      </c>
      <c r="BR47" s="568" t="str">
        <f t="shared" si="201"/>
        <v/>
      </c>
      <c r="BS47" s="568" t="str">
        <f t="shared" si="202"/>
        <v/>
      </c>
      <c r="BT47" s="568" t="str">
        <f t="shared" si="21"/>
        <v/>
      </c>
      <c r="BU47" s="568" t="str">
        <f t="shared" si="22"/>
        <v/>
      </c>
      <c r="BV47" s="568" t="str">
        <f t="shared" si="23"/>
        <v/>
      </c>
      <c r="BW47" s="568" t="str">
        <f t="shared" si="24"/>
        <v/>
      </c>
      <c r="BX47" s="568" t="str">
        <f t="shared" si="25"/>
        <v/>
      </c>
      <c r="BY47" s="568" t="str">
        <f t="shared" si="26"/>
        <v/>
      </c>
      <c r="BZ47" s="568" t="str">
        <f t="shared" si="27"/>
        <v/>
      </c>
      <c r="CA47" s="568" t="str">
        <f t="shared" si="28"/>
        <v/>
      </c>
      <c r="CB47" s="568" t="str">
        <f t="shared" si="29"/>
        <v/>
      </c>
      <c r="CC47" s="568" t="str">
        <f t="shared" si="30"/>
        <v/>
      </c>
      <c r="CD47" s="568" t="str">
        <f t="shared" si="31"/>
        <v/>
      </c>
      <c r="CE47" s="568" t="str">
        <f t="shared" si="32"/>
        <v/>
      </c>
      <c r="CF47" s="568" t="str">
        <f t="shared" si="33"/>
        <v/>
      </c>
      <c r="CG47" s="568" t="str">
        <f t="shared" si="34"/>
        <v/>
      </c>
      <c r="CH47" s="568" t="str">
        <f t="shared" si="35"/>
        <v/>
      </c>
      <c r="CI47" s="568" t="str">
        <f t="shared" si="36"/>
        <v/>
      </c>
      <c r="CJ47" s="568" t="str">
        <f t="shared" si="37"/>
        <v/>
      </c>
      <c r="CK47" s="568" t="str">
        <f t="shared" si="38"/>
        <v/>
      </c>
      <c r="CL47" s="568" t="str">
        <f t="shared" si="39"/>
        <v/>
      </c>
      <c r="CM47" s="568" t="str">
        <f t="shared" si="40"/>
        <v/>
      </c>
      <c r="CN47" s="568" t="str">
        <f t="shared" si="41"/>
        <v/>
      </c>
      <c r="CO47" s="568" t="str">
        <f t="shared" si="42"/>
        <v/>
      </c>
      <c r="CP47" s="568" t="str">
        <f t="shared" si="43"/>
        <v/>
      </c>
      <c r="CQ47" s="568" t="str">
        <f t="shared" si="44"/>
        <v/>
      </c>
      <c r="CR47" s="568" t="str">
        <f t="shared" si="45"/>
        <v/>
      </c>
      <c r="CS47" s="568" t="str">
        <f t="shared" si="46"/>
        <v/>
      </c>
      <c r="CT47" s="568" t="str">
        <f t="shared" si="47"/>
        <v/>
      </c>
      <c r="CU47" s="568" t="str">
        <f t="shared" si="48"/>
        <v/>
      </c>
      <c r="CV47" s="568" t="str">
        <f t="shared" si="49"/>
        <v/>
      </c>
      <c r="CW47" s="568" t="str">
        <f t="shared" si="50"/>
        <v/>
      </c>
      <c r="CX47" s="568" t="str">
        <f t="shared" si="51"/>
        <v/>
      </c>
      <c r="CY47" s="568" t="str">
        <f t="shared" si="52"/>
        <v/>
      </c>
      <c r="CZ47" s="568" t="str">
        <f t="shared" si="53"/>
        <v/>
      </c>
      <c r="DA47" s="568" t="str">
        <f t="shared" si="54"/>
        <v/>
      </c>
      <c r="DB47" s="568" t="str">
        <f t="shared" si="55"/>
        <v/>
      </c>
      <c r="DC47" s="568" t="str">
        <f t="shared" si="56"/>
        <v/>
      </c>
      <c r="DD47" s="568" t="str">
        <f t="shared" si="57"/>
        <v/>
      </c>
      <c r="DE47" s="568" t="str">
        <f t="shared" si="58"/>
        <v/>
      </c>
      <c r="DF47" s="568" t="str">
        <f t="shared" si="59"/>
        <v/>
      </c>
      <c r="DG47" s="568" t="str">
        <f t="shared" si="60"/>
        <v/>
      </c>
      <c r="DH47" s="568" t="str">
        <f t="shared" si="61"/>
        <v/>
      </c>
      <c r="DI47" s="568" t="str">
        <f t="shared" si="62"/>
        <v/>
      </c>
      <c r="DJ47" s="568" t="str">
        <f t="shared" si="63"/>
        <v/>
      </c>
      <c r="DK47" s="568" t="str">
        <f t="shared" si="64"/>
        <v/>
      </c>
      <c r="DL47" s="568" t="str">
        <f t="shared" si="65"/>
        <v/>
      </c>
      <c r="DM47" s="568" t="str">
        <f t="shared" si="66"/>
        <v/>
      </c>
      <c r="DN47" s="568" t="str">
        <f t="shared" si="67"/>
        <v/>
      </c>
      <c r="DO47" s="568" t="str">
        <f t="shared" si="68"/>
        <v/>
      </c>
      <c r="DP47" s="568" t="str">
        <f t="shared" si="69"/>
        <v/>
      </c>
      <c r="DQ47" s="568" t="str">
        <f t="shared" si="70"/>
        <v/>
      </c>
      <c r="DR47" s="568" t="str">
        <f t="shared" si="71"/>
        <v/>
      </c>
      <c r="DS47" s="568" t="str">
        <f t="shared" si="72"/>
        <v/>
      </c>
      <c r="DT47" s="568" t="str">
        <f t="shared" si="73"/>
        <v/>
      </c>
      <c r="DU47" s="568" t="str">
        <f t="shared" si="74"/>
        <v/>
      </c>
      <c r="DV47" s="568" t="str">
        <f t="shared" si="75"/>
        <v/>
      </c>
      <c r="DW47" s="568" t="str">
        <f t="shared" si="76"/>
        <v/>
      </c>
      <c r="DX47" s="568" t="str">
        <f t="shared" si="77"/>
        <v/>
      </c>
      <c r="DY47" s="568" t="str">
        <f t="shared" si="78"/>
        <v/>
      </c>
      <c r="DZ47" s="568" t="str">
        <f t="shared" si="79"/>
        <v/>
      </c>
      <c r="EA47" s="568" t="str">
        <f t="shared" si="80"/>
        <v/>
      </c>
      <c r="EB47" s="568" t="str">
        <f t="shared" si="81"/>
        <v/>
      </c>
      <c r="EC47" s="568" t="str">
        <f t="shared" si="82"/>
        <v/>
      </c>
      <c r="ED47" s="568" t="str">
        <f t="shared" si="83"/>
        <v/>
      </c>
      <c r="EE47" s="568" t="str">
        <f t="shared" si="84"/>
        <v/>
      </c>
      <c r="EF47" s="568" t="str">
        <f t="shared" si="85"/>
        <v/>
      </c>
      <c r="EG47" s="568" t="str">
        <f t="shared" si="86"/>
        <v/>
      </c>
      <c r="EH47" s="568" t="str">
        <f t="shared" si="87"/>
        <v/>
      </c>
      <c r="EI47" s="568" t="str">
        <f t="shared" si="88"/>
        <v/>
      </c>
      <c r="EJ47" s="568" t="str">
        <f t="shared" si="89"/>
        <v/>
      </c>
      <c r="EK47" s="568" t="str">
        <f t="shared" si="90"/>
        <v/>
      </c>
      <c r="EL47" s="568" t="str">
        <f t="shared" si="91"/>
        <v/>
      </c>
      <c r="EM47" s="568" t="str">
        <f t="shared" si="92"/>
        <v/>
      </c>
      <c r="EN47" s="568" t="str">
        <f t="shared" si="93"/>
        <v/>
      </c>
      <c r="EO47" s="568" t="str">
        <f t="shared" si="94"/>
        <v/>
      </c>
      <c r="EP47" s="568" t="str">
        <f t="shared" si="95"/>
        <v/>
      </c>
      <c r="EQ47" s="568" t="str">
        <f t="shared" si="96"/>
        <v/>
      </c>
      <c r="ER47" s="568" t="str">
        <f t="shared" si="97"/>
        <v/>
      </c>
      <c r="ES47" s="568" t="str">
        <f t="shared" si="98"/>
        <v/>
      </c>
      <c r="ET47" s="568" t="str">
        <f t="shared" si="99"/>
        <v/>
      </c>
      <c r="EU47" s="568" t="str">
        <f t="shared" si="100"/>
        <v/>
      </c>
      <c r="EV47" s="578" t="str">
        <f t="shared" si="101"/>
        <v/>
      </c>
      <c r="EW47" s="578" t="str">
        <f t="shared" si="102"/>
        <v/>
      </c>
      <c r="EX47" s="578" t="str">
        <f t="shared" si="103"/>
        <v/>
      </c>
      <c r="EY47" s="578" t="str">
        <f t="shared" si="104"/>
        <v/>
      </c>
      <c r="EZ47" s="578" t="str">
        <f t="shared" si="105"/>
        <v/>
      </c>
      <c r="FA47" s="578" t="str">
        <f t="shared" si="106"/>
        <v/>
      </c>
      <c r="FB47" s="578" t="str">
        <f t="shared" si="107"/>
        <v/>
      </c>
      <c r="FC47" s="578" t="str">
        <f t="shared" si="108"/>
        <v/>
      </c>
      <c r="FD47" s="578" t="str">
        <f t="shared" si="109"/>
        <v/>
      </c>
      <c r="FE47" s="578" t="str">
        <f t="shared" si="110"/>
        <v/>
      </c>
      <c r="FF47" s="578" t="str">
        <f t="shared" si="111"/>
        <v/>
      </c>
      <c r="FG47" s="578" t="str">
        <f t="shared" si="112"/>
        <v/>
      </c>
      <c r="FH47" s="578" t="str">
        <f t="shared" si="113"/>
        <v/>
      </c>
      <c r="FI47" s="578" t="str">
        <f t="shared" si="114"/>
        <v/>
      </c>
      <c r="FJ47" s="578" t="str">
        <f t="shared" si="115"/>
        <v/>
      </c>
      <c r="FK47" s="578" t="str">
        <f t="shared" si="116"/>
        <v/>
      </c>
      <c r="FL47" s="578" t="str">
        <f t="shared" si="117"/>
        <v/>
      </c>
      <c r="FM47" s="578" t="str">
        <f t="shared" si="118"/>
        <v/>
      </c>
      <c r="FN47" s="578" t="str">
        <f t="shared" si="119"/>
        <v/>
      </c>
      <c r="FO47" s="578" t="str">
        <f t="shared" si="120"/>
        <v/>
      </c>
      <c r="FP47" s="578" t="str">
        <f t="shared" si="121"/>
        <v/>
      </c>
      <c r="FQ47" s="578" t="str">
        <f t="shared" si="122"/>
        <v/>
      </c>
      <c r="FR47" s="578" t="str">
        <f t="shared" si="123"/>
        <v/>
      </c>
      <c r="FS47" s="578" t="str">
        <f t="shared" si="124"/>
        <v/>
      </c>
      <c r="FT47" s="578" t="str">
        <f t="shared" si="125"/>
        <v/>
      </c>
      <c r="FU47" s="578" t="str">
        <f t="shared" si="126"/>
        <v/>
      </c>
      <c r="FV47" s="578" t="str">
        <f t="shared" si="127"/>
        <v/>
      </c>
      <c r="FW47" s="578" t="str">
        <f t="shared" si="128"/>
        <v/>
      </c>
      <c r="FX47" s="578" t="str">
        <f t="shared" si="129"/>
        <v/>
      </c>
      <c r="FY47" s="578" t="str">
        <f t="shared" si="130"/>
        <v/>
      </c>
      <c r="FZ47" s="578" t="str">
        <f t="shared" si="131"/>
        <v/>
      </c>
      <c r="GA47" s="578" t="str">
        <f t="shared" si="132"/>
        <v/>
      </c>
      <c r="GB47" s="578" t="str">
        <f t="shared" si="133"/>
        <v/>
      </c>
      <c r="GC47" s="578" t="str">
        <f t="shared" si="134"/>
        <v/>
      </c>
      <c r="GD47" s="578" t="str">
        <f t="shared" si="135"/>
        <v/>
      </c>
      <c r="GE47" s="578" t="str">
        <f t="shared" si="136"/>
        <v/>
      </c>
      <c r="GF47" s="578" t="str">
        <f t="shared" si="137"/>
        <v/>
      </c>
      <c r="GG47" s="578" t="str">
        <f t="shared" si="138"/>
        <v/>
      </c>
      <c r="GH47" s="578" t="str">
        <f t="shared" si="139"/>
        <v/>
      </c>
      <c r="GI47" s="578" t="str">
        <f t="shared" si="140"/>
        <v/>
      </c>
      <c r="GJ47" s="578" t="str">
        <f t="shared" si="141"/>
        <v/>
      </c>
      <c r="GK47" s="578" t="str">
        <f t="shared" si="142"/>
        <v/>
      </c>
      <c r="GL47" s="578" t="str">
        <f t="shared" si="143"/>
        <v/>
      </c>
      <c r="GM47" s="578" t="str">
        <f t="shared" si="144"/>
        <v/>
      </c>
      <c r="GN47" s="578" t="str">
        <f t="shared" si="145"/>
        <v/>
      </c>
      <c r="GO47" s="579" t="str">
        <f t="shared" si="146"/>
        <v/>
      </c>
      <c r="GP47" s="579" t="str">
        <f t="shared" si="147"/>
        <v/>
      </c>
      <c r="GQ47" s="579" t="str">
        <f t="shared" si="148"/>
        <v/>
      </c>
      <c r="GR47" s="579" t="str">
        <f t="shared" si="149"/>
        <v/>
      </c>
      <c r="GS47" s="579" t="str">
        <f t="shared" si="150"/>
        <v/>
      </c>
      <c r="GT47" s="568" t="str">
        <f t="shared" si="151"/>
        <v/>
      </c>
      <c r="GU47" s="568" t="str">
        <f t="shared" si="152"/>
        <v/>
      </c>
      <c r="GV47" s="568" t="str">
        <f t="shared" si="153"/>
        <v/>
      </c>
      <c r="GW47" s="568" t="str">
        <f t="shared" si="154"/>
        <v/>
      </c>
      <c r="GX47" s="568" t="str">
        <f t="shared" si="155"/>
        <v/>
      </c>
      <c r="GY47" s="568" t="str">
        <f t="shared" si="156"/>
        <v/>
      </c>
      <c r="GZ47" s="568" t="str">
        <f t="shared" si="157"/>
        <v/>
      </c>
      <c r="HA47" s="568" t="str">
        <f t="shared" si="158"/>
        <v/>
      </c>
      <c r="HB47" s="568" t="str">
        <f t="shared" si="159"/>
        <v/>
      </c>
      <c r="HC47" s="568" t="str">
        <f t="shared" si="160"/>
        <v/>
      </c>
      <c r="HD47" s="568" t="str">
        <f t="shared" si="161"/>
        <v/>
      </c>
      <c r="HE47" s="568" t="str">
        <f t="shared" si="162"/>
        <v/>
      </c>
      <c r="HF47" s="568" t="str">
        <f t="shared" si="163"/>
        <v/>
      </c>
      <c r="HG47" s="568" t="str">
        <f t="shared" si="164"/>
        <v/>
      </c>
      <c r="HH47" s="568" t="str">
        <f t="shared" si="165"/>
        <v/>
      </c>
      <c r="HI47" s="568" t="str">
        <f t="shared" si="166"/>
        <v/>
      </c>
      <c r="HJ47" s="568" t="str">
        <f t="shared" si="167"/>
        <v/>
      </c>
      <c r="HK47" s="568" t="str">
        <f t="shared" si="168"/>
        <v/>
      </c>
      <c r="HL47" s="568" t="str">
        <f t="shared" si="169"/>
        <v/>
      </c>
      <c r="HM47" s="568" t="str">
        <f t="shared" si="170"/>
        <v/>
      </c>
    </row>
    <row r="48" spans="1:221" ht="14.45" customHeight="1">
      <c r="A48" s="201">
        <f>COUNT(A10,A11,A12,A13,A14,A15,A16,A17,A18,A19,A20,A21,A22,A23,A24,A25,A26,A27,A28,A29,A30,A31,A32,A33,A34,A35,A36,A37,A38,A39)</f>
        <v>0</v>
      </c>
      <c r="B48" s="90"/>
      <c r="C48" s="1"/>
      <c r="D48" s="17" t="s">
        <v>1080</v>
      </c>
      <c r="E48" s="148">
        <f>SUM(E10:E47)</f>
        <v>75</v>
      </c>
      <c r="F48" s="149">
        <f>(E10*F10+E11*F11+E12*F12+E13*F13+E14*F14+E15*F15+E16*F16+E17*F17+E18*F18+E19*F19+E20*F20+E21*F21+E22*F22+E23*F23+E24*F24+E25*F25+E26*F26+E27*F27+E28*F28+E29*F29+E30*F30+E31*F31+E32*F32+E33*F33+E34*F34+E35*F35+E36*F36+E37*F37+E38*F38+E39*F39+E40*F40+E41*F41+E42*F42+E43*F43+E44*F44+E45*F45+E46*F46+E47*F47)</f>
        <v>75294</v>
      </c>
      <c r="G48" s="140"/>
      <c r="H48" s="141"/>
      <c r="I48" s="141"/>
      <c r="J48" s="141"/>
      <c r="K48" s="15" t="s">
        <v>1388</v>
      </c>
      <c r="L48" s="147">
        <f>SUM(L10:L47)</f>
        <v>41971</v>
      </c>
      <c r="M48" s="1"/>
      <c r="N48" s="40"/>
      <c r="O48" s="1"/>
      <c r="P48" s="522"/>
      <c r="Q48" s="522"/>
      <c r="R48" s="522"/>
      <c r="S48" s="522"/>
      <c r="T48" s="521"/>
      <c r="U48" s="523"/>
      <c r="V48" s="580">
        <f t="shared" ref="V48:CK48" si="206">SUM(V10:V47)</f>
        <v>0</v>
      </c>
      <c r="W48" s="580">
        <f t="shared" si="206"/>
        <v>24</v>
      </c>
      <c r="X48" s="580">
        <f t="shared" si="206"/>
        <v>37</v>
      </c>
      <c r="Y48" s="580">
        <f t="shared" si="206"/>
        <v>12</v>
      </c>
      <c r="Z48" s="580">
        <f t="shared" si="206"/>
        <v>2</v>
      </c>
      <c r="AA48" s="580">
        <f t="shared" si="206"/>
        <v>0</v>
      </c>
      <c r="AB48" s="580">
        <f t="shared" si="206"/>
        <v>0</v>
      </c>
      <c r="AC48" s="580">
        <f t="shared" si="206"/>
        <v>0</v>
      </c>
      <c r="AD48" s="580">
        <f t="shared" si="206"/>
        <v>0</v>
      </c>
      <c r="AE48" s="580">
        <f t="shared" si="206"/>
        <v>0</v>
      </c>
      <c r="AF48" s="580">
        <f t="shared" si="206"/>
        <v>0</v>
      </c>
      <c r="AG48" s="580">
        <f t="shared" si="206"/>
        <v>0</v>
      </c>
      <c r="AH48" s="580">
        <f t="shared" si="206"/>
        <v>0</v>
      </c>
      <c r="AI48" s="580">
        <f t="shared" si="206"/>
        <v>0</v>
      </c>
      <c r="AJ48" s="580">
        <f t="shared" si="206"/>
        <v>0</v>
      </c>
      <c r="AK48" s="580">
        <f t="shared" si="206"/>
        <v>0</v>
      </c>
      <c r="AL48" s="580">
        <f t="shared" si="206"/>
        <v>0</v>
      </c>
      <c r="AM48" s="580">
        <f t="shared" si="206"/>
        <v>0</v>
      </c>
      <c r="AN48" s="580">
        <f t="shared" si="206"/>
        <v>0</v>
      </c>
      <c r="AO48" s="580">
        <f t="shared" si="206"/>
        <v>0</v>
      </c>
      <c r="AP48" s="580">
        <f t="shared" si="206"/>
        <v>0</v>
      </c>
      <c r="AQ48" s="580">
        <f t="shared" si="206"/>
        <v>0</v>
      </c>
      <c r="AR48" s="580">
        <f t="shared" si="206"/>
        <v>0</v>
      </c>
      <c r="AS48" s="580">
        <f t="shared" si="206"/>
        <v>0</v>
      </c>
      <c r="AT48" s="580">
        <f t="shared" si="206"/>
        <v>0</v>
      </c>
      <c r="AU48" s="580">
        <f t="shared" si="206"/>
        <v>0</v>
      </c>
      <c r="AV48" s="580">
        <f t="shared" si="206"/>
        <v>0</v>
      </c>
      <c r="AW48" s="580">
        <f t="shared" si="206"/>
        <v>0</v>
      </c>
      <c r="AX48" s="580">
        <f t="shared" si="206"/>
        <v>0</v>
      </c>
      <c r="AY48" s="580">
        <f t="shared" si="206"/>
        <v>0</v>
      </c>
      <c r="AZ48" s="580">
        <f t="shared" si="206"/>
        <v>0</v>
      </c>
      <c r="BA48" s="580">
        <f t="shared" si="206"/>
        <v>24</v>
      </c>
      <c r="BB48" s="580">
        <f t="shared" si="206"/>
        <v>37</v>
      </c>
      <c r="BC48" s="580">
        <f t="shared" si="206"/>
        <v>12</v>
      </c>
      <c r="BD48" s="580">
        <f t="shared" si="206"/>
        <v>2</v>
      </c>
      <c r="BE48" s="580">
        <f t="shared" ref="BE48:BS48" si="207">SUM(BE10:BE47)</f>
        <v>0</v>
      </c>
      <c r="BF48" s="580">
        <f t="shared" si="207"/>
        <v>0</v>
      </c>
      <c r="BG48" s="580">
        <f t="shared" si="207"/>
        <v>0</v>
      </c>
      <c r="BH48" s="580">
        <f t="shared" si="207"/>
        <v>0</v>
      </c>
      <c r="BI48" s="580">
        <f t="shared" si="207"/>
        <v>0</v>
      </c>
      <c r="BJ48" s="580">
        <f t="shared" si="207"/>
        <v>0</v>
      </c>
      <c r="BK48" s="580">
        <f t="shared" si="207"/>
        <v>0</v>
      </c>
      <c r="BL48" s="580">
        <f t="shared" si="207"/>
        <v>0</v>
      </c>
      <c r="BM48" s="580">
        <f t="shared" si="207"/>
        <v>0</v>
      </c>
      <c r="BN48" s="580">
        <f t="shared" si="207"/>
        <v>0</v>
      </c>
      <c r="BO48" s="580">
        <f t="shared" si="207"/>
        <v>0</v>
      </c>
      <c r="BP48" s="580">
        <f t="shared" si="207"/>
        <v>0</v>
      </c>
      <c r="BQ48" s="580">
        <f t="shared" si="207"/>
        <v>0</v>
      </c>
      <c r="BR48" s="580">
        <f t="shared" si="207"/>
        <v>0</v>
      </c>
      <c r="BS48" s="580">
        <f t="shared" si="207"/>
        <v>0</v>
      </c>
      <c r="BT48" s="580">
        <f t="shared" si="206"/>
        <v>0</v>
      </c>
      <c r="BU48" s="580">
        <f t="shared" si="206"/>
        <v>0</v>
      </c>
      <c r="BV48" s="580">
        <f t="shared" si="206"/>
        <v>0</v>
      </c>
      <c r="BW48" s="580">
        <f t="shared" si="206"/>
        <v>0</v>
      </c>
      <c r="BX48" s="580">
        <f t="shared" si="206"/>
        <v>0</v>
      </c>
      <c r="BY48" s="580">
        <f t="shared" si="206"/>
        <v>0</v>
      </c>
      <c r="BZ48" s="580">
        <f t="shared" si="206"/>
        <v>19824</v>
      </c>
      <c r="CA48" s="580">
        <f t="shared" si="206"/>
        <v>37518</v>
      </c>
      <c r="CB48" s="580">
        <f t="shared" si="206"/>
        <v>15000</v>
      </c>
      <c r="CC48" s="580">
        <f t="shared" si="206"/>
        <v>2952</v>
      </c>
      <c r="CD48" s="580">
        <f t="shared" si="206"/>
        <v>0</v>
      </c>
      <c r="CE48" s="580">
        <f t="shared" si="206"/>
        <v>0</v>
      </c>
      <c r="CF48" s="580">
        <f t="shared" si="206"/>
        <v>0</v>
      </c>
      <c r="CG48" s="580">
        <f t="shared" si="206"/>
        <v>0</v>
      </c>
      <c r="CH48" s="580">
        <f t="shared" si="206"/>
        <v>0</v>
      </c>
      <c r="CI48" s="580">
        <f t="shared" si="206"/>
        <v>0</v>
      </c>
      <c r="CJ48" s="580">
        <f t="shared" si="206"/>
        <v>0</v>
      </c>
      <c r="CK48" s="580">
        <f t="shared" si="206"/>
        <v>0</v>
      </c>
      <c r="CL48" s="580">
        <f t="shared" ref="CL48:EP48" si="208">SUM(CL10:CL47)</f>
        <v>0</v>
      </c>
      <c r="CM48" s="580">
        <f t="shared" si="208"/>
        <v>0</v>
      </c>
      <c r="CN48" s="580">
        <f t="shared" si="208"/>
        <v>0</v>
      </c>
      <c r="CO48" s="580">
        <f t="shared" si="208"/>
        <v>0</v>
      </c>
      <c r="CP48" s="580">
        <f t="shared" si="208"/>
        <v>0</v>
      </c>
      <c r="CQ48" s="580">
        <f t="shared" si="208"/>
        <v>0</v>
      </c>
      <c r="CR48" s="580">
        <f t="shared" si="208"/>
        <v>0</v>
      </c>
      <c r="CS48" s="580">
        <f t="shared" si="208"/>
        <v>0</v>
      </c>
      <c r="CT48" s="580">
        <f t="shared" si="208"/>
        <v>19824</v>
      </c>
      <c r="CU48" s="580">
        <f t="shared" si="208"/>
        <v>37518</v>
      </c>
      <c r="CV48" s="580">
        <f t="shared" si="208"/>
        <v>15000</v>
      </c>
      <c r="CW48" s="580">
        <f t="shared" si="208"/>
        <v>2952</v>
      </c>
      <c r="CX48" s="580">
        <f t="shared" si="208"/>
        <v>0</v>
      </c>
      <c r="CY48" s="580">
        <f t="shared" si="208"/>
        <v>0</v>
      </c>
      <c r="CZ48" s="580">
        <f t="shared" si="208"/>
        <v>0</v>
      </c>
      <c r="DA48" s="580">
        <f t="shared" si="208"/>
        <v>0</v>
      </c>
      <c r="DB48" s="580">
        <f t="shared" si="208"/>
        <v>0</v>
      </c>
      <c r="DC48" s="580">
        <f t="shared" si="208"/>
        <v>0</v>
      </c>
      <c r="DD48" s="580">
        <f t="shared" si="208"/>
        <v>0</v>
      </c>
      <c r="DE48" s="580">
        <f t="shared" si="208"/>
        <v>0</v>
      </c>
      <c r="DF48" s="580">
        <f t="shared" si="208"/>
        <v>0</v>
      </c>
      <c r="DG48" s="580">
        <f t="shared" si="208"/>
        <v>0</v>
      </c>
      <c r="DH48" s="580">
        <f t="shared" si="208"/>
        <v>0</v>
      </c>
      <c r="DI48" s="580">
        <f t="shared" si="208"/>
        <v>0</v>
      </c>
      <c r="DJ48" s="580">
        <f t="shared" si="208"/>
        <v>0</v>
      </c>
      <c r="DK48" s="580">
        <f t="shared" si="208"/>
        <v>0</v>
      </c>
      <c r="DL48" s="580">
        <f t="shared" si="208"/>
        <v>0</v>
      </c>
      <c r="DM48" s="580">
        <f>SUM(DM10:DM47)</f>
        <v>0</v>
      </c>
      <c r="DN48" s="580">
        <f>SUM(DN10:DN47)</f>
        <v>0</v>
      </c>
      <c r="DO48" s="580">
        <f>SUM(DO10:DO47)</f>
        <v>0</v>
      </c>
      <c r="DP48" s="580">
        <f>SUM(DP10:DP47)</f>
        <v>0</v>
      </c>
      <c r="DQ48" s="580">
        <f>SUM(DQ10:DQ47)</f>
        <v>0</v>
      </c>
      <c r="DR48" s="580">
        <f t="shared" si="208"/>
        <v>0</v>
      </c>
      <c r="DS48" s="580">
        <f t="shared" si="208"/>
        <v>24</v>
      </c>
      <c r="DT48" s="580">
        <f t="shared" si="208"/>
        <v>37</v>
      </c>
      <c r="DU48" s="580">
        <f t="shared" si="208"/>
        <v>12</v>
      </c>
      <c r="DV48" s="580">
        <f t="shared" si="208"/>
        <v>2</v>
      </c>
      <c r="DW48" s="580">
        <f t="shared" si="208"/>
        <v>0</v>
      </c>
      <c r="DX48" s="580">
        <f t="shared" si="208"/>
        <v>0</v>
      </c>
      <c r="DY48" s="580">
        <f t="shared" si="208"/>
        <v>0</v>
      </c>
      <c r="DZ48" s="580">
        <f t="shared" si="208"/>
        <v>0</v>
      </c>
      <c r="EA48" s="580">
        <f t="shared" si="208"/>
        <v>0</v>
      </c>
      <c r="EB48" s="580">
        <f>SUM(EB10:EB47)</f>
        <v>0</v>
      </c>
      <c r="EC48" s="580">
        <f>SUM(EC10:EC47)</f>
        <v>0</v>
      </c>
      <c r="ED48" s="580">
        <f>SUM(ED10:ED47)</f>
        <v>0</v>
      </c>
      <c r="EE48" s="580">
        <f>SUM(EE10:EE47)</f>
        <v>0</v>
      </c>
      <c r="EF48" s="580">
        <f>SUM(EF10:EF47)</f>
        <v>0</v>
      </c>
      <c r="EG48" s="580">
        <f t="shared" si="208"/>
        <v>0</v>
      </c>
      <c r="EH48" s="580">
        <f t="shared" si="208"/>
        <v>0</v>
      </c>
      <c r="EI48" s="580">
        <f t="shared" si="208"/>
        <v>0</v>
      </c>
      <c r="EJ48" s="580">
        <f t="shared" si="208"/>
        <v>0</v>
      </c>
      <c r="EK48" s="580">
        <f t="shared" si="208"/>
        <v>0</v>
      </c>
      <c r="EL48" s="580">
        <f t="shared" si="208"/>
        <v>0</v>
      </c>
      <c r="EM48" s="580">
        <f t="shared" si="208"/>
        <v>0</v>
      </c>
      <c r="EN48" s="580">
        <f t="shared" si="208"/>
        <v>0</v>
      </c>
      <c r="EO48" s="580">
        <f t="shared" si="208"/>
        <v>0</v>
      </c>
      <c r="EP48" s="580">
        <f t="shared" si="208"/>
        <v>0</v>
      </c>
      <c r="EQ48" s="580">
        <f>SUM(EQ10:EQ47)</f>
        <v>0</v>
      </c>
      <c r="ER48" s="580">
        <f>SUM(ER10:ER47)</f>
        <v>0</v>
      </c>
      <c r="ES48" s="580">
        <f>SUM(ES10:ES47)</f>
        <v>0</v>
      </c>
      <c r="ET48" s="580">
        <f>SUM(ET10:ET47)</f>
        <v>0</v>
      </c>
      <c r="EU48" s="580">
        <f>SUM(EU10:EU47)</f>
        <v>0</v>
      </c>
      <c r="EV48" s="580">
        <f t="shared" ref="EV48:GN48" si="209">SUM(EV10:EV47)</f>
        <v>0</v>
      </c>
      <c r="EW48" s="580">
        <f t="shared" si="209"/>
        <v>12</v>
      </c>
      <c r="EX48" s="580">
        <f t="shared" si="209"/>
        <v>0</v>
      </c>
      <c r="EY48" s="580">
        <f t="shared" si="209"/>
        <v>0</v>
      </c>
      <c r="EZ48" s="580">
        <f t="shared" si="209"/>
        <v>0</v>
      </c>
      <c r="FA48" s="580">
        <f t="shared" si="209"/>
        <v>0</v>
      </c>
      <c r="FB48" s="580">
        <f t="shared" si="209"/>
        <v>0</v>
      </c>
      <c r="FC48" s="580">
        <f t="shared" si="209"/>
        <v>0</v>
      </c>
      <c r="FD48" s="580">
        <f t="shared" si="209"/>
        <v>5</v>
      </c>
      <c r="FE48" s="580">
        <f t="shared" si="209"/>
        <v>2</v>
      </c>
      <c r="FF48" s="580">
        <f t="shared" si="209"/>
        <v>0</v>
      </c>
      <c r="FG48" s="580">
        <f t="shared" si="209"/>
        <v>0</v>
      </c>
      <c r="FH48" s="580">
        <f t="shared" si="209"/>
        <v>0</v>
      </c>
      <c r="FI48" s="580">
        <f t="shared" si="209"/>
        <v>0</v>
      </c>
      <c r="FJ48" s="580">
        <f t="shared" si="209"/>
        <v>0</v>
      </c>
      <c r="FK48" s="580">
        <f t="shared" si="209"/>
        <v>0</v>
      </c>
      <c r="FL48" s="580">
        <f t="shared" si="209"/>
        <v>12</v>
      </c>
      <c r="FM48" s="580">
        <f t="shared" si="209"/>
        <v>37</v>
      </c>
      <c r="FN48" s="580">
        <f t="shared" si="209"/>
        <v>7</v>
      </c>
      <c r="FO48" s="580">
        <f t="shared" si="209"/>
        <v>0</v>
      </c>
      <c r="FP48" s="580">
        <f t="shared" si="209"/>
        <v>0</v>
      </c>
      <c r="FQ48" s="580">
        <f t="shared" si="209"/>
        <v>0</v>
      </c>
      <c r="FR48" s="580">
        <f t="shared" si="209"/>
        <v>0</v>
      </c>
      <c r="FS48" s="580">
        <f t="shared" si="209"/>
        <v>0</v>
      </c>
      <c r="FT48" s="580">
        <f t="shared" si="209"/>
        <v>0</v>
      </c>
      <c r="FU48" s="580">
        <f t="shared" si="209"/>
        <v>0</v>
      </c>
      <c r="FV48" s="580">
        <f t="shared" si="209"/>
        <v>12</v>
      </c>
      <c r="FW48" s="580">
        <f t="shared" si="209"/>
        <v>0</v>
      </c>
      <c r="FX48" s="580">
        <f t="shared" si="209"/>
        <v>0</v>
      </c>
      <c r="FY48" s="580">
        <f t="shared" si="209"/>
        <v>0</v>
      </c>
      <c r="FZ48" s="580">
        <f t="shared" si="209"/>
        <v>0</v>
      </c>
      <c r="GA48" s="580">
        <f t="shared" si="209"/>
        <v>0</v>
      </c>
      <c r="GB48" s="580">
        <f t="shared" si="209"/>
        <v>0</v>
      </c>
      <c r="GC48" s="580">
        <f t="shared" si="209"/>
        <v>0</v>
      </c>
      <c r="GD48" s="580">
        <f t="shared" si="209"/>
        <v>0</v>
      </c>
      <c r="GE48" s="580">
        <f t="shared" si="209"/>
        <v>0</v>
      </c>
      <c r="GF48" s="580">
        <f t="shared" si="209"/>
        <v>0</v>
      </c>
      <c r="GG48" s="580">
        <f t="shared" si="209"/>
        <v>0</v>
      </c>
      <c r="GH48" s="580">
        <f t="shared" si="209"/>
        <v>0</v>
      </c>
      <c r="GI48" s="580">
        <f t="shared" si="209"/>
        <v>0</v>
      </c>
      <c r="GJ48" s="580">
        <f t="shared" si="209"/>
        <v>0</v>
      </c>
      <c r="GK48" s="580">
        <f t="shared" si="209"/>
        <v>0</v>
      </c>
      <c r="GL48" s="580">
        <f t="shared" si="209"/>
        <v>0</v>
      </c>
      <c r="GM48" s="580">
        <f t="shared" si="209"/>
        <v>0</v>
      </c>
      <c r="GN48" s="580">
        <f t="shared" si="209"/>
        <v>0</v>
      </c>
      <c r="GO48" s="580">
        <f t="shared" ref="GO48:HM48" si="210">SUM(GO10:GO47)</f>
        <v>0</v>
      </c>
      <c r="GP48" s="580">
        <f t="shared" si="210"/>
        <v>0</v>
      </c>
      <c r="GQ48" s="580">
        <f t="shared" si="210"/>
        <v>0</v>
      </c>
      <c r="GR48" s="580">
        <f t="shared" si="210"/>
        <v>0</v>
      </c>
      <c r="GS48" s="580">
        <f t="shared" si="210"/>
        <v>0</v>
      </c>
      <c r="GT48" s="580">
        <f t="shared" si="210"/>
        <v>0</v>
      </c>
      <c r="GU48" s="580">
        <f t="shared" si="210"/>
        <v>0</v>
      </c>
      <c r="GV48" s="580">
        <f t="shared" si="210"/>
        <v>0</v>
      </c>
      <c r="GW48" s="580">
        <f t="shared" si="210"/>
        <v>0</v>
      </c>
      <c r="GX48" s="580">
        <f t="shared" si="210"/>
        <v>0</v>
      </c>
      <c r="GY48" s="580">
        <f t="shared" si="210"/>
        <v>0</v>
      </c>
      <c r="GZ48" s="580">
        <f t="shared" si="210"/>
        <v>0</v>
      </c>
      <c r="HA48" s="580">
        <f t="shared" si="210"/>
        <v>0</v>
      </c>
      <c r="HB48" s="580">
        <f t="shared" si="210"/>
        <v>0</v>
      </c>
      <c r="HC48" s="580">
        <f t="shared" si="210"/>
        <v>0</v>
      </c>
      <c r="HD48" s="580">
        <f t="shared" si="210"/>
        <v>0</v>
      </c>
      <c r="HE48" s="580">
        <f t="shared" si="210"/>
        <v>0</v>
      </c>
      <c r="HF48" s="580">
        <f t="shared" si="210"/>
        <v>0</v>
      </c>
      <c r="HG48" s="580">
        <f t="shared" si="210"/>
        <v>0</v>
      </c>
      <c r="HH48" s="580">
        <f t="shared" si="210"/>
        <v>0</v>
      </c>
      <c r="HI48" s="580">
        <f t="shared" si="210"/>
        <v>0</v>
      </c>
      <c r="HJ48" s="580">
        <f t="shared" si="210"/>
        <v>0</v>
      </c>
      <c r="HK48" s="580">
        <f t="shared" si="210"/>
        <v>0</v>
      </c>
      <c r="HL48" s="580">
        <f t="shared" si="210"/>
        <v>0</v>
      </c>
      <c r="HM48" s="580">
        <f t="shared" si="210"/>
        <v>0</v>
      </c>
    </row>
    <row r="49" spans="1:221" ht="14.45" customHeight="1">
      <c r="A49" s="96"/>
      <c r="B49" s="6"/>
      <c r="D49" s="17"/>
      <c r="E49" s="196"/>
      <c r="F49" s="196"/>
      <c r="G49" s="141"/>
      <c r="H49" s="141"/>
      <c r="I49" s="141"/>
      <c r="J49" s="141"/>
      <c r="K49" s="17" t="s">
        <v>868</v>
      </c>
      <c r="L49" s="147">
        <f>L48*12</f>
        <v>503652</v>
      </c>
      <c r="M49" s="1"/>
      <c r="N49" s="40"/>
      <c r="O49" s="105"/>
      <c r="P49" s="105"/>
      <c r="Q49" s="105"/>
      <c r="R49" s="105"/>
      <c r="S49" s="105"/>
      <c r="T49" s="105"/>
      <c r="U49" s="359"/>
      <c r="V49" s="580"/>
      <c r="W49" s="580"/>
      <c r="X49" s="580"/>
      <c r="Y49" s="580"/>
      <c r="Z49" s="580"/>
      <c r="AA49" s="580"/>
      <c r="AB49" s="580"/>
      <c r="AC49" s="580"/>
      <c r="AD49" s="580"/>
      <c r="AE49" s="580"/>
      <c r="AF49" s="580"/>
      <c r="AG49" s="580"/>
      <c r="AH49" s="580"/>
      <c r="AI49" s="580"/>
      <c r="AJ49" s="580"/>
      <c r="AK49" s="580"/>
      <c r="AL49" s="580"/>
      <c r="AM49" s="580"/>
      <c r="AN49" s="580"/>
      <c r="AO49" s="580"/>
      <c r="AP49" s="580"/>
      <c r="AQ49" s="580"/>
      <c r="AR49" s="580"/>
      <c r="AS49" s="580"/>
      <c r="AT49" s="580"/>
      <c r="AU49" s="580"/>
      <c r="AV49" s="580"/>
      <c r="AW49" s="580"/>
      <c r="AX49" s="580"/>
      <c r="AY49" s="580"/>
      <c r="AZ49" s="580"/>
      <c r="BA49" s="580"/>
      <c r="BB49" s="580"/>
      <c r="BC49" s="580"/>
      <c r="BD49" s="580"/>
      <c r="BE49" s="580"/>
      <c r="BF49" s="580"/>
      <c r="BG49" s="580"/>
      <c r="BH49" s="580"/>
      <c r="BI49" s="580"/>
      <c r="BJ49" s="580"/>
      <c r="BK49" s="580"/>
      <c r="BL49" s="580"/>
      <c r="BM49" s="580"/>
      <c r="BN49" s="580"/>
      <c r="BO49" s="580"/>
      <c r="BP49" s="580"/>
      <c r="BQ49" s="580"/>
      <c r="BR49" s="580"/>
      <c r="BS49" s="580"/>
      <c r="BT49" s="580"/>
      <c r="BU49" s="580"/>
      <c r="BV49" s="580"/>
      <c r="BW49" s="580"/>
      <c r="BX49" s="580"/>
      <c r="BY49" s="580"/>
      <c r="BZ49" s="580"/>
      <c r="CA49" s="580"/>
      <c r="CB49" s="580"/>
      <c r="CC49" s="580"/>
      <c r="CD49" s="580"/>
      <c r="CE49" s="580"/>
      <c r="CF49" s="580"/>
      <c r="CG49" s="580"/>
      <c r="CH49" s="580"/>
      <c r="CI49" s="580"/>
      <c r="CJ49" s="580"/>
      <c r="CK49" s="580"/>
      <c r="CL49" s="580"/>
      <c r="CM49" s="580"/>
      <c r="CN49" s="580"/>
      <c r="CO49" s="580"/>
      <c r="CP49" s="580"/>
      <c r="CQ49" s="580"/>
      <c r="CR49" s="580"/>
      <c r="CS49" s="580"/>
      <c r="CT49" s="580"/>
      <c r="CU49" s="580"/>
      <c r="CV49" s="580"/>
      <c r="CW49" s="580"/>
      <c r="CX49" s="580"/>
      <c r="CY49" s="580"/>
      <c r="CZ49" s="580"/>
      <c r="DA49" s="580"/>
      <c r="DB49" s="580"/>
      <c r="DC49" s="580"/>
      <c r="DD49" s="580"/>
      <c r="DE49" s="580"/>
      <c r="DF49" s="580"/>
      <c r="DG49" s="580"/>
      <c r="DH49" s="580"/>
      <c r="DI49" s="580"/>
      <c r="DJ49" s="580"/>
      <c r="DK49" s="580"/>
      <c r="DL49" s="580"/>
      <c r="DM49" s="580"/>
      <c r="DN49" s="580"/>
      <c r="DO49" s="580"/>
      <c r="DP49" s="580"/>
      <c r="DQ49" s="580"/>
      <c r="DR49" s="580"/>
      <c r="DS49" s="580"/>
      <c r="DT49" s="580"/>
      <c r="DU49" s="580"/>
      <c r="DV49" s="580"/>
      <c r="DW49" s="580"/>
      <c r="DX49" s="580"/>
      <c r="DY49" s="580"/>
      <c r="DZ49" s="580"/>
      <c r="EA49" s="580"/>
      <c r="EB49" s="580"/>
      <c r="EC49" s="580"/>
      <c r="ED49" s="580"/>
      <c r="EE49" s="580"/>
      <c r="EF49" s="580"/>
      <c r="EG49" s="580"/>
      <c r="EH49" s="580"/>
      <c r="EI49" s="580"/>
      <c r="EJ49" s="580"/>
      <c r="EK49" s="580"/>
      <c r="EL49" s="580"/>
      <c r="EM49" s="580"/>
      <c r="EN49" s="580"/>
      <c r="EO49" s="580"/>
      <c r="EP49" s="580"/>
      <c r="EQ49" s="580"/>
      <c r="ER49" s="580"/>
      <c r="ES49" s="580"/>
      <c r="ET49" s="580"/>
      <c r="EU49" s="580"/>
      <c r="EV49" s="580"/>
      <c r="EW49" s="580"/>
      <c r="EX49" s="580"/>
      <c r="EY49" s="580"/>
      <c r="EZ49" s="580"/>
      <c r="FA49" s="580"/>
      <c r="FB49" s="580"/>
      <c r="FC49" s="580"/>
      <c r="FD49" s="580"/>
      <c r="FE49" s="580"/>
      <c r="FF49" s="580"/>
      <c r="FG49" s="580"/>
      <c r="FH49" s="580"/>
      <c r="FI49" s="580"/>
      <c r="FJ49" s="580"/>
      <c r="FK49" s="580"/>
      <c r="FL49" s="580"/>
      <c r="FM49" s="580"/>
      <c r="FN49" s="580"/>
      <c r="FO49" s="580"/>
      <c r="FP49" s="580"/>
      <c r="FQ49" s="580"/>
      <c r="FR49" s="580"/>
      <c r="FS49" s="580"/>
      <c r="FT49" s="580"/>
      <c r="FU49" s="580"/>
      <c r="FV49" s="580"/>
      <c r="FW49" s="580"/>
      <c r="FX49" s="580"/>
      <c r="FY49" s="580"/>
      <c r="FZ49" s="580"/>
      <c r="GA49" s="580"/>
      <c r="GB49" s="580"/>
      <c r="GC49" s="580"/>
      <c r="GD49" s="580"/>
      <c r="GE49" s="580"/>
      <c r="GF49" s="580"/>
      <c r="GG49" s="580"/>
      <c r="GH49" s="580"/>
      <c r="GI49" s="580"/>
      <c r="GJ49" s="580"/>
      <c r="GK49" s="580"/>
      <c r="GL49" s="580"/>
      <c r="GM49" s="580"/>
      <c r="GN49" s="580"/>
      <c r="GO49" s="580"/>
      <c r="GP49" s="580"/>
      <c r="GQ49" s="580"/>
      <c r="GR49" s="580"/>
      <c r="GS49" s="580"/>
      <c r="GT49" s="580"/>
      <c r="GU49" s="580"/>
      <c r="GV49" s="580"/>
      <c r="GW49" s="580"/>
      <c r="GX49" s="580"/>
      <c r="GY49" s="580"/>
      <c r="GZ49" s="580"/>
      <c r="HA49" s="580"/>
      <c r="HB49" s="580"/>
      <c r="HC49" s="580"/>
      <c r="HD49" s="580"/>
      <c r="HE49" s="580"/>
      <c r="HF49" s="580"/>
      <c r="HG49" s="580"/>
      <c r="HH49" s="580"/>
      <c r="HI49" s="580"/>
      <c r="HJ49" s="580"/>
      <c r="HK49" s="580"/>
      <c r="HL49" s="580"/>
      <c r="HM49" s="580"/>
    </row>
    <row r="50" spans="1:221" ht="3" customHeight="1">
      <c r="A50" s="484"/>
      <c r="B50" s="6"/>
      <c r="D50" s="17"/>
      <c r="E50" s="196"/>
      <c r="F50" s="196"/>
      <c r="G50" s="141"/>
      <c r="H50" s="141"/>
      <c r="I50" s="141"/>
      <c r="J50" s="141"/>
      <c r="K50" s="17"/>
      <c r="L50" s="196"/>
      <c r="M50" s="1"/>
      <c r="N50" s="40"/>
      <c r="O50" s="105"/>
      <c r="P50" s="105"/>
      <c r="Q50" s="105"/>
      <c r="R50" s="105"/>
      <c r="S50" s="105"/>
      <c r="T50" s="105"/>
      <c r="U50" s="359"/>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580"/>
      <c r="AU50" s="580"/>
      <c r="AV50" s="580"/>
      <c r="AW50" s="580"/>
      <c r="AX50" s="580"/>
      <c r="AY50" s="580"/>
      <c r="AZ50" s="580"/>
      <c r="BA50" s="580"/>
      <c r="BB50" s="580"/>
      <c r="BC50" s="580"/>
      <c r="BD50" s="580"/>
      <c r="BE50" s="580"/>
      <c r="BF50" s="580"/>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c r="CD50" s="580"/>
      <c r="CE50" s="580"/>
      <c r="CF50" s="580"/>
      <c r="CG50" s="580"/>
      <c r="CH50" s="580"/>
      <c r="CI50" s="580"/>
      <c r="CJ50" s="580"/>
      <c r="CK50" s="580"/>
      <c r="CL50" s="580"/>
      <c r="CM50" s="580"/>
      <c r="CN50" s="580"/>
      <c r="CO50" s="580"/>
      <c r="CP50" s="580"/>
      <c r="CQ50" s="580"/>
      <c r="CR50" s="580"/>
      <c r="CS50" s="580"/>
      <c r="CT50" s="580"/>
      <c r="CU50" s="580"/>
      <c r="CV50" s="580"/>
      <c r="CW50" s="580"/>
      <c r="CX50" s="580"/>
      <c r="CY50" s="580"/>
      <c r="CZ50" s="580"/>
      <c r="DA50" s="580"/>
      <c r="DB50" s="580"/>
      <c r="DC50" s="580"/>
      <c r="DD50" s="580"/>
      <c r="DE50" s="580"/>
      <c r="DF50" s="580"/>
      <c r="DG50" s="580"/>
      <c r="DH50" s="580"/>
      <c r="DI50" s="580"/>
      <c r="DJ50" s="580"/>
      <c r="DK50" s="580"/>
      <c r="DL50" s="580"/>
      <c r="DM50" s="580"/>
      <c r="DN50" s="580"/>
      <c r="DO50" s="580"/>
      <c r="DP50" s="580"/>
      <c r="DQ50" s="580"/>
      <c r="DR50" s="580"/>
      <c r="DS50" s="580"/>
      <c r="DT50" s="580"/>
      <c r="DU50" s="580"/>
      <c r="DV50" s="580"/>
      <c r="DW50" s="580"/>
      <c r="DX50" s="580"/>
      <c r="DY50" s="580"/>
      <c r="DZ50" s="580"/>
      <c r="EA50" s="580"/>
      <c r="EB50" s="580"/>
      <c r="EC50" s="580"/>
      <c r="ED50" s="580"/>
      <c r="EE50" s="580"/>
      <c r="EF50" s="580"/>
      <c r="EG50" s="580"/>
      <c r="EH50" s="580"/>
      <c r="EI50" s="580"/>
      <c r="EJ50" s="580"/>
      <c r="EK50" s="580"/>
      <c r="EL50" s="580"/>
      <c r="EM50" s="580"/>
      <c r="EN50" s="580"/>
      <c r="EO50" s="580"/>
      <c r="EP50" s="580"/>
      <c r="EQ50" s="580"/>
      <c r="ER50" s="580"/>
      <c r="ES50" s="580"/>
      <c r="ET50" s="580"/>
      <c r="EU50" s="580"/>
      <c r="EV50" s="580"/>
      <c r="EW50" s="580"/>
      <c r="EX50" s="580"/>
      <c r="EY50" s="580"/>
      <c r="EZ50" s="580"/>
      <c r="FA50" s="580"/>
      <c r="FB50" s="580"/>
      <c r="FC50" s="580"/>
      <c r="FD50" s="580"/>
      <c r="FE50" s="580"/>
      <c r="FF50" s="580"/>
      <c r="FG50" s="580"/>
      <c r="FH50" s="580"/>
      <c r="FI50" s="580"/>
      <c r="FJ50" s="580"/>
      <c r="FK50" s="580"/>
      <c r="FL50" s="580"/>
      <c r="FM50" s="580"/>
      <c r="FN50" s="580"/>
      <c r="FO50" s="580"/>
      <c r="FP50" s="580"/>
      <c r="FQ50" s="580"/>
      <c r="FR50" s="580"/>
      <c r="FS50" s="580"/>
      <c r="FT50" s="580"/>
      <c r="FU50" s="580"/>
      <c r="FV50" s="580"/>
      <c r="FW50" s="580"/>
      <c r="FX50" s="580"/>
      <c r="FY50" s="580"/>
      <c r="FZ50" s="580"/>
      <c r="GA50" s="580"/>
      <c r="GB50" s="580"/>
      <c r="GC50" s="580"/>
      <c r="GD50" s="580"/>
      <c r="GE50" s="580"/>
      <c r="GF50" s="580"/>
      <c r="GG50" s="580"/>
      <c r="GH50" s="580"/>
      <c r="GI50" s="580"/>
      <c r="GJ50" s="580"/>
      <c r="GK50" s="580"/>
      <c r="GL50" s="580"/>
      <c r="GM50" s="580"/>
      <c r="GN50" s="580"/>
      <c r="GO50" s="580"/>
      <c r="GP50" s="580"/>
      <c r="GQ50" s="580"/>
      <c r="GR50" s="580"/>
      <c r="GS50" s="580"/>
      <c r="GT50" s="580"/>
      <c r="GU50" s="580"/>
      <c r="GV50" s="580"/>
      <c r="GW50" s="580"/>
      <c r="GX50" s="580"/>
      <c r="GY50" s="580"/>
      <c r="GZ50" s="580"/>
      <c r="HA50" s="580"/>
      <c r="HB50" s="580"/>
      <c r="HC50" s="580"/>
      <c r="HD50" s="580"/>
      <c r="HE50" s="580"/>
      <c r="HF50" s="580"/>
      <c r="HG50" s="580"/>
      <c r="HH50" s="580"/>
      <c r="HI50" s="580"/>
      <c r="HJ50" s="580"/>
      <c r="HK50" s="580"/>
      <c r="HL50" s="580"/>
      <c r="HM50" s="580"/>
    </row>
    <row r="51" spans="1:221" ht="12" customHeight="1">
      <c r="A51" s="1403" t="s">
        <v>2804</v>
      </c>
      <c r="B51" s="1764"/>
      <c r="C51" s="1764"/>
      <c r="D51" s="1764"/>
      <c r="E51" s="1764"/>
      <c r="F51" s="1764"/>
      <c r="G51" s="1764"/>
      <c r="H51" s="1764"/>
      <c r="I51" s="1764"/>
      <c r="J51" s="1764"/>
      <c r="K51" s="1764"/>
      <c r="L51" s="1764"/>
      <c r="M51" s="1764"/>
      <c r="N51" s="1764"/>
      <c r="O51" s="1764"/>
      <c r="P51" s="1764"/>
      <c r="Q51" s="105"/>
      <c r="R51" s="105"/>
      <c r="S51" s="105"/>
      <c r="T51" s="105"/>
      <c r="U51" s="359"/>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580"/>
      <c r="AU51" s="580"/>
      <c r="AV51" s="580"/>
      <c r="AW51" s="580"/>
      <c r="AX51" s="580"/>
      <c r="AY51" s="580"/>
      <c r="AZ51" s="580"/>
      <c r="BA51" s="580"/>
      <c r="BB51" s="580"/>
      <c r="BC51" s="580"/>
      <c r="BD51" s="580"/>
      <c r="BE51" s="580"/>
      <c r="BF51" s="580"/>
      <c r="BG51" s="580"/>
      <c r="BH51" s="580"/>
      <c r="BI51" s="580"/>
      <c r="BJ51" s="580"/>
      <c r="BK51" s="580"/>
      <c r="BL51" s="580"/>
      <c r="BM51" s="580"/>
      <c r="BN51" s="580"/>
      <c r="BO51" s="580"/>
      <c r="BP51" s="580"/>
      <c r="BQ51" s="580"/>
      <c r="BR51" s="580"/>
      <c r="BS51" s="580"/>
      <c r="BT51" s="580"/>
      <c r="BU51" s="580"/>
      <c r="BV51" s="580"/>
      <c r="BW51" s="580"/>
      <c r="BX51" s="580"/>
      <c r="BY51" s="580"/>
      <c r="BZ51" s="580"/>
      <c r="CA51" s="580"/>
      <c r="CB51" s="580"/>
      <c r="CC51" s="580"/>
      <c r="CD51" s="580"/>
      <c r="CE51" s="580"/>
      <c r="CF51" s="580"/>
      <c r="CG51" s="580"/>
      <c r="CH51" s="580"/>
      <c r="CI51" s="580"/>
      <c r="CJ51" s="580"/>
      <c r="CK51" s="580"/>
      <c r="CL51" s="580"/>
      <c r="CM51" s="580"/>
      <c r="CN51" s="580"/>
      <c r="CO51" s="580"/>
      <c r="CP51" s="580"/>
      <c r="CQ51" s="580"/>
      <c r="CR51" s="580"/>
      <c r="CS51" s="580"/>
      <c r="CT51" s="580"/>
      <c r="CU51" s="580"/>
      <c r="CV51" s="580"/>
      <c r="CW51" s="580"/>
      <c r="CX51" s="580"/>
      <c r="CY51" s="580"/>
      <c r="CZ51" s="580"/>
      <c r="DA51" s="580"/>
      <c r="DB51" s="580"/>
      <c r="DC51" s="580"/>
      <c r="DD51" s="580"/>
      <c r="DE51" s="580"/>
      <c r="DF51" s="580"/>
      <c r="DG51" s="580"/>
      <c r="DH51" s="580"/>
      <c r="DI51" s="580"/>
      <c r="DJ51" s="580"/>
      <c r="DK51" s="580"/>
      <c r="DL51" s="580"/>
      <c r="DM51" s="580"/>
      <c r="DN51" s="580"/>
      <c r="DO51" s="580"/>
      <c r="DP51" s="580"/>
      <c r="DQ51" s="580"/>
      <c r="DR51" s="580"/>
      <c r="DS51" s="580"/>
      <c r="DT51" s="580"/>
      <c r="DU51" s="580"/>
      <c r="DV51" s="580"/>
      <c r="DW51" s="580"/>
      <c r="DX51" s="580"/>
      <c r="DY51" s="580"/>
      <c r="DZ51" s="580"/>
      <c r="EA51" s="580"/>
      <c r="EB51" s="580"/>
      <c r="EC51" s="580"/>
      <c r="ED51" s="580"/>
      <c r="EE51" s="580"/>
      <c r="EF51" s="580"/>
      <c r="EG51" s="580"/>
      <c r="EH51" s="580"/>
      <c r="EI51" s="580"/>
      <c r="EJ51" s="580"/>
      <c r="EK51" s="580"/>
      <c r="EL51" s="580"/>
      <c r="EM51" s="580"/>
      <c r="EN51" s="580"/>
      <c r="EO51" s="580"/>
      <c r="EP51" s="580"/>
      <c r="EQ51" s="580"/>
      <c r="ER51" s="580"/>
      <c r="ES51" s="580"/>
      <c r="ET51" s="580"/>
      <c r="EU51" s="580"/>
      <c r="EV51" s="580"/>
      <c r="EW51" s="580"/>
      <c r="EX51" s="580"/>
      <c r="EY51" s="580"/>
      <c r="EZ51" s="580"/>
      <c r="FA51" s="580"/>
      <c r="FB51" s="580"/>
      <c r="FC51" s="580"/>
      <c r="FD51" s="580"/>
      <c r="FE51" s="580"/>
      <c r="FF51" s="580"/>
      <c r="FG51" s="580"/>
      <c r="FH51" s="580"/>
      <c r="FI51" s="580"/>
      <c r="FJ51" s="580"/>
      <c r="FK51" s="580"/>
      <c r="FL51" s="580"/>
      <c r="FM51" s="580"/>
      <c r="FN51" s="580"/>
      <c r="FO51" s="580"/>
      <c r="FP51" s="580"/>
      <c r="FQ51" s="580"/>
      <c r="FR51" s="580"/>
      <c r="FS51" s="580"/>
      <c r="FT51" s="580"/>
      <c r="FU51" s="580"/>
      <c r="FV51" s="580"/>
      <c r="FW51" s="580"/>
      <c r="FX51" s="580"/>
      <c r="FY51" s="580"/>
      <c r="FZ51" s="580"/>
      <c r="GA51" s="580"/>
      <c r="GB51" s="580"/>
      <c r="GC51" s="580"/>
      <c r="GD51" s="580"/>
      <c r="GE51" s="580"/>
      <c r="GF51" s="580"/>
      <c r="GG51" s="580"/>
      <c r="GH51" s="580"/>
      <c r="GI51" s="580"/>
      <c r="GJ51" s="580"/>
      <c r="GK51" s="580"/>
      <c r="GL51" s="580"/>
      <c r="GM51" s="580"/>
      <c r="GN51" s="580"/>
      <c r="GO51" s="580"/>
      <c r="GP51" s="580"/>
      <c r="GQ51" s="580"/>
      <c r="GR51" s="580"/>
      <c r="GS51" s="580"/>
      <c r="GT51" s="580"/>
      <c r="GU51" s="580"/>
      <c r="GV51" s="580"/>
      <c r="GW51" s="580"/>
      <c r="GX51" s="580"/>
      <c r="GY51" s="580"/>
      <c r="GZ51" s="580"/>
      <c r="HA51" s="580"/>
      <c r="HB51" s="580"/>
      <c r="HC51" s="580"/>
      <c r="HD51" s="580"/>
      <c r="HE51" s="580"/>
      <c r="HF51" s="580"/>
      <c r="HG51" s="580"/>
      <c r="HH51" s="580"/>
      <c r="HI51" s="580"/>
      <c r="HJ51" s="580"/>
      <c r="HK51" s="580"/>
      <c r="HL51" s="580"/>
      <c r="HM51" s="580"/>
    </row>
    <row r="52" spans="1:221" ht="12" customHeight="1">
      <c r="A52" s="1764"/>
      <c r="B52" s="1764"/>
      <c r="C52" s="1764"/>
      <c r="D52" s="1764"/>
      <c r="E52" s="1764"/>
      <c r="F52" s="1764"/>
      <c r="G52" s="1764"/>
      <c r="H52" s="1764"/>
      <c r="I52" s="1764"/>
      <c r="J52" s="1764"/>
      <c r="K52" s="1764"/>
      <c r="L52" s="1764"/>
      <c r="M52" s="1764"/>
      <c r="N52" s="1764"/>
      <c r="O52" s="1764"/>
      <c r="P52" s="1764"/>
      <c r="Q52" s="105"/>
      <c r="R52" s="105"/>
      <c r="S52" s="105"/>
      <c r="T52" s="105"/>
      <c r="U52" s="359"/>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0"/>
      <c r="AU52" s="580"/>
      <c r="AV52" s="580"/>
      <c r="AW52" s="580"/>
      <c r="AX52" s="580"/>
      <c r="AY52" s="580"/>
      <c r="AZ52" s="580"/>
      <c r="BA52" s="580"/>
      <c r="BB52" s="580"/>
      <c r="BC52" s="580"/>
      <c r="BD52" s="580"/>
      <c r="BE52" s="580"/>
      <c r="BF52" s="580"/>
      <c r="BG52" s="580"/>
      <c r="BH52" s="580"/>
      <c r="BI52" s="580"/>
      <c r="BJ52" s="580"/>
      <c r="BK52" s="580"/>
      <c r="BL52" s="580"/>
      <c r="BM52" s="580"/>
      <c r="BN52" s="580"/>
      <c r="BO52" s="580"/>
      <c r="BP52" s="580"/>
      <c r="BQ52" s="580"/>
      <c r="BR52" s="580"/>
      <c r="BS52" s="580"/>
      <c r="BT52" s="580"/>
      <c r="BU52" s="580"/>
      <c r="BV52" s="580"/>
      <c r="BW52" s="580"/>
      <c r="BX52" s="580"/>
      <c r="BY52" s="580"/>
      <c r="BZ52" s="580"/>
      <c r="CA52" s="580"/>
      <c r="CB52" s="580"/>
      <c r="CC52" s="580"/>
      <c r="CD52" s="580"/>
      <c r="CE52" s="580"/>
      <c r="CF52" s="580"/>
      <c r="CG52" s="580"/>
      <c r="CH52" s="580"/>
      <c r="CI52" s="580"/>
      <c r="CJ52" s="580"/>
      <c r="CK52" s="580"/>
      <c r="CL52" s="580"/>
      <c r="CM52" s="580"/>
      <c r="CN52" s="580"/>
      <c r="CO52" s="580"/>
      <c r="CP52" s="580"/>
      <c r="CQ52" s="580"/>
      <c r="CR52" s="580"/>
      <c r="CS52" s="580"/>
      <c r="CT52" s="580"/>
      <c r="CU52" s="580"/>
      <c r="CV52" s="580"/>
      <c r="CW52" s="580"/>
      <c r="CX52" s="580"/>
      <c r="CY52" s="580"/>
      <c r="CZ52" s="580"/>
      <c r="DA52" s="580"/>
      <c r="DB52" s="580"/>
      <c r="DC52" s="580"/>
      <c r="DD52" s="580"/>
      <c r="DE52" s="580"/>
      <c r="DF52" s="580"/>
      <c r="DG52" s="580"/>
      <c r="DH52" s="580"/>
      <c r="DI52" s="580"/>
      <c r="DJ52" s="580"/>
      <c r="DK52" s="580"/>
      <c r="DL52" s="580"/>
      <c r="DM52" s="580"/>
      <c r="DN52" s="580"/>
      <c r="DO52" s="580"/>
      <c r="DP52" s="580"/>
      <c r="DQ52" s="580"/>
      <c r="DR52" s="580"/>
      <c r="DS52" s="580"/>
      <c r="DT52" s="580"/>
      <c r="DU52" s="580"/>
      <c r="DV52" s="580"/>
      <c r="DW52" s="580"/>
      <c r="DX52" s="580"/>
      <c r="DY52" s="580"/>
      <c r="DZ52" s="580"/>
      <c r="EA52" s="580"/>
      <c r="EB52" s="580"/>
      <c r="EC52" s="580"/>
      <c r="ED52" s="580"/>
      <c r="EE52" s="580"/>
      <c r="EF52" s="580"/>
      <c r="EG52" s="580"/>
      <c r="EH52" s="580"/>
      <c r="EI52" s="580"/>
      <c r="EJ52" s="580"/>
      <c r="EK52" s="580"/>
      <c r="EL52" s="580"/>
      <c r="EM52" s="580"/>
      <c r="EN52" s="580"/>
      <c r="EO52" s="580"/>
      <c r="EP52" s="580"/>
      <c r="EQ52" s="580"/>
      <c r="ER52" s="580"/>
      <c r="ES52" s="580"/>
      <c r="ET52" s="580"/>
      <c r="EU52" s="580"/>
      <c r="EV52" s="580"/>
      <c r="EW52" s="580"/>
      <c r="EX52" s="580"/>
      <c r="EY52" s="580"/>
      <c r="EZ52" s="580"/>
      <c r="FA52" s="580"/>
      <c r="FB52" s="580"/>
      <c r="FC52" s="580"/>
      <c r="FD52" s="580"/>
      <c r="FE52" s="580"/>
      <c r="FF52" s="580"/>
      <c r="FG52" s="580"/>
      <c r="FH52" s="580"/>
      <c r="FI52" s="580"/>
      <c r="FJ52" s="580"/>
      <c r="FK52" s="580"/>
      <c r="FL52" s="580"/>
      <c r="FM52" s="580"/>
      <c r="FN52" s="580"/>
      <c r="FO52" s="580"/>
      <c r="FP52" s="580"/>
      <c r="FQ52" s="580"/>
      <c r="FR52" s="580"/>
      <c r="FS52" s="580"/>
      <c r="FT52" s="580"/>
      <c r="FU52" s="580"/>
      <c r="FV52" s="580"/>
      <c r="FW52" s="580"/>
      <c r="FX52" s="580"/>
      <c r="FY52" s="580"/>
      <c r="FZ52" s="580"/>
      <c r="GA52" s="580"/>
      <c r="GB52" s="580"/>
      <c r="GC52" s="580"/>
      <c r="GD52" s="580"/>
      <c r="GE52" s="580"/>
      <c r="GF52" s="580"/>
      <c r="GG52" s="580"/>
      <c r="GH52" s="580"/>
      <c r="GI52" s="580"/>
      <c r="GJ52" s="580"/>
      <c r="GK52" s="580"/>
      <c r="GL52" s="580"/>
      <c r="GM52" s="580"/>
      <c r="GN52" s="580"/>
      <c r="GO52" s="580"/>
      <c r="GP52" s="580"/>
      <c r="GQ52" s="580"/>
      <c r="GR52" s="580"/>
      <c r="GS52" s="580"/>
      <c r="GT52" s="580"/>
      <c r="GU52" s="580"/>
      <c r="GV52" s="580"/>
      <c r="GW52" s="580"/>
      <c r="GX52" s="580"/>
      <c r="GY52" s="580"/>
      <c r="GZ52" s="580"/>
      <c r="HA52" s="580"/>
      <c r="HB52" s="580"/>
      <c r="HC52" s="580"/>
      <c r="HD52" s="580"/>
      <c r="HE52" s="580"/>
      <c r="HF52" s="580"/>
      <c r="HG52" s="580"/>
      <c r="HH52" s="580"/>
      <c r="HI52" s="580"/>
      <c r="HJ52" s="580"/>
      <c r="HK52" s="580"/>
      <c r="HL52" s="580"/>
      <c r="HM52" s="580"/>
    </row>
    <row r="53" spans="1:221" ht="14.45" customHeight="1">
      <c r="A53" s="16" t="s">
        <v>790</v>
      </c>
      <c r="B53" s="16" t="s">
        <v>567</v>
      </c>
      <c r="O53" s="96"/>
      <c r="Q53" s="1398" t="str">
        <f>IF(SUM(Q56:Q100)&gt;0,"ERROR Between Rent Schedule &amp; Unit Summary:", "")</f>
        <v>ERROR Between Rent Schedule &amp; Unit Summary:</v>
      </c>
      <c r="R53" s="1156"/>
      <c r="S53" s="1156"/>
      <c r="T53" s="5" t="str">
        <f>B53</f>
        <v>UNIT SUMMARY</v>
      </c>
      <c r="U53" s="500" t="s">
        <v>567</v>
      </c>
      <c r="V53" s="1178"/>
      <c r="W53" s="1178"/>
      <c r="X53" s="1178"/>
      <c r="Y53" s="1178"/>
      <c r="Z53" s="1178"/>
      <c r="AA53" s="1178"/>
      <c r="AB53" s="1178"/>
      <c r="AC53" s="1178"/>
      <c r="AD53" s="1178"/>
      <c r="AE53" s="1178"/>
      <c r="AF53" s="1178"/>
      <c r="AG53" s="1178"/>
      <c r="AH53" s="570"/>
      <c r="GW53" s="581"/>
      <c r="HL53" s="568"/>
    </row>
    <row r="54" spans="1:221" ht="3" customHeight="1">
      <c r="A54" s="16"/>
      <c r="B54" s="16"/>
      <c r="O54" s="96"/>
      <c r="Q54" s="1399"/>
      <c r="R54" s="1157"/>
      <c r="S54" s="1157"/>
      <c r="T54" s="150"/>
      <c r="U54" s="500"/>
      <c r="V54" s="1178"/>
      <c r="W54" s="1178"/>
      <c r="X54" s="1178"/>
      <c r="Y54" s="1178"/>
      <c r="Z54" s="1178"/>
      <c r="AA54" s="1178"/>
      <c r="AB54" s="1178"/>
      <c r="AC54" s="1178"/>
      <c r="AD54" s="1178"/>
      <c r="AE54" s="1178"/>
      <c r="AF54" s="1178"/>
      <c r="AG54" s="1178"/>
      <c r="AH54" s="570"/>
      <c r="GW54" s="581"/>
      <c r="HL54" s="568"/>
    </row>
    <row r="55" spans="1:221" ht="14.45" customHeight="1">
      <c r="A55" s="16"/>
      <c r="B55" s="16" t="s">
        <v>1204</v>
      </c>
      <c r="H55" s="142" t="s">
        <v>601</v>
      </c>
      <c r="I55" s="142" t="s">
        <v>568</v>
      </c>
      <c r="J55" s="142" t="s">
        <v>569</v>
      </c>
      <c r="K55" s="142" t="s">
        <v>570</v>
      </c>
      <c r="L55" s="142" t="s">
        <v>571</v>
      </c>
      <c r="M55" s="142" t="s">
        <v>572</v>
      </c>
      <c r="O55" s="96"/>
      <c r="Q55" s="1399"/>
      <c r="R55" s="1157"/>
      <c r="S55" s="1157"/>
      <c r="T55" s="1260" t="s">
        <v>1974</v>
      </c>
      <c r="U55" s="1260"/>
      <c r="V55" s="1178"/>
      <c r="W55" s="1178"/>
      <c r="X55" s="1178"/>
      <c r="Y55" s="1178"/>
      <c r="Z55" s="1178"/>
      <c r="AA55" s="582"/>
      <c r="AB55" s="582"/>
      <c r="AC55" s="582"/>
      <c r="AD55" s="582"/>
      <c r="AE55" s="582"/>
      <c r="AF55" s="582"/>
      <c r="AG55" s="1178"/>
      <c r="AH55" s="570"/>
      <c r="GW55" s="581"/>
      <c r="HL55" s="568"/>
    </row>
    <row r="56" spans="1:221" ht="12" customHeight="1">
      <c r="C56" s="1" t="s">
        <v>1206</v>
      </c>
      <c r="D56" s="1"/>
      <c r="E56" s="1"/>
      <c r="F56" s="1"/>
      <c r="G56" s="44" t="s">
        <v>1218</v>
      </c>
      <c r="H56" s="323">
        <f>V48</f>
        <v>0</v>
      </c>
      <c r="I56" s="323">
        <f>W48</f>
        <v>24</v>
      </c>
      <c r="J56" s="323">
        <f>X48</f>
        <v>37</v>
      </c>
      <c r="K56" s="323">
        <f>Y48</f>
        <v>12</v>
      </c>
      <c r="L56" s="323">
        <f>Z48</f>
        <v>2</v>
      </c>
      <c r="M56" s="323">
        <f t="shared" ref="M56:M62" si="211">SUM(H56:L56)</f>
        <v>75</v>
      </c>
      <c r="N56" s="1400" t="s">
        <v>946</v>
      </c>
      <c r="O56" s="1401"/>
      <c r="P56" s="1158"/>
      <c r="Q56" s="501">
        <f t="shared" ref="Q56:Q62" si="212">ABS(M56-AF56)</f>
        <v>75</v>
      </c>
      <c r="R56" s="501"/>
      <c r="S56" s="501"/>
      <c r="T56" s="1746"/>
      <c r="U56" s="1747"/>
      <c r="V56" s="583"/>
      <c r="W56" s="583"/>
      <c r="X56" s="583"/>
      <c r="Y56" s="583"/>
      <c r="Z56" s="584"/>
      <c r="AA56" s="585"/>
      <c r="AB56" s="585"/>
      <c r="AC56" s="585"/>
      <c r="AD56" s="585"/>
      <c r="AE56" s="585"/>
      <c r="AF56" s="585"/>
      <c r="AG56" s="584"/>
      <c r="AH56" s="570"/>
      <c r="GW56" s="581"/>
      <c r="HL56" s="568"/>
    </row>
    <row r="57" spans="1:221" ht="12" customHeight="1">
      <c r="A57" s="1395" t="s">
        <v>464</v>
      </c>
      <c r="B57" s="1395"/>
      <c r="C57" s="5"/>
      <c r="D57" s="1"/>
      <c r="E57" s="1"/>
      <c r="F57" s="1"/>
      <c r="G57" s="44" t="s">
        <v>121</v>
      </c>
      <c r="H57" s="324">
        <f>AA48</f>
        <v>0</v>
      </c>
      <c r="I57" s="324">
        <f>AB48</f>
        <v>0</v>
      </c>
      <c r="J57" s="324">
        <f>AC48</f>
        <v>0</v>
      </c>
      <c r="K57" s="324">
        <f>AD48</f>
        <v>0</v>
      </c>
      <c r="L57" s="324">
        <f>AE48</f>
        <v>0</v>
      </c>
      <c r="M57" s="324">
        <f t="shared" si="211"/>
        <v>0</v>
      </c>
      <c r="N57" s="1400"/>
      <c r="O57" s="1401"/>
      <c r="P57" s="1158"/>
      <c r="Q57" s="501">
        <f t="shared" si="212"/>
        <v>0</v>
      </c>
      <c r="R57" s="501"/>
      <c r="S57" s="501"/>
      <c r="T57" s="1754"/>
      <c r="U57" s="1755"/>
      <c r="V57" s="586"/>
      <c r="W57" s="583"/>
      <c r="X57" s="583"/>
      <c r="Y57" s="583"/>
      <c r="Z57" s="584"/>
      <c r="AA57" s="585"/>
      <c r="AB57" s="585"/>
      <c r="AC57" s="585"/>
      <c r="AD57" s="585"/>
      <c r="AE57" s="585"/>
      <c r="AF57" s="585"/>
      <c r="AG57" s="584"/>
      <c r="AH57" s="570"/>
      <c r="GW57" s="581"/>
      <c r="HL57" s="568"/>
    </row>
    <row r="58" spans="1:221" ht="12" customHeight="1">
      <c r="A58" s="1395"/>
      <c r="B58" s="1395"/>
      <c r="C58" s="5"/>
      <c r="D58" s="1"/>
      <c r="E58" s="1"/>
      <c r="F58" s="1"/>
      <c r="G58" s="44" t="s">
        <v>572</v>
      </c>
      <c r="H58" s="325">
        <f>SUM(H56:H57)</f>
        <v>0</v>
      </c>
      <c r="I58" s="325">
        <f>SUM(I56:I57)</f>
        <v>24</v>
      </c>
      <c r="J58" s="325">
        <f>SUM(J56:J57)</f>
        <v>37</v>
      </c>
      <c r="K58" s="325">
        <f>SUM(K56:K57)</f>
        <v>12</v>
      </c>
      <c r="L58" s="325">
        <f>SUM(L56:L57)</f>
        <v>2</v>
      </c>
      <c r="M58" s="325">
        <f t="shared" si="211"/>
        <v>75</v>
      </c>
      <c r="N58" s="328"/>
      <c r="O58" s="96"/>
      <c r="Q58" s="501">
        <f t="shared" si="212"/>
        <v>75</v>
      </c>
      <c r="R58" s="501"/>
      <c r="S58" s="501"/>
      <c r="T58" s="1754"/>
      <c r="U58" s="1755"/>
      <c r="V58" s="586"/>
      <c r="W58" s="583"/>
      <c r="X58" s="583"/>
      <c r="Y58" s="583"/>
      <c r="Z58" s="584"/>
      <c r="AA58" s="585"/>
      <c r="AB58" s="585"/>
      <c r="AC58" s="585"/>
      <c r="AD58" s="585"/>
      <c r="AE58" s="585"/>
      <c r="AF58" s="585"/>
      <c r="AG58" s="584"/>
      <c r="AH58" s="570"/>
      <c r="GW58" s="581"/>
      <c r="HL58" s="568"/>
    </row>
    <row r="59" spans="1:221" ht="12" customHeight="1">
      <c r="A59" s="1395"/>
      <c r="B59" s="1395"/>
      <c r="C59" s="1" t="s">
        <v>319</v>
      </c>
      <c r="D59" s="1"/>
      <c r="E59" s="1"/>
      <c r="F59" s="1"/>
      <c r="G59" s="44"/>
      <c r="H59" s="325">
        <f>AK48</f>
        <v>0</v>
      </c>
      <c r="I59" s="325">
        <f>AL48</f>
        <v>0</v>
      </c>
      <c r="J59" s="325">
        <f>AM48</f>
        <v>0</v>
      </c>
      <c r="K59" s="325">
        <f>AN48</f>
        <v>0</v>
      </c>
      <c r="L59" s="325">
        <f>AO48</f>
        <v>0</v>
      </c>
      <c r="M59" s="325">
        <f t="shared" si="211"/>
        <v>0</v>
      </c>
      <c r="N59" s="65"/>
      <c r="O59" s="96"/>
      <c r="Q59" s="501">
        <f t="shared" si="212"/>
        <v>0</v>
      </c>
      <c r="R59" s="501"/>
      <c r="S59" s="501"/>
      <c r="T59" s="1754"/>
      <c r="U59" s="1755"/>
      <c r="V59" s="570"/>
      <c r="W59" s="583"/>
      <c r="X59" s="583"/>
      <c r="Y59" s="583"/>
      <c r="Z59" s="584"/>
      <c r="AA59" s="585"/>
      <c r="AB59" s="585"/>
      <c r="AC59" s="585"/>
      <c r="AD59" s="585"/>
      <c r="AE59" s="585"/>
      <c r="AF59" s="585"/>
      <c r="AG59" s="567"/>
      <c r="AH59" s="570"/>
      <c r="GW59" s="581"/>
      <c r="HL59" s="568"/>
    </row>
    <row r="60" spans="1:221" ht="12" customHeight="1">
      <c r="A60" s="1395"/>
      <c r="B60" s="1395"/>
      <c r="C60" s="1" t="s">
        <v>1207</v>
      </c>
      <c r="D60" s="1"/>
      <c r="E60" s="1"/>
      <c r="F60" s="1"/>
      <c r="G60" s="44"/>
      <c r="H60" s="325">
        <f>SUM(H58:H59)</f>
        <v>0</v>
      </c>
      <c r="I60" s="325">
        <f>SUM(I58:I59)</f>
        <v>24</v>
      </c>
      <c r="J60" s="325">
        <f>SUM(J58:J59)</f>
        <v>37</v>
      </c>
      <c r="K60" s="325">
        <f>SUM(K58:K59)</f>
        <v>12</v>
      </c>
      <c r="L60" s="325">
        <f>SUM(L58:L59)</f>
        <v>2</v>
      </c>
      <c r="M60" s="325">
        <f t="shared" si="211"/>
        <v>75</v>
      </c>
      <c r="N60" s="65"/>
      <c r="O60" s="96"/>
      <c r="Q60" s="501">
        <f t="shared" si="212"/>
        <v>75</v>
      </c>
      <c r="R60" s="501"/>
      <c r="S60" s="501"/>
      <c r="T60" s="1754"/>
      <c r="U60" s="1755"/>
      <c r="V60" s="583"/>
      <c r="W60" s="583"/>
      <c r="X60" s="583"/>
      <c r="Y60" s="583"/>
      <c r="Z60" s="584"/>
      <c r="AA60" s="585"/>
      <c r="AB60" s="585"/>
      <c r="AC60" s="585"/>
      <c r="AD60" s="585"/>
      <c r="AE60" s="585"/>
      <c r="AF60" s="585"/>
      <c r="AG60" s="567"/>
      <c r="AH60" s="570"/>
      <c r="GW60" s="581"/>
      <c r="HL60" s="568"/>
    </row>
    <row r="61" spans="1:221" ht="12" customHeight="1">
      <c r="A61" s="1395"/>
      <c r="B61" s="1395"/>
      <c r="C61" s="1" t="s">
        <v>2682</v>
      </c>
      <c r="D61" s="1"/>
      <c r="E61" s="1"/>
      <c r="F61" s="1"/>
      <c r="G61" s="44"/>
      <c r="H61" s="325">
        <f>BT48</f>
        <v>0</v>
      </c>
      <c r="I61" s="325">
        <f>BU48</f>
        <v>0</v>
      </c>
      <c r="J61" s="325">
        <f>BV48</f>
        <v>0</v>
      </c>
      <c r="K61" s="325">
        <f>BW48</f>
        <v>0</v>
      </c>
      <c r="L61" s="325">
        <f>BX48</f>
        <v>0</v>
      </c>
      <c r="M61" s="325">
        <f t="shared" si="211"/>
        <v>0</v>
      </c>
      <c r="N61" s="62" t="s">
        <v>2356</v>
      </c>
      <c r="O61" s="96"/>
      <c r="Q61" s="501">
        <f t="shared" si="212"/>
        <v>0</v>
      </c>
      <c r="R61" s="501"/>
      <c r="S61" s="501"/>
      <c r="T61" s="1754"/>
      <c r="U61" s="1755"/>
      <c r="V61" s="583"/>
      <c r="W61" s="583"/>
      <c r="X61" s="583"/>
      <c r="Y61" s="583"/>
      <c r="Z61" s="584"/>
      <c r="AA61" s="585"/>
      <c r="AB61" s="585"/>
      <c r="AC61" s="585"/>
      <c r="AD61" s="585"/>
      <c r="AE61" s="585"/>
      <c r="AF61" s="585"/>
      <c r="AG61" s="584"/>
      <c r="AH61" s="570"/>
      <c r="GW61" s="581"/>
      <c r="HL61" s="568"/>
    </row>
    <row r="62" spans="1:221" ht="12" customHeight="1">
      <c r="A62" s="1395"/>
      <c r="B62" s="1395"/>
      <c r="C62" s="1" t="s">
        <v>572</v>
      </c>
      <c r="D62" s="1"/>
      <c r="E62" s="1"/>
      <c r="F62" s="1"/>
      <c r="G62" s="44"/>
      <c r="H62" s="325">
        <f>SUM(H60:H61)</f>
        <v>0</v>
      </c>
      <c r="I62" s="325">
        <f>SUM(I60:I61)</f>
        <v>24</v>
      </c>
      <c r="J62" s="325">
        <f>SUM(J60:J61)</f>
        <v>37</v>
      </c>
      <c r="K62" s="325">
        <f>SUM(K60:K61)</f>
        <v>12</v>
      </c>
      <c r="L62" s="325">
        <f>SUM(L60:L61)</f>
        <v>2</v>
      </c>
      <c r="M62" s="325">
        <f t="shared" si="211"/>
        <v>75</v>
      </c>
      <c r="O62" s="96"/>
      <c r="Q62" s="501">
        <f t="shared" si="212"/>
        <v>75</v>
      </c>
      <c r="R62" s="501"/>
      <c r="S62" s="501"/>
      <c r="T62" s="1762"/>
      <c r="U62" s="1763"/>
      <c r="V62" s="583"/>
      <c r="W62" s="583"/>
      <c r="X62" s="583"/>
      <c r="Y62" s="583"/>
      <c r="Z62" s="584"/>
      <c r="AA62" s="585"/>
      <c r="AB62" s="585"/>
      <c r="AC62" s="585"/>
      <c r="AD62" s="585"/>
      <c r="AE62" s="585"/>
      <c r="AF62" s="585"/>
      <c r="AG62" s="1178"/>
      <c r="AH62" s="570"/>
      <c r="GW62" s="581"/>
      <c r="HL62" s="568"/>
    </row>
    <row r="63" spans="1:221" ht="12" customHeight="1">
      <c r="A63" s="1395"/>
      <c r="B63" s="1395"/>
      <c r="C63" s="1"/>
      <c r="D63" s="1"/>
      <c r="E63" s="1"/>
      <c r="F63" s="1"/>
      <c r="G63" s="44"/>
      <c r="H63" s="15"/>
      <c r="I63" s="15"/>
      <c r="J63" s="15"/>
      <c r="K63" s="15"/>
      <c r="L63" s="15"/>
      <c r="M63" s="15"/>
      <c r="O63" s="96"/>
      <c r="Q63" s="501"/>
      <c r="R63" s="501"/>
      <c r="S63" s="501"/>
      <c r="T63" s="384" t="str">
        <f>C64</f>
        <v>PBRA-Assisted</v>
      </c>
      <c r="U63" s="182"/>
      <c r="V63" s="583"/>
      <c r="W63" s="583"/>
      <c r="X63" s="583"/>
      <c r="Y63" s="583"/>
      <c r="Z63" s="584"/>
      <c r="AA63" s="583"/>
      <c r="AB63" s="583"/>
      <c r="AC63" s="583"/>
      <c r="AD63" s="583"/>
      <c r="AE63" s="583"/>
      <c r="AF63" s="583"/>
      <c r="AG63" s="1178"/>
      <c r="AH63" s="570"/>
      <c r="GW63" s="581"/>
      <c r="HL63" s="568"/>
    </row>
    <row r="64" spans="1:221" ht="12" customHeight="1">
      <c r="A64" s="1395"/>
      <c r="B64" s="1395"/>
      <c r="C64" s="1" t="s">
        <v>990</v>
      </c>
      <c r="D64" s="1"/>
      <c r="E64" s="127"/>
      <c r="F64" s="1"/>
      <c r="G64" s="44" t="s">
        <v>1218</v>
      </c>
      <c r="H64" s="323">
        <f>AZ48</f>
        <v>0</v>
      </c>
      <c r="I64" s="323">
        <f>BA48</f>
        <v>24</v>
      </c>
      <c r="J64" s="323">
        <f>BB48</f>
        <v>37</v>
      </c>
      <c r="K64" s="323">
        <f>BC48</f>
        <v>12</v>
      </c>
      <c r="L64" s="323">
        <f>BD48</f>
        <v>2</v>
      </c>
      <c r="M64" s="323">
        <f>SUM(H64:L64)</f>
        <v>75</v>
      </c>
      <c r="N64" s="62"/>
      <c r="O64" s="96"/>
      <c r="Q64" s="501">
        <f>ABS(M64-AF64)</f>
        <v>75</v>
      </c>
      <c r="R64" s="501"/>
      <c r="S64" s="501"/>
      <c r="T64" s="1746"/>
      <c r="U64" s="1747"/>
      <c r="V64" s="583"/>
      <c r="W64" s="583"/>
      <c r="X64" s="587"/>
      <c r="Y64" s="583"/>
      <c r="Z64" s="584"/>
      <c r="AA64" s="585"/>
      <c r="AB64" s="585"/>
      <c r="AC64" s="585"/>
      <c r="AD64" s="585"/>
      <c r="AE64" s="585"/>
      <c r="AF64" s="585"/>
      <c r="AG64" s="584"/>
      <c r="AH64" s="570"/>
      <c r="GW64" s="581"/>
      <c r="HL64" s="568"/>
    </row>
    <row r="65" spans="1:220" ht="12" customHeight="1">
      <c r="A65" s="1395"/>
      <c r="B65" s="1395"/>
      <c r="C65" s="44" t="s">
        <v>2683</v>
      </c>
      <c r="D65" s="1"/>
      <c r="E65" s="127"/>
      <c r="F65" s="1"/>
      <c r="G65" s="44" t="s">
        <v>121</v>
      </c>
      <c r="H65" s="324">
        <f>AU48</f>
        <v>0</v>
      </c>
      <c r="I65" s="324">
        <f>AV48</f>
        <v>0</v>
      </c>
      <c r="J65" s="324">
        <f>AW48</f>
        <v>0</v>
      </c>
      <c r="K65" s="324">
        <f>AX48</f>
        <v>0</v>
      </c>
      <c r="L65" s="324">
        <f>AY48</f>
        <v>0</v>
      </c>
      <c r="M65" s="326">
        <f>SUM(H65:L65)</f>
        <v>0</v>
      </c>
      <c r="N65" s="62"/>
      <c r="O65" s="96"/>
      <c r="Q65" s="501">
        <f>ABS(M65-AF65)</f>
        <v>0</v>
      </c>
      <c r="R65" s="501"/>
      <c r="S65" s="501"/>
      <c r="T65" s="1754"/>
      <c r="U65" s="1755"/>
      <c r="V65" s="584"/>
      <c r="W65" s="583"/>
      <c r="X65" s="587"/>
      <c r="Y65" s="583"/>
      <c r="Z65" s="584"/>
      <c r="AA65" s="585"/>
      <c r="AB65" s="585"/>
      <c r="AC65" s="585"/>
      <c r="AD65" s="585"/>
      <c r="AE65" s="585"/>
      <c r="AF65" s="585"/>
      <c r="AG65" s="584"/>
      <c r="AH65" s="570"/>
      <c r="GW65" s="581"/>
      <c r="HL65" s="568"/>
    </row>
    <row r="66" spans="1:220" ht="12" customHeight="1">
      <c r="A66" s="1395"/>
      <c r="B66" s="1395"/>
      <c r="C66" s="5"/>
      <c r="D66" s="1"/>
      <c r="E66" s="127"/>
      <c r="F66" s="1"/>
      <c r="G66" s="44" t="s">
        <v>572</v>
      </c>
      <c r="H66" s="325">
        <f>SUM(H64:H65)</f>
        <v>0</v>
      </c>
      <c r="I66" s="325">
        <f>SUM(I64:I65)</f>
        <v>24</v>
      </c>
      <c r="J66" s="325">
        <f>SUM(J64:J65)</f>
        <v>37</v>
      </c>
      <c r="K66" s="325">
        <f>SUM(K64:K65)</f>
        <v>12</v>
      </c>
      <c r="L66" s="325">
        <f>SUM(L64:L65)</f>
        <v>2</v>
      </c>
      <c r="M66" s="325">
        <f>SUM(H66:L66)</f>
        <v>75</v>
      </c>
      <c r="N66" s="62"/>
      <c r="O66" s="96"/>
      <c r="Q66" s="501">
        <f>ABS(M66-AF66)</f>
        <v>75</v>
      </c>
      <c r="R66" s="501"/>
      <c r="S66" s="501"/>
      <c r="T66" s="1762"/>
      <c r="U66" s="1763"/>
      <c r="V66" s="586"/>
      <c r="W66" s="583"/>
      <c r="X66" s="587"/>
      <c r="Y66" s="583"/>
      <c r="Z66" s="584"/>
      <c r="AA66" s="585"/>
      <c r="AB66" s="585"/>
      <c r="AC66" s="585"/>
      <c r="AD66" s="585"/>
      <c r="AE66" s="585"/>
      <c r="AF66" s="585"/>
      <c r="AG66" s="584"/>
      <c r="AH66" s="570"/>
      <c r="GW66" s="581"/>
      <c r="HL66" s="568"/>
    </row>
    <row r="67" spans="1:220" ht="12" customHeight="1">
      <c r="A67" s="1395"/>
      <c r="B67" s="1395"/>
      <c r="C67" s="1"/>
      <c r="D67" s="1"/>
      <c r="E67" s="1"/>
      <c r="F67" s="1"/>
      <c r="G67" s="44"/>
      <c r="H67" s="15"/>
      <c r="I67" s="15"/>
      <c r="J67" s="15"/>
      <c r="K67" s="15"/>
      <c r="L67" s="15"/>
      <c r="M67" s="15"/>
      <c r="O67" s="96"/>
      <c r="Q67" s="501"/>
      <c r="R67" s="501"/>
      <c r="S67" s="501"/>
      <c r="T67" s="384" t="str">
        <f>C68</f>
        <v>PHA Operating Subsidy-Assisted</v>
      </c>
      <c r="U67" s="182"/>
      <c r="V67" s="583"/>
      <c r="W67" s="583"/>
      <c r="X67" s="583"/>
      <c r="Y67" s="583"/>
      <c r="Z67" s="584"/>
      <c r="AA67" s="583"/>
      <c r="AB67" s="583"/>
      <c r="AC67" s="583"/>
      <c r="AD67" s="583"/>
      <c r="AE67" s="583"/>
      <c r="AF67" s="583"/>
      <c r="AG67" s="1178"/>
      <c r="AH67" s="570"/>
      <c r="GW67" s="581"/>
      <c r="HL67" s="568"/>
    </row>
    <row r="68" spans="1:220" ht="12" customHeight="1">
      <c r="A68" s="1395"/>
      <c r="B68" s="1395"/>
      <c r="C68" s="1" t="s">
        <v>945</v>
      </c>
      <c r="D68" s="1"/>
      <c r="E68" s="127"/>
      <c r="F68" s="1"/>
      <c r="G68" s="44" t="s">
        <v>1218</v>
      </c>
      <c r="H68" s="323">
        <f>BO48</f>
        <v>0</v>
      </c>
      <c r="I68" s="323">
        <f>BP48</f>
        <v>0</v>
      </c>
      <c r="J68" s="323">
        <f>BQ48</f>
        <v>0</v>
      </c>
      <c r="K68" s="323">
        <f>BR48</f>
        <v>0</v>
      </c>
      <c r="L68" s="323">
        <f>BS48</f>
        <v>0</v>
      </c>
      <c r="M68" s="323">
        <f>SUM(H68:L68)</f>
        <v>0</v>
      </c>
      <c r="N68" s="62"/>
      <c r="O68" s="96"/>
      <c r="Q68" s="501">
        <f>ABS(M68-AF68)</f>
        <v>0</v>
      </c>
      <c r="R68" s="501"/>
      <c r="S68" s="501"/>
      <c r="T68" s="1746"/>
      <c r="U68" s="1747"/>
      <c r="V68" s="570"/>
      <c r="W68" s="583"/>
      <c r="X68" s="587"/>
      <c r="Y68" s="583"/>
      <c r="Z68" s="584"/>
      <c r="AA68" s="585"/>
      <c r="AB68" s="585"/>
      <c r="AC68" s="585"/>
      <c r="AD68" s="585"/>
      <c r="AE68" s="585"/>
      <c r="AF68" s="585"/>
      <c r="AG68" s="584"/>
      <c r="AH68" s="570"/>
      <c r="GW68" s="581"/>
      <c r="HL68" s="568"/>
    </row>
    <row r="69" spans="1:220" ht="12" customHeight="1">
      <c r="A69" s="1395"/>
      <c r="B69" s="1395"/>
      <c r="C69" s="44" t="s">
        <v>2683</v>
      </c>
      <c r="D69" s="1"/>
      <c r="E69" s="127"/>
      <c r="F69" s="1"/>
      <c r="G69" s="44" t="s">
        <v>121</v>
      </c>
      <c r="H69" s="324">
        <f>BJ48</f>
        <v>0</v>
      </c>
      <c r="I69" s="324">
        <f>BK48</f>
        <v>0</v>
      </c>
      <c r="J69" s="324">
        <f>BL48</f>
        <v>0</v>
      </c>
      <c r="K69" s="324">
        <f>BM48</f>
        <v>0</v>
      </c>
      <c r="L69" s="324">
        <f>BN48</f>
        <v>0</v>
      </c>
      <c r="M69" s="326">
        <f>SUM(H69:L69)</f>
        <v>0</v>
      </c>
      <c r="N69" s="62"/>
      <c r="O69" s="96"/>
      <c r="Q69" s="501">
        <f>ABS(M69-AF69)</f>
        <v>0</v>
      </c>
      <c r="R69" s="501"/>
      <c r="S69" s="501"/>
      <c r="T69" s="1754"/>
      <c r="U69" s="1755"/>
      <c r="V69" s="588"/>
      <c r="W69" s="583"/>
      <c r="X69" s="587"/>
      <c r="Y69" s="583"/>
      <c r="Z69" s="584"/>
      <c r="AA69" s="585"/>
      <c r="AB69" s="585"/>
      <c r="AC69" s="585"/>
      <c r="AD69" s="585"/>
      <c r="AE69" s="585"/>
      <c r="AF69" s="585"/>
      <c r="AG69" s="584"/>
      <c r="AH69" s="570"/>
      <c r="GW69" s="581"/>
      <c r="HL69" s="568"/>
    </row>
    <row r="70" spans="1:220" ht="12" customHeight="1">
      <c r="A70" s="1395"/>
      <c r="B70" s="1395"/>
      <c r="C70" s="5"/>
      <c r="D70" s="1"/>
      <c r="E70" s="127"/>
      <c r="F70" s="1"/>
      <c r="G70" s="44" t="s">
        <v>572</v>
      </c>
      <c r="H70" s="325">
        <f>SUM(H68:H69)</f>
        <v>0</v>
      </c>
      <c r="I70" s="325">
        <f>SUM(I68:I69)</f>
        <v>0</v>
      </c>
      <c r="J70" s="325">
        <f>SUM(J68:J69)</f>
        <v>0</v>
      </c>
      <c r="K70" s="325">
        <f>SUM(K68:K69)</f>
        <v>0</v>
      </c>
      <c r="L70" s="325">
        <f>SUM(L68:L69)</f>
        <v>0</v>
      </c>
      <c r="M70" s="325">
        <f>SUM(H70:L70)</f>
        <v>0</v>
      </c>
      <c r="N70" s="62"/>
      <c r="O70" s="96"/>
      <c r="Q70" s="501">
        <f>ABS(M70-AF70)</f>
        <v>0</v>
      </c>
      <c r="R70" s="501"/>
      <c r="S70" s="501"/>
      <c r="T70" s="1762"/>
      <c r="U70" s="1763"/>
      <c r="V70" s="586"/>
      <c r="W70" s="583"/>
      <c r="X70" s="587"/>
      <c r="Y70" s="583"/>
      <c r="Z70" s="584"/>
      <c r="AA70" s="585"/>
      <c r="AB70" s="585"/>
      <c r="AC70" s="585"/>
      <c r="AD70" s="585"/>
      <c r="AE70" s="585"/>
      <c r="AF70" s="585"/>
      <c r="AG70" s="584"/>
      <c r="AH70" s="570"/>
      <c r="GW70" s="581"/>
      <c r="HL70" s="568"/>
    </row>
    <row r="71" spans="1:220" ht="12" customHeight="1">
      <c r="A71" s="1395"/>
      <c r="B71" s="1395"/>
      <c r="C71" s="1" t="s">
        <v>40</v>
      </c>
      <c r="D71" s="1"/>
      <c r="E71" s="127"/>
      <c r="F71" s="1"/>
      <c r="G71" s="44"/>
      <c r="H71" s="15"/>
      <c r="I71" s="15"/>
      <c r="J71" s="15"/>
      <c r="K71" s="15"/>
      <c r="L71" s="15"/>
      <c r="M71" s="15"/>
      <c r="O71" s="96"/>
      <c r="Q71" s="501"/>
      <c r="R71" s="501"/>
      <c r="S71" s="501"/>
      <c r="T71" s="384" t="str">
        <f>C71</f>
        <v>Type of Construction Activity</v>
      </c>
      <c r="U71" s="182"/>
      <c r="V71" s="583"/>
      <c r="W71" s="583"/>
      <c r="X71" s="587"/>
      <c r="Y71" s="583"/>
      <c r="Z71" s="584"/>
      <c r="AA71" s="583"/>
      <c r="AB71" s="583"/>
      <c r="AC71" s="583"/>
      <c r="AD71" s="583"/>
      <c r="AE71" s="583"/>
      <c r="AF71" s="583"/>
      <c r="AG71" s="1178"/>
      <c r="AH71" s="570"/>
      <c r="GW71" s="581"/>
      <c r="HL71" s="568"/>
    </row>
    <row r="72" spans="1:220" ht="12" customHeight="1">
      <c r="A72" s="1395"/>
      <c r="B72" s="1395"/>
      <c r="C72" s="1"/>
      <c r="D72" s="1"/>
      <c r="E72" s="120" t="s">
        <v>2444</v>
      </c>
      <c r="F72" s="1"/>
      <c r="G72" s="44" t="s">
        <v>1526</v>
      </c>
      <c r="H72" s="323">
        <f>DC48</f>
        <v>0</v>
      </c>
      <c r="I72" s="323">
        <f>DD48</f>
        <v>0</v>
      </c>
      <c r="J72" s="323">
        <f>DE48</f>
        <v>0</v>
      </c>
      <c r="K72" s="323">
        <f>DF48</f>
        <v>0</v>
      </c>
      <c r="L72" s="323">
        <f>DG48</f>
        <v>0</v>
      </c>
      <c r="M72" s="323">
        <f t="shared" ref="M72:M82" si="213">SUM(H72:L72)</f>
        <v>0</v>
      </c>
      <c r="N72" s="31"/>
      <c r="O72" s="96"/>
      <c r="Q72" s="501">
        <f t="shared" ref="Q72:Q80" si="214">ABS(M72-AF72)</f>
        <v>0</v>
      </c>
      <c r="R72" s="501"/>
      <c r="S72" s="501"/>
      <c r="T72" s="1746"/>
      <c r="U72" s="1747"/>
      <c r="V72" s="583"/>
      <c r="W72" s="583"/>
      <c r="X72" s="587"/>
      <c r="Y72" s="583"/>
      <c r="Z72" s="584"/>
      <c r="AA72" s="585"/>
      <c r="AB72" s="585"/>
      <c r="AC72" s="585"/>
      <c r="AD72" s="585"/>
      <c r="AE72" s="585"/>
      <c r="AF72" s="585"/>
      <c r="AG72" s="1178"/>
      <c r="FY72" s="568"/>
      <c r="FZ72" s="568"/>
      <c r="GA72" s="568"/>
      <c r="GB72" s="568"/>
      <c r="GC72" s="568"/>
      <c r="GD72" s="568"/>
      <c r="GE72" s="568"/>
      <c r="GF72" s="568"/>
      <c r="GG72" s="568"/>
      <c r="GH72" s="568"/>
      <c r="GI72" s="568"/>
      <c r="GJ72" s="568"/>
      <c r="GK72" s="568"/>
      <c r="GL72" s="568"/>
      <c r="GM72" s="568"/>
      <c r="GN72" s="568"/>
      <c r="GO72" s="568"/>
      <c r="GW72" s="581"/>
      <c r="HL72" s="568"/>
    </row>
    <row r="73" spans="1:220" ht="12" customHeight="1">
      <c r="A73" s="1395"/>
      <c r="B73" s="1395"/>
      <c r="C73" s="1"/>
      <c r="D73" s="1"/>
      <c r="E73" s="127"/>
      <c r="F73" s="1"/>
      <c r="G73" s="44" t="s">
        <v>319</v>
      </c>
      <c r="H73" s="327">
        <f>DH48</f>
        <v>0</v>
      </c>
      <c r="I73" s="327">
        <f>DI48</f>
        <v>0</v>
      </c>
      <c r="J73" s="327">
        <f>DJ48</f>
        <v>0</v>
      </c>
      <c r="K73" s="327">
        <f>DK48</f>
        <v>0</v>
      </c>
      <c r="L73" s="327">
        <f>DL48</f>
        <v>0</v>
      </c>
      <c r="M73" s="327">
        <f t="shared" si="213"/>
        <v>0</v>
      </c>
      <c r="N73" s="65"/>
      <c r="O73" s="96"/>
      <c r="Q73" s="501">
        <f t="shared" si="214"/>
        <v>0</v>
      </c>
      <c r="R73" s="501"/>
      <c r="S73" s="501"/>
      <c r="T73" s="1754"/>
      <c r="U73" s="1755"/>
      <c r="V73" s="583"/>
      <c r="W73" s="583"/>
      <c r="X73" s="587"/>
      <c r="Y73" s="583"/>
      <c r="Z73" s="584"/>
      <c r="AA73" s="585"/>
      <c r="AB73" s="585"/>
      <c r="AC73" s="585"/>
      <c r="AD73" s="585"/>
      <c r="AE73" s="585"/>
      <c r="AF73" s="585"/>
      <c r="AG73" s="567"/>
      <c r="AH73" s="570"/>
      <c r="GW73" s="581"/>
      <c r="HL73" s="568"/>
    </row>
    <row r="74" spans="1:220" ht="12" customHeight="1">
      <c r="A74" s="1395"/>
      <c r="B74" s="1395"/>
      <c r="C74" s="5"/>
      <c r="D74" s="1"/>
      <c r="E74" s="127"/>
      <c r="F74" s="1"/>
      <c r="G74" s="44" t="s">
        <v>33</v>
      </c>
      <c r="H74" s="325">
        <f>SUM(H72:H73)+DM48</f>
        <v>0</v>
      </c>
      <c r="I74" s="325">
        <f>SUM(I72:I73)+DN48</f>
        <v>0</v>
      </c>
      <c r="J74" s="325">
        <f>SUM(J72:J73)+DO48</f>
        <v>0</v>
      </c>
      <c r="K74" s="325">
        <f>SUM(K72:K73)+DP48</f>
        <v>0</v>
      </c>
      <c r="L74" s="325">
        <f>SUM(L72:L73)+DQ48</f>
        <v>0</v>
      </c>
      <c r="M74" s="325">
        <f t="shared" si="213"/>
        <v>0</v>
      </c>
      <c r="N74" s="62"/>
      <c r="O74" s="96"/>
      <c r="Q74" s="501">
        <f t="shared" si="214"/>
        <v>0</v>
      </c>
      <c r="R74" s="501"/>
      <c r="S74" s="501"/>
      <c r="T74" s="1754"/>
      <c r="U74" s="1755"/>
      <c r="V74" s="586"/>
      <c r="W74" s="583"/>
      <c r="X74" s="587"/>
      <c r="Y74" s="583"/>
      <c r="Z74" s="588"/>
      <c r="AA74" s="585"/>
      <c r="AB74" s="585"/>
      <c r="AC74" s="585"/>
      <c r="AD74" s="585"/>
      <c r="AE74" s="585"/>
      <c r="AF74" s="585"/>
      <c r="AG74" s="584"/>
      <c r="AH74" s="570"/>
      <c r="GW74" s="581"/>
      <c r="HL74" s="568"/>
    </row>
    <row r="75" spans="1:220" ht="12" customHeight="1">
      <c r="A75" s="1395"/>
      <c r="B75" s="1395"/>
      <c r="C75" s="1"/>
      <c r="D75" s="1"/>
      <c r="E75" s="120" t="s">
        <v>2275</v>
      </c>
      <c r="F75" s="1"/>
      <c r="G75" s="44" t="s">
        <v>1526</v>
      </c>
      <c r="H75" s="323">
        <f>DR48</f>
        <v>0</v>
      </c>
      <c r="I75" s="323">
        <f>DS48</f>
        <v>24</v>
      </c>
      <c r="J75" s="323">
        <f>DT48</f>
        <v>37</v>
      </c>
      <c r="K75" s="323">
        <f>DU48</f>
        <v>12</v>
      </c>
      <c r="L75" s="323">
        <f>DV48</f>
        <v>2</v>
      </c>
      <c r="M75" s="323">
        <f t="shared" si="213"/>
        <v>75</v>
      </c>
      <c r="N75" s="31"/>
      <c r="O75" s="96"/>
      <c r="Q75" s="501">
        <f t="shared" si="214"/>
        <v>75</v>
      </c>
      <c r="R75" s="501"/>
      <c r="S75" s="501"/>
      <c r="T75" s="1754"/>
      <c r="U75" s="1755"/>
      <c r="V75" s="583"/>
      <c r="W75" s="583"/>
      <c r="X75" s="587"/>
      <c r="Y75" s="583"/>
      <c r="Z75" s="584"/>
      <c r="AA75" s="585"/>
      <c r="AB75" s="585"/>
      <c r="AC75" s="585"/>
      <c r="AD75" s="585"/>
      <c r="AE75" s="585"/>
      <c r="AF75" s="585"/>
      <c r="AG75" s="1178"/>
      <c r="FY75" s="568"/>
      <c r="FZ75" s="568"/>
      <c r="GA75" s="568"/>
      <c r="GB75" s="568"/>
      <c r="GC75" s="568"/>
      <c r="GD75" s="568"/>
      <c r="GE75" s="568"/>
      <c r="GF75" s="568"/>
      <c r="GG75" s="568"/>
      <c r="GH75" s="568"/>
      <c r="GI75" s="568"/>
      <c r="GJ75" s="568"/>
      <c r="GK75" s="568"/>
      <c r="GL75" s="568"/>
      <c r="GM75" s="568"/>
      <c r="GN75" s="568"/>
      <c r="GO75" s="568"/>
      <c r="GW75" s="581"/>
      <c r="HL75" s="568"/>
    </row>
    <row r="76" spans="1:220" ht="12" customHeight="1">
      <c r="C76" s="1"/>
      <c r="D76" s="1"/>
      <c r="E76" s="127"/>
      <c r="F76" s="1"/>
      <c r="G76" s="44" t="s">
        <v>319</v>
      </c>
      <c r="H76" s="327">
        <f>DW48</f>
        <v>0</v>
      </c>
      <c r="I76" s="327">
        <f>DX48</f>
        <v>0</v>
      </c>
      <c r="J76" s="327">
        <f>DY48</f>
        <v>0</v>
      </c>
      <c r="K76" s="327">
        <f>DZ48</f>
        <v>0</v>
      </c>
      <c r="L76" s="327">
        <f>EA48</f>
        <v>0</v>
      </c>
      <c r="M76" s="327">
        <f t="shared" si="213"/>
        <v>0</v>
      </c>
      <c r="N76" s="65"/>
      <c r="O76" s="96"/>
      <c r="Q76" s="501">
        <f t="shared" si="214"/>
        <v>0</v>
      </c>
      <c r="R76" s="501"/>
      <c r="S76" s="501"/>
      <c r="T76" s="1754"/>
      <c r="U76" s="1755"/>
      <c r="V76" s="583"/>
      <c r="W76" s="583"/>
      <c r="X76" s="587"/>
      <c r="Y76" s="583"/>
      <c r="Z76" s="584"/>
      <c r="AA76" s="585"/>
      <c r="AB76" s="585"/>
      <c r="AC76" s="585"/>
      <c r="AD76" s="585"/>
      <c r="AE76" s="585"/>
      <c r="AF76" s="585"/>
      <c r="AG76" s="567"/>
      <c r="AH76" s="570"/>
      <c r="GW76" s="581"/>
      <c r="HL76" s="568"/>
    </row>
    <row r="77" spans="1:220" ht="12" customHeight="1">
      <c r="C77" s="5"/>
      <c r="D77" s="1"/>
      <c r="E77" s="127"/>
      <c r="F77" s="1"/>
      <c r="G77" s="44" t="s">
        <v>33</v>
      </c>
      <c r="H77" s="325">
        <f>SUM(H75:H76)+EB48</f>
        <v>0</v>
      </c>
      <c r="I77" s="325">
        <f>SUM(I75:I76)+EC48</f>
        <v>24</v>
      </c>
      <c r="J77" s="325">
        <f>SUM(J75:J76)+ED48</f>
        <v>37</v>
      </c>
      <c r="K77" s="325">
        <f>SUM(K75:K76)+EE48</f>
        <v>12</v>
      </c>
      <c r="L77" s="325">
        <f>SUM(L75:L76)+EF48</f>
        <v>2</v>
      </c>
      <c r="M77" s="325">
        <f t="shared" si="213"/>
        <v>75</v>
      </c>
      <c r="N77" s="62"/>
      <c r="O77" s="96"/>
      <c r="Q77" s="501">
        <f t="shared" si="214"/>
        <v>75</v>
      </c>
      <c r="R77" s="501"/>
      <c r="S77" s="501"/>
      <c r="T77" s="1754"/>
      <c r="U77" s="1755"/>
      <c r="V77" s="586"/>
      <c r="W77" s="583"/>
      <c r="X77" s="587"/>
      <c r="Y77" s="583"/>
      <c r="Z77" s="588"/>
      <c r="AA77" s="585"/>
      <c r="AB77" s="585"/>
      <c r="AC77" s="585"/>
      <c r="AD77" s="585"/>
      <c r="AE77" s="585"/>
      <c r="AF77" s="585"/>
      <c r="AG77" s="584"/>
      <c r="AH77" s="570"/>
      <c r="GW77" s="581"/>
      <c r="HL77" s="568"/>
    </row>
    <row r="78" spans="1:220" ht="12" customHeight="1">
      <c r="C78" s="1"/>
      <c r="D78" s="1"/>
      <c r="E78" s="1402" t="s">
        <v>1512</v>
      </c>
      <c r="F78" s="1402"/>
      <c r="G78" s="44" t="s">
        <v>1526</v>
      </c>
      <c r="H78" s="323">
        <f>EG48</f>
        <v>0</v>
      </c>
      <c r="I78" s="323">
        <f>EH48</f>
        <v>0</v>
      </c>
      <c r="J78" s="323">
        <f>EI48</f>
        <v>0</v>
      </c>
      <c r="K78" s="323">
        <f>EJ48</f>
        <v>0</v>
      </c>
      <c r="L78" s="323">
        <f>EK48</f>
        <v>0</v>
      </c>
      <c r="M78" s="323">
        <f t="shared" si="213"/>
        <v>0</v>
      </c>
      <c r="N78" s="31"/>
      <c r="O78" s="96"/>
      <c r="Q78" s="501">
        <f t="shared" si="214"/>
        <v>0</v>
      </c>
      <c r="R78" s="501"/>
      <c r="S78" s="501"/>
      <c r="T78" s="1754"/>
      <c r="U78" s="1755"/>
      <c r="V78" s="583"/>
      <c r="W78" s="583"/>
      <c r="X78" s="587"/>
      <c r="Y78" s="583"/>
      <c r="Z78" s="584"/>
      <c r="AA78" s="585"/>
      <c r="AB78" s="585"/>
      <c r="AC78" s="585"/>
      <c r="AD78" s="585"/>
      <c r="AE78" s="585"/>
      <c r="AF78" s="585"/>
      <c r="AG78" s="1178"/>
      <c r="FY78" s="568"/>
      <c r="FZ78" s="568"/>
      <c r="GA78" s="568"/>
      <c r="GB78" s="568"/>
      <c r="GC78" s="568"/>
      <c r="GD78" s="568"/>
      <c r="GE78" s="568"/>
      <c r="GF78" s="568"/>
      <c r="GG78" s="568"/>
      <c r="GH78" s="568"/>
      <c r="GI78" s="568"/>
      <c r="GJ78" s="568"/>
      <c r="GK78" s="568"/>
      <c r="GL78" s="568"/>
      <c r="GM78" s="568"/>
      <c r="GN78" s="568"/>
      <c r="GO78" s="568"/>
      <c r="GW78" s="581"/>
      <c r="HL78" s="568"/>
    </row>
    <row r="79" spans="1:220" ht="12" customHeight="1">
      <c r="C79" s="1"/>
      <c r="D79" s="1"/>
      <c r="E79" s="1402"/>
      <c r="F79" s="1402"/>
      <c r="G79" s="44" t="s">
        <v>319</v>
      </c>
      <c r="H79" s="327">
        <f>EL48</f>
        <v>0</v>
      </c>
      <c r="I79" s="327">
        <f>EM48</f>
        <v>0</v>
      </c>
      <c r="J79" s="327">
        <f>EN48</f>
        <v>0</v>
      </c>
      <c r="K79" s="327">
        <f>EO48</f>
        <v>0</v>
      </c>
      <c r="L79" s="327">
        <f>EP48</f>
        <v>0</v>
      </c>
      <c r="M79" s="327">
        <f t="shared" si="213"/>
        <v>0</v>
      </c>
      <c r="N79" s="65"/>
      <c r="O79" s="96"/>
      <c r="Q79" s="501">
        <f t="shared" si="214"/>
        <v>0</v>
      </c>
      <c r="R79" s="501"/>
      <c r="S79" s="501"/>
      <c r="T79" s="1754"/>
      <c r="U79" s="1755"/>
      <c r="V79" s="583"/>
      <c r="W79" s="583"/>
      <c r="X79" s="583"/>
      <c r="Y79" s="583"/>
      <c r="Z79" s="584"/>
      <c r="AA79" s="585"/>
      <c r="AB79" s="585"/>
      <c r="AC79" s="585"/>
      <c r="AD79" s="585"/>
      <c r="AE79" s="585"/>
      <c r="AF79" s="585"/>
      <c r="AG79" s="567"/>
      <c r="AH79" s="570"/>
      <c r="GW79" s="581"/>
      <c r="HL79" s="568"/>
    </row>
    <row r="80" spans="1:220" ht="12" customHeight="1">
      <c r="C80" s="5"/>
      <c r="D80" s="1"/>
      <c r="E80" s="127"/>
      <c r="F80" s="1"/>
      <c r="G80" s="44" t="s">
        <v>33</v>
      </c>
      <c r="H80" s="325">
        <f>SUM(H78:H79)+EQ48</f>
        <v>0</v>
      </c>
      <c r="I80" s="325">
        <f>SUM(I78:I79)+ER48</f>
        <v>0</v>
      </c>
      <c r="J80" s="325">
        <f>SUM(J78:J79)+ES48</f>
        <v>0</v>
      </c>
      <c r="K80" s="325">
        <f>SUM(K78:K79)+ET48</f>
        <v>0</v>
      </c>
      <c r="L80" s="325">
        <f>SUM(L78:L79)+EU48</f>
        <v>0</v>
      </c>
      <c r="M80" s="325">
        <f t="shared" si="213"/>
        <v>0</v>
      </c>
      <c r="N80" s="62"/>
      <c r="O80" s="96"/>
      <c r="Q80" s="501">
        <f t="shared" si="214"/>
        <v>0</v>
      </c>
      <c r="R80" s="501"/>
      <c r="S80" s="501"/>
      <c r="T80" s="1754"/>
      <c r="U80" s="1755"/>
      <c r="V80" s="586"/>
      <c r="W80" s="583"/>
      <c r="X80" s="587"/>
      <c r="Y80" s="583"/>
      <c r="Z80" s="588"/>
      <c r="AA80" s="585"/>
      <c r="AB80" s="585"/>
      <c r="AC80" s="585"/>
      <c r="AD80" s="585"/>
      <c r="AE80" s="585"/>
      <c r="AF80" s="585"/>
      <c r="AG80" s="584"/>
      <c r="AH80" s="570"/>
      <c r="GW80" s="581"/>
      <c r="HL80" s="568"/>
    </row>
    <row r="81" spans="1:220" ht="12" customHeight="1">
      <c r="C81" s="1"/>
      <c r="D81" s="1"/>
      <c r="E81" s="127" t="s">
        <v>384</v>
      </c>
      <c r="F81" s="1"/>
      <c r="G81" s="44"/>
      <c r="H81" s="1765"/>
      <c r="I81" s="1765"/>
      <c r="J81" s="1765"/>
      <c r="K81" s="1765"/>
      <c r="L81" s="1765"/>
      <c r="M81" s="323">
        <f t="shared" si="213"/>
        <v>0</v>
      </c>
      <c r="N81" s="31"/>
      <c r="O81" s="96"/>
      <c r="T81" s="1754"/>
      <c r="U81" s="1755"/>
      <c r="V81" s="583"/>
      <c r="W81" s="583"/>
      <c r="X81" s="583"/>
      <c r="Y81" s="583"/>
      <c r="Z81" s="584"/>
      <c r="AA81" s="585"/>
      <c r="AB81" s="585"/>
      <c r="AC81" s="585"/>
      <c r="AD81" s="585"/>
      <c r="AE81" s="585"/>
      <c r="AF81" s="585"/>
      <c r="AG81" s="567"/>
      <c r="AH81" s="570"/>
      <c r="GW81" s="581"/>
      <c r="HL81" s="568"/>
    </row>
    <row r="82" spans="1:220" ht="12" customHeight="1">
      <c r="A82" s="1385" t="str">
        <f>IF(AND('Part IV-Uses of Funds'!$T$163="Yes",'Part IX A-Scoring Criteria'!$O$241&gt;0,M82&lt;1),"SHOW HISTORIC UNITS HERE &gt;&gt;&gt;&gt;","")</f>
        <v/>
      </c>
      <c r="B82" s="1385"/>
      <c r="C82" s="1385"/>
      <c r="D82" s="1385"/>
      <c r="E82" s="644" t="s">
        <v>385</v>
      </c>
      <c r="F82" s="1"/>
      <c r="G82" s="44"/>
      <c r="H82" s="1766"/>
      <c r="I82" s="1766"/>
      <c r="J82" s="1766"/>
      <c r="K82" s="1766"/>
      <c r="L82" s="1766"/>
      <c r="M82" s="327">
        <f t="shared" si="213"/>
        <v>0</v>
      </c>
      <c r="N82" s="65"/>
      <c r="O82" s="96"/>
      <c r="T82" s="1762"/>
      <c r="U82" s="1763"/>
      <c r="V82" s="583"/>
      <c r="W82" s="583"/>
      <c r="X82" s="583"/>
      <c r="Y82" s="583"/>
      <c r="Z82" s="584"/>
      <c r="AA82" s="585"/>
      <c r="AB82" s="585"/>
      <c r="AC82" s="585"/>
      <c r="AD82" s="585"/>
      <c r="AE82" s="585"/>
      <c r="AF82" s="585"/>
      <c r="AG82" s="567"/>
      <c r="AH82" s="570"/>
      <c r="GW82" s="581"/>
      <c r="HL82" s="568"/>
    </row>
    <row r="83" spans="1:220" ht="12" customHeight="1">
      <c r="C83" s="1" t="s">
        <v>41</v>
      </c>
      <c r="D83" s="1"/>
      <c r="E83" s="127"/>
      <c r="F83" s="1"/>
      <c r="G83" s="44"/>
      <c r="H83" s="15"/>
      <c r="I83" s="15"/>
      <c r="J83" s="15"/>
      <c r="K83" s="15"/>
      <c r="L83" s="15"/>
      <c r="M83" s="15"/>
      <c r="O83" s="96"/>
      <c r="Q83" s="501"/>
      <c r="R83" s="501"/>
      <c r="S83" s="501"/>
      <c r="T83" s="384" t="str">
        <f>C83</f>
        <v>Building Type:</v>
      </c>
      <c r="U83" s="182"/>
      <c r="V83" s="570"/>
      <c r="W83" s="570"/>
      <c r="X83" s="575"/>
      <c r="Y83" s="570"/>
      <c r="Z83" s="584"/>
      <c r="AA83" s="583"/>
      <c r="AB83" s="583"/>
      <c r="AC83" s="583"/>
      <c r="AD83" s="583"/>
      <c r="AE83" s="583"/>
      <c r="AF83" s="583"/>
      <c r="AG83" s="1178"/>
      <c r="AH83" s="570"/>
      <c r="GW83" s="581"/>
      <c r="HL83" s="568"/>
    </row>
    <row r="84" spans="1:220" ht="12" customHeight="1">
      <c r="C84" s="1"/>
      <c r="D84" s="1"/>
      <c r="E84" s="120" t="s">
        <v>42</v>
      </c>
      <c r="F84" s="1"/>
      <c r="G84" s="44"/>
      <c r="H84" s="323">
        <f>SUM(H85:H88)</f>
        <v>0</v>
      </c>
      <c r="I84" s="323">
        <f>SUM(I85:I88)</f>
        <v>12</v>
      </c>
      <c r="J84" s="323">
        <f>SUM(J85:J88)</f>
        <v>0</v>
      </c>
      <c r="K84" s="323">
        <f>SUM(K85:K88)</f>
        <v>0</v>
      </c>
      <c r="L84" s="323">
        <f>SUM(L85:L88)</f>
        <v>0</v>
      </c>
      <c r="M84" s="323">
        <f t="shared" ref="M84:M92" si="215">SUM(H84:L84)</f>
        <v>12</v>
      </c>
      <c r="N84" s="31"/>
      <c r="O84" s="96"/>
      <c r="Q84" s="501">
        <f>ABS(M84-AF84)</f>
        <v>12</v>
      </c>
      <c r="R84" s="501"/>
      <c r="S84" s="501"/>
      <c r="T84" s="1746"/>
      <c r="U84" s="1747"/>
      <c r="V84" s="570"/>
      <c r="W84" s="570"/>
      <c r="X84" s="587"/>
      <c r="Y84" s="570"/>
      <c r="Z84" s="584"/>
      <c r="AA84" s="585"/>
      <c r="AB84" s="585"/>
      <c r="AC84" s="585"/>
      <c r="AD84" s="585"/>
      <c r="AE84" s="585"/>
      <c r="AF84" s="585"/>
      <c r="AG84" s="1178"/>
      <c r="FY84" s="568"/>
      <c r="FZ84" s="568"/>
      <c r="GA84" s="568"/>
      <c r="GB84" s="568"/>
      <c r="GC84" s="568"/>
      <c r="GD84" s="568"/>
      <c r="GE84" s="568"/>
      <c r="GF84" s="568"/>
      <c r="GG84" s="568"/>
      <c r="GH84" s="568"/>
      <c r="GI84" s="568"/>
      <c r="GJ84" s="568"/>
      <c r="GK84" s="568"/>
      <c r="GL84" s="568"/>
      <c r="GM84" s="568"/>
      <c r="GN84" s="568"/>
      <c r="GO84" s="568"/>
      <c r="GW84" s="581"/>
      <c r="HL84" s="568"/>
    </row>
    <row r="85" spans="1:220" ht="12" customHeight="1">
      <c r="C85" s="1"/>
      <c r="D85" s="1"/>
      <c r="E85" s="120"/>
      <c r="F85" s="1"/>
      <c r="G85" s="44" t="s">
        <v>2787</v>
      </c>
      <c r="H85" s="326">
        <f>FU48</f>
        <v>0</v>
      </c>
      <c r="I85" s="326">
        <f>FV48</f>
        <v>12</v>
      </c>
      <c r="J85" s="326">
        <f>FW48</f>
        <v>0</v>
      </c>
      <c r="K85" s="326">
        <f>FX48</f>
        <v>0</v>
      </c>
      <c r="L85" s="326">
        <f>FY48</f>
        <v>0</v>
      </c>
      <c r="M85" s="324">
        <f t="shared" si="215"/>
        <v>12</v>
      </c>
      <c r="N85" s="31"/>
      <c r="O85" s="96"/>
      <c r="Q85" s="501"/>
      <c r="R85" s="501"/>
      <c r="S85" s="501"/>
      <c r="T85" s="1754"/>
      <c r="U85" s="1755"/>
      <c r="V85" s="570"/>
      <c r="W85" s="570"/>
      <c r="X85" s="587"/>
      <c r="Y85" s="570"/>
      <c r="Z85" s="584"/>
      <c r="AA85" s="585"/>
      <c r="AB85" s="585"/>
      <c r="AC85" s="585"/>
      <c r="AD85" s="585"/>
      <c r="AE85" s="585"/>
      <c r="AF85" s="585"/>
      <c r="AG85" s="1178"/>
      <c r="FY85" s="568"/>
      <c r="FZ85" s="568"/>
      <c r="GA85" s="568"/>
      <c r="GB85" s="568"/>
      <c r="GC85" s="568"/>
      <c r="GD85" s="568"/>
      <c r="GE85" s="568"/>
      <c r="GF85" s="568"/>
      <c r="GG85" s="568"/>
      <c r="GH85" s="568"/>
      <c r="GI85" s="568"/>
      <c r="GJ85" s="568"/>
      <c r="GK85" s="568"/>
      <c r="GL85" s="568"/>
      <c r="GM85" s="568"/>
      <c r="GN85" s="568"/>
      <c r="GO85" s="568"/>
      <c r="GW85" s="581"/>
      <c r="HL85" s="568"/>
    </row>
    <row r="86" spans="1:220" ht="12" customHeight="1">
      <c r="C86" s="1"/>
      <c r="D86" s="1"/>
      <c r="E86" s="120"/>
      <c r="F86" s="1"/>
      <c r="G86" s="44" t="s">
        <v>2788</v>
      </c>
      <c r="H86" s="326">
        <f>FZ48</f>
        <v>0</v>
      </c>
      <c r="I86" s="326">
        <f>GA48</f>
        <v>0</v>
      </c>
      <c r="J86" s="326">
        <f>GB48</f>
        <v>0</v>
      </c>
      <c r="K86" s="326">
        <f>GC48</f>
        <v>0</v>
      </c>
      <c r="L86" s="326">
        <f>GD48</f>
        <v>0</v>
      </c>
      <c r="M86" s="324">
        <f t="shared" si="215"/>
        <v>0</v>
      </c>
      <c r="N86" s="31"/>
      <c r="O86" s="96"/>
      <c r="Q86" s="501"/>
      <c r="R86" s="501"/>
      <c r="S86" s="501"/>
      <c r="T86" s="1754"/>
      <c r="U86" s="1755"/>
      <c r="V86" s="570"/>
      <c r="W86" s="570"/>
      <c r="X86" s="587"/>
      <c r="Y86" s="570"/>
      <c r="Z86" s="584"/>
      <c r="AA86" s="585"/>
      <c r="AB86" s="585"/>
      <c r="AC86" s="585"/>
      <c r="AD86" s="585"/>
      <c r="AE86" s="585"/>
      <c r="AF86" s="585"/>
      <c r="AG86" s="1178"/>
      <c r="FY86" s="568"/>
      <c r="FZ86" s="568"/>
      <c r="GA86" s="568"/>
      <c r="GB86" s="568"/>
      <c r="GC86" s="568"/>
      <c r="GD86" s="568"/>
      <c r="GE86" s="568"/>
      <c r="GF86" s="568"/>
      <c r="GG86" s="568"/>
      <c r="GH86" s="568"/>
      <c r="GI86" s="568"/>
      <c r="GJ86" s="568"/>
      <c r="GK86" s="568"/>
      <c r="GL86" s="568"/>
      <c r="GM86" s="568"/>
      <c r="GN86" s="568"/>
      <c r="GO86" s="568"/>
      <c r="GW86" s="581"/>
      <c r="HL86" s="568"/>
    </row>
    <row r="87" spans="1:220" ht="12" customHeight="1">
      <c r="C87" s="1"/>
      <c r="D87" s="1"/>
      <c r="E87" s="120"/>
      <c r="F87" s="1"/>
      <c r="G87" s="44" t="s">
        <v>2790</v>
      </c>
      <c r="H87" s="326">
        <f>GE48</f>
        <v>0</v>
      </c>
      <c r="I87" s="326">
        <f>GF48</f>
        <v>0</v>
      </c>
      <c r="J87" s="326">
        <f>GG48</f>
        <v>0</v>
      </c>
      <c r="K87" s="326">
        <f>GH48</f>
        <v>0</v>
      </c>
      <c r="L87" s="326">
        <f>GI48</f>
        <v>0</v>
      </c>
      <c r="M87" s="324">
        <f t="shared" si="215"/>
        <v>0</v>
      </c>
      <c r="N87" s="31"/>
      <c r="O87" s="96"/>
      <c r="Q87" s="501"/>
      <c r="R87" s="501"/>
      <c r="S87" s="501"/>
      <c r="T87" s="1754"/>
      <c r="U87" s="1755"/>
      <c r="V87" s="570"/>
      <c r="W87" s="570"/>
      <c r="X87" s="587"/>
      <c r="Y87" s="570"/>
      <c r="Z87" s="584"/>
      <c r="AA87" s="585"/>
      <c r="AB87" s="585"/>
      <c r="AC87" s="585"/>
      <c r="AD87" s="585"/>
      <c r="AE87" s="585"/>
      <c r="AF87" s="585"/>
      <c r="AG87" s="1178"/>
      <c r="FY87" s="568"/>
      <c r="FZ87" s="568"/>
      <c r="GA87" s="568"/>
      <c r="GB87" s="568"/>
      <c r="GC87" s="568"/>
      <c r="GD87" s="568"/>
      <c r="GE87" s="568"/>
      <c r="GF87" s="568"/>
      <c r="GG87" s="568"/>
      <c r="GH87" s="568"/>
      <c r="GI87" s="568"/>
      <c r="GJ87" s="568"/>
      <c r="GK87" s="568"/>
      <c r="GL87" s="568"/>
      <c r="GM87" s="568"/>
      <c r="GN87" s="568"/>
      <c r="GO87" s="568"/>
      <c r="GW87" s="581"/>
      <c r="HL87" s="568"/>
    </row>
    <row r="88" spans="1:220" ht="12" customHeight="1">
      <c r="C88" s="1"/>
      <c r="D88" s="1"/>
      <c r="E88" s="120"/>
      <c r="F88" s="1"/>
      <c r="G88" s="44" t="s">
        <v>2789</v>
      </c>
      <c r="H88" s="326">
        <f>GJ48</f>
        <v>0</v>
      </c>
      <c r="I88" s="326">
        <f>GK48</f>
        <v>0</v>
      </c>
      <c r="J88" s="326">
        <f>GL48</f>
        <v>0</v>
      </c>
      <c r="K88" s="326">
        <f>GM48</f>
        <v>0</v>
      </c>
      <c r="L88" s="326">
        <f>GN48</f>
        <v>0</v>
      </c>
      <c r="M88" s="326">
        <f t="shared" si="215"/>
        <v>0</v>
      </c>
      <c r="N88" s="31"/>
      <c r="O88" s="96"/>
      <c r="Q88" s="501"/>
      <c r="R88" s="501"/>
      <c r="S88" s="501"/>
      <c r="T88" s="1754"/>
      <c r="U88" s="1755"/>
      <c r="V88" s="570"/>
      <c r="W88" s="570"/>
      <c r="X88" s="587"/>
      <c r="Y88" s="570"/>
      <c r="Z88" s="584"/>
      <c r="AA88" s="585"/>
      <c r="AB88" s="585"/>
      <c r="AC88" s="585"/>
      <c r="AD88" s="585"/>
      <c r="AE88" s="585"/>
      <c r="AF88" s="585"/>
      <c r="AG88" s="1178"/>
      <c r="FY88" s="568"/>
      <c r="FZ88" s="568"/>
      <c r="GA88" s="568"/>
      <c r="GB88" s="568"/>
      <c r="GC88" s="568"/>
      <c r="GD88" s="568"/>
      <c r="GE88" s="568"/>
      <c r="GF88" s="568"/>
      <c r="GG88" s="568"/>
      <c r="GH88" s="568"/>
      <c r="GI88" s="568"/>
      <c r="GJ88" s="568"/>
      <c r="GK88" s="568"/>
      <c r="GL88" s="568"/>
      <c r="GM88" s="568"/>
      <c r="GN88" s="568"/>
      <c r="GO88" s="568"/>
      <c r="GW88" s="581"/>
      <c r="HL88" s="568"/>
    </row>
    <row r="89" spans="1:220" ht="12" customHeight="1">
      <c r="C89" s="1"/>
      <c r="D89" s="1"/>
      <c r="E89" s="120" t="s">
        <v>43</v>
      </c>
      <c r="F89" s="1"/>
      <c r="G89" s="44"/>
      <c r="H89" s="324">
        <f>FA48</f>
        <v>0</v>
      </c>
      <c r="I89" s="324">
        <f>FB48</f>
        <v>0</v>
      </c>
      <c r="J89" s="324">
        <f>FC48</f>
        <v>0</v>
      </c>
      <c r="K89" s="324">
        <f>FD48</f>
        <v>5</v>
      </c>
      <c r="L89" s="324">
        <f>FE48</f>
        <v>2</v>
      </c>
      <c r="M89" s="324">
        <f t="shared" si="215"/>
        <v>7</v>
      </c>
      <c r="N89" s="65"/>
      <c r="O89" s="96"/>
      <c r="Q89" s="501">
        <f>ABS(M89-AF89)</f>
        <v>7</v>
      </c>
      <c r="R89" s="501"/>
      <c r="S89" s="501"/>
      <c r="T89" s="1754"/>
      <c r="U89" s="1755"/>
      <c r="V89" s="570"/>
      <c r="W89" s="570"/>
      <c r="X89" s="587"/>
      <c r="Y89" s="570"/>
      <c r="Z89" s="584"/>
      <c r="AA89" s="585"/>
      <c r="AB89" s="585"/>
      <c r="AC89" s="585"/>
      <c r="AD89" s="585"/>
      <c r="AE89" s="585"/>
      <c r="AF89" s="585"/>
      <c r="AG89" s="567"/>
      <c r="AH89" s="570"/>
      <c r="GW89" s="581"/>
      <c r="HL89" s="568"/>
    </row>
    <row r="90" spans="1:220" ht="12" customHeight="1">
      <c r="C90" s="1"/>
      <c r="D90" s="1"/>
      <c r="E90" s="120" t="s">
        <v>44</v>
      </c>
      <c r="F90" s="1"/>
      <c r="G90" s="44"/>
      <c r="H90" s="324">
        <f>FP48</f>
        <v>0</v>
      </c>
      <c r="I90" s="324">
        <f>FQ48</f>
        <v>0</v>
      </c>
      <c r="J90" s="324">
        <f>FR48</f>
        <v>0</v>
      </c>
      <c r="K90" s="324">
        <f>FS48</f>
        <v>0</v>
      </c>
      <c r="L90" s="324">
        <f>FT48</f>
        <v>0</v>
      </c>
      <c r="M90" s="324">
        <f t="shared" si="215"/>
        <v>0</v>
      </c>
      <c r="N90" s="31"/>
      <c r="O90" s="96"/>
      <c r="Q90" s="501">
        <f>ABS(M90-AF90)</f>
        <v>0</v>
      </c>
      <c r="R90" s="501"/>
      <c r="S90" s="501"/>
      <c r="T90" s="1754"/>
      <c r="U90" s="1755"/>
      <c r="V90" s="570"/>
      <c r="W90" s="570"/>
      <c r="X90" s="587"/>
      <c r="Y90" s="570"/>
      <c r="Z90" s="584"/>
      <c r="AA90" s="585"/>
      <c r="AB90" s="585"/>
      <c r="AC90" s="585"/>
      <c r="AD90" s="585"/>
      <c r="AE90" s="585"/>
      <c r="AF90" s="585"/>
      <c r="AG90" s="1178"/>
      <c r="FY90" s="568"/>
      <c r="FZ90" s="568"/>
      <c r="GA90" s="568"/>
      <c r="GB90" s="568"/>
      <c r="GC90" s="568"/>
      <c r="GD90" s="568"/>
      <c r="GE90" s="568"/>
      <c r="GF90" s="568"/>
      <c r="GG90" s="568"/>
      <c r="GH90" s="568"/>
      <c r="GI90" s="568"/>
      <c r="GJ90" s="568"/>
      <c r="GK90" s="568"/>
      <c r="GL90" s="568"/>
      <c r="GM90" s="568"/>
      <c r="GN90" s="568"/>
      <c r="GO90" s="568"/>
      <c r="GW90" s="581"/>
      <c r="HL90" s="568"/>
    </row>
    <row r="91" spans="1:220" ht="12" customHeight="1">
      <c r="C91" s="1"/>
      <c r="D91" s="1"/>
      <c r="E91" s="127" t="s">
        <v>598</v>
      </c>
      <c r="F91" s="1"/>
      <c r="G91" s="44"/>
      <c r="H91" s="324">
        <f>FK48</f>
        <v>0</v>
      </c>
      <c r="I91" s="324">
        <f>FL48</f>
        <v>12</v>
      </c>
      <c r="J91" s="324">
        <f>FM48</f>
        <v>37</v>
      </c>
      <c r="K91" s="324">
        <f>FN48</f>
        <v>7</v>
      </c>
      <c r="L91" s="324">
        <f>FO48</f>
        <v>0</v>
      </c>
      <c r="M91" s="324">
        <f t="shared" si="215"/>
        <v>56</v>
      </c>
      <c r="N91" s="65"/>
      <c r="O91" s="96"/>
      <c r="Q91" s="501">
        <f>ABS(M91-AF91)</f>
        <v>56</v>
      </c>
      <c r="R91" s="501"/>
      <c r="S91" s="501"/>
      <c r="T91" s="1754"/>
      <c r="U91" s="1755"/>
      <c r="V91" s="570"/>
      <c r="W91" s="570"/>
      <c r="X91" s="575"/>
      <c r="Y91" s="570"/>
      <c r="Z91" s="584"/>
      <c r="AA91" s="585"/>
      <c r="AB91" s="585"/>
      <c r="AC91" s="585"/>
      <c r="AD91" s="585"/>
      <c r="AE91" s="585"/>
      <c r="AF91" s="585"/>
      <c r="AG91" s="567"/>
      <c r="AH91" s="570"/>
      <c r="GW91" s="581"/>
      <c r="HL91" s="568"/>
    </row>
    <row r="92" spans="1:220" ht="12" customHeight="1">
      <c r="C92" s="1"/>
      <c r="D92" s="1"/>
      <c r="E92" s="104" t="s">
        <v>599</v>
      </c>
      <c r="F92" s="1"/>
      <c r="G92" s="44"/>
      <c r="H92" s="327">
        <f>FF48</f>
        <v>0</v>
      </c>
      <c r="I92" s="327">
        <f>FG48</f>
        <v>0</v>
      </c>
      <c r="J92" s="327">
        <f>FH48</f>
        <v>0</v>
      </c>
      <c r="K92" s="327">
        <f>FI48</f>
        <v>0</v>
      </c>
      <c r="L92" s="327">
        <f>FJ48</f>
        <v>0</v>
      </c>
      <c r="M92" s="327">
        <f t="shared" si="215"/>
        <v>0</v>
      </c>
      <c r="N92" s="31"/>
      <c r="O92" s="96"/>
      <c r="Q92" s="501">
        <f>ABS(M92-AF92)</f>
        <v>0</v>
      </c>
      <c r="R92" s="501"/>
      <c r="S92" s="501"/>
      <c r="T92" s="1762"/>
      <c r="U92" s="1763"/>
      <c r="V92" s="570"/>
      <c r="W92" s="570"/>
      <c r="X92" s="573"/>
      <c r="Y92" s="570"/>
      <c r="Z92" s="584"/>
      <c r="AA92" s="585"/>
      <c r="AB92" s="585"/>
      <c r="AC92" s="585"/>
      <c r="AD92" s="585"/>
      <c r="AE92" s="585"/>
      <c r="AF92" s="585"/>
      <c r="AG92" s="1178"/>
      <c r="FY92" s="568"/>
      <c r="FZ92" s="568"/>
      <c r="GA92" s="568"/>
      <c r="GB92" s="568"/>
      <c r="GC92" s="568"/>
      <c r="GD92" s="568"/>
      <c r="GE92" s="568"/>
      <c r="GF92" s="568"/>
      <c r="GG92" s="568"/>
      <c r="GH92" s="568"/>
      <c r="GI92" s="568"/>
      <c r="GJ92" s="568"/>
      <c r="GK92" s="568"/>
      <c r="GL92" s="568"/>
      <c r="GM92" s="568"/>
      <c r="GN92" s="568"/>
      <c r="GO92" s="568"/>
      <c r="GW92" s="581"/>
      <c r="HL92" s="568"/>
    </row>
    <row r="93" spans="1:220" ht="12" customHeight="1">
      <c r="A93" s="16"/>
      <c r="B93" s="16" t="s">
        <v>2304</v>
      </c>
      <c r="C93" s="1"/>
      <c r="D93" s="1"/>
      <c r="E93" s="1"/>
      <c r="F93" s="1"/>
      <c r="G93" s="44"/>
      <c r="H93" s="1"/>
      <c r="I93" s="1"/>
      <c r="J93" s="1"/>
      <c r="K93" s="1"/>
      <c r="L93" s="1"/>
      <c r="M93" s="1"/>
      <c r="O93" s="96"/>
      <c r="Q93" s="501"/>
      <c r="R93" s="501"/>
      <c r="S93" s="501"/>
      <c r="T93" s="384" t="str">
        <f>B93</f>
        <v>Unit Square Footage:</v>
      </c>
      <c r="U93" s="500" t="s">
        <v>1205</v>
      </c>
      <c r="V93" s="583"/>
      <c r="W93" s="583"/>
      <c r="X93" s="583"/>
      <c r="Y93" s="583"/>
      <c r="Z93" s="584"/>
      <c r="AA93" s="583"/>
      <c r="AB93" s="583"/>
      <c r="AC93" s="583"/>
      <c r="AD93" s="583"/>
      <c r="AE93" s="583"/>
      <c r="AF93" s="583"/>
      <c r="AG93" s="1178"/>
      <c r="AH93" s="570"/>
      <c r="GW93" s="581"/>
      <c r="HL93" s="568"/>
    </row>
    <row r="94" spans="1:220" ht="12" customHeight="1">
      <c r="C94" s="6" t="s">
        <v>2274</v>
      </c>
      <c r="D94" s="1"/>
      <c r="E94" s="1"/>
      <c r="F94" s="1"/>
      <c r="G94" s="44" t="s">
        <v>1218</v>
      </c>
      <c r="H94" s="195">
        <f>BY48</f>
        <v>0</v>
      </c>
      <c r="I94" s="195">
        <f>BZ48</f>
        <v>19824</v>
      </c>
      <c r="J94" s="195">
        <f>CA48</f>
        <v>37518</v>
      </c>
      <c r="K94" s="195">
        <f>CB48</f>
        <v>15000</v>
      </c>
      <c r="L94" s="195">
        <f>CC48</f>
        <v>2952</v>
      </c>
      <c r="M94" s="195">
        <f t="shared" ref="M94:M100" si="216">SUM(H94:L94)</f>
        <v>75294</v>
      </c>
      <c r="O94" s="96"/>
      <c r="Q94" s="501">
        <f t="shared" ref="Q94:Q100" si="217">ABS(M94-AF94)</f>
        <v>75294</v>
      </c>
      <c r="R94" s="501"/>
      <c r="S94" s="501"/>
      <c r="T94" s="1746"/>
      <c r="U94" s="1747"/>
      <c r="V94" s="583"/>
      <c r="W94" s="583"/>
      <c r="X94" s="583"/>
      <c r="Y94" s="583"/>
      <c r="Z94" s="584"/>
      <c r="AA94" s="585"/>
      <c r="AB94" s="585"/>
      <c r="AC94" s="585"/>
      <c r="AD94" s="585"/>
      <c r="AE94" s="585"/>
      <c r="AF94" s="585"/>
      <c r="AG94" s="1178"/>
      <c r="AH94" s="570"/>
      <c r="GW94" s="581"/>
      <c r="HL94" s="568"/>
    </row>
    <row r="95" spans="1:220" ht="12" customHeight="1">
      <c r="C95" s="5"/>
      <c r="D95" s="1"/>
      <c r="E95" s="1"/>
      <c r="F95" s="1"/>
      <c r="G95" s="44" t="s">
        <v>121</v>
      </c>
      <c r="H95" s="197">
        <f>CD48</f>
        <v>0</v>
      </c>
      <c r="I95" s="197">
        <f>CE48</f>
        <v>0</v>
      </c>
      <c r="J95" s="197">
        <f>CF48</f>
        <v>0</v>
      </c>
      <c r="K95" s="197">
        <f>CG48</f>
        <v>0</v>
      </c>
      <c r="L95" s="197">
        <f>CH48</f>
        <v>0</v>
      </c>
      <c r="M95" s="197">
        <f t="shared" si="216"/>
        <v>0</v>
      </c>
      <c r="N95" s="6"/>
      <c r="O95" s="96"/>
      <c r="Q95" s="501">
        <f t="shared" si="217"/>
        <v>0</v>
      </c>
      <c r="R95" s="501"/>
      <c r="S95" s="501"/>
      <c r="T95" s="1754"/>
      <c r="U95" s="1755"/>
      <c r="V95" s="586"/>
      <c r="W95" s="583"/>
      <c r="X95" s="583"/>
      <c r="Y95" s="583"/>
      <c r="Z95" s="584"/>
      <c r="AA95" s="585"/>
      <c r="AB95" s="585"/>
      <c r="AC95" s="585"/>
      <c r="AD95" s="585"/>
      <c r="AE95" s="585"/>
      <c r="AF95" s="585"/>
      <c r="AG95" s="583"/>
      <c r="AH95" s="570"/>
      <c r="GW95" s="581"/>
      <c r="HL95" s="568"/>
    </row>
    <row r="96" spans="1:220" ht="12" customHeight="1">
      <c r="C96" s="5"/>
      <c r="D96" s="1"/>
      <c r="E96" s="1"/>
      <c r="F96" s="1"/>
      <c r="G96" s="44" t="s">
        <v>572</v>
      </c>
      <c r="H96" s="194">
        <f>SUM(H94:H95)</f>
        <v>0</v>
      </c>
      <c r="I96" s="194">
        <f>SUM(I94:I95)</f>
        <v>19824</v>
      </c>
      <c r="J96" s="194">
        <f>SUM(J94:J95)</f>
        <v>37518</v>
      </c>
      <c r="K96" s="194">
        <f>SUM(K94:K95)</f>
        <v>15000</v>
      </c>
      <c r="L96" s="194">
        <f>SUM(L94:L95)</f>
        <v>2952</v>
      </c>
      <c r="M96" s="194">
        <f t="shared" si="216"/>
        <v>75294</v>
      </c>
      <c r="N96" s="6"/>
      <c r="O96" s="96"/>
      <c r="Q96" s="501">
        <f t="shared" si="217"/>
        <v>75294</v>
      </c>
      <c r="R96" s="501"/>
      <c r="S96" s="501"/>
      <c r="T96" s="1754"/>
      <c r="U96" s="1755"/>
      <c r="V96" s="586"/>
      <c r="W96" s="583"/>
      <c r="X96" s="583"/>
      <c r="Y96" s="583"/>
      <c r="Z96" s="584"/>
      <c r="AA96" s="585"/>
      <c r="AB96" s="585"/>
      <c r="AC96" s="585"/>
      <c r="AD96" s="585"/>
      <c r="AE96" s="585"/>
      <c r="AF96" s="585"/>
      <c r="AG96" s="583"/>
      <c r="AH96" s="570"/>
      <c r="GW96" s="581"/>
      <c r="HL96" s="568"/>
    </row>
    <row r="97" spans="1:222" ht="12" customHeight="1">
      <c r="C97" s="1" t="s">
        <v>319</v>
      </c>
      <c r="D97" s="1"/>
      <c r="E97" s="1"/>
      <c r="F97" s="1"/>
      <c r="G97" s="1"/>
      <c r="H97" s="194">
        <f>CN48</f>
        <v>0</v>
      </c>
      <c r="I97" s="194">
        <f>CO48</f>
        <v>0</v>
      </c>
      <c r="J97" s="194">
        <f>CP48</f>
        <v>0</v>
      </c>
      <c r="K97" s="194">
        <f>CQ48</f>
        <v>0</v>
      </c>
      <c r="L97" s="194">
        <f>CR48</f>
        <v>0</v>
      </c>
      <c r="M97" s="194">
        <f t="shared" si="216"/>
        <v>0</v>
      </c>
      <c r="O97" s="96"/>
      <c r="Q97" s="501">
        <f t="shared" si="217"/>
        <v>0</v>
      </c>
      <c r="R97" s="501"/>
      <c r="S97" s="501"/>
      <c r="T97" s="1754"/>
      <c r="U97" s="1755"/>
      <c r="V97" s="570"/>
      <c r="W97" s="583"/>
      <c r="X97" s="583"/>
      <c r="Y97" s="583"/>
      <c r="Z97" s="583"/>
      <c r="AA97" s="585"/>
      <c r="AB97" s="585"/>
      <c r="AC97" s="585"/>
      <c r="AD97" s="585"/>
      <c r="AE97" s="585"/>
      <c r="AF97" s="585"/>
      <c r="AG97" s="1178"/>
      <c r="AH97" s="570"/>
      <c r="GW97" s="581"/>
      <c r="HL97" s="568"/>
    </row>
    <row r="98" spans="1:222" ht="12" customHeight="1">
      <c r="C98" s="6" t="s">
        <v>1207</v>
      </c>
      <c r="D98" s="1"/>
      <c r="E98" s="1"/>
      <c r="F98" s="1"/>
      <c r="G98" s="1"/>
      <c r="H98" s="194">
        <f>SUM(H96:H97)</f>
        <v>0</v>
      </c>
      <c r="I98" s="194">
        <f>SUM(I96:I97)</f>
        <v>19824</v>
      </c>
      <c r="J98" s="194">
        <f>SUM(J96:J97)</f>
        <v>37518</v>
      </c>
      <c r="K98" s="194">
        <f>SUM(K96:K97)</f>
        <v>15000</v>
      </c>
      <c r="L98" s="194">
        <f>SUM(L96:L97)</f>
        <v>2952</v>
      </c>
      <c r="M98" s="194">
        <f t="shared" si="216"/>
        <v>75294</v>
      </c>
      <c r="O98" s="96"/>
      <c r="Q98" s="501">
        <f t="shared" si="217"/>
        <v>75294</v>
      </c>
      <c r="R98" s="501"/>
      <c r="S98" s="501"/>
      <c r="T98" s="1754"/>
      <c r="U98" s="1755"/>
      <c r="V98" s="583"/>
      <c r="W98" s="583"/>
      <c r="X98" s="583"/>
      <c r="Y98" s="583"/>
      <c r="Z98" s="583"/>
      <c r="AA98" s="585"/>
      <c r="AB98" s="585"/>
      <c r="AC98" s="585"/>
      <c r="AD98" s="585"/>
      <c r="AE98" s="585"/>
      <c r="AF98" s="585"/>
      <c r="AG98" s="1178"/>
      <c r="AH98" s="570"/>
      <c r="GW98" s="581"/>
      <c r="HL98" s="568"/>
    </row>
    <row r="99" spans="1:222" ht="12" customHeight="1">
      <c r="C99" s="6" t="s">
        <v>2682</v>
      </c>
      <c r="D99" s="1"/>
      <c r="E99" s="1"/>
      <c r="F99" s="1"/>
      <c r="G99" s="1"/>
      <c r="H99" s="194">
        <f>CX48</f>
        <v>0</v>
      </c>
      <c r="I99" s="194">
        <f>CY48</f>
        <v>0</v>
      </c>
      <c r="J99" s="194">
        <f>CZ48</f>
        <v>0</v>
      </c>
      <c r="K99" s="194">
        <f>DA48</f>
        <v>0</v>
      </c>
      <c r="L99" s="194">
        <f>DB48</f>
        <v>0</v>
      </c>
      <c r="M99" s="194">
        <f t="shared" si="216"/>
        <v>0</v>
      </c>
      <c r="O99" s="96"/>
      <c r="Q99" s="501">
        <f t="shared" si="217"/>
        <v>0</v>
      </c>
      <c r="R99" s="501"/>
      <c r="S99" s="501"/>
      <c r="T99" s="1754"/>
      <c r="U99" s="1755"/>
      <c r="V99" s="583"/>
      <c r="W99" s="583"/>
      <c r="X99" s="583"/>
      <c r="Y99" s="583"/>
      <c r="Z99" s="583"/>
      <c r="AA99" s="585"/>
      <c r="AB99" s="585"/>
      <c r="AC99" s="585"/>
      <c r="AD99" s="585"/>
      <c r="AE99" s="585"/>
      <c r="AF99" s="585"/>
      <c r="AG99" s="1178"/>
      <c r="AH99" s="570"/>
      <c r="GW99" s="581"/>
      <c r="HL99" s="568"/>
    </row>
    <row r="100" spans="1:222" ht="12" customHeight="1">
      <c r="C100" s="6" t="s">
        <v>572</v>
      </c>
      <c r="D100" s="1"/>
      <c r="E100" s="1"/>
      <c r="F100" s="1"/>
      <c r="G100" s="1"/>
      <c r="H100" s="194">
        <f>SUM(H98:H99)</f>
        <v>0</v>
      </c>
      <c r="I100" s="194">
        <f>SUM(I98:I99)</f>
        <v>19824</v>
      </c>
      <c r="J100" s="194">
        <f>SUM(J98:J99)</f>
        <v>37518</v>
      </c>
      <c r="K100" s="194">
        <f>SUM(K98:K99)</f>
        <v>15000</v>
      </c>
      <c r="L100" s="194">
        <f>SUM(L98:L99)</f>
        <v>2952</v>
      </c>
      <c r="M100" s="194">
        <f t="shared" si="216"/>
        <v>75294</v>
      </c>
      <c r="O100" s="96"/>
      <c r="Q100" s="501">
        <f t="shared" si="217"/>
        <v>75294</v>
      </c>
      <c r="R100" s="501"/>
      <c r="S100" s="501"/>
      <c r="T100" s="1762"/>
      <c r="U100" s="1763"/>
      <c r="V100" s="583"/>
      <c r="W100" s="583"/>
      <c r="X100" s="583"/>
      <c r="Y100" s="583"/>
      <c r="Z100" s="583"/>
      <c r="AA100" s="585"/>
      <c r="AB100" s="585"/>
      <c r="AC100" s="585"/>
      <c r="AD100" s="585"/>
      <c r="AE100" s="585"/>
      <c r="AF100" s="585"/>
      <c r="AG100" s="1178"/>
      <c r="AH100" s="570"/>
      <c r="GW100" s="581"/>
      <c r="HL100" s="568"/>
    </row>
    <row r="101" spans="1:222" ht="4.9000000000000004" customHeight="1">
      <c r="B101" s="16"/>
      <c r="O101" s="92"/>
      <c r="P101" s="92"/>
      <c r="Q101" s="106"/>
      <c r="R101" s="106"/>
      <c r="S101" s="106"/>
      <c r="U101" s="182"/>
      <c r="V101" s="1178"/>
      <c r="W101" s="1178"/>
      <c r="X101" s="1178"/>
      <c r="Y101" s="1178"/>
      <c r="Z101" s="1178"/>
      <c r="AA101" s="1178"/>
      <c r="AB101" s="1178"/>
      <c r="AC101" s="1178"/>
      <c r="AD101" s="1178"/>
      <c r="AE101" s="1178"/>
      <c r="AF101" s="1178"/>
      <c r="AG101" s="1178"/>
      <c r="GW101" s="581"/>
      <c r="HL101" s="568"/>
    </row>
    <row r="102" spans="1:222" ht="13.9" customHeight="1">
      <c r="A102" s="16" t="s">
        <v>792</v>
      </c>
      <c r="B102" s="16" t="s">
        <v>236</v>
      </c>
      <c r="P102" s="9"/>
      <c r="Q102" s="502"/>
      <c r="R102" s="502"/>
      <c r="S102" s="502"/>
      <c r="T102" s="16" t="s">
        <v>1974</v>
      </c>
      <c r="FY102" s="568"/>
      <c r="GP102" s="577"/>
      <c r="GV102" s="568"/>
      <c r="GW102" s="581"/>
      <c r="HL102" s="568"/>
      <c r="HN102" s="581"/>
    </row>
    <row r="103" spans="1:222" ht="9" customHeight="1">
      <c r="P103" s="502"/>
    </row>
    <row r="104" spans="1:222" ht="12.6" customHeight="1">
      <c r="B104" s="16" t="s">
        <v>1078</v>
      </c>
      <c r="D104" s="127"/>
      <c r="H104" s="1767">
        <v>3734</v>
      </c>
      <c r="I104" s="1768"/>
      <c r="K104" s="639" t="s">
        <v>3013</v>
      </c>
      <c r="O104" s="602">
        <f>H104/L49</f>
        <v>7.4138492451136899E-3</v>
      </c>
      <c r="P104" s="460"/>
      <c r="T104" s="5" t="str">
        <f>B104</f>
        <v>Ancillary Income</v>
      </c>
    </row>
    <row r="105" spans="1:222" ht="15" customHeight="1">
      <c r="B105" s="16"/>
      <c r="D105" s="127"/>
      <c r="E105" s="161"/>
      <c r="I105" s="125"/>
      <c r="P105" s="460"/>
    </row>
    <row r="106" spans="1:222" ht="13.9" customHeight="1">
      <c r="B106" s="16" t="s">
        <v>1541</v>
      </c>
      <c r="I106" s="16"/>
      <c r="K106" s="41"/>
      <c r="T106" s="5" t="str">
        <f>B106</f>
        <v>Other Income (OI) by Year:</v>
      </c>
    </row>
    <row r="107" spans="1:222" ht="15" customHeight="1">
      <c r="B107" s="16"/>
      <c r="I107" s="16"/>
      <c r="K107" s="41"/>
    </row>
    <row r="108" spans="1:222" ht="13.9" customHeight="1">
      <c r="B108" s="455" t="s">
        <v>2434</v>
      </c>
      <c r="G108" s="457">
        <v>1</v>
      </c>
      <c r="H108" s="457">
        <v>2</v>
      </c>
      <c r="I108" s="457">
        <v>3</v>
      </c>
      <c r="J108" s="457">
        <v>4</v>
      </c>
      <c r="K108" s="458">
        <v>5</v>
      </c>
      <c r="L108" s="457">
        <v>6</v>
      </c>
      <c r="M108" s="457">
        <v>7</v>
      </c>
      <c r="N108" s="457">
        <v>8</v>
      </c>
      <c r="O108" s="457">
        <v>9</v>
      </c>
      <c r="P108" s="457">
        <v>10</v>
      </c>
      <c r="T108" s="111" t="str">
        <f>B108</f>
        <v>Included in Mgt Fee:</v>
      </c>
    </row>
    <row r="109" spans="1:222" ht="15" customHeight="1">
      <c r="B109" s="9" t="s">
        <v>1079</v>
      </c>
      <c r="G109" s="1769"/>
      <c r="H109" s="1769"/>
      <c r="I109" s="1769"/>
      <c r="J109" s="1769"/>
      <c r="K109" s="1770"/>
      <c r="L109" s="1769"/>
      <c r="M109" s="1769"/>
      <c r="N109" s="1769"/>
      <c r="O109" s="1769"/>
      <c r="P109" s="1769"/>
      <c r="T109" s="1746"/>
      <c r="U109" s="1747"/>
    </row>
    <row r="110" spans="1:222" ht="15" customHeight="1">
      <c r="B110" s="9" t="s">
        <v>791</v>
      </c>
      <c r="C110" s="1771"/>
      <c r="D110" s="1772"/>
      <c r="E110" s="1772"/>
      <c r="F110" s="1773"/>
      <c r="G110" s="1774"/>
      <c r="H110" s="1774"/>
      <c r="I110" s="1774"/>
      <c r="J110" s="1774"/>
      <c r="K110" s="1775"/>
      <c r="L110" s="1774"/>
      <c r="M110" s="1774"/>
      <c r="N110" s="1774"/>
      <c r="O110" s="1774"/>
      <c r="P110" s="1774"/>
      <c r="T110" s="1754"/>
      <c r="U110" s="1755"/>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2"/>
      <c r="U111" s="1763"/>
    </row>
    <row r="112" spans="1:222" ht="6.6" customHeight="1">
      <c r="C112" s="104"/>
      <c r="G112" s="25"/>
      <c r="H112" s="25"/>
      <c r="I112" s="25"/>
      <c r="J112" s="25"/>
      <c r="K112" s="25"/>
      <c r="L112" s="25"/>
      <c r="M112" s="25"/>
      <c r="N112" s="25"/>
      <c r="O112" s="25"/>
      <c r="P112" s="25"/>
    </row>
    <row r="113" spans="2:21" ht="15.6" customHeight="1">
      <c r="B113" s="456" t="s">
        <v>684</v>
      </c>
      <c r="G113" s="42"/>
      <c r="P113" s="9"/>
      <c r="T113" s="111" t="str">
        <f>B113</f>
        <v>NOT Included in Mgt Fee:</v>
      </c>
    </row>
    <row r="114" spans="2:21" ht="15" customHeight="1">
      <c r="B114" s="9" t="s">
        <v>566</v>
      </c>
      <c r="G114" s="1769"/>
      <c r="H114" s="1769"/>
      <c r="I114" s="1769"/>
      <c r="J114" s="1769"/>
      <c r="K114" s="1770"/>
      <c r="L114" s="1769"/>
      <c r="M114" s="1769"/>
      <c r="N114" s="1769"/>
      <c r="O114" s="1769"/>
      <c r="P114" s="1769"/>
      <c r="T114" s="1754"/>
      <c r="U114" s="1755"/>
    </row>
    <row r="115" spans="2:21" ht="15" customHeight="1">
      <c r="B115" s="9" t="s">
        <v>791</v>
      </c>
      <c r="C115" s="1771"/>
      <c r="D115" s="1772"/>
      <c r="E115" s="1772"/>
      <c r="F115" s="1773"/>
      <c r="G115" s="1774"/>
      <c r="H115" s="1774"/>
      <c r="I115" s="1774"/>
      <c r="J115" s="1774"/>
      <c r="K115" s="1775"/>
      <c r="L115" s="1774"/>
      <c r="M115" s="1774"/>
      <c r="N115" s="1774"/>
      <c r="O115" s="1774"/>
      <c r="P115" s="1774"/>
      <c r="T115" s="1754"/>
      <c r="U115" s="1755"/>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2"/>
      <c r="U116" s="1763"/>
    </row>
    <row r="117" spans="2:21" ht="42.6" customHeight="1">
      <c r="B117" s="16"/>
      <c r="G117" s="42"/>
      <c r="P117" s="9"/>
      <c r="T117" s="206" t="s">
        <v>2805</v>
      </c>
    </row>
    <row r="118" spans="2:21" ht="13.9" customHeight="1">
      <c r="B118" s="455" t="s">
        <v>2434</v>
      </c>
      <c r="G118" s="457">
        <v>11</v>
      </c>
      <c r="H118" s="457">
        <v>12</v>
      </c>
      <c r="I118" s="457">
        <v>13</v>
      </c>
      <c r="J118" s="457">
        <v>14</v>
      </c>
      <c r="K118" s="457">
        <v>15</v>
      </c>
      <c r="L118" s="457">
        <v>16</v>
      </c>
      <c r="M118" s="457">
        <v>17</v>
      </c>
      <c r="N118" s="457">
        <v>18</v>
      </c>
      <c r="O118" s="457">
        <v>19</v>
      </c>
      <c r="P118" s="457">
        <v>20</v>
      </c>
      <c r="T118" s="111" t="str">
        <f>B118</f>
        <v>Included in Mgt Fee:</v>
      </c>
    </row>
    <row r="119" spans="2:21" ht="15" customHeight="1">
      <c r="B119" s="9" t="s">
        <v>1079</v>
      </c>
      <c r="G119" s="1769"/>
      <c r="H119" s="1769"/>
      <c r="I119" s="1769"/>
      <c r="J119" s="1769"/>
      <c r="K119" s="1770"/>
      <c r="L119" s="1769"/>
      <c r="M119" s="1769"/>
      <c r="N119" s="1769"/>
      <c r="O119" s="1769"/>
      <c r="P119" s="1769"/>
      <c r="T119" s="1746"/>
      <c r="U119" s="1747"/>
    </row>
    <row r="120" spans="2:21" ht="15" customHeight="1">
      <c r="B120" s="9" t="s">
        <v>791</v>
      </c>
      <c r="C120" s="1771"/>
      <c r="D120" s="1772"/>
      <c r="E120" s="1772"/>
      <c r="F120" s="1773"/>
      <c r="G120" s="1774"/>
      <c r="H120" s="1774"/>
      <c r="I120" s="1774"/>
      <c r="J120" s="1774"/>
      <c r="K120" s="1775"/>
      <c r="L120" s="1774"/>
      <c r="M120" s="1774"/>
      <c r="N120" s="1774"/>
      <c r="O120" s="1774"/>
      <c r="P120" s="1774"/>
      <c r="T120" s="1754"/>
      <c r="U120" s="1755"/>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2"/>
      <c r="U121" s="1763"/>
    </row>
    <row r="122" spans="2:21" ht="6.6" customHeight="1">
      <c r="C122" s="104"/>
      <c r="G122" s="25"/>
      <c r="H122" s="25"/>
      <c r="I122" s="25"/>
      <c r="J122" s="25"/>
      <c r="K122" s="25"/>
      <c r="L122" s="25"/>
      <c r="M122" s="25"/>
      <c r="N122" s="25"/>
      <c r="O122" s="25"/>
      <c r="P122" s="25"/>
    </row>
    <row r="123" spans="2:21" ht="15.6" customHeight="1">
      <c r="B123" s="456" t="s">
        <v>684</v>
      </c>
      <c r="G123" s="42"/>
      <c r="P123" s="9"/>
      <c r="T123" s="111" t="str">
        <f>B123</f>
        <v>NOT Included in Mgt Fee:</v>
      </c>
    </row>
    <row r="124" spans="2:21" ht="15" customHeight="1">
      <c r="B124" s="9" t="s">
        <v>566</v>
      </c>
      <c r="G124" s="1769"/>
      <c r="H124" s="1769"/>
      <c r="I124" s="1769"/>
      <c r="J124" s="1769"/>
      <c r="K124" s="1770"/>
      <c r="L124" s="1769"/>
      <c r="M124" s="1769"/>
      <c r="N124" s="1769"/>
      <c r="O124" s="1769"/>
      <c r="P124" s="1769"/>
      <c r="T124" s="1754"/>
      <c r="U124" s="1755"/>
    </row>
    <row r="125" spans="2:21" ht="15" customHeight="1">
      <c r="B125" s="9" t="s">
        <v>791</v>
      </c>
      <c r="C125" s="1771"/>
      <c r="D125" s="1772"/>
      <c r="E125" s="1772"/>
      <c r="F125" s="1773"/>
      <c r="G125" s="1774"/>
      <c r="H125" s="1774"/>
      <c r="I125" s="1774"/>
      <c r="J125" s="1774"/>
      <c r="K125" s="1775"/>
      <c r="L125" s="1774"/>
      <c r="M125" s="1774"/>
      <c r="N125" s="1774"/>
      <c r="O125" s="1774"/>
      <c r="P125" s="1774"/>
      <c r="T125" s="1754"/>
      <c r="U125" s="1755"/>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2"/>
      <c r="U126" s="1763"/>
    </row>
    <row r="127" spans="2:21" ht="42.6" customHeight="1">
      <c r="B127" s="16"/>
      <c r="G127" s="42"/>
      <c r="P127" s="9"/>
      <c r="T127" s="206" t="s">
        <v>2806</v>
      </c>
    </row>
    <row r="128" spans="2:21" ht="13.9" customHeight="1">
      <c r="B128" s="455" t="s">
        <v>2434</v>
      </c>
      <c r="G128" s="457">
        <v>21</v>
      </c>
      <c r="H128" s="457">
        <v>22</v>
      </c>
      <c r="I128" s="457">
        <v>23</v>
      </c>
      <c r="J128" s="457">
        <v>24</v>
      </c>
      <c r="K128" s="457">
        <v>25</v>
      </c>
      <c r="L128" s="457">
        <v>26</v>
      </c>
      <c r="M128" s="457">
        <v>27</v>
      </c>
      <c r="N128" s="457">
        <v>28</v>
      </c>
      <c r="O128" s="457">
        <v>29</v>
      </c>
      <c r="P128" s="457">
        <v>30</v>
      </c>
      <c r="T128" s="111" t="str">
        <f>B128</f>
        <v>Included in Mgt Fee:</v>
      </c>
    </row>
    <row r="129" spans="1:255" ht="15" customHeight="1">
      <c r="B129" s="9" t="s">
        <v>1079</v>
      </c>
      <c r="G129" s="1769"/>
      <c r="H129" s="1769"/>
      <c r="I129" s="1769"/>
      <c r="J129" s="1769"/>
      <c r="K129" s="1770"/>
      <c r="L129" s="1769"/>
      <c r="M129" s="1769"/>
      <c r="N129" s="1769"/>
      <c r="O129" s="1769"/>
      <c r="P129" s="1769"/>
      <c r="T129" s="1746"/>
      <c r="U129" s="1747"/>
    </row>
    <row r="130" spans="1:255" ht="15" customHeight="1">
      <c r="B130" s="9" t="s">
        <v>791</v>
      </c>
      <c r="C130" s="1771"/>
      <c r="D130" s="1772"/>
      <c r="E130" s="1772"/>
      <c r="F130" s="1773"/>
      <c r="G130" s="1774"/>
      <c r="H130" s="1774"/>
      <c r="I130" s="1774"/>
      <c r="J130" s="1774"/>
      <c r="K130" s="1775"/>
      <c r="L130" s="1774"/>
      <c r="M130" s="1774"/>
      <c r="N130" s="1774"/>
      <c r="O130" s="1774"/>
      <c r="P130" s="1774"/>
      <c r="T130" s="1754"/>
      <c r="U130" s="1755"/>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2"/>
      <c r="U131" s="1763"/>
    </row>
    <row r="132" spans="1:255" ht="6.6" customHeight="1">
      <c r="C132" s="104"/>
      <c r="G132" s="25"/>
      <c r="H132" s="25"/>
      <c r="I132" s="25"/>
      <c r="J132" s="25"/>
      <c r="K132" s="25"/>
      <c r="L132" s="25"/>
      <c r="M132" s="25"/>
      <c r="N132" s="25"/>
      <c r="O132" s="25"/>
      <c r="P132" s="25"/>
    </row>
    <row r="133" spans="1:255" ht="15" customHeight="1">
      <c r="B133" s="456" t="s">
        <v>684</v>
      </c>
      <c r="G133" s="42"/>
      <c r="P133" s="9"/>
      <c r="T133" s="111" t="str">
        <f>B133</f>
        <v>NOT Included in Mgt Fee:</v>
      </c>
    </row>
    <row r="134" spans="1:255" ht="15" customHeight="1">
      <c r="B134" s="9" t="s">
        <v>566</v>
      </c>
      <c r="G134" s="1769"/>
      <c r="H134" s="1769"/>
      <c r="I134" s="1769"/>
      <c r="J134" s="1769"/>
      <c r="K134" s="1770"/>
      <c r="L134" s="1769"/>
      <c r="M134" s="1769"/>
      <c r="N134" s="1769"/>
      <c r="O134" s="1769"/>
      <c r="P134" s="1769"/>
      <c r="T134" s="1754"/>
      <c r="U134" s="1755"/>
    </row>
    <row r="135" spans="1:255" ht="15" customHeight="1">
      <c r="B135" s="9" t="s">
        <v>791</v>
      </c>
      <c r="C135" s="1771"/>
      <c r="D135" s="1772"/>
      <c r="E135" s="1772"/>
      <c r="F135" s="1773"/>
      <c r="G135" s="1774"/>
      <c r="H135" s="1774"/>
      <c r="I135" s="1774"/>
      <c r="J135" s="1774"/>
      <c r="K135" s="1775"/>
      <c r="L135" s="1774"/>
      <c r="M135" s="1774"/>
      <c r="N135" s="1774"/>
      <c r="O135" s="1774"/>
      <c r="P135" s="1774"/>
      <c r="T135" s="1754"/>
      <c r="U135" s="1755"/>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2"/>
      <c r="U136" s="1763"/>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8"/>
      <c r="W138" s="568"/>
      <c r="X138" s="568"/>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570"/>
      <c r="BJ138" s="570"/>
      <c r="BK138" s="570"/>
      <c r="BL138" s="570"/>
      <c r="BM138" s="570"/>
      <c r="BN138" s="570"/>
      <c r="BO138" s="570"/>
      <c r="BP138" s="570"/>
      <c r="BQ138" s="570"/>
      <c r="BR138" s="570"/>
      <c r="BS138" s="570"/>
      <c r="BT138" s="570"/>
      <c r="BU138" s="570"/>
      <c r="BV138" s="570"/>
      <c r="BW138" s="570"/>
      <c r="BX138" s="570"/>
      <c r="BY138" s="570"/>
      <c r="BZ138" s="570"/>
      <c r="CA138" s="570"/>
      <c r="CB138" s="570"/>
      <c r="CC138" s="570"/>
      <c r="CD138" s="570"/>
      <c r="CE138" s="570"/>
      <c r="CF138" s="570"/>
      <c r="CG138" s="570"/>
      <c r="CH138" s="570"/>
      <c r="CI138" s="570"/>
      <c r="CJ138" s="570"/>
      <c r="CK138" s="570"/>
      <c r="CL138" s="570"/>
      <c r="CM138" s="570"/>
      <c r="CN138" s="570"/>
      <c r="CO138" s="570"/>
      <c r="CP138" s="570"/>
      <c r="CQ138" s="570"/>
      <c r="CR138" s="570"/>
      <c r="CS138" s="570"/>
      <c r="CT138" s="570"/>
      <c r="CU138" s="570"/>
      <c r="CV138" s="570"/>
      <c r="CW138" s="570"/>
      <c r="CX138" s="570"/>
      <c r="CY138" s="570"/>
      <c r="CZ138" s="570"/>
      <c r="DA138" s="570"/>
      <c r="DB138" s="570"/>
      <c r="DC138" s="570"/>
      <c r="DD138" s="570"/>
      <c r="DE138" s="570"/>
      <c r="DF138" s="570"/>
      <c r="DG138" s="570"/>
      <c r="DH138" s="570"/>
      <c r="DI138" s="570"/>
      <c r="DJ138" s="570"/>
      <c r="DK138" s="570"/>
      <c r="DL138" s="570"/>
      <c r="DM138" s="570"/>
      <c r="DN138" s="570"/>
      <c r="DO138" s="570"/>
      <c r="DP138" s="570"/>
      <c r="DQ138" s="570"/>
      <c r="DR138" s="570"/>
      <c r="DS138" s="570"/>
      <c r="DT138" s="570"/>
      <c r="DU138" s="570"/>
      <c r="DV138" s="570"/>
      <c r="DW138" s="570"/>
      <c r="DX138" s="570"/>
      <c r="DY138" s="570"/>
      <c r="DZ138" s="570"/>
      <c r="EA138" s="570"/>
      <c r="EB138" s="570"/>
      <c r="EC138" s="570"/>
      <c r="ED138" s="570"/>
      <c r="EE138" s="570"/>
      <c r="EF138" s="570"/>
      <c r="EG138" s="570"/>
      <c r="EH138" s="570"/>
      <c r="EI138" s="570"/>
      <c r="EJ138" s="570"/>
      <c r="EK138" s="570"/>
      <c r="EL138" s="570"/>
      <c r="EM138" s="570"/>
      <c r="EN138" s="570"/>
      <c r="EO138" s="570"/>
      <c r="EP138" s="570"/>
      <c r="EQ138" s="570"/>
      <c r="ER138" s="570"/>
      <c r="ES138" s="570"/>
      <c r="ET138" s="570"/>
      <c r="EU138" s="570"/>
      <c r="EV138" s="570"/>
      <c r="EW138" s="570"/>
      <c r="EX138" s="570"/>
      <c r="EY138" s="570"/>
      <c r="EZ138" s="570"/>
      <c r="FA138" s="570"/>
      <c r="FB138" s="570"/>
      <c r="FC138" s="570"/>
      <c r="FD138" s="570"/>
      <c r="FE138" s="570"/>
      <c r="FF138" s="570"/>
      <c r="FG138" s="570"/>
      <c r="FH138" s="570"/>
      <c r="FI138" s="570"/>
      <c r="FJ138" s="570"/>
      <c r="FK138" s="570"/>
      <c r="FL138" s="570"/>
      <c r="FM138" s="570"/>
      <c r="FN138" s="570"/>
      <c r="FO138" s="570"/>
      <c r="FP138" s="570"/>
      <c r="FQ138" s="570"/>
      <c r="FR138" s="570"/>
      <c r="FS138" s="570"/>
      <c r="FT138" s="570"/>
      <c r="FU138" s="570"/>
      <c r="FV138" s="570"/>
      <c r="FW138" s="570"/>
      <c r="FX138" s="570"/>
      <c r="FY138" s="571"/>
      <c r="FZ138" s="571"/>
      <c r="GA138" s="571"/>
      <c r="GB138" s="571"/>
      <c r="GC138" s="571"/>
      <c r="GD138" s="571"/>
      <c r="GE138" s="571"/>
      <c r="GF138" s="571"/>
      <c r="GG138" s="571"/>
      <c r="GH138" s="571"/>
      <c r="GI138" s="571"/>
      <c r="GJ138" s="571"/>
      <c r="GK138" s="571"/>
      <c r="GL138" s="571"/>
      <c r="GM138" s="571"/>
      <c r="GN138" s="571"/>
      <c r="GO138" s="571"/>
      <c r="GP138" s="570"/>
      <c r="GQ138" s="570"/>
      <c r="GR138" s="570"/>
      <c r="GS138" s="570"/>
      <c r="GT138" s="570"/>
      <c r="GU138" s="570"/>
      <c r="GV138" s="572"/>
      <c r="GW138" s="570"/>
      <c r="GX138" s="570"/>
      <c r="GY138" s="570"/>
      <c r="GZ138" s="570"/>
      <c r="HA138" s="570"/>
      <c r="HB138" s="570"/>
      <c r="HC138" s="570"/>
      <c r="HD138" s="570"/>
      <c r="HE138" s="570"/>
      <c r="HF138" s="570"/>
      <c r="HG138" s="570"/>
      <c r="HH138" s="570"/>
      <c r="HI138" s="570"/>
      <c r="HJ138" s="570"/>
      <c r="HK138" s="570"/>
      <c r="HL138" s="572"/>
      <c r="HM138" s="572"/>
      <c r="HN138" s="570"/>
      <c r="HO138" s="570"/>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387" t="s">
        <v>1974</v>
      </c>
      <c r="U139" s="1387"/>
      <c r="V139" s="570"/>
      <c r="W139" s="570"/>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570"/>
      <c r="BJ139" s="570"/>
      <c r="BK139" s="570"/>
      <c r="BL139" s="570"/>
      <c r="BM139" s="570"/>
      <c r="BN139" s="570"/>
      <c r="BO139" s="570"/>
      <c r="BP139" s="570"/>
      <c r="BQ139" s="570"/>
      <c r="BR139" s="570"/>
      <c r="BS139" s="570"/>
      <c r="BT139" s="570"/>
      <c r="BU139" s="570"/>
      <c r="BV139" s="570"/>
      <c r="BW139" s="570"/>
      <c r="BX139" s="570"/>
      <c r="BY139" s="570"/>
      <c r="BZ139" s="570"/>
      <c r="CA139" s="570"/>
      <c r="CB139" s="570"/>
      <c r="CC139" s="570"/>
      <c r="CD139" s="570"/>
      <c r="CE139" s="570"/>
      <c r="CF139" s="570"/>
      <c r="CG139" s="570"/>
      <c r="CH139" s="570"/>
      <c r="CI139" s="570"/>
      <c r="CJ139" s="570"/>
      <c r="CK139" s="570"/>
      <c r="CL139" s="570"/>
      <c r="CM139" s="570"/>
      <c r="CN139" s="570"/>
      <c r="CO139" s="570"/>
      <c r="CP139" s="570"/>
      <c r="CQ139" s="570"/>
      <c r="CR139" s="570"/>
      <c r="CS139" s="570"/>
      <c r="CT139" s="570"/>
      <c r="CU139" s="570"/>
      <c r="CV139" s="570"/>
      <c r="CW139" s="570"/>
      <c r="CX139" s="570"/>
      <c r="CY139" s="570"/>
      <c r="CZ139" s="570"/>
      <c r="DA139" s="570"/>
      <c r="DB139" s="570"/>
      <c r="DC139" s="570"/>
      <c r="DD139" s="570"/>
      <c r="DE139" s="570"/>
      <c r="DF139" s="570"/>
      <c r="DG139" s="570"/>
      <c r="DH139" s="570"/>
      <c r="DI139" s="570"/>
      <c r="DJ139" s="570"/>
      <c r="DK139" s="570"/>
      <c r="DL139" s="570"/>
      <c r="DM139" s="570"/>
      <c r="DN139" s="570"/>
      <c r="DO139" s="570"/>
      <c r="DP139" s="570"/>
      <c r="DQ139" s="570"/>
      <c r="DR139" s="570"/>
      <c r="DS139" s="570"/>
      <c r="DT139" s="570"/>
      <c r="DU139" s="570"/>
      <c r="DV139" s="570"/>
      <c r="DW139" s="570"/>
      <c r="DX139" s="570"/>
      <c r="DY139" s="570"/>
      <c r="DZ139" s="570"/>
      <c r="EA139" s="570"/>
      <c r="EB139" s="570"/>
      <c r="EC139" s="570"/>
      <c r="ED139" s="570"/>
      <c r="EE139" s="570"/>
      <c r="EF139" s="570"/>
      <c r="EG139" s="570"/>
      <c r="EH139" s="570"/>
      <c r="EI139" s="570"/>
      <c r="EJ139" s="570"/>
      <c r="EK139" s="570"/>
      <c r="EL139" s="570"/>
      <c r="EM139" s="570"/>
      <c r="EN139" s="570"/>
      <c r="EO139" s="570"/>
      <c r="EP139" s="570"/>
      <c r="EQ139" s="570"/>
      <c r="ER139" s="570"/>
      <c r="ES139" s="570"/>
      <c r="ET139" s="570"/>
      <c r="EU139" s="570"/>
      <c r="EV139" s="570"/>
      <c r="EW139" s="570"/>
      <c r="EX139" s="570"/>
      <c r="EY139" s="570"/>
      <c r="EZ139" s="570"/>
      <c r="FA139" s="570"/>
      <c r="FB139" s="570"/>
      <c r="FC139" s="570"/>
      <c r="FD139" s="570"/>
      <c r="FE139" s="570"/>
      <c r="FF139" s="570"/>
      <c r="FG139" s="570"/>
      <c r="FH139" s="570"/>
      <c r="FI139" s="570"/>
      <c r="FJ139" s="570"/>
      <c r="FK139" s="570"/>
      <c r="FL139" s="570"/>
      <c r="FM139" s="570"/>
      <c r="FN139" s="570"/>
      <c r="FO139" s="570"/>
      <c r="FP139" s="570"/>
      <c r="FQ139" s="570"/>
      <c r="FR139" s="570"/>
      <c r="FS139" s="570"/>
      <c r="FT139" s="570"/>
      <c r="FU139" s="570"/>
      <c r="FV139" s="570"/>
      <c r="FW139" s="570"/>
      <c r="FX139" s="570"/>
      <c r="FY139" s="571"/>
      <c r="FZ139" s="571"/>
      <c r="GA139" s="571"/>
      <c r="GB139" s="571"/>
      <c r="GC139" s="571"/>
      <c r="GD139" s="571"/>
      <c r="GE139" s="571"/>
      <c r="GF139" s="571"/>
      <c r="GG139" s="571"/>
      <c r="GH139" s="571"/>
      <c r="GI139" s="571"/>
      <c r="GJ139" s="571"/>
      <c r="GK139" s="571"/>
      <c r="GL139" s="571"/>
      <c r="GM139" s="571"/>
      <c r="GN139" s="571"/>
      <c r="GO139" s="571"/>
      <c r="GP139" s="570"/>
      <c r="GQ139" s="570"/>
      <c r="GR139" s="570"/>
      <c r="GS139" s="570"/>
      <c r="GT139" s="570"/>
      <c r="GU139" s="570"/>
      <c r="GV139" s="572"/>
      <c r="GW139" s="570"/>
      <c r="GX139" s="570"/>
      <c r="GY139" s="570"/>
      <c r="GZ139" s="570"/>
      <c r="HA139" s="570"/>
      <c r="HB139" s="570"/>
      <c r="HC139" s="570"/>
      <c r="HD139" s="570"/>
      <c r="HE139" s="570"/>
      <c r="HF139" s="570"/>
      <c r="HG139" s="570"/>
      <c r="HH139" s="570"/>
      <c r="HI139" s="570"/>
      <c r="HJ139" s="570"/>
      <c r="HK139" s="570"/>
      <c r="HL139" s="572"/>
      <c r="HM139" s="572"/>
      <c r="HN139" s="570"/>
      <c r="HO139" s="570"/>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46"/>
      <c r="U140" s="1747"/>
      <c r="V140" s="568"/>
      <c r="W140" s="568"/>
      <c r="X140" s="568"/>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570"/>
      <c r="BJ140" s="570"/>
      <c r="BK140" s="570"/>
      <c r="BL140" s="570"/>
      <c r="BM140" s="570"/>
      <c r="BN140" s="570"/>
      <c r="BO140" s="570"/>
      <c r="BP140" s="570"/>
      <c r="BQ140" s="570"/>
      <c r="BR140" s="570"/>
      <c r="BS140" s="570"/>
      <c r="BT140" s="570"/>
      <c r="BU140" s="570"/>
      <c r="BV140" s="570"/>
      <c r="BW140" s="570"/>
      <c r="BX140" s="570"/>
      <c r="BY140" s="570"/>
      <c r="BZ140" s="570"/>
      <c r="CA140" s="570"/>
      <c r="CB140" s="570"/>
      <c r="CC140" s="570"/>
      <c r="CD140" s="570"/>
      <c r="CE140" s="570"/>
      <c r="CF140" s="570"/>
      <c r="CG140" s="570"/>
      <c r="CH140" s="570"/>
      <c r="CI140" s="570"/>
      <c r="CJ140" s="570"/>
      <c r="CK140" s="570"/>
      <c r="CL140" s="570"/>
      <c r="CM140" s="570"/>
      <c r="CN140" s="570"/>
      <c r="CO140" s="570"/>
      <c r="CP140" s="570"/>
      <c r="CQ140" s="570"/>
      <c r="CR140" s="570"/>
      <c r="CS140" s="570"/>
      <c r="CT140" s="570"/>
      <c r="CU140" s="570"/>
      <c r="CV140" s="570"/>
      <c r="CW140" s="570"/>
      <c r="CX140" s="570"/>
      <c r="CY140" s="570"/>
      <c r="CZ140" s="570"/>
      <c r="DA140" s="570"/>
      <c r="DB140" s="570"/>
      <c r="DC140" s="570"/>
      <c r="DD140" s="570"/>
      <c r="DE140" s="570"/>
      <c r="DF140" s="570"/>
      <c r="DG140" s="570"/>
      <c r="DH140" s="570"/>
      <c r="DI140" s="570"/>
      <c r="DJ140" s="570"/>
      <c r="DK140" s="570"/>
      <c r="DL140" s="570"/>
      <c r="DM140" s="570"/>
      <c r="DN140" s="570"/>
      <c r="DO140" s="570"/>
      <c r="DP140" s="570"/>
      <c r="DQ140" s="570"/>
      <c r="DR140" s="570"/>
      <c r="DS140" s="570"/>
      <c r="DT140" s="570"/>
      <c r="DU140" s="570"/>
      <c r="DV140" s="570"/>
      <c r="DW140" s="570"/>
      <c r="DX140" s="570"/>
      <c r="DY140" s="570"/>
      <c r="DZ140" s="570"/>
      <c r="EA140" s="570"/>
      <c r="EB140" s="570"/>
      <c r="EC140" s="570"/>
      <c r="ED140" s="570"/>
      <c r="EE140" s="570"/>
      <c r="EF140" s="570"/>
      <c r="EG140" s="570"/>
      <c r="EH140" s="570"/>
      <c r="EI140" s="570"/>
      <c r="EJ140" s="570"/>
      <c r="EK140" s="570"/>
      <c r="EL140" s="570"/>
      <c r="EM140" s="570"/>
      <c r="EN140" s="570"/>
      <c r="EO140" s="570"/>
      <c r="EP140" s="570"/>
      <c r="EQ140" s="570"/>
      <c r="ER140" s="570"/>
      <c r="ES140" s="570"/>
      <c r="ET140" s="570"/>
      <c r="EU140" s="570"/>
      <c r="EV140" s="570"/>
      <c r="EW140" s="570"/>
      <c r="EX140" s="570"/>
      <c r="EY140" s="570"/>
      <c r="EZ140" s="570"/>
      <c r="FA140" s="570"/>
      <c r="FB140" s="570"/>
      <c r="FC140" s="570"/>
      <c r="FD140" s="570"/>
      <c r="FE140" s="570"/>
      <c r="FF140" s="570"/>
      <c r="FG140" s="570"/>
      <c r="FH140" s="570"/>
      <c r="FI140" s="570"/>
      <c r="FJ140" s="570"/>
      <c r="FK140" s="570"/>
      <c r="FL140" s="570"/>
      <c r="FM140" s="570"/>
      <c r="FN140" s="570"/>
      <c r="FO140" s="570"/>
      <c r="FP140" s="570"/>
      <c r="FQ140" s="570"/>
      <c r="FR140" s="570"/>
      <c r="FS140" s="570"/>
      <c r="FT140" s="570"/>
      <c r="FU140" s="570"/>
      <c r="FV140" s="570"/>
      <c r="FW140" s="570"/>
      <c r="FX140" s="570"/>
      <c r="FY140" s="571"/>
      <c r="FZ140" s="571"/>
      <c r="GA140" s="571"/>
      <c r="GB140" s="571"/>
      <c r="GC140" s="571"/>
      <c r="GD140" s="571"/>
      <c r="GE140" s="571"/>
      <c r="GF140" s="571"/>
      <c r="GG140" s="571"/>
      <c r="GH140" s="571"/>
      <c r="GI140" s="571"/>
      <c r="GJ140" s="571"/>
      <c r="GK140" s="571"/>
      <c r="GL140" s="571"/>
      <c r="GM140" s="571"/>
      <c r="GN140" s="571"/>
      <c r="GO140" s="571"/>
      <c r="GP140" s="570"/>
      <c r="GQ140" s="570"/>
      <c r="GR140" s="570"/>
      <c r="GS140" s="570"/>
      <c r="GT140" s="570"/>
      <c r="GU140" s="570"/>
      <c r="GV140" s="572"/>
      <c r="GW140" s="570"/>
      <c r="GX140" s="570"/>
      <c r="GY140" s="570"/>
      <c r="GZ140" s="570"/>
      <c r="HA140" s="570"/>
      <c r="HB140" s="570"/>
      <c r="HC140" s="570"/>
      <c r="HD140" s="570"/>
      <c r="HE140" s="570"/>
      <c r="HF140" s="570"/>
      <c r="HG140" s="570"/>
      <c r="HH140" s="570"/>
      <c r="HI140" s="570"/>
      <c r="HJ140" s="570"/>
      <c r="HK140" s="570"/>
      <c r="HL140" s="572"/>
      <c r="HM140" s="572"/>
      <c r="HN140" s="570"/>
      <c r="HO140" s="570"/>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2336</v>
      </c>
      <c r="C141" s="1"/>
      <c r="D141" s="1"/>
      <c r="E141" s="1"/>
      <c r="F141" s="1776">
        <v>39661</v>
      </c>
      <c r="G141" s="1777"/>
      <c r="H141" s="1"/>
      <c r="I141" s="1" t="s">
        <v>1465</v>
      </c>
      <c r="J141" s="1"/>
      <c r="K141" s="1776">
        <v>7090</v>
      </c>
      <c r="L141" s="1777"/>
      <c r="M141" s="1"/>
      <c r="N141" s="1" t="s">
        <v>985</v>
      </c>
      <c r="O141" s="1"/>
      <c r="P141" s="1778">
        <v>1817</v>
      </c>
      <c r="T141" s="1754"/>
      <c r="U141" s="1755"/>
      <c r="V141" s="568"/>
      <c r="W141" s="568"/>
      <c r="X141" s="568"/>
      <c r="Y141" s="570"/>
      <c r="Z141" s="570"/>
      <c r="AA141" s="570"/>
      <c r="AB141" s="570"/>
      <c r="AC141" s="570"/>
      <c r="AD141" s="570"/>
      <c r="AE141" s="570"/>
      <c r="AF141" s="570"/>
      <c r="AG141" s="570"/>
      <c r="AH141" s="570"/>
      <c r="AI141" s="570"/>
      <c r="AJ141" s="570"/>
      <c r="AK141" s="570"/>
      <c r="AL141" s="570"/>
      <c r="AM141" s="570"/>
      <c r="AN141" s="570"/>
      <c r="AO141" s="570"/>
      <c r="AP141" s="570"/>
      <c r="AQ141" s="570"/>
      <c r="AR141" s="570"/>
      <c r="AS141" s="570"/>
      <c r="AT141" s="570"/>
      <c r="AU141" s="570"/>
      <c r="AV141" s="570"/>
      <c r="AW141" s="570"/>
      <c r="AX141" s="570"/>
      <c r="AY141" s="570"/>
      <c r="AZ141" s="570"/>
      <c r="BA141" s="570"/>
      <c r="BB141" s="570"/>
      <c r="BC141" s="570"/>
      <c r="BD141" s="570"/>
      <c r="BE141" s="570"/>
      <c r="BF141" s="570"/>
      <c r="BG141" s="570"/>
      <c r="BH141" s="570"/>
      <c r="BI141" s="570"/>
      <c r="BJ141" s="570"/>
      <c r="BK141" s="570"/>
      <c r="BL141" s="570"/>
      <c r="BM141" s="570"/>
      <c r="BN141" s="570"/>
      <c r="BO141" s="570"/>
      <c r="BP141" s="570"/>
      <c r="BQ141" s="570"/>
      <c r="BR141" s="570"/>
      <c r="BS141" s="570"/>
      <c r="BT141" s="570"/>
      <c r="BU141" s="570"/>
      <c r="BV141" s="570"/>
      <c r="BW141" s="570"/>
      <c r="BX141" s="570"/>
      <c r="BY141" s="570"/>
      <c r="BZ141" s="570"/>
      <c r="CA141" s="570"/>
      <c r="CB141" s="570"/>
      <c r="CC141" s="570"/>
      <c r="CD141" s="570"/>
      <c r="CE141" s="570"/>
      <c r="CF141" s="570"/>
      <c r="CG141" s="570"/>
      <c r="CH141" s="570"/>
      <c r="CI141" s="570"/>
      <c r="CJ141" s="570"/>
      <c r="CK141" s="570"/>
      <c r="CL141" s="570"/>
      <c r="CM141" s="570"/>
      <c r="CN141" s="570"/>
      <c r="CO141" s="570"/>
      <c r="CP141" s="570"/>
      <c r="CQ141" s="570"/>
      <c r="CR141" s="570"/>
      <c r="CS141" s="570"/>
      <c r="CT141" s="570"/>
      <c r="CU141" s="570"/>
      <c r="CV141" s="570"/>
      <c r="CW141" s="570"/>
      <c r="CX141" s="570"/>
      <c r="CY141" s="570"/>
      <c r="CZ141" s="570"/>
      <c r="DA141" s="570"/>
      <c r="DB141" s="570"/>
      <c r="DC141" s="570"/>
      <c r="DD141" s="570"/>
      <c r="DE141" s="570"/>
      <c r="DF141" s="570"/>
      <c r="DG141" s="570"/>
      <c r="DH141" s="570"/>
      <c r="DI141" s="570"/>
      <c r="DJ141" s="570"/>
      <c r="DK141" s="570"/>
      <c r="DL141" s="570"/>
      <c r="DM141" s="570"/>
      <c r="DN141" s="570"/>
      <c r="DO141" s="570"/>
      <c r="DP141" s="570"/>
      <c r="DQ141" s="570"/>
      <c r="DR141" s="570"/>
      <c r="DS141" s="570"/>
      <c r="DT141" s="570"/>
      <c r="DU141" s="570"/>
      <c r="DV141" s="570"/>
      <c r="DW141" s="570"/>
      <c r="DX141" s="570"/>
      <c r="DY141" s="570"/>
      <c r="DZ141" s="570"/>
      <c r="EA141" s="570"/>
      <c r="EB141" s="570"/>
      <c r="EC141" s="570"/>
      <c r="ED141" s="570"/>
      <c r="EE141" s="570"/>
      <c r="EF141" s="570"/>
      <c r="EG141" s="570"/>
      <c r="EH141" s="570"/>
      <c r="EI141" s="570"/>
      <c r="EJ141" s="570"/>
      <c r="EK141" s="570"/>
      <c r="EL141" s="570"/>
      <c r="EM141" s="570"/>
      <c r="EN141" s="570"/>
      <c r="EO141" s="570"/>
      <c r="EP141" s="570"/>
      <c r="EQ141" s="570"/>
      <c r="ER141" s="570"/>
      <c r="ES141" s="570"/>
      <c r="ET141" s="570"/>
      <c r="EU141" s="570"/>
      <c r="EV141" s="570"/>
      <c r="EW141" s="570"/>
      <c r="EX141" s="570"/>
      <c r="EY141" s="570"/>
      <c r="EZ141" s="570"/>
      <c r="FA141" s="570"/>
      <c r="FB141" s="570"/>
      <c r="FC141" s="570"/>
      <c r="FD141" s="570"/>
      <c r="FE141" s="570"/>
      <c r="FF141" s="570"/>
      <c r="FG141" s="570"/>
      <c r="FH141" s="570"/>
      <c r="FI141" s="570"/>
      <c r="FJ141" s="570"/>
      <c r="FK141" s="570"/>
      <c r="FL141" s="570"/>
      <c r="FM141" s="570"/>
      <c r="FN141" s="570"/>
      <c r="FO141" s="570"/>
      <c r="FP141" s="570"/>
      <c r="FQ141" s="570"/>
      <c r="FR141" s="570"/>
      <c r="FS141" s="570"/>
      <c r="FT141" s="570"/>
      <c r="FU141" s="570"/>
      <c r="FV141" s="570"/>
      <c r="FW141" s="570"/>
      <c r="FX141" s="570"/>
      <c r="FY141" s="571"/>
      <c r="FZ141" s="571"/>
      <c r="GA141" s="571"/>
      <c r="GB141" s="571"/>
      <c r="GC141" s="571"/>
      <c r="GD141" s="571"/>
      <c r="GE141" s="571"/>
      <c r="GF141" s="571"/>
      <c r="GG141" s="571"/>
      <c r="GH141" s="571"/>
      <c r="GI141" s="571"/>
      <c r="GJ141" s="571"/>
      <c r="GK141" s="571"/>
      <c r="GL141" s="571"/>
      <c r="GM141" s="571"/>
      <c r="GN141" s="571"/>
      <c r="GO141" s="571"/>
      <c r="GP141" s="570"/>
      <c r="GQ141" s="570"/>
      <c r="GR141" s="570"/>
      <c r="GS141" s="570"/>
      <c r="GT141" s="570"/>
      <c r="GU141" s="570"/>
      <c r="GV141" s="572"/>
      <c r="GW141" s="570"/>
      <c r="GX141" s="570"/>
      <c r="GY141" s="570"/>
      <c r="GZ141" s="570"/>
      <c r="HA141" s="570"/>
      <c r="HB141" s="570"/>
      <c r="HC141" s="570"/>
      <c r="HD141" s="570"/>
      <c r="HE141" s="570"/>
      <c r="HF141" s="570"/>
      <c r="HG141" s="570"/>
      <c r="HH141" s="570"/>
      <c r="HI141" s="570"/>
      <c r="HJ141" s="570"/>
      <c r="HK141" s="570"/>
      <c r="HL141" s="572"/>
      <c r="HM141" s="572"/>
      <c r="HN141" s="570"/>
      <c r="HO141" s="570"/>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776">
        <v>47628</v>
      </c>
      <c r="G142" s="1777"/>
      <c r="H142" s="1"/>
      <c r="I142" s="1" t="s">
        <v>1466</v>
      </c>
      <c r="J142" s="1"/>
      <c r="K142" s="1776">
        <v>105</v>
      </c>
      <c r="L142" s="1777"/>
      <c r="M142" s="1"/>
      <c r="N142" s="1" t="s">
        <v>153</v>
      </c>
      <c r="O142" s="1"/>
      <c r="P142" s="1778">
        <v>21300</v>
      </c>
      <c r="T142" s="1754"/>
      <c r="U142" s="1755"/>
      <c r="V142" s="568"/>
      <c r="W142" s="568"/>
      <c r="X142" s="568"/>
      <c r="Y142" s="570"/>
      <c r="Z142" s="570"/>
      <c r="AA142" s="570"/>
      <c r="AB142" s="570"/>
      <c r="AC142" s="570"/>
      <c r="AD142" s="570"/>
      <c r="AE142" s="570"/>
      <c r="AF142" s="570"/>
      <c r="AG142" s="570"/>
      <c r="AH142" s="570"/>
      <c r="AI142" s="570"/>
      <c r="AJ142" s="570"/>
      <c r="AK142" s="570"/>
      <c r="AL142" s="570"/>
      <c r="AM142" s="570"/>
      <c r="AN142" s="570"/>
      <c r="AO142" s="570"/>
      <c r="AP142" s="570"/>
      <c r="AQ142" s="570"/>
      <c r="AR142" s="570"/>
      <c r="AS142" s="570"/>
      <c r="AT142" s="570"/>
      <c r="AU142" s="570"/>
      <c r="AV142" s="570"/>
      <c r="AW142" s="570"/>
      <c r="AX142" s="570"/>
      <c r="AY142" s="570"/>
      <c r="AZ142" s="570"/>
      <c r="BA142" s="570"/>
      <c r="BB142" s="570"/>
      <c r="BC142" s="570"/>
      <c r="BD142" s="570"/>
      <c r="BE142" s="570"/>
      <c r="BF142" s="570"/>
      <c r="BG142" s="570"/>
      <c r="BH142" s="570"/>
      <c r="BI142" s="570"/>
      <c r="BJ142" s="570"/>
      <c r="BK142" s="570"/>
      <c r="BL142" s="570"/>
      <c r="BM142" s="570"/>
      <c r="BN142" s="570"/>
      <c r="BO142" s="570"/>
      <c r="BP142" s="570"/>
      <c r="BQ142" s="570"/>
      <c r="BR142" s="570"/>
      <c r="BS142" s="570"/>
      <c r="BT142" s="570"/>
      <c r="BU142" s="570"/>
      <c r="BV142" s="570"/>
      <c r="BW142" s="570"/>
      <c r="BX142" s="570"/>
      <c r="BY142" s="570"/>
      <c r="BZ142" s="570"/>
      <c r="CA142" s="570"/>
      <c r="CB142" s="570"/>
      <c r="CC142" s="570"/>
      <c r="CD142" s="570"/>
      <c r="CE142" s="570"/>
      <c r="CF142" s="570"/>
      <c r="CG142" s="570"/>
      <c r="CH142" s="570"/>
      <c r="CI142" s="570"/>
      <c r="CJ142" s="570"/>
      <c r="CK142" s="570"/>
      <c r="CL142" s="570"/>
      <c r="CM142" s="570"/>
      <c r="CN142" s="570"/>
      <c r="CO142" s="570"/>
      <c r="CP142" s="570"/>
      <c r="CQ142" s="570"/>
      <c r="CR142" s="570"/>
      <c r="CS142" s="570"/>
      <c r="CT142" s="570"/>
      <c r="CU142" s="570"/>
      <c r="CV142" s="570"/>
      <c r="CW142" s="570"/>
      <c r="CX142" s="570"/>
      <c r="CY142" s="570"/>
      <c r="CZ142" s="570"/>
      <c r="DA142" s="570"/>
      <c r="DB142" s="570"/>
      <c r="DC142" s="570"/>
      <c r="DD142" s="570"/>
      <c r="DE142" s="570"/>
      <c r="DF142" s="570"/>
      <c r="DG142" s="570"/>
      <c r="DH142" s="570"/>
      <c r="DI142" s="570"/>
      <c r="DJ142" s="570"/>
      <c r="DK142" s="570"/>
      <c r="DL142" s="570"/>
      <c r="DM142" s="570"/>
      <c r="DN142" s="570"/>
      <c r="DO142" s="570"/>
      <c r="DP142" s="570"/>
      <c r="DQ142" s="570"/>
      <c r="DR142" s="570"/>
      <c r="DS142" s="570"/>
      <c r="DT142" s="570"/>
      <c r="DU142" s="570"/>
      <c r="DV142" s="570"/>
      <c r="DW142" s="570"/>
      <c r="DX142" s="570"/>
      <c r="DY142" s="570"/>
      <c r="DZ142" s="570"/>
      <c r="EA142" s="570"/>
      <c r="EB142" s="570"/>
      <c r="EC142" s="570"/>
      <c r="ED142" s="570"/>
      <c r="EE142" s="570"/>
      <c r="EF142" s="570"/>
      <c r="EG142" s="570"/>
      <c r="EH142" s="570"/>
      <c r="EI142" s="570"/>
      <c r="EJ142" s="570"/>
      <c r="EK142" s="570"/>
      <c r="EL142" s="570"/>
      <c r="EM142" s="570"/>
      <c r="EN142" s="570"/>
      <c r="EO142" s="570"/>
      <c r="EP142" s="570"/>
      <c r="EQ142" s="570"/>
      <c r="ER142" s="570"/>
      <c r="ES142" s="570"/>
      <c r="ET142" s="570"/>
      <c r="EU142" s="570"/>
      <c r="EV142" s="570"/>
      <c r="EW142" s="570"/>
      <c r="EX142" s="570"/>
      <c r="EY142" s="570"/>
      <c r="EZ142" s="570"/>
      <c r="FA142" s="570"/>
      <c r="FB142" s="570"/>
      <c r="FC142" s="570"/>
      <c r="FD142" s="570"/>
      <c r="FE142" s="570"/>
      <c r="FF142" s="570"/>
      <c r="FG142" s="570"/>
      <c r="FH142" s="570"/>
      <c r="FI142" s="570"/>
      <c r="FJ142" s="570"/>
      <c r="FK142" s="570"/>
      <c r="FL142" s="570"/>
      <c r="FM142" s="570"/>
      <c r="FN142" s="570"/>
      <c r="FO142" s="570"/>
      <c r="FP142" s="570"/>
      <c r="FQ142" s="570"/>
      <c r="FR142" s="570"/>
      <c r="FS142" s="570"/>
      <c r="FT142" s="570"/>
      <c r="FU142" s="570"/>
      <c r="FV142" s="570"/>
      <c r="FW142" s="570"/>
      <c r="FX142" s="570"/>
      <c r="FY142" s="571"/>
      <c r="FZ142" s="571"/>
      <c r="GA142" s="571"/>
      <c r="GB142" s="571"/>
      <c r="GC142" s="571"/>
      <c r="GD142" s="571"/>
      <c r="GE142" s="571"/>
      <c r="GF142" s="571"/>
      <c r="GG142" s="571"/>
      <c r="GH142" s="571"/>
      <c r="GI142" s="571"/>
      <c r="GJ142" s="571"/>
      <c r="GK142" s="571"/>
      <c r="GL142" s="571"/>
      <c r="GM142" s="571"/>
      <c r="GN142" s="571"/>
      <c r="GO142" s="571"/>
      <c r="GP142" s="570"/>
      <c r="GQ142" s="570"/>
      <c r="GR142" s="570"/>
      <c r="GS142" s="570"/>
      <c r="GT142" s="570"/>
      <c r="GU142" s="570"/>
      <c r="GV142" s="572"/>
      <c r="GW142" s="570"/>
      <c r="GX142" s="570"/>
      <c r="GY142" s="570"/>
      <c r="GZ142" s="570"/>
      <c r="HA142" s="570"/>
      <c r="HB142" s="570"/>
      <c r="HC142" s="570"/>
      <c r="HD142" s="570"/>
      <c r="HE142" s="570"/>
      <c r="HF142" s="570"/>
      <c r="HG142" s="570"/>
      <c r="HH142" s="570"/>
      <c r="HI142" s="570"/>
      <c r="HJ142" s="570"/>
      <c r="HK142" s="570"/>
      <c r="HL142" s="572"/>
      <c r="HM142" s="572"/>
      <c r="HN142" s="570"/>
      <c r="HO142" s="570"/>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776"/>
      <c r="G143" s="1777"/>
      <c r="H143" s="1"/>
      <c r="I143" s="1"/>
      <c r="J143" s="146" t="s">
        <v>199</v>
      </c>
      <c r="K143" s="1396">
        <f>SUM(K141:L142)</f>
        <v>7195</v>
      </c>
      <c r="L143" s="1397"/>
      <c r="M143" s="1"/>
      <c r="N143" s="1779" t="s">
        <v>54</v>
      </c>
      <c r="O143" s="1780"/>
      <c r="P143" s="1781"/>
      <c r="T143" s="1754"/>
      <c r="U143" s="1755"/>
      <c r="V143" s="568"/>
      <c r="W143" s="568"/>
      <c r="X143" s="568"/>
      <c r="Y143" s="570"/>
      <c r="Z143" s="570"/>
      <c r="AA143" s="570"/>
      <c r="AB143" s="570"/>
      <c r="AC143" s="570"/>
      <c r="AD143" s="570"/>
      <c r="AE143" s="570"/>
      <c r="AF143" s="570"/>
      <c r="AG143" s="570"/>
      <c r="AH143" s="570"/>
      <c r="AI143" s="570"/>
      <c r="AJ143" s="570"/>
      <c r="AK143" s="570"/>
      <c r="AL143" s="570"/>
      <c r="AM143" s="570"/>
      <c r="AN143" s="570"/>
      <c r="AO143" s="570"/>
      <c r="AP143" s="570"/>
      <c r="AQ143" s="570"/>
      <c r="AR143" s="570"/>
      <c r="AS143" s="570"/>
      <c r="AT143" s="570"/>
      <c r="AU143" s="570"/>
      <c r="AV143" s="570"/>
      <c r="AW143" s="570"/>
      <c r="AX143" s="570"/>
      <c r="AY143" s="570"/>
      <c r="AZ143" s="570"/>
      <c r="BA143" s="570"/>
      <c r="BB143" s="570"/>
      <c r="BC143" s="570"/>
      <c r="BD143" s="570"/>
      <c r="BE143" s="570"/>
      <c r="BF143" s="570"/>
      <c r="BG143" s="570"/>
      <c r="BH143" s="570"/>
      <c r="BI143" s="570"/>
      <c r="BJ143" s="570"/>
      <c r="BK143" s="570"/>
      <c r="BL143" s="570"/>
      <c r="BM143" s="570"/>
      <c r="BN143" s="570"/>
      <c r="BO143" s="570"/>
      <c r="BP143" s="570"/>
      <c r="BQ143" s="570"/>
      <c r="BR143" s="570"/>
      <c r="BS143" s="570"/>
      <c r="BT143" s="570"/>
      <c r="BU143" s="570"/>
      <c r="BV143" s="570"/>
      <c r="BW143" s="570"/>
      <c r="BX143" s="570"/>
      <c r="BY143" s="570"/>
      <c r="BZ143" s="570"/>
      <c r="CA143" s="570"/>
      <c r="CB143" s="570"/>
      <c r="CC143" s="570"/>
      <c r="CD143" s="570"/>
      <c r="CE143" s="570"/>
      <c r="CF143" s="570"/>
      <c r="CG143" s="570"/>
      <c r="CH143" s="570"/>
      <c r="CI143" s="570"/>
      <c r="CJ143" s="570"/>
      <c r="CK143" s="570"/>
      <c r="CL143" s="570"/>
      <c r="CM143" s="570"/>
      <c r="CN143" s="570"/>
      <c r="CO143" s="570"/>
      <c r="CP143" s="570"/>
      <c r="CQ143" s="570"/>
      <c r="CR143" s="570"/>
      <c r="CS143" s="570"/>
      <c r="CT143" s="570"/>
      <c r="CU143" s="570"/>
      <c r="CV143" s="570"/>
      <c r="CW143" s="570"/>
      <c r="CX143" s="570"/>
      <c r="CY143" s="570"/>
      <c r="CZ143" s="570"/>
      <c r="DA143" s="570"/>
      <c r="DB143" s="570"/>
      <c r="DC143" s="570"/>
      <c r="DD143" s="570"/>
      <c r="DE143" s="570"/>
      <c r="DF143" s="570"/>
      <c r="DG143" s="570"/>
      <c r="DH143" s="570"/>
      <c r="DI143" s="570"/>
      <c r="DJ143" s="570"/>
      <c r="DK143" s="570"/>
      <c r="DL143" s="570"/>
      <c r="DM143" s="570"/>
      <c r="DN143" s="570"/>
      <c r="DO143" s="570"/>
      <c r="DP143" s="570"/>
      <c r="DQ143" s="570"/>
      <c r="DR143" s="570"/>
      <c r="DS143" s="570"/>
      <c r="DT143" s="570"/>
      <c r="DU143" s="570"/>
      <c r="DV143" s="570"/>
      <c r="DW143" s="570"/>
      <c r="DX143" s="570"/>
      <c r="DY143" s="570"/>
      <c r="DZ143" s="570"/>
      <c r="EA143" s="570"/>
      <c r="EB143" s="570"/>
      <c r="EC143" s="570"/>
      <c r="ED143" s="570"/>
      <c r="EE143" s="570"/>
      <c r="EF143" s="570"/>
      <c r="EG143" s="570"/>
      <c r="EH143" s="570"/>
      <c r="EI143" s="570"/>
      <c r="EJ143" s="570"/>
      <c r="EK143" s="570"/>
      <c r="EL143" s="570"/>
      <c r="EM143" s="570"/>
      <c r="EN143" s="570"/>
      <c r="EO143" s="570"/>
      <c r="EP143" s="570"/>
      <c r="EQ143" s="570"/>
      <c r="ER143" s="570"/>
      <c r="ES143" s="570"/>
      <c r="ET143" s="570"/>
      <c r="EU143" s="570"/>
      <c r="EV143" s="570"/>
      <c r="EW143" s="570"/>
      <c r="EX143" s="570"/>
      <c r="EY143" s="570"/>
      <c r="EZ143" s="570"/>
      <c r="FA143" s="570"/>
      <c r="FB143" s="570"/>
      <c r="FC143" s="570"/>
      <c r="FD143" s="570"/>
      <c r="FE143" s="570"/>
      <c r="FF143" s="570"/>
      <c r="FG143" s="570"/>
      <c r="FH143" s="570"/>
      <c r="FI143" s="570"/>
      <c r="FJ143" s="570"/>
      <c r="FK143" s="570"/>
      <c r="FL143" s="570"/>
      <c r="FM143" s="570"/>
      <c r="FN143" s="570"/>
      <c r="FO143" s="570"/>
      <c r="FP143" s="570"/>
      <c r="FQ143" s="570"/>
      <c r="FR143" s="570"/>
      <c r="FS143" s="570"/>
      <c r="FT143" s="570"/>
      <c r="FU143" s="570"/>
      <c r="FV143" s="570"/>
      <c r="FW143" s="570"/>
      <c r="FX143" s="570"/>
      <c r="FY143" s="571"/>
      <c r="FZ143" s="571"/>
      <c r="GA143" s="571"/>
      <c r="GB143" s="571"/>
      <c r="GC143" s="571"/>
      <c r="GD143" s="571"/>
      <c r="GE143" s="571"/>
      <c r="GF143" s="571"/>
      <c r="GG143" s="571"/>
      <c r="GH143" s="571"/>
      <c r="GI143" s="571"/>
      <c r="GJ143" s="571"/>
      <c r="GK143" s="571"/>
      <c r="GL143" s="571"/>
      <c r="GM143" s="571"/>
      <c r="GN143" s="571"/>
      <c r="GO143" s="571"/>
      <c r="GP143" s="570"/>
      <c r="GQ143" s="570"/>
      <c r="GR143" s="570"/>
      <c r="GS143" s="570"/>
      <c r="GT143" s="570"/>
      <c r="GU143" s="570"/>
      <c r="GV143" s="572"/>
      <c r="GW143" s="570"/>
      <c r="GX143" s="570"/>
      <c r="GY143" s="570"/>
      <c r="GZ143" s="570"/>
      <c r="HA143" s="570"/>
      <c r="HB143" s="570"/>
      <c r="HC143" s="570"/>
      <c r="HD143" s="570"/>
      <c r="HE143" s="570"/>
      <c r="HF143" s="570"/>
      <c r="HG143" s="570"/>
      <c r="HH143" s="570"/>
      <c r="HI143" s="570"/>
      <c r="HJ143" s="570"/>
      <c r="HK143" s="570"/>
      <c r="HL143" s="572"/>
      <c r="HM143" s="572"/>
      <c r="HN143" s="570"/>
      <c r="HO143" s="570"/>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2" t="s">
        <v>54</v>
      </c>
      <c r="C144" s="1783"/>
      <c r="D144" s="1783"/>
      <c r="E144" s="1784"/>
      <c r="F144" s="1785"/>
      <c r="G144" s="1786"/>
      <c r="H144" s="1"/>
      <c r="I144" s="1"/>
      <c r="J144" s="1"/>
      <c r="K144" s="1"/>
      <c r="L144" s="1"/>
      <c r="M144" s="1"/>
      <c r="N144" s="13" t="s">
        <v>199</v>
      </c>
      <c r="O144" s="1"/>
      <c r="P144" s="498">
        <f>SUM(P141:P143)</f>
        <v>23117</v>
      </c>
      <c r="T144" s="1754"/>
      <c r="U144" s="1755"/>
      <c r="V144" s="568"/>
      <c r="W144" s="568"/>
      <c r="X144" s="568"/>
      <c r="Y144" s="570"/>
      <c r="Z144" s="570"/>
      <c r="AA144" s="570"/>
      <c r="AB144" s="570"/>
      <c r="AC144" s="570"/>
      <c r="AD144" s="570"/>
      <c r="AE144" s="570"/>
      <c r="AF144" s="570"/>
      <c r="AG144" s="570"/>
      <c r="AH144" s="570"/>
      <c r="AI144" s="570"/>
      <c r="AJ144" s="570"/>
      <c r="AK144" s="570"/>
      <c r="AL144" s="570"/>
      <c r="AM144" s="570"/>
      <c r="AN144" s="570"/>
      <c r="AO144" s="570"/>
      <c r="AP144" s="570"/>
      <c r="AQ144" s="570"/>
      <c r="AR144" s="570"/>
      <c r="AS144" s="570"/>
      <c r="AT144" s="570"/>
      <c r="AU144" s="570"/>
      <c r="AV144" s="570"/>
      <c r="AW144" s="570"/>
      <c r="AX144" s="570"/>
      <c r="AY144" s="570"/>
      <c r="AZ144" s="570"/>
      <c r="BA144" s="570"/>
      <c r="BB144" s="570"/>
      <c r="BC144" s="570"/>
      <c r="BD144" s="570"/>
      <c r="BE144" s="570"/>
      <c r="BF144" s="570"/>
      <c r="BG144" s="570"/>
      <c r="BH144" s="570"/>
      <c r="BI144" s="570"/>
      <c r="BJ144" s="570"/>
      <c r="BK144" s="570"/>
      <c r="BL144" s="570"/>
      <c r="BM144" s="570"/>
      <c r="BN144" s="570"/>
      <c r="BO144" s="570"/>
      <c r="BP144" s="570"/>
      <c r="BQ144" s="570"/>
      <c r="BR144" s="570"/>
      <c r="BS144" s="570"/>
      <c r="BT144" s="570"/>
      <c r="BU144" s="570"/>
      <c r="BV144" s="570"/>
      <c r="BW144" s="570"/>
      <c r="BX144" s="570"/>
      <c r="BY144" s="570"/>
      <c r="BZ144" s="570"/>
      <c r="CA144" s="570"/>
      <c r="CB144" s="570"/>
      <c r="CC144" s="570"/>
      <c r="CD144" s="570"/>
      <c r="CE144" s="570"/>
      <c r="CF144" s="570"/>
      <c r="CG144" s="570"/>
      <c r="CH144" s="570"/>
      <c r="CI144" s="570"/>
      <c r="CJ144" s="570"/>
      <c r="CK144" s="570"/>
      <c r="CL144" s="570"/>
      <c r="CM144" s="570"/>
      <c r="CN144" s="570"/>
      <c r="CO144" s="570"/>
      <c r="CP144" s="570"/>
      <c r="CQ144" s="570"/>
      <c r="CR144" s="570"/>
      <c r="CS144" s="570"/>
      <c r="CT144" s="570"/>
      <c r="CU144" s="570"/>
      <c r="CV144" s="570"/>
      <c r="CW144" s="570"/>
      <c r="CX144" s="570"/>
      <c r="CY144" s="570"/>
      <c r="CZ144" s="570"/>
      <c r="DA144" s="570"/>
      <c r="DB144" s="570"/>
      <c r="DC144" s="570"/>
      <c r="DD144" s="570"/>
      <c r="DE144" s="570"/>
      <c r="DF144" s="570"/>
      <c r="DG144" s="570"/>
      <c r="DH144" s="570"/>
      <c r="DI144" s="570"/>
      <c r="DJ144" s="570"/>
      <c r="DK144" s="570"/>
      <c r="DL144" s="570"/>
      <c r="DM144" s="570"/>
      <c r="DN144" s="570"/>
      <c r="DO144" s="570"/>
      <c r="DP144" s="570"/>
      <c r="DQ144" s="570"/>
      <c r="DR144" s="570"/>
      <c r="DS144" s="570"/>
      <c r="DT144" s="570"/>
      <c r="DU144" s="570"/>
      <c r="DV144" s="570"/>
      <c r="DW144" s="570"/>
      <c r="DX144" s="570"/>
      <c r="DY144" s="570"/>
      <c r="DZ144" s="570"/>
      <c r="EA144" s="570"/>
      <c r="EB144" s="570"/>
      <c r="EC144" s="570"/>
      <c r="ED144" s="570"/>
      <c r="EE144" s="570"/>
      <c r="EF144" s="570"/>
      <c r="EG144" s="570"/>
      <c r="EH144" s="570"/>
      <c r="EI144" s="570"/>
      <c r="EJ144" s="570"/>
      <c r="EK144" s="570"/>
      <c r="EL144" s="570"/>
      <c r="EM144" s="570"/>
      <c r="EN144" s="570"/>
      <c r="EO144" s="570"/>
      <c r="EP144" s="570"/>
      <c r="EQ144" s="570"/>
      <c r="ER144" s="570"/>
      <c r="ES144" s="570"/>
      <c r="ET144" s="570"/>
      <c r="EU144" s="570"/>
      <c r="EV144" s="570"/>
      <c r="EW144" s="570"/>
      <c r="EX144" s="570"/>
      <c r="EY144" s="570"/>
      <c r="EZ144" s="570"/>
      <c r="FA144" s="570"/>
      <c r="FB144" s="570"/>
      <c r="FC144" s="570"/>
      <c r="FD144" s="570"/>
      <c r="FE144" s="570"/>
      <c r="FF144" s="570"/>
      <c r="FG144" s="570"/>
      <c r="FH144" s="570"/>
      <c r="FI144" s="570"/>
      <c r="FJ144" s="570"/>
      <c r="FK144" s="570"/>
      <c r="FL144" s="570"/>
      <c r="FM144" s="570"/>
      <c r="FN144" s="570"/>
      <c r="FO144" s="570"/>
      <c r="FP144" s="570"/>
      <c r="FQ144" s="570"/>
      <c r="FR144" s="570"/>
      <c r="FS144" s="570"/>
      <c r="FT144" s="570"/>
      <c r="FU144" s="570"/>
      <c r="FV144" s="570"/>
      <c r="FW144" s="570"/>
      <c r="FX144" s="570"/>
      <c r="FY144" s="571"/>
      <c r="FZ144" s="571"/>
      <c r="GA144" s="571"/>
      <c r="GB144" s="571"/>
      <c r="GC144" s="571"/>
      <c r="GD144" s="571"/>
      <c r="GE144" s="571"/>
      <c r="GF144" s="571"/>
      <c r="GG144" s="571"/>
      <c r="GH144" s="571"/>
      <c r="GI144" s="571"/>
      <c r="GJ144" s="571"/>
      <c r="GK144" s="571"/>
      <c r="GL144" s="571"/>
      <c r="GM144" s="571"/>
      <c r="GN144" s="571"/>
      <c r="GO144" s="571"/>
      <c r="GP144" s="570"/>
      <c r="GQ144" s="570"/>
      <c r="GR144" s="570"/>
      <c r="GS144" s="570"/>
      <c r="GT144" s="570"/>
      <c r="GU144" s="570"/>
      <c r="GV144" s="572"/>
      <c r="GW144" s="570"/>
      <c r="GX144" s="570"/>
      <c r="GY144" s="570"/>
      <c r="GZ144" s="570"/>
      <c r="HA144" s="570"/>
      <c r="HB144" s="570"/>
      <c r="HC144" s="570"/>
      <c r="HD144" s="570"/>
      <c r="HE144" s="570"/>
      <c r="HF144" s="570"/>
      <c r="HG144" s="570"/>
      <c r="HH144" s="570"/>
      <c r="HI144" s="570"/>
      <c r="HJ144" s="570"/>
      <c r="HK144" s="570"/>
      <c r="HL144" s="572"/>
      <c r="HM144" s="572"/>
      <c r="HN144" s="570"/>
      <c r="HO144" s="570"/>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6">
        <f>SUM(F141:G144)</f>
        <v>87289</v>
      </c>
      <c r="G145" s="1397"/>
      <c r="H145" s="1"/>
      <c r="I145" s="1"/>
      <c r="J145" s="14"/>
      <c r="K145" s="1"/>
      <c r="L145" s="1"/>
      <c r="M145" s="1"/>
      <c r="N145" s="1"/>
      <c r="O145" s="1"/>
      <c r="P145" s="1"/>
      <c r="T145" s="1754"/>
      <c r="U145" s="1755"/>
      <c r="V145" s="568"/>
      <c r="W145" s="568"/>
      <c r="X145" s="568"/>
      <c r="Y145" s="570"/>
      <c r="Z145" s="570"/>
      <c r="AA145" s="570"/>
      <c r="AB145" s="570"/>
      <c r="AC145" s="570"/>
      <c r="AD145" s="570"/>
      <c r="AE145" s="570"/>
      <c r="AF145" s="570"/>
      <c r="AG145" s="570"/>
      <c r="AH145" s="570"/>
      <c r="AI145" s="570"/>
      <c r="AJ145" s="570"/>
      <c r="AK145" s="570"/>
      <c r="AL145" s="570"/>
      <c r="AM145" s="570"/>
      <c r="AN145" s="570"/>
      <c r="AO145" s="570"/>
      <c r="AP145" s="570"/>
      <c r="AQ145" s="570"/>
      <c r="AR145" s="570"/>
      <c r="AS145" s="570"/>
      <c r="AT145" s="570"/>
      <c r="AU145" s="570"/>
      <c r="AV145" s="570"/>
      <c r="AW145" s="570"/>
      <c r="AX145" s="570"/>
      <c r="AY145" s="570"/>
      <c r="AZ145" s="570"/>
      <c r="BA145" s="570"/>
      <c r="BB145" s="570"/>
      <c r="BC145" s="570"/>
      <c r="BD145" s="570"/>
      <c r="BE145" s="570"/>
      <c r="BF145" s="570"/>
      <c r="BG145" s="570"/>
      <c r="BH145" s="570"/>
      <c r="BI145" s="570"/>
      <c r="BJ145" s="570"/>
      <c r="BK145" s="570"/>
      <c r="BL145" s="570"/>
      <c r="BM145" s="570"/>
      <c r="BN145" s="570"/>
      <c r="BO145" s="570"/>
      <c r="BP145" s="570"/>
      <c r="BQ145" s="570"/>
      <c r="BR145" s="570"/>
      <c r="BS145" s="570"/>
      <c r="BT145" s="570"/>
      <c r="BU145" s="570"/>
      <c r="BV145" s="570"/>
      <c r="BW145" s="570"/>
      <c r="BX145" s="570"/>
      <c r="BY145" s="570"/>
      <c r="BZ145" s="570"/>
      <c r="CA145" s="570"/>
      <c r="CB145" s="570"/>
      <c r="CC145" s="570"/>
      <c r="CD145" s="570"/>
      <c r="CE145" s="570"/>
      <c r="CF145" s="570"/>
      <c r="CG145" s="570"/>
      <c r="CH145" s="570"/>
      <c r="CI145" s="570"/>
      <c r="CJ145" s="570"/>
      <c r="CK145" s="570"/>
      <c r="CL145" s="570"/>
      <c r="CM145" s="570"/>
      <c r="CN145" s="570"/>
      <c r="CO145" s="570"/>
      <c r="CP145" s="570"/>
      <c r="CQ145" s="570"/>
      <c r="CR145" s="570"/>
      <c r="CS145" s="570"/>
      <c r="CT145" s="570"/>
      <c r="CU145" s="570"/>
      <c r="CV145" s="570"/>
      <c r="CW145" s="570"/>
      <c r="CX145" s="570"/>
      <c r="CY145" s="570"/>
      <c r="CZ145" s="570"/>
      <c r="DA145" s="570"/>
      <c r="DB145" s="570"/>
      <c r="DC145" s="570"/>
      <c r="DD145" s="570"/>
      <c r="DE145" s="570"/>
      <c r="DF145" s="570"/>
      <c r="DG145" s="570"/>
      <c r="DH145" s="570"/>
      <c r="DI145" s="570"/>
      <c r="DJ145" s="570"/>
      <c r="DK145" s="570"/>
      <c r="DL145" s="570"/>
      <c r="DM145" s="570"/>
      <c r="DN145" s="570"/>
      <c r="DO145" s="570"/>
      <c r="DP145" s="570"/>
      <c r="DQ145" s="570"/>
      <c r="DR145" s="570"/>
      <c r="DS145" s="570"/>
      <c r="DT145" s="570"/>
      <c r="DU145" s="570"/>
      <c r="DV145" s="570"/>
      <c r="DW145" s="570"/>
      <c r="DX145" s="570"/>
      <c r="DY145" s="570"/>
      <c r="DZ145" s="570"/>
      <c r="EA145" s="570"/>
      <c r="EB145" s="570"/>
      <c r="EC145" s="570"/>
      <c r="ED145" s="570"/>
      <c r="EE145" s="570"/>
      <c r="EF145" s="570"/>
      <c r="EG145" s="570"/>
      <c r="EH145" s="570"/>
      <c r="EI145" s="570"/>
      <c r="EJ145" s="570"/>
      <c r="EK145" s="570"/>
      <c r="EL145" s="570"/>
      <c r="EM145" s="570"/>
      <c r="EN145" s="570"/>
      <c r="EO145" s="570"/>
      <c r="EP145" s="570"/>
      <c r="EQ145" s="570"/>
      <c r="ER145" s="570"/>
      <c r="ES145" s="570"/>
      <c r="ET145" s="570"/>
      <c r="EU145" s="570"/>
      <c r="EV145" s="570"/>
      <c r="EW145" s="570"/>
      <c r="EX145" s="570"/>
      <c r="EY145" s="570"/>
      <c r="EZ145" s="570"/>
      <c r="FA145" s="570"/>
      <c r="FB145" s="570"/>
      <c r="FC145" s="570"/>
      <c r="FD145" s="570"/>
      <c r="FE145" s="570"/>
      <c r="FF145" s="570"/>
      <c r="FG145" s="570"/>
      <c r="FH145" s="570"/>
      <c r="FI145" s="570"/>
      <c r="FJ145" s="570"/>
      <c r="FK145" s="570"/>
      <c r="FL145" s="570"/>
      <c r="FM145" s="570"/>
      <c r="FN145" s="570"/>
      <c r="FO145" s="570"/>
      <c r="FP145" s="570"/>
      <c r="FQ145" s="570"/>
      <c r="FR145" s="570"/>
      <c r="FS145" s="570"/>
      <c r="FT145" s="570"/>
      <c r="FU145" s="570"/>
      <c r="FV145" s="570"/>
      <c r="FW145" s="570"/>
      <c r="FX145" s="570"/>
      <c r="FY145" s="571"/>
      <c r="FZ145" s="571"/>
      <c r="GA145" s="571"/>
      <c r="GB145" s="571"/>
      <c r="GC145" s="571"/>
      <c r="GD145" s="571"/>
      <c r="GE145" s="571"/>
      <c r="GF145" s="571"/>
      <c r="GG145" s="571"/>
      <c r="GH145" s="571"/>
      <c r="GI145" s="571"/>
      <c r="GJ145" s="571"/>
      <c r="GK145" s="571"/>
      <c r="GL145" s="571"/>
      <c r="GM145" s="571"/>
      <c r="GN145" s="571"/>
      <c r="GO145" s="571"/>
      <c r="GP145" s="570"/>
      <c r="GQ145" s="570"/>
      <c r="GR145" s="570"/>
      <c r="GS145" s="570"/>
      <c r="GT145" s="570"/>
      <c r="GU145" s="570"/>
      <c r="GV145" s="572"/>
      <c r="GW145" s="570"/>
      <c r="GX145" s="570"/>
      <c r="GY145" s="570"/>
      <c r="GZ145" s="570"/>
      <c r="HA145" s="570"/>
      <c r="HB145" s="570"/>
      <c r="HC145" s="570"/>
      <c r="HD145" s="570"/>
      <c r="HE145" s="570"/>
      <c r="HF145" s="570"/>
      <c r="HG145" s="570"/>
      <c r="HH145" s="570"/>
      <c r="HI145" s="570"/>
      <c r="HJ145" s="570"/>
      <c r="HK145" s="570"/>
      <c r="HL145" s="572"/>
      <c r="HM145" s="572"/>
      <c r="HN145" s="570"/>
      <c r="HO145" s="570"/>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4"/>
      <c r="U146" s="1755"/>
      <c r="V146" s="570"/>
      <c r="W146" s="570"/>
      <c r="X146" s="570"/>
      <c r="Y146" s="570"/>
      <c r="Z146" s="570"/>
      <c r="AA146" s="570"/>
      <c r="AB146" s="570"/>
      <c r="AC146" s="570"/>
      <c r="AD146" s="570"/>
      <c r="AE146" s="570"/>
      <c r="AF146" s="570"/>
      <c r="AG146" s="570"/>
      <c r="AH146" s="570"/>
      <c r="AI146" s="570"/>
      <c r="AJ146" s="570"/>
      <c r="AK146" s="570"/>
      <c r="AL146" s="570"/>
      <c r="AM146" s="570"/>
      <c r="AN146" s="570"/>
      <c r="AO146" s="570"/>
      <c r="AP146" s="570"/>
      <c r="AQ146" s="570"/>
      <c r="AR146" s="570"/>
      <c r="AS146" s="570"/>
      <c r="AT146" s="570"/>
      <c r="AU146" s="570"/>
      <c r="AV146" s="570"/>
      <c r="AW146" s="570"/>
      <c r="AX146" s="570"/>
      <c r="AY146" s="570"/>
      <c r="AZ146" s="570"/>
      <c r="BA146" s="570"/>
      <c r="BB146" s="570"/>
      <c r="BC146" s="570"/>
      <c r="BD146" s="570"/>
      <c r="BE146" s="570"/>
      <c r="BF146" s="570"/>
      <c r="BG146" s="570"/>
      <c r="BH146" s="570"/>
      <c r="BI146" s="570"/>
      <c r="BJ146" s="570"/>
      <c r="BK146" s="570"/>
      <c r="BL146" s="570"/>
      <c r="BM146" s="570"/>
      <c r="BN146" s="570"/>
      <c r="BO146" s="570"/>
      <c r="BP146" s="570"/>
      <c r="BQ146" s="570"/>
      <c r="BR146" s="570"/>
      <c r="BS146" s="570"/>
      <c r="BT146" s="570"/>
      <c r="BU146" s="570"/>
      <c r="BV146" s="570"/>
      <c r="BW146" s="570"/>
      <c r="BX146" s="570"/>
      <c r="BY146" s="570"/>
      <c r="BZ146" s="570"/>
      <c r="CA146" s="570"/>
      <c r="CB146" s="570"/>
      <c r="CC146" s="570"/>
      <c r="CD146" s="570"/>
      <c r="CE146" s="570"/>
      <c r="CF146" s="570"/>
      <c r="CG146" s="570"/>
      <c r="CH146" s="570"/>
      <c r="CI146" s="570"/>
      <c r="CJ146" s="570"/>
      <c r="CK146" s="570"/>
      <c r="CL146" s="570"/>
      <c r="CM146" s="570"/>
      <c r="CN146" s="570"/>
      <c r="CO146" s="570"/>
      <c r="CP146" s="570"/>
      <c r="CQ146" s="570"/>
      <c r="CR146" s="570"/>
      <c r="CS146" s="570"/>
      <c r="CT146" s="570"/>
      <c r="CU146" s="570"/>
      <c r="CV146" s="570"/>
      <c r="CW146" s="570"/>
      <c r="CX146" s="570"/>
      <c r="CY146" s="570"/>
      <c r="CZ146" s="570"/>
      <c r="DA146" s="570"/>
      <c r="DB146" s="570"/>
      <c r="DC146" s="570"/>
      <c r="DD146" s="570"/>
      <c r="DE146" s="570"/>
      <c r="DF146" s="570"/>
      <c r="DG146" s="570"/>
      <c r="DH146" s="570"/>
      <c r="DI146" s="570"/>
      <c r="DJ146" s="570"/>
      <c r="DK146" s="570"/>
      <c r="DL146" s="570"/>
      <c r="DM146" s="570"/>
      <c r="DN146" s="570"/>
      <c r="DO146" s="570"/>
      <c r="DP146" s="570"/>
      <c r="DQ146" s="570"/>
      <c r="DR146" s="570"/>
      <c r="DS146" s="570"/>
      <c r="DT146" s="570"/>
      <c r="DU146" s="570"/>
      <c r="DV146" s="570"/>
      <c r="DW146" s="570"/>
      <c r="DX146" s="570"/>
      <c r="DY146" s="570"/>
      <c r="DZ146" s="570"/>
      <c r="EA146" s="570"/>
      <c r="EB146" s="570"/>
      <c r="EC146" s="570"/>
      <c r="ED146" s="570"/>
      <c r="EE146" s="570"/>
      <c r="EF146" s="570"/>
      <c r="EG146" s="570"/>
      <c r="EH146" s="570"/>
      <c r="EI146" s="570"/>
      <c r="EJ146" s="570"/>
      <c r="EK146" s="570"/>
      <c r="EL146" s="570"/>
      <c r="EM146" s="570"/>
      <c r="EN146" s="570"/>
      <c r="EO146" s="570"/>
      <c r="EP146" s="570"/>
      <c r="EQ146" s="570"/>
      <c r="ER146" s="570"/>
      <c r="ES146" s="570"/>
      <c r="ET146" s="570"/>
      <c r="EU146" s="570"/>
      <c r="EV146" s="570"/>
      <c r="EW146" s="570"/>
      <c r="EX146" s="570"/>
      <c r="EY146" s="570"/>
      <c r="EZ146" s="570"/>
      <c r="FA146" s="570"/>
      <c r="FB146" s="570"/>
      <c r="FC146" s="570"/>
      <c r="FD146" s="570"/>
      <c r="FE146" s="570"/>
      <c r="FF146" s="570"/>
      <c r="FG146" s="570"/>
      <c r="FH146" s="570"/>
      <c r="FI146" s="570"/>
      <c r="FJ146" s="570"/>
      <c r="FK146" s="570"/>
      <c r="FL146" s="570"/>
      <c r="FM146" s="570"/>
      <c r="FN146" s="570"/>
      <c r="FO146" s="570"/>
      <c r="FP146" s="570"/>
      <c r="FQ146" s="570"/>
      <c r="FR146" s="570"/>
      <c r="FS146" s="570"/>
      <c r="FT146" s="570"/>
      <c r="FU146" s="570"/>
      <c r="FV146" s="570"/>
      <c r="FW146" s="570"/>
      <c r="FX146" s="570"/>
      <c r="FY146" s="571"/>
      <c r="FZ146" s="571"/>
      <c r="GA146" s="571"/>
      <c r="GB146" s="571"/>
      <c r="GC146" s="571"/>
      <c r="GD146" s="571"/>
      <c r="GE146" s="571"/>
      <c r="GF146" s="571"/>
      <c r="GG146" s="571"/>
      <c r="GH146" s="571"/>
      <c r="GI146" s="571"/>
      <c r="GJ146" s="571"/>
      <c r="GK146" s="571"/>
      <c r="GL146" s="571"/>
      <c r="GM146" s="571"/>
      <c r="GN146" s="571"/>
      <c r="GO146" s="571"/>
      <c r="GP146" s="570"/>
      <c r="GQ146" s="570"/>
      <c r="GR146" s="570"/>
      <c r="GS146" s="570"/>
      <c r="GT146" s="570"/>
      <c r="GU146" s="570"/>
      <c r="GV146" s="572"/>
      <c r="GW146" s="570"/>
      <c r="GX146" s="570"/>
      <c r="GY146" s="570"/>
      <c r="GZ146" s="570"/>
      <c r="HA146" s="570"/>
      <c r="HB146" s="570"/>
      <c r="HC146" s="570"/>
      <c r="HD146" s="570"/>
      <c r="HE146" s="570"/>
      <c r="HF146" s="570"/>
      <c r="HG146" s="570"/>
      <c r="HH146" s="570"/>
      <c r="HI146" s="570"/>
      <c r="HJ146" s="570"/>
      <c r="HK146" s="570"/>
      <c r="HL146" s="572"/>
      <c r="HM146" s="572"/>
      <c r="HN146" s="570"/>
      <c r="HO146" s="570"/>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7">
        <f>IF(OR('Part VII-Pro Forma'!$B$20 = "Choose Mgt Fee",'Part VII-Pro Forma'!$B$20 = "Choose One!"), 0,- 'Part VII-Pro Forma'!$B$20)</f>
        <v>42468</v>
      </c>
      <c r="T147" s="1754"/>
      <c r="U147" s="1755"/>
      <c r="V147" s="568"/>
      <c r="W147" s="568"/>
      <c r="X147" s="568"/>
      <c r="Y147" s="570"/>
      <c r="Z147" s="570"/>
      <c r="AA147" s="570"/>
      <c r="AB147" s="570"/>
      <c r="AC147" s="570"/>
      <c r="AD147" s="570"/>
      <c r="AE147" s="570"/>
      <c r="AF147" s="570"/>
      <c r="AG147" s="570"/>
      <c r="AH147" s="570"/>
      <c r="AI147" s="570"/>
      <c r="AJ147" s="570"/>
      <c r="AK147" s="570"/>
      <c r="AL147" s="570"/>
      <c r="AM147" s="570"/>
      <c r="AN147" s="570"/>
      <c r="AO147" s="570"/>
      <c r="AP147" s="570"/>
      <c r="AQ147" s="570"/>
      <c r="AR147" s="570"/>
      <c r="AS147" s="570"/>
      <c r="AT147" s="570"/>
      <c r="AU147" s="570"/>
      <c r="AV147" s="570"/>
      <c r="AW147" s="570"/>
      <c r="AX147" s="570"/>
      <c r="AY147" s="570"/>
      <c r="AZ147" s="570"/>
      <c r="BA147" s="570"/>
      <c r="BB147" s="570"/>
      <c r="BC147" s="570"/>
      <c r="BD147" s="570"/>
      <c r="BE147" s="570"/>
      <c r="BF147" s="570"/>
      <c r="BG147" s="570"/>
      <c r="BH147" s="570"/>
      <c r="BI147" s="570"/>
      <c r="BJ147" s="570"/>
      <c r="BK147" s="570"/>
      <c r="BL147" s="570"/>
      <c r="BM147" s="570"/>
      <c r="BN147" s="570"/>
      <c r="BO147" s="570"/>
      <c r="BP147" s="570"/>
      <c r="BQ147" s="570"/>
      <c r="BR147" s="570"/>
      <c r="BS147" s="570"/>
      <c r="BT147" s="570"/>
      <c r="BU147" s="570"/>
      <c r="BV147" s="570"/>
      <c r="BW147" s="570"/>
      <c r="BX147" s="570"/>
      <c r="BY147" s="570"/>
      <c r="BZ147" s="570"/>
      <c r="CA147" s="570"/>
      <c r="CB147" s="570"/>
      <c r="CC147" s="570"/>
      <c r="CD147" s="570"/>
      <c r="CE147" s="570"/>
      <c r="CF147" s="570"/>
      <c r="CG147" s="570"/>
      <c r="CH147" s="570"/>
      <c r="CI147" s="570"/>
      <c r="CJ147" s="570"/>
      <c r="CK147" s="570"/>
      <c r="CL147" s="570"/>
      <c r="CM147" s="570"/>
      <c r="CN147" s="570"/>
      <c r="CO147" s="570"/>
      <c r="CP147" s="570"/>
      <c r="CQ147" s="570"/>
      <c r="CR147" s="570"/>
      <c r="CS147" s="570"/>
      <c r="CT147" s="570"/>
      <c r="CU147" s="570"/>
      <c r="CV147" s="570"/>
      <c r="CW147" s="570"/>
      <c r="CX147" s="570"/>
      <c r="CY147" s="570"/>
      <c r="CZ147" s="570"/>
      <c r="DA147" s="570"/>
      <c r="DB147" s="570"/>
      <c r="DC147" s="570"/>
      <c r="DD147" s="570"/>
      <c r="DE147" s="570"/>
      <c r="DF147" s="570"/>
      <c r="DG147" s="570"/>
      <c r="DH147" s="570"/>
      <c r="DI147" s="570"/>
      <c r="DJ147" s="570"/>
      <c r="DK147" s="570"/>
      <c r="DL147" s="570"/>
      <c r="DM147" s="570"/>
      <c r="DN147" s="570"/>
      <c r="DO147" s="570"/>
      <c r="DP147" s="570"/>
      <c r="DQ147" s="570"/>
      <c r="DR147" s="570"/>
      <c r="DS147" s="570"/>
      <c r="DT147" s="570"/>
      <c r="DU147" s="570"/>
      <c r="DV147" s="570"/>
      <c r="DW147" s="570"/>
      <c r="DX147" s="570"/>
      <c r="DY147" s="570"/>
      <c r="DZ147" s="570"/>
      <c r="EA147" s="570"/>
      <c r="EB147" s="570"/>
      <c r="EC147" s="570"/>
      <c r="ED147" s="570"/>
      <c r="EE147" s="570"/>
      <c r="EF147" s="570"/>
      <c r="EG147" s="570"/>
      <c r="EH147" s="570"/>
      <c r="EI147" s="570"/>
      <c r="EJ147" s="570"/>
      <c r="EK147" s="570"/>
      <c r="EL147" s="570"/>
      <c r="EM147" s="570"/>
      <c r="EN147" s="570"/>
      <c r="EO147" s="570"/>
      <c r="EP147" s="570"/>
      <c r="EQ147" s="570"/>
      <c r="ER147" s="570"/>
      <c r="ES147" s="570"/>
      <c r="ET147" s="570"/>
      <c r="EU147" s="570"/>
      <c r="EV147" s="570"/>
      <c r="EW147" s="570"/>
      <c r="EX147" s="570"/>
      <c r="EY147" s="570"/>
      <c r="EZ147" s="570"/>
      <c r="FA147" s="570"/>
      <c r="FB147" s="570"/>
      <c r="FC147" s="570"/>
      <c r="FD147" s="570"/>
      <c r="FE147" s="570"/>
      <c r="FF147" s="570"/>
      <c r="FG147" s="570"/>
      <c r="FH147" s="570"/>
      <c r="FI147" s="570"/>
      <c r="FJ147" s="570"/>
      <c r="FK147" s="570"/>
      <c r="FL147" s="570"/>
      <c r="FM147" s="570"/>
      <c r="FN147" s="570"/>
      <c r="FO147" s="570"/>
      <c r="FP147" s="570"/>
      <c r="FQ147" s="570"/>
      <c r="FR147" s="570"/>
      <c r="FS147" s="570"/>
      <c r="FT147" s="570"/>
      <c r="FU147" s="570"/>
      <c r="FV147" s="570"/>
      <c r="FW147" s="570"/>
      <c r="FX147" s="570"/>
      <c r="FY147" s="571"/>
      <c r="FZ147" s="571"/>
      <c r="GA147" s="571"/>
      <c r="GB147" s="571"/>
      <c r="GC147" s="571"/>
      <c r="GD147" s="571"/>
      <c r="GE147" s="571"/>
      <c r="GF147" s="571"/>
      <c r="GG147" s="571"/>
      <c r="GH147" s="571"/>
      <c r="GI147" s="571"/>
      <c r="GJ147" s="571"/>
      <c r="GK147" s="571"/>
      <c r="GL147" s="571"/>
      <c r="GM147" s="571"/>
      <c r="GN147" s="571"/>
      <c r="GO147" s="571"/>
      <c r="GP147" s="570"/>
      <c r="GQ147" s="570"/>
      <c r="GR147" s="570"/>
      <c r="GS147" s="570"/>
      <c r="GT147" s="570"/>
      <c r="GU147" s="570"/>
      <c r="GV147" s="572"/>
      <c r="GW147" s="570"/>
      <c r="GX147" s="570"/>
      <c r="GY147" s="570"/>
      <c r="GZ147" s="570"/>
      <c r="HA147" s="570"/>
      <c r="HB147" s="570"/>
      <c r="HC147" s="570"/>
      <c r="HD147" s="570"/>
      <c r="HE147" s="570"/>
      <c r="HF147" s="570"/>
      <c r="HG147" s="570"/>
      <c r="HH147" s="570"/>
      <c r="HI147" s="570"/>
      <c r="HJ147" s="570"/>
      <c r="HK147" s="570"/>
      <c r="HL147" s="572"/>
      <c r="HM147" s="572"/>
      <c r="HN147" s="570"/>
      <c r="HO147" s="570"/>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776">
        <v>4500</v>
      </c>
      <c r="G148" s="1777"/>
      <c r="H148" s="1"/>
      <c r="I148" s="1" t="s">
        <v>1711</v>
      </c>
      <c r="J148" s="1"/>
      <c r="K148" s="1787">
        <v>1080</v>
      </c>
      <c r="L148" s="1788"/>
      <c r="M148" s="1"/>
      <c r="N148" s="481">
        <f>+P147/(M62*0.93)</f>
        <v>608.86021505376345</v>
      </c>
      <c r="O148" s="30" t="s">
        <v>3138</v>
      </c>
      <c r="P148" s="1"/>
      <c r="T148" s="1754"/>
      <c r="U148" s="1755"/>
      <c r="V148" s="568"/>
      <c r="W148" s="568"/>
      <c r="X148" s="568"/>
      <c r="Y148" s="570"/>
      <c r="Z148" s="570"/>
      <c r="AA148" s="570"/>
      <c r="AB148" s="570"/>
      <c r="AC148" s="570"/>
      <c r="AD148" s="570"/>
      <c r="AE148" s="570"/>
      <c r="AF148" s="570"/>
      <c r="AG148" s="570"/>
      <c r="AH148" s="570"/>
      <c r="AI148" s="570"/>
      <c r="AJ148" s="570"/>
      <c r="AK148" s="570"/>
      <c r="AL148" s="570"/>
      <c r="AM148" s="570"/>
      <c r="AN148" s="570"/>
      <c r="AO148" s="570"/>
      <c r="AP148" s="570"/>
      <c r="AQ148" s="570"/>
      <c r="AR148" s="570"/>
      <c r="AS148" s="570"/>
      <c r="AT148" s="570"/>
      <c r="AU148" s="570"/>
      <c r="AV148" s="570"/>
      <c r="AW148" s="570"/>
      <c r="AX148" s="570"/>
      <c r="AY148" s="570"/>
      <c r="AZ148" s="570"/>
      <c r="BA148" s="570"/>
      <c r="BB148" s="570"/>
      <c r="BC148" s="570"/>
      <c r="BD148" s="570"/>
      <c r="BE148" s="570"/>
      <c r="BF148" s="570"/>
      <c r="BG148" s="570"/>
      <c r="BH148" s="570"/>
      <c r="BI148" s="570"/>
      <c r="BJ148" s="570"/>
      <c r="BK148" s="570"/>
      <c r="BL148" s="570"/>
      <c r="BM148" s="570"/>
      <c r="BN148" s="570"/>
      <c r="BO148" s="570"/>
      <c r="BP148" s="570"/>
      <c r="BQ148" s="570"/>
      <c r="BR148" s="570"/>
      <c r="BS148" s="570"/>
      <c r="BT148" s="570"/>
      <c r="BU148" s="570"/>
      <c r="BV148" s="570"/>
      <c r="BW148" s="570"/>
      <c r="BX148" s="570"/>
      <c r="BY148" s="570"/>
      <c r="BZ148" s="570"/>
      <c r="CA148" s="570"/>
      <c r="CB148" s="570"/>
      <c r="CC148" s="570"/>
      <c r="CD148" s="570"/>
      <c r="CE148" s="570"/>
      <c r="CF148" s="570"/>
      <c r="CG148" s="570"/>
      <c r="CH148" s="570"/>
      <c r="CI148" s="570"/>
      <c r="CJ148" s="570"/>
      <c r="CK148" s="570"/>
      <c r="CL148" s="570"/>
      <c r="CM148" s="570"/>
      <c r="CN148" s="570"/>
      <c r="CO148" s="570"/>
      <c r="CP148" s="570"/>
      <c r="CQ148" s="570"/>
      <c r="CR148" s="570"/>
      <c r="CS148" s="570"/>
      <c r="CT148" s="570"/>
      <c r="CU148" s="570"/>
      <c r="CV148" s="570"/>
      <c r="CW148" s="570"/>
      <c r="CX148" s="570"/>
      <c r="CY148" s="570"/>
      <c r="CZ148" s="570"/>
      <c r="DA148" s="570"/>
      <c r="DB148" s="570"/>
      <c r="DC148" s="570"/>
      <c r="DD148" s="570"/>
      <c r="DE148" s="570"/>
      <c r="DF148" s="570"/>
      <c r="DG148" s="570"/>
      <c r="DH148" s="570"/>
      <c r="DI148" s="570"/>
      <c r="DJ148" s="570"/>
      <c r="DK148" s="570"/>
      <c r="DL148" s="570"/>
      <c r="DM148" s="570"/>
      <c r="DN148" s="570"/>
      <c r="DO148" s="570"/>
      <c r="DP148" s="570"/>
      <c r="DQ148" s="570"/>
      <c r="DR148" s="570"/>
      <c r="DS148" s="570"/>
      <c r="DT148" s="570"/>
      <c r="DU148" s="570"/>
      <c r="DV148" s="570"/>
      <c r="DW148" s="570"/>
      <c r="DX148" s="570"/>
      <c r="DY148" s="570"/>
      <c r="DZ148" s="570"/>
      <c r="EA148" s="570"/>
      <c r="EB148" s="570"/>
      <c r="EC148" s="570"/>
      <c r="ED148" s="570"/>
      <c r="EE148" s="570"/>
      <c r="EF148" s="570"/>
      <c r="EG148" s="570"/>
      <c r="EH148" s="570"/>
      <c r="EI148" s="570"/>
      <c r="EJ148" s="570"/>
      <c r="EK148" s="570"/>
      <c r="EL148" s="570"/>
      <c r="EM148" s="570"/>
      <c r="EN148" s="570"/>
      <c r="EO148" s="570"/>
      <c r="EP148" s="570"/>
      <c r="EQ148" s="570"/>
      <c r="ER148" s="570"/>
      <c r="ES148" s="570"/>
      <c r="ET148" s="570"/>
      <c r="EU148" s="570"/>
      <c r="EV148" s="570"/>
      <c r="EW148" s="570"/>
      <c r="EX148" s="570"/>
      <c r="EY148" s="570"/>
      <c r="EZ148" s="570"/>
      <c r="FA148" s="570"/>
      <c r="FB148" s="570"/>
      <c r="FC148" s="570"/>
      <c r="FD148" s="570"/>
      <c r="FE148" s="570"/>
      <c r="FF148" s="570"/>
      <c r="FG148" s="570"/>
      <c r="FH148" s="570"/>
      <c r="FI148" s="570"/>
      <c r="FJ148" s="570"/>
      <c r="FK148" s="570"/>
      <c r="FL148" s="570"/>
      <c r="FM148" s="570"/>
      <c r="FN148" s="570"/>
      <c r="FO148" s="570"/>
      <c r="FP148" s="570"/>
      <c r="FQ148" s="570"/>
      <c r="FR148" s="570"/>
      <c r="FS148" s="570"/>
      <c r="FT148" s="570"/>
      <c r="FU148" s="570"/>
      <c r="FV148" s="570"/>
      <c r="FW148" s="570"/>
      <c r="FX148" s="570"/>
      <c r="FY148" s="571"/>
      <c r="FZ148" s="571"/>
      <c r="GA148" s="571"/>
      <c r="GB148" s="571"/>
      <c r="GC148" s="571"/>
      <c r="GD148" s="571"/>
      <c r="GE148" s="571"/>
      <c r="GF148" s="571"/>
      <c r="GG148" s="571"/>
      <c r="GH148" s="571"/>
      <c r="GI148" s="571"/>
      <c r="GJ148" s="571"/>
      <c r="GK148" s="571"/>
      <c r="GL148" s="571"/>
      <c r="GM148" s="571"/>
      <c r="GN148" s="571"/>
      <c r="GO148" s="571"/>
      <c r="GP148" s="570"/>
      <c r="GQ148" s="570"/>
      <c r="GR148" s="570"/>
      <c r="GS148" s="570"/>
      <c r="GT148" s="570"/>
      <c r="GU148" s="570"/>
      <c r="GV148" s="572"/>
      <c r="GW148" s="570"/>
      <c r="GX148" s="570"/>
      <c r="GY148" s="570"/>
      <c r="GZ148" s="570"/>
      <c r="HA148" s="570"/>
      <c r="HB148" s="570"/>
      <c r="HC148" s="570"/>
      <c r="HD148" s="570"/>
      <c r="HE148" s="570"/>
      <c r="HF148" s="570"/>
      <c r="HG148" s="570"/>
      <c r="HH148" s="570"/>
      <c r="HI148" s="570"/>
      <c r="HJ148" s="570"/>
      <c r="HK148" s="570"/>
      <c r="HL148" s="572"/>
      <c r="HM148" s="572"/>
      <c r="HN148" s="570"/>
      <c r="HO148" s="570"/>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776">
        <v>1570</v>
      </c>
      <c r="G149" s="1777"/>
      <c r="H149" s="1"/>
      <c r="I149" s="1" t="s">
        <v>2187</v>
      </c>
      <c r="J149" s="1"/>
      <c r="K149" s="1789">
        <v>4081</v>
      </c>
      <c r="L149" s="1790"/>
      <c r="M149" s="1"/>
      <c r="N149" s="481">
        <f>+P147/(M62*0.93)/12</f>
        <v>50.738351254480285</v>
      </c>
      <c r="O149" s="30" t="s">
        <v>3140</v>
      </c>
      <c r="P149" s="1"/>
      <c r="T149" s="1754"/>
      <c r="U149" s="1755"/>
      <c r="V149" s="568"/>
      <c r="W149" s="568"/>
      <c r="X149" s="568"/>
      <c r="Y149" s="570"/>
      <c r="Z149" s="570"/>
      <c r="AA149" s="570"/>
      <c r="AB149" s="570"/>
      <c r="AC149" s="570"/>
      <c r="AD149" s="570"/>
      <c r="AE149" s="570"/>
      <c r="AF149" s="570"/>
      <c r="AG149" s="570"/>
      <c r="AH149" s="570"/>
      <c r="AI149" s="570"/>
      <c r="AJ149" s="570"/>
      <c r="AK149" s="570"/>
      <c r="AL149" s="570"/>
      <c r="AM149" s="570"/>
      <c r="AN149" s="570"/>
      <c r="AO149" s="570"/>
      <c r="AP149" s="570"/>
      <c r="AQ149" s="570"/>
      <c r="AR149" s="570"/>
      <c r="AS149" s="570"/>
      <c r="AT149" s="570"/>
      <c r="AU149" s="570"/>
      <c r="AV149" s="570"/>
      <c r="AW149" s="570"/>
      <c r="AX149" s="570"/>
      <c r="AY149" s="570"/>
      <c r="AZ149" s="570"/>
      <c r="BA149" s="570"/>
      <c r="BB149" s="570"/>
      <c r="BC149" s="570"/>
      <c r="BD149" s="570"/>
      <c r="BE149" s="570"/>
      <c r="BF149" s="570"/>
      <c r="BG149" s="570"/>
      <c r="BH149" s="570"/>
      <c r="BI149" s="570"/>
      <c r="BJ149" s="570"/>
      <c r="BK149" s="570"/>
      <c r="BL149" s="570"/>
      <c r="BM149" s="570"/>
      <c r="BN149" s="570"/>
      <c r="BO149" s="570"/>
      <c r="BP149" s="570"/>
      <c r="BQ149" s="570"/>
      <c r="BR149" s="570"/>
      <c r="BS149" s="570"/>
      <c r="BT149" s="570"/>
      <c r="BU149" s="570"/>
      <c r="BV149" s="570"/>
      <c r="BW149" s="570"/>
      <c r="BX149" s="570"/>
      <c r="BY149" s="570"/>
      <c r="BZ149" s="570"/>
      <c r="CA149" s="570"/>
      <c r="CB149" s="570"/>
      <c r="CC149" s="570"/>
      <c r="CD149" s="570"/>
      <c r="CE149" s="570"/>
      <c r="CF149" s="570"/>
      <c r="CG149" s="570"/>
      <c r="CH149" s="570"/>
      <c r="CI149" s="570"/>
      <c r="CJ149" s="570"/>
      <c r="CK149" s="570"/>
      <c r="CL149" s="570"/>
      <c r="CM149" s="570"/>
      <c r="CN149" s="570"/>
      <c r="CO149" s="570"/>
      <c r="CP149" s="570"/>
      <c r="CQ149" s="570"/>
      <c r="CR149" s="570"/>
      <c r="CS149" s="570"/>
      <c r="CT149" s="570"/>
      <c r="CU149" s="570"/>
      <c r="CV149" s="570"/>
      <c r="CW149" s="570"/>
      <c r="CX149" s="570"/>
      <c r="CY149" s="570"/>
      <c r="CZ149" s="570"/>
      <c r="DA149" s="570"/>
      <c r="DB149" s="570"/>
      <c r="DC149" s="570"/>
      <c r="DD149" s="570"/>
      <c r="DE149" s="570"/>
      <c r="DF149" s="570"/>
      <c r="DG149" s="570"/>
      <c r="DH149" s="570"/>
      <c r="DI149" s="570"/>
      <c r="DJ149" s="570"/>
      <c r="DK149" s="570"/>
      <c r="DL149" s="570"/>
      <c r="DM149" s="570"/>
      <c r="DN149" s="570"/>
      <c r="DO149" s="570"/>
      <c r="DP149" s="570"/>
      <c r="DQ149" s="570"/>
      <c r="DR149" s="570"/>
      <c r="DS149" s="570"/>
      <c r="DT149" s="570"/>
      <c r="DU149" s="570"/>
      <c r="DV149" s="570"/>
      <c r="DW149" s="570"/>
      <c r="DX149" s="570"/>
      <c r="DY149" s="570"/>
      <c r="DZ149" s="570"/>
      <c r="EA149" s="570"/>
      <c r="EB149" s="570"/>
      <c r="EC149" s="570"/>
      <c r="ED149" s="570"/>
      <c r="EE149" s="570"/>
      <c r="EF149" s="570"/>
      <c r="EG149" s="570"/>
      <c r="EH149" s="570"/>
      <c r="EI149" s="570"/>
      <c r="EJ149" s="570"/>
      <c r="EK149" s="570"/>
      <c r="EL149" s="570"/>
      <c r="EM149" s="570"/>
      <c r="EN149" s="570"/>
      <c r="EO149" s="570"/>
      <c r="EP149" s="570"/>
      <c r="EQ149" s="570"/>
      <c r="ER149" s="570"/>
      <c r="ES149" s="570"/>
      <c r="ET149" s="570"/>
      <c r="EU149" s="570"/>
      <c r="EV149" s="570"/>
      <c r="EW149" s="570"/>
      <c r="EX149" s="570"/>
      <c r="EY149" s="570"/>
      <c r="EZ149" s="570"/>
      <c r="FA149" s="570"/>
      <c r="FB149" s="570"/>
      <c r="FC149" s="570"/>
      <c r="FD149" s="570"/>
      <c r="FE149" s="570"/>
      <c r="FF149" s="570"/>
      <c r="FG149" s="570"/>
      <c r="FH149" s="570"/>
      <c r="FI149" s="570"/>
      <c r="FJ149" s="570"/>
      <c r="FK149" s="570"/>
      <c r="FL149" s="570"/>
      <c r="FM149" s="570"/>
      <c r="FN149" s="570"/>
      <c r="FO149" s="570"/>
      <c r="FP149" s="570"/>
      <c r="FQ149" s="570"/>
      <c r="FR149" s="570"/>
      <c r="FS149" s="570"/>
      <c r="FT149" s="570"/>
      <c r="FU149" s="570"/>
      <c r="FV149" s="570"/>
      <c r="FW149" s="570"/>
      <c r="FX149" s="570"/>
      <c r="FY149" s="571"/>
      <c r="FZ149" s="571"/>
      <c r="GA149" s="571"/>
      <c r="GB149" s="571"/>
      <c r="GC149" s="571"/>
      <c r="GD149" s="571"/>
      <c r="GE149" s="571"/>
      <c r="GF149" s="571"/>
      <c r="GG149" s="571"/>
      <c r="GH149" s="571"/>
      <c r="GI149" s="571"/>
      <c r="GJ149" s="571"/>
      <c r="GK149" s="571"/>
      <c r="GL149" s="571"/>
      <c r="GM149" s="571"/>
      <c r="GN149" s="571"/>
      <c r="GO149" s="571"/>
      <c r="GP149" s="570"/>
      <c r="GQ149" s="570"/>
      <c r="GR149" s="570"/>
      <c r="GS149" s="570"/>
      <c r="GT149" s="570"/>
      <c r="GU149" s="570"/>
      <c r="GV149" s="572"/>
      <c r="GW149" s="570"/>
      <c r="GX149" s="570"/>
      <c r="GY149" s="570"/>
      <c r="GZ149" s="570"/>
      <c r="HA149" s="570"/>
      <c r="HB149" s="570"/>
      <c r="HC149" s="570"/>
      <c r="HD149" s="570"/>
      <c r="HE149" s="570"/>
      <c r="HF149" s="570"/>
      <c r="HG149" s="570"/>
      <c r="HH149" s="570"/>
      <c r="HI149" s="570"/>
      <c r="HJ149" s="570"/>
      <c r="HK149" s="570"/>
      <c r="HL149" s="572"/>
      <c r="HM149" s="572"/>
      <c r="HN149" s="570"/>
      <c r="HO149" s="570"/>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776">
        <v>1308</v>
      </c>
      <c r="G150" s="1777"/>
      <c r="H150" s="1"/>
      <c r="I150" s="1" t="s">
        <v>1712</v>
      </c>
      <c r="J150" s="1"/>
      <c r="K150" s="1789">
        <v>1047</v>
      </c>
      <c r="L150" s="1790"/>
      <c r="M150" s="1"/>
      <c r="N150" s="1"/>
      <c r="O150" s="1"/>
      <c r="P150" s="1"/>
      <c r="T150" s="1754"/>
      <c r="U150" s="1755"/>
      <c r="V150" s="568"/>
      <c r="W150" s="568"/>
      <c r="X150" s="568"/>
      <c r="Y150" s="570"/>
      <c r="Z150" s="570"/>
      <c r="AA150" s="570"/>
      <c r="AB150" s="570"/>
      <c r="AC150" s="570"/>
      <c r="AD150" s="570"/>
      <c r="AE150" s="570"/>
      <c r="AF150" s="570"/>
      <c r="AG150" s="570"/>
      <c r="AH150" s="570"/>
      <c r="AI150" s="570"/>
      <c r="AJ150" s="570"/>
      <c r="AK150" s="570"/>
      <c r="AL150" s="570"/>
      <c r="AM150" s="570"/>
      <c r="AN150" s="570"/>
      <c r="AO150" s="570"/>
      <c r="AP150" s="570"/>
      <c r="AQ150" s="570"/>
      <c r="AR150" s="570"/>
      <c r="AS150" s="570"/>
      <c r="AT150" s="570"/>
      <c r="AU150" s="570"/>
      <c r="AV150" s="570"/>
      <c r="AW150" s="570"/>
      <c r="AX150" s="570"/>
      <c r="AY150" s="570"/>
      <c r="AZ150" s="570"/>
      <c r="BA150" s="570"/>
      <c r="BB150" s="570"/>
      <c r="BC150" s="570"/>
      <c r="BD150" s="570"/>
      <c r="BE150" s="570"/>
      <c r="BF150" s="570"/>
      <c r="BG150" s="570"/>
      <c r="BH150" s="570"/>
      <c r="BI150" s="570"/>
      <c r="BJ150" s="570"/>
      <c r="BK150" s="570"/>
      <c r="BL150" s="570"/>
      <c r="BM150" s="570"/>
      <c r="BN150" s="570"/>
      <c r="BO150" s="570"/>
      <c r="BP150" s="570"/>
      <c r="BQ150" s="570"/>
      <c r="BR150" s="570"/>
      <c r="BS150" s="570"/>
      <c r="BT150" s="570"/>
      <c r="BU150" s="570"/>
      <c r="BV150" s="570"/>
      <c r="BW150" s="570"/>
      <c r="BX150" s="570"/>
      <c r="BY150" s="570"/>
      <c r="BZ150" s="570"/>
      <c r="CA150" s="570"/>
      <c r="CB150" s="570"/>
      <c r="CC150" s="570"/>
      <c r="CD150" s="570"/>
      <c r="CE150" s="570"/>
      <c r="CF150" s="570"/>
      <c r="CG150" s="570"/>
      <c r="CH150" s="570"/>
      <c r="CI150" s="570"/>
      <c r="CJ150" s="570"/>
      <c r="CK150" s="570"/>
      <c r="CL150" s="570"/>
      <c r="CM150" s="570"/>
      <c r="CN150" s="570"/>
      <c r="CO150" s="570"/>
      <c r="CP150" s="570"/>
      <c r="CQ150" s="570"/>
      <c r="CR150" s="570"/>
      <c r="CS150" s="570"/>
      <c r="CT150" s="570"/>
      <c r="CU150" s="570"/>
      <c r="CV150" s="570"/>
      <c r="CW150" s="570"/>
      <c r="CX150" s="570"/>
      <c r="CY150" s="570"/>
      <c r="CZ150" s="570"/>
      <c r="DA150" s="570"/>
      <c r="DB150" s="570"/>
      <c r="DC150" s="570"/>
      <c r="DD150" s="570"/>
      <c r="DE150" s="570"/>
      <c r="DF150" s="570"/>
      <c r="DG150" s="570"/>
      <c r="DH150" s="570"/>
      <c r="DI150" s="570"/>
      <c r="DJ150" s="570"/>
      <c r="DK150" s="570"/>
      <c r="DL150" s="570"/>
      <c r="DM150" s="570"/>
      <c r="DN150" s="570"/>
      <c r="DO150" s="570"/>
      <c r="DP150" s="570"/>
      <c r="DQ150" s="570"/>
      <c r="DR150" s="570"/>
      <c r="DS150" s="570"/>
      <c r="DT150" s="570"/>
      <c r="DU150" s="570"/>
      <c r="DV150" s="570"/>
      <c r="DW150" s="570"/>
      <c r="DX150" s="570"/>
      <c r="DY150" s="570"/>
      <c r="DZ150" s="570"/>
      <c r="EA150" s="570"/>
      <c r="EB150" s="570"/>
      <c r="EC150" s="570"/>
      <c r="ED150" s="570"/>
      <c r="EE150" s="570"/>
      <c r="EF150" s="570"/>
      <c r="EG150" s="570"/>
      <c r="EH150" s="570"/>
      <c r="EI150" s="570"/>
      <c r="EJ150" s="570"/>
      <c r="EK150" s="570"/>
      <c r="EL150" s="570"/>
      <c r="EM150" s="570"/>
      <c r="EN150" s="570"/>
      <c r="EO150" s="570"/>
      <c r="EP150" s="570"/>
      <c r="EQ150" s="570"/>
      <c r="ER150" s="570"/>
      <c r="ES150" s="570"/>
      <c r="ET150" s="570"/>
      <c r="EU150" s="570"/>
      <c r="EV150" s="570"/>
      <c r="EW150" s="570"/>
      <c r="EX150" s="570"/>
      <c r="EY150" s="570"/>
      <c r="EZ150" s="570"/>
      <c r="FA150" s="570"/>
      <c r="FB150" s="570"/>
      <c r="FC150" s="570"/>
      <c r="FD150" s="570"/>
      <c r="FE150" s="570"/>
      <c r="FF150" s="570"/>
      <c r="FG150" s="570"/>
      <c r="FH150" s="570"/>
      <c r="FI150" s="570"/>
      <c r="FJ150" s="570"/>
      <c r="FK150" s="570"/>
      <c r="FL150" s="570"/>
      <c r="FM150" s="570"/>
      <c r="FN150" s="570"/>
      <c r="FO150" s="570"/>
      <c r="FP150" s="570"/>
      <c r="FQ150" s="570"/>
      <c r="FR150" s="570"/>
      <c r="FS150" s="570"/>
      <c r="FT150" s="570"/>
      <c r="FU150" s="570"/>
      <c r="FV150" s="570"/>
      <c r="FW150" s="570"/>
      <c r="FX150" s="570"/>
      <c r="FY150" s="571"/>
      <c r="FZ150" s="571"/>
      <c r="GA150" s="571"/>
      <c r="GB150" s="571"/>
      <c r="GC150" s="571"/>
      <c r="GD150" s="571"/>
      <c r="GE150" s="571"/>
      <c r="GF150" s="571"/>
      <c r="GG150" s="571"/>
      <c r="GH150" s="571"/>
      <c r="GI150" s="571"/>
      <c r="GJ150" s="571"/>
      <c r="GK150" s="571"/>
      <c r="GL150" s="571"/>
      <c r="GM150" s="571"/>
      <c r="GN150" s="571"/>
      <c r="GO150" s="571"/>
      <c r="GP150" s="570"/>
      <c r="GQ150" s="570"/>
      <c r="GR150" s="570"/>
      <c r="GS150" s="570"/>
      <c r="GT150" s="570"/>
      <c r="GU150" s="570"/>
      <c r="GV150" s="572"/>
      <c r="GW150" s="570"/>
      <c r="GX150" s="570"/>
      <c r="GY150" s="570"/>
      <c r="GZ150" s="570"/>
      <c r="HA150" s="570"/>
      <c r="HB150" s="570"/>
      <c r="HC150" s="570"/>
      <c r="HD150" s="570"/>
      <c r="HE150" s="570"/>
      <c r="HF150" s="570"/>
      <c r="HG150" s="570"/>
      <c r="HH150" s="570"/>
      <c r="HI150" s="570"/>
      <c r="HJ150" s="570"/>
      <c r="HK150" s="570"/>
      <c r="HL150" s="572"/>
      <c r="HM150" s="572"/>
      <c r="HN150" s="570"/>
      <c r="HO150" s="570"/>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2491</v>
      </c>
      <c r="C151" s="1"/>
      <c r="D151" s="10"/>
      <c r="E151" s="1"/>
      <c r="F151" s="1776">
        <v>1177</v>
      </c>
      <c r="G151" s="1777"/>
      <c r="H151" s="1"/>
      <c r="I151" s="1779" t="s">
        <v>54</v>
      </c>
      <c r="J151" s="1780"/>
      <c r="K151" s="1787">
        <v>1823</v>
      </c>
      <c r="L151" s="1788"/>
      <c r="M151" s="1"/>
      <c r="N151" s="1408" t="s">
        <v>2628</v>
      </c>
      <c r="O151" s="1409"/>
      <c r="P151" s="1409"/>
      <c r="T151" s="1754"/>
      <c r="U151" s="1755"/>
      <c r="V151" s="568"/>
      <c r="W151" s="568"/>
      <c r="X151" s="568"/>
      <c r="Y151" s="570"/>
      <c r="Z151" s="570"/>
      <c r="AA151" s="570"/>
      <c r="AB151" s="570"/>
      <c r="AC151" s="570"/>
      <c r="AD151" s="570"/>
      <c r="AE151" s="570"/>
      <c r="AF151" s="570"/>
      <c r="AG151" s="570"/>
      <c r="AH151" s="570"/>
      <c r="AI151" s="570"/>
      <c r="AJ151" s="570"/>
      <c r="AK151" s="570"/>
      <c r="AL151" s="570"/>
      <c r="AM151" s="570"/>
      <c r="AN151" s="570"/>
      <c r="AO151" s="570"/>
      <c r="AP151" s="570"/>
      <c r="AQ151" s="570"/>
      <c r="AR151" s="570"/>
      <c r="AS151" s="570"/>
      <c r="AT151" s="570"/>
      <c r="AU151" s="570"/>
      <c r="AV151" s="570"/>
      <c r="AW151" s="570"/>
      <c r="AX151" s="570"/>
      <c r="AY151" s="570"/>
      <c r="AZ151" s="570"/>
      <c r="BA151" s="570"/>
      <c r="BB151" s="570"/>
      <c r="BC151" s="570"/>
      <c r="BD151" s="570"/>
      <c r="BE151" s="570"/>
      <c r="BF151" s="570"/>
      <c r="BG151" s="570"/>
      <c r="BH151" s="570"/>
      <c r="BI151" s="570"/>
      <c r="BJ151" s="570"/>
      <c r="BK151" s="570"/>
      <c r="BL151" s="570"/>
      <c r="BM151" s="570"/>
      <c r="BN151" s="570"/>
      <c r="BO151" s="570"/>
      <c r="BP151" s="570"/>
      <c r="BQ151" s="570"/>
      <c r="BR151" s="570"/>
      <c r="BS151" s="570"/>
      <c r="BT151" s="570"/>
      <c r="BU151" s="570"/>
      <c r="BV151" s="570"/>
      <c r="BW151" s="570"/>
      <c r="BX151" s="570"/>
      <c r="BY151" s="570"/>
      <c r="BZ151" s="570"/>
      <c r="CA151" s="570"/>
      <c r="CB151" s="570"/>
      <c r="CC151" s="570"/>
      <c r="CD151" s="570"/>
      <c r="CE151" s="570"/>
      <c r="CF151" s="570"/>
      <c r="CG151" s="570"/>
      <c r="CH151" s="570"/>
      <c r="CI151" s="570"/>
      <c r="CJ151" s="570"/>
      <c r="CK151" s="570"/>
      <c r="CL151" s="570"/>
      <c r="CM151" s="570"/>
      <c r="CN151" s="570"/>
      <c r="CO151" s="570"/>
      <c r="CP151" s="570"/>
      <c r="CQ151" s="570"/>
      <c r="CR151" s="570"/>
      <c r="CS151" s="570"/>
      <c r="CT151" s="570"/>
      <c r="CU151" s="570"/>
      <c r="CV151" s="570"/>
      <c r="CW151" s="570"/>
      <c r="CX151" s="570"/>
      <c r="CY151" s="570"/>
      <c r="CZ151" s="570"/>
      <c r="DA151" s="570"/>
      <c r="DB151" s="570"/>
      <c r="DC151" s="570"/>
      <c r="DD151" s="570"/>
      <c r="DE151" s="570"/>
      <c r="DF151" s="570"/>
      <c r="DG151" s="570"/>
      <c r="DH151" s="570"/>
      <c r="DI151" s="570"/>
      <c r="DJ151" s="570"/>
      <c r="DK151" s="570"/>
      <c r="DL151" s="570"/>
      <c r="DM151" s="570"/>
      <c r="DN151" s="570"/>
      <c r="DO151" s="570"/>
      <c r="DP151" s="570"/>
      <c r="DQ151" s="570"/>
      <c r="DR151" s="570"/>
      <c r="DS151" s="570"/>
      <c r="DT151" s="570"/>
      <c r="DU151" s="570"/>
      <c r="DV151" s="570"/>
      <c r="DW151" s="570"/>
      <c r="DX151" s="570"/>
      <c r="DY151" s="570"/>
      <c r="DZ151" s="570"/>
      <c r="EA151" s="570"/>
      <c r="EB151" s="570"/>
      <c r="EC151" s="570"/>
      <c r="ED151" s="570"/>
      <c r="EE151" s="570"/>
      <c r="EF151" s="570"/>
      <c r="EG151" s="570"/>
      <c r="EH151" s="570"/>
      <c r="EI151" s="570"/>
      <c r="EJ151" s="570"/>
      <c r="EK151" s="570"/>
      <c r="EL151" s="570"/>
      <c r="EM151" s="570"/>
      <c r="EN151" s="570"/>
      <c r="EO151" s="570"/>
      <c r="EP151" s="570"/>
      <c r="EQ151" s="570"/>
      <c r="ER151" s="570"/>
      <c r="ES151" s="570"/>
      <c r="ET151" s="570"/>
      <c r="EU151" s="570"/>
      <c r="EV151" s="570"/>
      <c r="EW151" s="570"/>
      <c r="EX151" s="570"/>
      <c r="EY151" s="570"/>
      <c r="EZ151" s="570"/>
      <c r="FA151" s="570"/>
      <c r="FB151" s="570"/>
      <c r="FC151" s="570"/>
      <c r="FD151" s="570"/>
      <c r="FE151" s="570"/>
      <c r="FF151" s="570"/>
      <c r="FG151" s="570"/>
      <c r="FH151" s="570"/>
      <c r="FI151" s="570"/>
      <c r="FJ151" s="570"/>
      <c r="FK151" s="570"/>
      <c r="FL151" s="570"/>
      <c r="FM151" s="570"/>
      <c r="FN151" s="570"/>
      <c r="FO151" s="570"/>
      <c r="FP151" s="570"/>
      <c r="FQ151" s="570"/>
      <c r="FR151" s="570"/>
      <c r="FS151" s="570"/>
      <c r="FT151" s="570"/>
      <c r="FU151" s="570"/>
      <c r="FV151" s="570"/>
      <c r="FW151" s="570"/>
      <c r="FX151" s="570"/>
      <c r="FY151" s="571"/>
      <c r="FZ151" s="571"/>
      <c r="GA151" s="571"/>
      <c r="GB151" s="571"/>
      <c r="GC151" s="571"/>
      <c r="GD151" s="571"/>
      <c r="GE151" s="571"/>
      <c r="GF151" s="571"/>
      <c r="GG151" s="571"/>
      <c r="GH151" s="571"/>
      <c r="GI151" s="571"/>
      <c r="GJ151" s="571"/>
      <c r="GK151" s="571"/>
      <c r="GL151" s="571"/>
      <c r="GM151" s="571"/>
      <c r="GN151" s="571"/>
      <c r="GO151" s="571"/>
      <c r="GP151" s="570"/>
      <c r="GQ151" s="570"/>
      <c r="GR151" s="570"/>
      <c r="GS151" s="570"/>
      <c r="GT151" s="570"/>
      <c r="GU151" s="570"/>
      <c r="GV151" s="572"/>
      <c r="GW151" s="570"/>
      <c r="GX151" s="570"/>
      <c r="GY151" s="570"/>
      <c r="GZ151" s="570"/>
      <c r="HA151" s="570"/>
      <c r="HB151" s="570"/>
      <c r="HC151" s="570"/>
      <c r="HD151" s="570"/>
      <c r="HE151" s="570"/>
      <c r="HF151" s="570"/>
      <c r="HG151" s="570"/>
      <c r="HH151" s="570"/>
      <c r="HI151" s="570"/>
      <c r="HJ151" s="570"/>
      <c r="HK151" s="570"/>
      <c r="HL151" s="572"/>
      <c r="HM151" s="572"/>
      <c r="HN151" s="570"/>
      <c r="HO151" s="570"/>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776">
        <v>1757</v>
      </c>
      <c r="G152" s="1777"/>
      <c r="H152" s="1"/>
      <c r="I152" s="11"/>
      <c r="J152" s="13" t="s">
        <v>199</v>
      </c>
      <c r="K152" s="1404">
        <f>SUM(K148:K151)</f>
        <v>8031</v>
      </c>
      <c r="L152" s="1405"/>
      <c r="M152" s="1"/>
      <c r="N152" s="1409"/>
      <c r="O152" s="1409"/>
      <c r="P152" s="1409"/>
      <c r="T152" s="1762"/>
      <c r="U152" s="1763"/>
      <c r="V152" s="568"/>
      <c r="W152" s="568"/>
      <c r="X152" s="568"/>
      <c r="Y152" s="570"/>
      <c r="Z152" s="570"/>
      <c r="AA152" s="570"/>
      <c r="AB152" s="570"/>
      <c r="AC152" s="570"/>
      <c r="AD152" s="570"/>
      <c r="AE152" s="570"/>
      <c r="AF152" s="570"/>
      <c r="AG152" s="570"/>
      <c r="AH152" s="570"/>
      <c r="AI152" s="570"/>
      <c r="AJ152" s="570"/>
      <c r="AK152" s="570"/>
      <c r="AL152" s="570"/>
      <c r="AM152" s="570"/>
      <c r="AN152" s="570"/>
      <c r="AO152" s="570"/>
      <c r="AP152" s="570"/>
      <c r="AQ152" s="570"/>
      <c r="AR152" s="570"/>
      <c r="AS152" s="570"/>
      <c r="AT152" s="570"/>
      <c r="AU152" s="570"/>
      <c r="AV152" s="570"/>
      <c r="AW152" s="570"/>
      <c r="AX152" s="570"/>
      <c r="AY152" s="570"/>
      <c r="AZ152" s="570"/>
      <c r="BA152" s="570"/>
      <c r="BB152" s="570"/>
      <c r="BC152" s="570"/>
      <c r="BD152" s="570"/>
      <c r="BE152" s="570"/>
      <c r="BF152" s="570"/>
      <c r="BG152" s="570"/>
      <c r="BH152" s="570"/>
      <c r="BI152" s="570"/>
      <c r="BJ152" s="570"/>
      <c r="BK152" s="570"/>
      <c r="BL152" s="570"/>
      <c r="BM152" s="570"/>
      <c r="BN152" s="570"/>
      <c r="BO152" s="570"/>
      <c r="BP152" s="570"/>
      <c r="BQ152" s="570"/>
      <c r="BR152" s="570"/>
      <c r="BS152" s="570"/>
      <c r="BT152" s="570"/>
      <c r="BU152" s="570"/>
      <c r="BV152" s="570"/>
      <c r="BW152" s="570"/>
      <c r="BX152" s="570"/>
      <c r="BY152" s="570"/>
      <c r="BZ152" s="570"/>
      <c r="CA152" s="570"/>
      <c r="CB152" s="570"/>
      <c r="CC152" s="570"/>
      <c r="CD152" s="570"/>
      <c r="CE152" s="570"/>
      <c r="CF152" s="570"/>
      <c r="CG152" s="570"/>
      <c r="CH152" s="570"/>
      <c r="CI152" s="570"/>
      <c r="CJ152" s="570"/>
      <c r="CK152" s="570"/>
      <c r="CL152" s="570"/>
      <c r="CM152" s="570"/>
      <c r="CN152" s="570"/>
      <c r="CO152" s="570"/>
      <c r="CP152" s="570"/>
      <c r="CQ152" s="570"/>
      <c r="CR152" s="570"/>
      <c r="CS152" s="570"/>
      <c r="CT152" s="570"/>
      <c r="CU152" s="570"/>
      <c r="CV152" s="570"/>
      <c r="CW152" s="570"/>
      <c r="CX152" s="570"/>
      <c r="CY152" s="570"/>
      <c r="CZ152" s="570"/>
      <c r="DA152" s="570"/>
      <c r="DB152" s="570"/>
      <c r="DC152" s="570"/>
      <c r="DD152" s="570"/>
      <c r="DE152" s="570"/>
      <c r="DF152" s="570"/>
      <c r="DG152" s="570"/>
      <c r="DH152" s="570"/>
      <c r="DI152" s="570"/>
      <c r="DJ152" s="570"/>
      <c r="DK152" s="570"/>
      <c r="DL152" s="570"/>
      <c r="DM152" s="570"/>
      <c r="DN152" s="570"/>
      <c r="DO152" s="570"/>
      <c r="DP152" s="570"/>
      <c r="DQ152" s="570"/>
      <c r="DR152" s="570"/>
      <c r="DS152" s="570"/>
      <c r="DT152" s="570"/>
      <c r="DU152" s="570"/>
      <c r="DV152" s="570"/>
      <c r="DW152" s="570"/>
      <c r="DX152" s="570"/>
      <c r="DY152" s="570"/>
      <c r="DZ152" s="570"/>
      <c r="EA152" s="570"/>
      <c r="EB152" s="570"/>
      <c r="EC152" s="570"/>
      <c r="ED152" s="570"/>
      <c r="EE152" s="570"/>
      <c r="EF152" s="570"/>
      <c r="EG152" s="570"/>
      <c r="EH152" s="570"/>
      <c r="EI152" s="570"/>
      <c r="EJ152" s="570"/>
      <c r="EK152" s="570"/>
      <c r="EL152" s="570"/>
      <c r="EM152" s="570"/>
      <c r="EN152" s="570"/>
      <c r="EO152" s="570"/>
      <c r="EP152" s="570"/>
      <c r="EQ152" s="570"/>
      <c r="ER152" s="570"/>
      <c r="ES152" s="570"/>
      <c r="ET152" s="570"/>
      <c r="EU152" s="570"/>
      <c r="EV152" s="570"/>
      <c r="EW152" s="570"/>
      <c r="EX152" s="570"/>
      <c r="EY152" s="570"/>
      <c r="EZ152" s="570"/>
      <c r="FA152" s="570"/>
      <c r="FB152" s="570"/>
      <c r="FC152" s="570"/>
      <c r="FD152" s="570"/>
      <c r="FE152" s="570"/>
      <c r="FF152" s="570"/>
      <c r="FG152" s="570"/>
      <c r="FH152" s="570"/>
      <c r="FI152" s="570"/>
      <c r="FJ152" s="570"/>
      <c r="FK152" s="570"/>
      <c r="FL152" s="570"/>
      <c r="FM152" s="570"/>
      <c r="FN152" s="570"/>
      <c r="FO152" s="570"/>
      <c r="FP152" s="570"/>
      <c r="FQ152" s="570"/>
      <c r="FR152" s="570"/>
      <c r="FS152" s="570"/>
      <c r="FT152" s="570"/>
      <c r="FU152" s="570"/>
      <c r="FV152" s="570"/>
      <c r="FW152" s="570"/>
      <c r="FX152" s="570"/>
      <c r="FY152" s="571"/>
      <c r="FZ152" s="571"/>
      <c r="GA152" s="571"/>
      <c r="GB152" s="571"/>
      <c r="GC152" s="571"/>
      <c r="GD152" s="571"/>
      <c r="GE152" s="571"/>
      <c r="GF152" s="571"/>
      <c r="GG152" s="571"/>
      <c r="GH152" s="571"/>
      <c r="GI152" s="571"/>
      <c r="GJ152" s="571"/>
      <c r="GK152" s="571"/>
      <c r="GL152" s="571"/>
      <c r="GM152" s="571"/>
      <c r="GN152" s="571"/>
      <c r="GO152" s="571"/>
      <c r="GP152" s="570"/>
      <c r="GQ152" s="570"/>
      <c r="GR152" s="570"/>
      <c r="GS152" s="570"/>
      <c r="GT152" s="570"/>
      <c r="GU152" s="570"/>
      <c r="GV152" s="572"/>
      <c r="GW152" s="570"/>
      <c r="GX152" s="570"/>
      <c r="GY152" s="570"/>
      <c r="GZ152" s="570"/>
      <c r="HA152" s="570"/>
      <c r="HB152" s="570"/>
      <c r="HC152" s="570"/>
      <c r="HD152" s="570"/>
      <c r="HE152" s="570"/>
      <c r="HF152" s="570"/>
      <c r="HG152" s="570"/>
      <c r="HH152" s="570"/>
      <c r="HI152" s="570"/>
      <c r="HJ152" s="570"/>
      <c r="HK152" s="570"/>
      <c r="HL152" s="572"/>
      <c r="HM152" s="572"/>
      <c r="HN152" s="570"/>
      <c r="HO152" s="570"/>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2" t="s">
        <v>54</v>
      </c>
      <c r="C153" s="1783"/>
      <c r="D153" s="1783"/>
      <c r="E153" s="1784"/>
      <c r="F153" s="1785">
        <v>5465</v>
      </c>
      <c r="G153" s="1786"/>
      <c r="H153" s="1"/>
      <c r="I153" s="1"/>
      <c r="J153" s="14"/>
      <c r="K153" s="1"/>
      <c r="L153" s="1"/>
      <c r="M153" s="1"/>
      <c r="N153" s="1"/>
      <c r="O153" s="1"/>
      <c r="P153" s="1"/>
      <c r="T153" s="1746"/>
      <c r="U153" s="1747"/>
      <c r="V153" s="568"/>
      <c r="W153" s="568"/>
      <c r="X153" s="568"/>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570"/>
      <c r="AW153" s="570"/>
      <c r="AX153" s="570"/>
      <c r="AY153" s="570"/>
      <c r="AZ153" s="570"/>
      <c r="BA153" s="570"/>
      <c r="BB153" s="570"/>
      <c r="BC153" s="570"/>
      <c r="BD153" s="570"/>
      <c r="BE153" s="570"/>
      <c r="BF153" s="570"/>
      <c r="BG153" s="570"/>
      <c r="BH153" s="570"/>
      <c r="BI153" s="570"/>
      <c r="BJ153" s="570"/>
      <c r="BK153" s="570"/>
      <c r="BL153" s="570"/>
      <c r="BM153" s="570"/>
      <c r="BN153" s="570"/>
      <c r="BO153" s="570"/>
      <c r="BP153" s="570"/>
      <c r="BQ153" s="570"/>
      <c r="BR153" s="570"/>
      <c r="BS153" s="570"/>
      <c r="BT153" s="570"/>
      <c r="BU153" s="570"/>
      <c r="BV153" s="570"/>
      <c r="BW153" s="570"/>
      <c r="BX153" s="570"/>
      <c r="BY153" s="570"/>
      <c r="BZ153" s="570"/>
      <c r="CA153" s="570"/>
      <c r="CB153" s="570"/>
      <c r="CC153" s="570"/>
      <c r="CD153" s="570"/>
      <c r="CE153" s="570"/>
      <c r="CF153" s="570"/>
      <c r="CG153" s="570"/>
      <c r="CH153" s="570"/>
      <c r="CI153" s="570"/>
      <c r="CJ153" s="570"/>
      <c r="CK153" s="570"/>
      <c r="CL153" s="570"/>
      <c r="CM153" s="570"/>
      <c r="CN153" s="570"/>
      <c r="CO153" s="570"/>
      <c r="CP153" s="570"/>
      <c r="CQ153" s="570"/>
      <c r="CR153" s="570"/>
      <c r="CS153" s="570"/>
      <c r="CT153" s="570"/>
      <c r="CU153" s="570"/>
      <c r="CV153" s="570"/>
      <c r="CW153" s="570"/>
      <c r="CX153" s="570"/>
      <c r="CY153" s="570"/>
      <c r="CZ153" s="570"/>
      <c r="DA153" s="570"/>
      <c r="DB153" s="570"/>
      <c r="DC153" s="570"/>
      <c r="DD153" s="570"/>
      <c r="DE153" s="570"/>
      <c r="DF153" s="570"/>
      <c r="DG153" s="570"/>
      <c r="DH153" s="570"/>
      <c r="DI153" s="570"/>
      <c r="DJ153" s="570"/>
      <c r="DK153" s="570"/>
      <c r="DL153" s="570"/>
      <c r="DM153" s="570"/>
      <c r="DN153" s="570"/>
      <c r="DO153" s="570"/>
      <c r="DP153" s="570"/>
      <c r="DQ153" s="570"/>
      <c r="DR153" s="570"/>
      <c r="DS153" s="570"/>
      <c r="DT153" s="570"/>
      <c r="DU153" s="570"/>
      <c r="DV153" s="570"/>
      <c r="DW153" s="570"/>
      <c r="DX153" s="570"/>
      <c r="DY153" s="570"/>
      <c r="DZ153" s="570"/>
      <c r="EA153" s="570"/>
      <c r="EB153" s="570"/>
      <c r="EC153" s="570"/>
      <c r="ED153" s="570"/>
      <c r="EE153" s="570"/>
      <c r="EF153" s="570"/>
      <c r="EG153" s="570"/>
      <c r="EH153" s="570"/>
      <c r="EI153" s="570"/>
      <c r="EJ153" s="570"/>
      <c r="EK153" s="570"/>
      <c r="EL153" s="570"/>
      <c r="EM153" s="570"/>
      <c r="EN153" s="570"/>
      <c r="EO153" s="570"/>
      <c r="EP153" s="570"/>
      <c r="EQ153" s="570"/>
      <c r="ER153" s="570"/>
      <c r="ES153" s="570"/>
      <c r="ET153" s="570"/>
      <c r="EU153" s="570"/>
      <c r="EV153" s="570"/>
      <c r="EW153" s="570"/>
      <c r="EX153" s="570"/>
      <c r="EY153" s="570"/>
      <c r="EZ153" s="570"/>
      <c r="FA153" s="570"/>
      <c r="FB153" s="570"/>
      <c r="FC153" s="570"/>
      <c r="FD153" s="570"/>
      <c r="FE153" s="570"/>
      <c r="FF153" s="570"/>
      <c r="FG153" s="570"/>
      <c r="FH153" s="570"/>
      <c r="FI153" s="570"/>
      <c r="FJ153" s="570"/>
      <c r="FK153" s="570"/>
      <c r="FL153" s="570"/>
      <c r="FM153" s="570"/>
      <c r="FN153" s="570"/>
      <c r="FO153" s="570"/>
      <c r="FP153" s="570"/>
      <c r="FQ153" s="570"/>
      <c r="FR153" s="570"/>
      <c r="FS153" s="570"/>
      <c r="FT153" s="570"/>
      <c r="FU153" s="570"/>
      <c r="FV153" s="570"/>
      <c r="FW153" s="570"/>
      <c r="FX153" s="570"/>
      <c r="FY153" s="571"/>
      <c r="FZ153" s="571"/>
      <c r="GA153" s="571"/>
      <c r="GB153" s="571"/>
      <c r="GC153" s="571"/>
      <c r="GD153" s="571"/>
      <c r="GE153" s="571"/>
      <c r="GF153" s="571"/>
      <c r="GG153" s="571"/>
      <c r="GH153" s="571"/>
      <c r="GI153" s="571"/>
      <c r="GJ153" s="571"/>
      <c r="GK153" s="571"/>
      <c r="GL153" s="571"/>
      <c r="GM153" s="571"/>
      <c r="GN153" s="571"/>
      <c r="GO153" s="571"/>
      <c r="GP153" s="570"/>
      <c r="GQ153" s="570"/>
      <c r="GR153" s="570"/>
      <c r="GS153" s="570"/>
      <c r="GT153" s="570"/>
      <c r="GU153" s="570"/>
      <c r="GV153" s="572"/>
      <c r="GW153" s="570"/>
      <c r="GX153" s="570"/>
      <c r="GY153" s="570"/>
      <c r="GZ153" s="570"/>
      <c r="HA153" s="570"/>
      <c r="HB153" s="570"/>
      <c r="HC153" s="570"/>
      <c r="HD153" s="570"/>
      <c r="HE153" s="570"/>
      <c r="HF153" s="570"/>
      <c r="HG153" s="570"/>
      <c r="HH153" s="570"/>
      <c r="HI153" s="570"/>
      <c r="HJ153" s="570"/>
      <c r="HK153" s="570"/>
      <c r="HL153" s="572"/>
      <c r="HM153" s="572"/>
      <c r="HN153" s="570"/>
      <c r="HO153" s="570"/>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6">
        <f>SUM(F148:G153)</f>
        <v>15777</v>
      </c>
      <c r="G154" s="1397"/>
      <c r="H154" s="1"/>
      <c r="I154" s="1"/>
      <c r="J154" s="14"/>
      <c r="K154" s="1"/>
      <c r="L154" s="1"/>
      <c r="M154" s="1"/>
      <c r="N154" s="1"/>
      <c r="O154" s="1"/>
      <c r="P154" s="1"/>
      <c r="T154" s="1754"/>
      <c r="U154" s="1755"/>
      <c r="V154" s="568"/>
      <c r="W154" s="568"/>
      <c r="X154" s="568"/>
      <c r="Y154" s="570"/>
      <c r="Z154" s="570"/>
      <c r="AA154" s="570"/>
      <c r="AB154" s="570"/>
      <c r="AC154" s="570"/>
      <c r="AD154" s="570"/>
      <c r="AE154" s="570"/>
      <c r="AF154" s="570"/>
      <c r="AG154" s="570"/>
      <c r="AH154" s="570"/>
      <c r="AI154" s="570"/>
      <c r="AJ154" s="570"/>
      <c r="AK154" s="570"/>
      <c r="AL154" s="570"/>
      <c r="AM154" s="570"/>
      <c r="AN154" s="570"/>
      <c r="AO154" s="570"/>
      <c r="AP154" s="570"/>
      <c r="AQ154" s="570"/>
      <c r="AR154" s="570"/>
      <c r="AS154" s="570"/>
      <c r="AT154" s="570"/>
      <c r="AU154" s="570"/>
      <c r="AV154" s="570"/>
      <c r="AW154" s="570"/>
      <c r="AX154" s="570"/>
      <c r="AY154" s="570"/>
      <c r="AZ154" s="570"/>
      <c r="BA154" s="570"/>
      <c r="BB154" s="570"/>
      <c r="BC154" s="570"/>
      <c r="BD154" s="570"/>
      <c r="BE154" s="570"/>
      <c r="BF154" s="570"/>
      <c r="BG154" s="570"/>
      <c r="BH154" s="570"/>
      <c r="BI154" s="570"/>
      <c r="BJ154" s="570"/>
      <c r="BK154" s="570"/>
      <c r="BL154" s="570"/>
      <c r="BM154" s="570"/>
      <c r="BN154" s="570"/>
      <c r="BO154" s="570"/>
      <c r="BP154" s="570"/>
      <c r="BQ154" s="570"/>
      <c r="BR154" s="570"/>
      <c r="BS154" s="570"/>
      <c r="BT154" s="570"/>
      <c r="BU154" s="570"/>
      <c r="BV154" s="570"/>
      <c r="BW154" s="570"/>
      <c r="BX154" s="570"/>
      <c r="BY154" s="570"/>
      <c r="BZ154" s="570"/>
      <c r="CA154" s="570"/>
      <c r="CB154" s="570"/>
      <c r="CC154" s="570"/>
      <c r="CD154" s="570"/>
      <c r="CE154" s="570"/>
      <c r="CF154" s="570"/>
      <c r="CG154" s="570"/>
      <c r="CH154" s="570"/>
      <c r="CI154" s="570"/>
      <c r="CJ154" s="570"/>
      <c r="CK154" s="570"/>
      <c r="CL154" s="570"/>
      <c r="CM154" s="570"/>
      <c r="CN154" s="570"/>
      <c r="CO154" s="570"/>
      <c r="CP154" s="570"/>
      <c r="CQ154" s="570"/>
      <c r="CR154" s="570"/>
      <c r="CS154" s="570"/>
      <c r="CT154" s="570"/>
      <c r="CU154" s="570"/>
      <c r="CV154" s="570"/>
      <c r="CW154" s="570"/>
      <c r="CX154" s="570"/>
      <c r="CY154" s="570"/>
      <c r="CZ154" s="570"/>
      <c r="DA154" s="570"/>
      <c r="DB154" s="570"/>
      <c r="DC154" s="570"/>
      <c r="DD154" s="570"/>
      <c r="DE154" s="570"/>
      <c r="DF154" s="570"/>
      <c r="DG154" s="570"/>
      <c r="DH154" s="570"/>
      <c r="DI154" s="570"/>
      <c r="DJ154" s="570"/>
      <c r="DK154" s="570"/>
      <c r="DL154" s="570"/>
      <c r="DM154" s="570"/>
      <c r="DN154" s="570"/>
      <c r="DO154" s="570"/>
      <c r="DP154" s="570"/>
      <c r="DQ154" s="570"/>
      <c r="DR154" s="570"/>
      <c r="DS154" s="570"/>
      <c r="DT154" s="570"/>
      <c r="DU154" s="570"/>
      <c r="DV154" s="570"/>
      <c r="DW154" s="570"/>
      <c r="DX154" s="570"/>
      <c r="DY154" s="570"/>
      <c r="DZ154" s="570"/>
      <c r="EA154" s="570"/>
      <c r="EB154" s="570"/>
      <c r="EC154" s="570"/>
      <c r="ED154" s="570"/>
      <c r="EE154" s="570"/>
      <c r="EF154" s="570"/>
      <c r="EG154" s="570"/>
      <c r="EH154" s="570"/>
      <c r="EI154" s="570"/>
      <c r="EJ154" s="570"/>
      <c r="EK154" s="570"/>
      <c r="EL154" s="570"/>
      <c r="EM154" s="570"/>
      <c r="EN154" s="570"/>
      <c r="EO154" s="570"/>
      <c r="EP154" s="570"/>
      <c r="EQ154" s="570"/>
      <c r="ER154" s="570"/>
      <c r="ES154" s="570"/>
      <c r="ET154" s="570"/>
      <c r="EU154" s="570"/>
      <c r="EV154" s="570"/>
      <c r="EW154" s="570"/>
      <c r="EX154" s="570"/>
      <c r="EY154" s="570"/>
      <c r="EZ154" s="570"/>
      <c r="FA154" s="570"/>
      <c r="FB154" s="570"/>
      <c r="FC154" s="570"/>
      <c r="FD154" s="570"/>
      <c r="FE154" s="570"/>
      <c r="FF154" s="570"/>
      <c r="FG154" s="570"/>
      <c r="FH154" s="570"/>
      <c r="FI154" s="570"/>
      <c r="FJ154" s="570"/>
      <c r="FK154" s="570"/>
      <c r="FL154" s="570"/>
      <c r="FM154" s="570"/>
      <c r="FN154" s="570"/>
      <c r="FO154" s="570"/>
      <c r="FP154" s="570"/>
      <c r="FQ154" s="570"/>
      <c r="FR154" s="570"/>
      <c r="FS154" s="570"/>
      <c r="FT154" s="570"/>
      <c r="FU154" s="570"/>
      <c r="FV154" s="570"/>
      <c r="FW154" s="570"/>
      <c r="FX154" s="570"/>
      <c r="FY154" s="571"/>
      <c r="FZ154" s="571"/>
      <c r="GA154" s="571"/>
      <c r="GB154" s="571"/>
      <c r="GC154" s="571"/>
      <c r="GD154" s="571"/>
      <c r="GE154" s="571"/>
      <c r="GF154" s="571"/>
      <c r="GG154" s="571"/>
      <c r="GH154" s="571"/>
      <c r="GI154" s="571"/>
      <c r="GJ154" s="571"/>
      <c r="GK154" s="571"/>
      <c r="GL154" s="571"/>
      <c r="GM154" s="571"/>
      <c r="GN154" s="571"/>
      <c r="GO154" s="571"/>
      <c r="GP154" s="570"/>
      <c r="GQ154" s="570"/>
      <c r="GR154" s="570"/>
      <c r="GS154" s="570"/>
      <c r="GT154" s="570"/>
      <c r="GU154" s="570"/>
      <c r="GV154" s="572"/>
      <c r="GW154" s="570"/>
      <c r="GX154" s="570"/>
      <c r="GY154" s="570"/>
      <c r="GZ154" s="570"/>
      <c r="HA154" s="570"/>
      <c r="HB154" s="570"/>
      <c r="HC154" s="570"/>
      <c r="HD154" s="570"/>
      <c r="HE154" s="570"/>
      <c r="HF154" s="570"/>
      <c r="HG154" s="570"/>
      <c r="HH154" s="570"/>
      <c r="HI154" s="570"/>
      <c r="HJ154" s="570"/>
      <c r="HK154" s="570"/>
      <c r="HL154" s="572"/>
      <c r="HM154" s="572"/>
      <c r="HN154" s="570"/>
      <c r="HO154" s="570"/>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4"/>
      <c r="U155" s="1755"/>
      <c r="V155" s="570"/>
      <c r="W155" s="570"/>
      <c r="X155" s="570"/>
      <c r="Y155" s="570"/>
      <c r="Z155" s="570"/>
      <c r="AA155" s="570"/>
      <c r="AB155" s="570"/>
      <c r="AC155" s="570"/>
      <c r="AD155" s="570"/>
      <c r="AE155" s="570"/>
      <c r="AF155" s="570"/>
      <c r="AG155" s="570"/>
      <c r="AH155" s="570"/>
      <c r="AI155" s="570"/>
      <c r="AJ155" s="570"/>
      <c r="AK155" s="570"/>
      <c r="AL155" s="570"/>
      <c r="AM155" s="570"/>
      <c r="AN155" s="570"/>
      <c r="AO155" s="570"/>
      <c r="AP155" s="570"/>
      <c r="AQ155" s="570"/>
      <c r="AR155" s="570"/>
      <c r="AS155" s="570"/>
      <c r="AT155" s="570"/>
      <c r="AU155" s="570"/>
      <c r="AV155" s="570"/>
      <c r="AW155" s="570"/>
      <c r="AX155" s="570"/>
      <c r="AY155" s="570"/>
      <c r="AZ155" s="570"/>
      <c r="BA155" s="570"/>
      <c r="BB155" s="570"/>
      <c r="BC155" s="570"/>
      <c r="BD155" s="570"/>
      <c r="BE155" s="570"/>
      <c r="BF155" s="570"/>
      <c r="BG155" s="570"/>
      <c r="BH155" s="570"/>
      <c r="BI155" s="570"/>
      <c r="BJ155" s="570"/>
      <c r="BK155" s="570"/>
      <c r="BL155" s="570"/>
      <c r="BM155" s="570"/>
      <c r="BN155" s="570"/>
      <c r="BO155" s="570"/>
      <c r="BP155" s="570"/>
      <c r="BQ155" s="570"/>
      <c r="BR155" s="570"/>
      <c r="BS155" s="570"/>
      <c r="BT155" s="570"/>
      <c r="BU155" s="570"/>
      <c r="BV155" s="570"/>
      <c r="BW155" s="570"/>
      <c r="BX155" s="570"/>
      <c r="BY155" s="570"/>
      <c r="BZ155" s="570"/>
      <c r="CA155" s="570"/>
      <c r="CB155" s="570"/>
      <c r="CC155" s="570"/>
      <c r="CD155" s="570"/>
      <c r="CE155" s="570"/>
      <c r="CF155" s="570"/>
      <c r="CG155" s="570"/>
      <c r="CH155" s="570"/>
      <c r="CI155" s="570"/>
      <c r="CJ155" s="570"/>
      <c r="CK155" s="570"/>
      <c r="CL155" s="570"/>
      <c r="CM155" s="570"/>
      <c r="CN155" s="570"/>
      <c r="CO155" s="570"/>
      <c r="CP155" s="570"/>
      <c r="CQ155" s="570"/>
      <c r="CR155" s="570"/>
      <c r="CS155" s="570"/>
      <c r="CT155" s="570"/>
      <c r="CU155" s="570"/>
      <c r="CV155" s="570"/>
      <c r="CW155" s="570"/>
      <c r="CX155" s="570"/>
      <c r="CY155" s="570"/>
      <c r="CZ155" s="570"/>
      <c r="DA155" s="570"/>
      <c r="DB155" s="570"/>
      <c r="DC155" s="570"/>
      <c r="DD155" s="570"/>
      <c r="DE155" s="570"/>
      <c r="DF155" s="570"/>
      <c r="DG155" s="570"/>
      <c r="DH155" s="570"/>
      <c r="DI155" s="570"/>
      <c r="DJ155" s="570"/>
      <c r="DK155" s="570"/>
      <c r="DL155" s="570"/>
      <c r="DM155" s="570"/>
      <c r="DN155" s="570"/>
      <c r="DO155" s="570"/>
      <c r="DP155" s="570"/>
      <c r="DQ155" s="570"/>
      <c r="DR155" s="570"/>
      <c r="DS155" s="570"/>
      <c r="DT155" s="570"/>
      <c r="DU155" s="570"/>
      <c r="DV155" s="570"/>
      <c r="DW155" s="570"/>
      <c r="DX155" s="570"/>
      <c r="DY155" s="570"/>
      <c r="DZ155" s="570"/>
      <c r="EA155" s="570"/>
      <c r="EB155" s="570"/>
      <c r="EC155" s="570"/>
      <c r="ED155" s="570"/>
      <c r="EE155" s="570"/>
      <c r="EF155" s="570"/>
      <c r="EG155" s="570"/>
      <c r="EH155" s="570"/>
      <c r="EI155" s="570"/>
      <c r="EJ155" s="570"/>
      <c r="EK155" s="570"/>
      <c r="EL155" s="570"/>
      <c r="EM155" s="570"/>
      <c r="EN155" s="570"/>
      <c r="EO155" s="570"/>
      <c r="EP155" s="570"/>
      <c r="EQ155" s="570"/>
      <c r="ER155" s="570"/>
      <c r="ES155" s="570"/>
      <c r="ET155" s="570"/>
      <c r="EU155" s="570"/>
      <c r="EV155" s="570"/>
      <c r="EW155" s="570"/>
      <c r="EX155" s="570"/>
      <c r="EY155" s="570"/>
      <c r="EZ155" s="570"/>
      <c r="FA155" s="570"/>
      <c r="FB155" s="570"/>
      <c r="FC155" s="570"/>
      <c r="FD155" s="570"/>
      <c r="FE155" s="570"/>
      <c r="FF155" s="570"/>
      <c r="FG155" s="570"/>
      <c r="FH155" s="570"/>
      <c r="FI155" s="570"/>
      <c r="FJ155" s="570"/>
      <c r="FK155" s="570"/>
      <c r="FL155" s="570"/>
      <c r="FM155" s="570"/>
      <c r="FN155" s="570"/>
      <c r="FO155" s="570"/>
      <c r="FP155" s="570"/>
      <c r="FQ155" s="570"/>
      <c r="FR155" s="570"/>
      <c r="FS155" s="570"/>
      <c r="FT155" s="570"/>
      <c r="FU155" s="570"/>
      <c r="FV155" s="570"/>
      <c r="FW155" s="570"/>
      <c r="FX155" s="570"/>
      <c r="FY155" s="571"/>
      <c r="FZ155" s="571"/>
      <c r="GA155" s="571"/>
      <c r="GB155" s="571"/>
      <c r="GC155" s="571"/>
      <c r="GD155" s="571"/>
      <c r="GE155" s="571"/>
      <c r="GF155" s="571"/>
      <c r="GG155" s="571"/>
      <c r="GH155" s="571"/>
      <c r="GI155" s="571"/>
      <c r="GJ155" s="571"/>
      <c r="GK155" s="571"/>
      <c r="GL155" s="571"/>
      <c r="GM155" s="571"/>
      <c r="GN155" s="571"/>
      <c r="GO155" s="571"/>
      <c r="GP155" s="570"/>
      <c r="GQ155" s="570"/>
      <c r="GR155" s="570"/>
      <c r="GS155" s="570"/>
      <c r="GT155" s="570"/>
      <c r="GU155" s="570"/>
      <c r="GV155" s="572"/>
      <c r="GW155" s="570"/>
      <c r="GX155" s="570"/>
      <c r="GY155" s="570"/>
      <c r="GZ155" s="570"/>
      <c r="HA155" s="570"/>
      <c r="HB155" s="570"/>
      <c r="HC155" s="570"/>
      <c r="HD155" s="570"/>
      <c r="HE155" s="570"/>
      <c r="HF155" s="570"/>
      <c r="HG155" s="570"/>
      <c r="HH155" s="570"/>
      <c r="HI155" s="570"/>
      <c r="HJ155" s="570"/>
      <c r="HK155" s="570"/>
      <c r="HL155" s="572"/>
      <c r="HM155" s="572"/>
      <c r="HN155" s="570"/>
      <c r="HO155" s="570"/>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37" t="s">
        <v>3137</v>
      </c>
      <c r="K156" s="1"/>
      <c r="L156" s="1"/>
      <c r="M156" s="1"/>
      <c r="N156" s="11" t="s">
        <v>2326</v>
      </c>
      <c r="O156" s="6"/>
      <c r="P156" s="6"/>
      <c r="T156" s="1754"/>
      <c r="U156" s="1755"/>
      <c r="V156" s="568"/>
      <c r="W156" s="568"/>
      <c r="X156" s="568"/>
      <c r="Y156" s="570"/>
      <c r="Z156" s="570"/>
      <c r="AA156" s="570"/>
      <c r="AB156" s="570"/>
      <c r="AC156" s="570"/>
      <c r="AD156" s="570"/>
      <c r="AE156" s="570"/>
      <c r="AF156" s="570"/>
      <c r="AG156" s="570"/>
      <c r="AH156" s="570"/>
      <c r="AI156" s="570"/>
      <c r="AJ156" s="570"/>
      <c r="AK156" s="570"/>
      <c r="AL156" s="570"/>
      <c r="AM156" s="570"/>
      <c r="AN156" s="570"/>
      <c r="AO156" s="570"/>
      <c r="AP156" s="570"/>
      <c r="AQ156" s="570"/>
      <c r="AR156" s="570"/>
      <c r="AS156" s="570"/>
      <c r="AT156" s="570"/>
      <c r="AU156" s="570"/>
      <c r="AV156" s="570"/>
      <c r="AW156" s="570"/>
      <c r="AX156" s="570"/>
      <c r="AY156" s="570"/>
      <c r="AZ156" s="570"/>
      <c r="BA156" s="570"/>
      <c r="BB156" s="570"/>
      <c r="BC156" s="570"/>
      <c r="BD156" s="570"/>
      <c r="BE156" s="570"/>
      <c r="BF156" s="570"/>
      <c r="BG156" s="570"/>
      <c r="BH156" s="570"/>
      <c r="BI156" s="570"/>
      <c r="BJ156" s="570"/>
      <c r="BK156" s="570"/>
      <c r="BL156" s="570"/>
      <c r="BM156" s="570"/>
      <c r="BN156" s="570"/>
      <c r="BO156" s="570"/>
      <c r="BP156" s="570"/>
      <c r="BQ156" s="570"/>
      <c r="BR156" s="570"/>
      <c r="BS156" s="570"/>
      <c r="BT156" s="570"/>
      <c r="BU156" s="570"/>
      <c r="BV156" s="570"/>
      <c r="BW156" s="570"/>
      <c r="BX156" s="570"/>
      <c r="BY156" s="570"/>
      <c r="BZ156" s="570"/>
      <c r="CA156" s="570"/>
      <c r="CB156" s="570"/>
      <c r="CC156" s="570"/>
      <c r="CD156" s="570"/>
      <c r="CE156" s="570"/>
      <c r="CF156" s="570"/>
      <c r="CG156" s="570"/>
      <c r="CH156" s="570"/>
      <c r="CI156" s="570"/>
      <c r="CJ156" s="570"/>
      <c r="CK156" s="570"/>
      <c r="CL156" s="570"/>
      <c r="CM156" s="570"/>
      <c r="CN156" s="570"/>
      <c r="CO156" s="570"/>
      <c r="CP156" s="570"/>
      <c r="CQ156" s="570"/>
      <c r="CR156" s="570"/>
      <c r="CS156" s="570"/>
      <c r="CT156" s="570"/>
      <c r="CU156" s="570"/>
      <c r="CV156" s="570"/>
      <c r="CW156" s="570"/>
      <c r="CX156" s="570"/>
      <c r="CY156" s="570"/>
      <c r="CZ156" s="570"/>
      <c r="DA156" s="570"/>
      <c r="DB156" s="570"/>
      <c r="DC156" s="570"/>
      <c r="DD156" s="570"/>
      <c r="DE156" s="570"/>
      <c r="DF156" s="570"/>
      <c r="DG156" s="570"/>
      <c r="DH156" s="570"/>
      <c r="DI156" s="570"/>
      <c r="DJ156" s="570"/>
      <c r="DK156" s="570"/>
      <c r="DL156" s="570"/>
      <c r="DM156" s="570"/>
      <c r="DN156" s="570"/>
      <c r="DO156" s="570"/>
      <c r="DP156" s="570"/>
      <c r="DQ156" s="570"/>
      <c r="DR156" s="570"/>
      <c r="DS156" s="570"/>
      <c r="DT156" s="570"/>
      <c r="DU156" s="570"/>
      <c r="DV156" s="570"/>
      <c r="DW156" s="570"/>
      <c r="DX156" s="570"/>
      <c r="DY156" s="570"/>
      <c r="DZ156" s="570"/>
      <c r="EA156" s="570"/>
      <c r="EB156" s="570"/>
      <c r="EC156" s="570"/>
      <c r="ED156" s="570"/>
      <c r="EE156" s="570"/>
      <c r="EF156" s="570"/>
      <c r="EG156" s="570"/>
      <c r="EH156" s="570"/>
      <c r="EI156" s="570"/>
      <c r="EJ156" s="570"/>
      <c r="EK156" s="570"/>
      <c r="EL156" s="570"/>
      <c r="EM156" s="570"/>
      <c r="EN156" s="570"/>
      <c r="EO156" s="570"/>
      <c r="EP156" s="570"/>
      <c r="EQ156" s="570"/>
      <c r="ER156" s="570"/>
      <c r="ES156" s="570"/>
      <c r="ET156" s="570"/>
      <c r="EU156" s="570"/>
      <c r="EV156" s="570"/>
      <c r="EW156" s="570"/>
      <c r="EX156" s="570"/>
      <c r="EY156" s="570"/>
      <c r="EZ156" s="570"/>
      <c r="FA156" s="570"/>
      <c r="FB156" s="570"/>
      <c r="FC156" s="570"/>
      <c r="FD156" s="570"/>
      <c r="FE156" s="570"/>
      <c r="FF156" s="570"/>
      <c r="FG156" s="570"/>
      <c r="FH156" s="570"/>
      <c r="FI156" s="570"/>
      <c r="FJ156" s="570"/>
      <c r="FK156" s="570"/>
      <c r="FL156" s="570"/>
      <c r="FM156" s="570"/>
      <c r="FN156" s="570"/>
      <c r="FO156" s="570"/>
      <c r="FP156" s="570"/>
      <c r="FQ156" s="570"/>
      <c r="FR156" s="570"/>
      <c r="FS156" s="570"/>
      <c r="FT156" s="570"/>
      <c r="FU156" s="570"/>
      <c r="FV156" s="570"/>
      <c r="FW156" s="570"/>
      <c r="FX156" s="570"/>
      <c r="FY156" s="571"/>
      <c r="FZ156" s="571"/>
      <c r="GA156" s="571"/>
      <c r="GB156" s="571"/>
      <c r="GC156" s="571"/>
      <c r="GD156" s="571"/>
      <c r="GE156" s="571"/>
      <c r="GF156" s="571"/>
      <c r="GG156" s="571"/>
      <c r="GH156" s="571"/>
      <c r="GI156" s="571"/>
      <c r="GJ156" s="571"/>
      <c r="GK156" s="571"/>
      <c r="GL156" s="571"/>
      <c r="GM156" s="571"/>
      <c r="GN156" s="571"/>
      <c r="GO156" s="571"/>
      <c r="GP156" s="570"/>
      <c r="GQ156" s="570"/>
      <c r="GR156" s="570"/>
      <c r="GS156" s="570"/>
      <c r="GT156" s="570"/>
      <c r="GU156" s="570"/>
      <c r="GV156" s="572"/>
      <c r="GW156" s="570"/>
      <c r="GX156" s="570"/>
      <c r="GY156" s="570"/>
      <c r="GZ156" s="570"/>
      <c r="HA156" s="570"/>
      <c r="HB156" s="570"/>
      <c r="HC156" s="570"/>
      <c r="HD156" s="570"/>
      <c r="HE156" s="570"/>
      <c r="HF156" s="570"/>
      <c r="HG156" s="570"/>
      <c r="HH156" s="570"/>
      <c r="HI156" s="570"/>
      <c r="HJ156" s="570"/>
      <c r="HK156" s="570"/>
      <c r="HL156" s="572"/>
      <c r="HM156" s="572"/>
      <c r="HN156" s="570"/>
      <c r="HO156" s="570"/>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791">
        <v>11250</v>
      </c>
      <c r="G157" s="1792"/>
      <c r="H157" s="1"/>
      <c r="I157" s="1" t="s">
        <v>1455</v>
      </c>
      <c r="J157" s="657">
        <f>K157/12/M62</f>
        <v>21.264444444444443</v>
      </c>
      <c r="K157" s="1789">
        <v>19138</v>
      </c>
      <c r="L157" s="1790"/>
      <c r="M157" s="1"/>
      <c r="N157" s="481">
        <f>+P157/M62</f>
        <v>4253.5733333333337</v>
      </c>
      <c r="O157" s="30" t="s">
        <v>3141</v>
      </c>
      <c r="P157" s="496">
        <f>F145+F154+F165+K143+K152+K162+P144+P147</f>
        <v>319018</v>
      </c>
      <c r="T157" s="1754"/>
      <c r="U157" s="1755"/>
      <c r="V157" s="568"/>
      <c r="W157" s="568"/>
      <c r="X157" s="568"/>
      <c r="Y157" s="570"/>
      <c r="Z157" s="570"/>
      <c r="AA157" s="570"/>
      <c r="AB157" s="570"/>
      <c r="AC157" s="570"/>
      <c r="AD157" s="570"/>
      <c r="AE157" s="570"/>
      <c r="AF157" s="570"/>
      <c r="AG157" s="570"/>
      <c r="AH157" s="570"/>
      <c r="AI157" s="570"/>
      <c r="AJ157" s="570"/>
      <c r="AK157" s="570"/>
      <c r="AL157" s="570"/>
      <c r="AM157" s="570"/>
      <c r="AN157" s="570"/>
      <c r="AO157" s="570"/>
      <c r="AP157" s="570"/>
      <c r="AQ157" s="570"/>
      <c r="AR157" s="570"/>
      <c r="AS157" s="570"/>
      <c r="AT157" s="570"/>
      <c r="AU157" s="570"/>
      <c r="AV157" s="570"/>
      <c r="AW157" s="570"/>
      <c r="AX157" s="570"/>
      <c r="AY157" s="570"/>
      <c r="AZ157" s="570"/>
      <c r="BA157" s="570"/>
      <c r="BB157" s="570"/>
      <c r="BC157" s="570"/>
      <c r="BD157" s="570"/>
      <c r="BE157" s="570"/>
      <c r="BF157" s="570"/>
      <c r="BG157" s="570"/>
      <c r="BH157" s="570"/>
      <c r="BI157" s="570"/>
      <c r="BJ157" s="570"/>
      <c r="BK157" s="570"/>
      <c r="BL157" s="570"/>
      <c r="BM157" s="570"/>
      <c r="BN157" s="570"/>
      <c r="BO157" s="570"/>
      <c r="BP157" s="570"/>
      <c r="BQ157" s="570"/>
      <c r="BR157" s="570"/>
      <c r="BS157" s="570"/>
      <c r="BT157" s="570"/>
      <c r="BU157" s="570"/>
      <c r="BV157" s="570"/>
      <c r="BW157" s="570"/>
      <c r="BX157" s="570"/>
      <c r="BY157" s="570"/>
      <c r="BZ157" s="570"/>
      <c r="CA157" s="570"/>
      <c r="CB157" s="570"/>
      <c r="CC157" s="570"/>
      <c r="CD157" s="570"/>
      <c r="CE157" s="570"/>
      <c r="CF157" s="570"/>
      <c r="CG157" s="570"/>
      <c r="CH157" s="570"/>
      <c r="CI157" s="570"/>
      <c r="CJ157" s="570"/>
      <c r="CK157" s="570"/>
      <c r="CL157" s="570"/>
      <c r="CM157" s="570"/>
      <c r="CN157" s="570"/>
      <c r="CO157" s="570"/>
      <c r="CP157" s="570"/>
      <c r="CQ157" s="570"/>
      <c r="CR157" s="570"/>
      <c r="CS157" s="570"/>
      <c r="CT157" s="570"/>
      <c r="CU157" s="570"/>
      <c r="CV157" s="570"/>
      <c r="CW157" s="570"/>
      <c r="CX157" s="570"/>
      <c r="CY157" s="570"/>
      <c r="CZ157" s="570"/>
      <c r="DA157" s="570"/>
      <c r="DB157" s="570"/>
      <c r="DC157" s="570"/>
      <c r="DD157" s="570"/>
      <c r="DE157" s="570"/>
      <c r="DF157" s="570"/>
      <c r="DG157" s="570"/>
      <c r="DH157" s="570"/>
      <c r="DI157" s="570"/>
      <c r="DJ157" s="570"/>
      <c r="DK157" s="570"/>
      <c r="DL157" s="570"/>
      <c r="DM157" s="570"/>
      <c r="DN157" s="570"/>
      <c r="DO157" s="570"/>
      <c r="DP157" s="570"/>
      <c r="DQ157" s="570"/>
      <c r="DR157" s="570"/>
      <c r="DS157" s="570"/>
      <c r="DT157" s="570"/>
      <c r="DU157" s="570"/>
      <c r="DV157" s="570"/>
      <c r="DW157" s="570"/>
      <c r="DX157" s="570"/>
      <c r="DY157" s="570"/>
      <c r="DZ157" s="570"/>
      <c r="EA157" s="570"/>
      <c r="EB157" s="570"/>
      <c r="EC157" s="570"/>
      <c r="ED157" s="570"/>
      <c r="EE157" s="570"/>
      <c r="EF157" s="570"/>
      <c r="EG157" s="570"/>
      <c r="EH157" s="570"/>
      <c r="EI157" s="570"/>
      <c r="EJ157" s="570"/>
      <c r="EK157" s="570"/>
      <c r="EL157" s="570"/>
      <c r="EM157" s="570"/>
      <c r="EN157" s="570"/>
      <c r="EO157" s="570"/>
      <c r="EP157" s="570"/>
      <c r="EQ157" s="570"/>
      <c r="ER157" s="570"/>
      <c r="ES157" s="570"/>
      <c r="ET157" s="570"/>
      <c r="EU157" s="570"/>
      <c r="EV157" s="570"/>
      <c r="EW157" s="570"/>
      <c r="EX157" s="570"/>
      <c r="EY157" s="570"/>
      <c r="EZ157" s="570"/>
      <c r="FA157" s="570"/>
      <c r="FB157" s="570"/>
      <c r="FC157" s="570"/>
      <c r="FD157" s="570"/>
      <c r="FE157" s="570"/>
      <c r="FF157" s="570"/>
      <c r="FG157" s="570"/>
      <c r="FH157" s="570"/>
      <c r="FI157" s="570"/>
      <c r="FJ157" s="570"/>
      <c r="FK157" s="570"/>
      <c r="FL157" s="570"/>
      <c r="FM157" s="570"/>
      <c r="FN157" s="570"/>
      <c r="FO157" s="570"/>
      <c r="FP157" s="570"/>
      <c r="FQ157" s="570"/>
      <c r="FR157" s="570"/>
      <c r="FS157" s="570"/>
      <c r="FT157" s="570"/>
      <c r="FU157" s="570"/>
      <c r="FV157" s="570"/>
      <c r="FW157" s="570"/>
      <c r="FX157" s="570"/>
      <c r="FY157" s="571"/>
      <c r="FZ157" s="571"/>
      <c r="GA157" s="571"/>
      <c r="GB157" s="571"/>
      <c r="GC157" s="571"/>
      <c r="GD157" s="571"/>
      <c r="GE157" s="571"/>
      <c r="GF157" s="571"/>
      <c r="GG157" s="571"/>
      <c r="GH157" s="571"/>
      <c r="GI157" s="571"/>
      <c r="GJ157" s="571"/>
      <c r="GK157" s="571"/>
      <c r="GL157" s="571"/>
      <c r="GM157" s="571"/>
      <c r="GN157" s="571"/>
      <c r="GO157" s="571"/>
      <c r="GP157" s="570"/>
      <c r="GQ157" s="570"/>
      <c r="GR157" s="570"/>
      <c r="GS157" s="570"/>
      <c r="GT157" s="570"/>
      <c r="GU157" s="570"/>
      <c r="GV157" s="572"/>
      <c r="GW157" s="570"/>
      <c r="GX157" s="570"/>
      <c r="GY157" s="570"/>
      <c r="GZ157" s="570"/>
      <c r="HA157" s="570"/>
      <c r="HB157" s="570"/>
      <c r="HC157" s="570"/>
      <c r="HD157" s="570"/>
      <c r="HE157" s="570"/>
      <c r="HF157" s="570"/>
      <c r="HG157" s="570"/>
      <c r="HH157" s="570"/>
      <c r="HI157" s="570"/>
      <c r="HJ157" s="570"/>
      <c r="HK157" s="570"/>
      <c r="HL157" s="572"/>
      <c r="HM157" s="572"/>
      <c r="HN157" s="570"/>
      <c r="HO157" s="570"/>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791">
        <v>11250</v>
      </c>
      <c r="G158" s="1792"/>
      <c r="H158" s="1"/>
      <c r="I158" s="1" t="s">
        <v>1456</v>
      </c>
      <c r="J158" s="657">
        <f>K158/12/M62</f>
        <v>0</v>
      </c>
      <c r="K158" s="1789"/>
      <c r="L158" s="1790"/>
      <c r="M158" s="1"/>
      <c r="N158" s="1"/>
      <c r="O158" s="1"/>
      <c r="P158" s="1"/>
      <c r="T158" s="1754"/>
      <c r="U158" s="1755"/>
      <c r="V158" s="568"/>
      <c r="W158" s="568"/>
      <c r="X158" s="568"/>
      <c r="Y158" s="570"/>
      <c r="Z158" s="570"/>
      <c r="AA158" s="570"/>
      <c r="AB158" s="570"/>
      <c r="AC158" s="570"/>
      <c r="AD158" s="570"/>
      <c r="AE158" s="570"/>
      <c r="AF158" s="570"/>
      <c r="AG158" s="570"/>
      <c r="AH158" s="570"/>
      <c r="AI158" s="570"/>
      <c r="AJ158" s="570"/>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570"/>
      <c r="BJ158" s="570"/>
      <c r="BK158" s="570"/>
      <c r="BL158" s="570"/>
      <c r="BM158" s="570"/>
      <c r="BN158" s="570"/>
      <c r="BO158" s="570"/>
      <c r="BP158" s="570"/>
      <c r="BQ158" s="570"/>
      <c r="BR158" s="570"/>
      <c r="BS158" s="570"/>
      <c r="BT158" s="570"/>
      <c r="BU158" s="570"/>
      <c r="BV158" s="570"/>
      <c r="BW158" s="570"/>
      <c r="BX158" s="570"/>
      <c r="BY158" s="570"/>
      <c r="BZ158" s="570"/>
      <c r="CA158" s="570"/>
      <c r="CB158" s="570"/>
      <c r="CC158" s="570"/>
      <c r="CD158" s="570"/>
      <c r="CE158" s="570"/>
      <c r="CF158" s="570"/>
      <c r="CG158" s="570"/>
      <c r="CH158" s="570"/>
      <c r="CI158" s="570"/>
      <c r="CJ158" s="570"/>
      <c r="CK158" s="570"/>
      <c r="CL158" s="570"/>
      <c r="CM158" s="570"/>
      <c r="CN158" s="570"/>
      <c r="CO158" s="570"/>
      <c r="CP158" s="570"/>
      <c r="CQ158" s="570"/>
      <c r="CR158" s="570"/>
      <c r="CS158" s="570"/>
      <c r="CT158" s="570"/>
      <c r="CU158" s="570"/>
      <c r="CV158" s="570"/>
      <c r="CW158" s="570"/>
      <c r="CX158" s="570"/>
      <c r="CY158" s="570"/>
      <c r="CZ158" s="570"/>
      <c r="DA158" s="570"/>
      <c r="DB158" s="570"/>
      <c r="DC158" s="570"/>
      <c r="DD158" s="570"/>
      <c r="DE158" s="570"/>
      <c r="DF158" s="570"/>
      <c r="DG158" s="570"/>
      <c r="DH158" s="570"/>
      <c r="DI158" s="570"/>
      <c r="DJ158" s="570"/>
      <c r="DK158" s="570"/>
      <c r="DL158" s="570"/>
      <c r="DM158" s="570"/>
      <c r="DN158" s="570"/>
      <c r="DO158" s="570"/>
      <c r="DP158" s="570"/>
      <c r="DQ158" s="570"/>
      <c r="DR158" s="570"/>
      <c r="DS158" s="570"/>
      <c r="DT158" s="570"/>
      <c r="DU158" s="570"/>
      <c r="DV158" s="570"/>
      <c r="DW158" s="570"/>
      <c r="DX158" s="570"/>
      <c r="DY158" s="570"/>
      <c r="DZ158" s="570"/>
      <c r="EA158" s="570"/>
      <c r="EB158" s="570"/>
      <c r="EC158" s="570"/>
      <c r="ED158" s="570"/>
      <c r="EE158" s="570"/>
      <c r="EF158" s="570"/>
      <c r="EG158" s="570"/>
      <c r="EH158" s="570"/>
      <c r="EI158" s="570"/>
      <c r="EJ158" s="570"/>
      <c r="EK158" s="570"/>
      <c r="EL158" s="570"/>
      <c r="EM158" s="570"/>
      <c r="EN158" s="570"/>
      <c r="EO158" s="570"/>
      <c r="EP158" s="570"/>
      <c r="EQ158" s="570"/>
      <c r="ER158" s="570"/>
      <c r="ES158" s="570"/>
      <c r="ET158" s="570"/>
      <c r="EU158" s="570"/>
      <c r="EV158" s="570"/>
      <c r="EW158" s="570"/>
      <c r="EX158" s="570"/>
      <c r="EY158" s="570"/>
      <c r="EZ158" s="570"/>
      <c r="FA158" s="570"/>
      <c r="FB158" s="570"/>
      <c r="FC158" s="570"/>
      <c r="FD158" s="570"/>
      <c r="FE158" s="570"/>
      <c r="FF158" s="570"/>
      <c r="FG158" s="570"/>
      <c r="FH158" s="570"/>
      <c r="FI158" s="570"/>
      <c r="FJ158" s="570"/>
      <c r="FK158" s="570"/>
      <c r="FL158" s="570"/>
      <c r="FM158" s="570"/>
      <c r="FN158" s="570"/>
      <c r="FO158" s="570"/>
      <c r="FP158" s="570"/>
      <c r="FQ158" s="570"/>
      <c r="FR158" s="570"/>
      <c r="FS158" s="570"/>
      <c r="FT158" s="570"/>
      <c r="FU158" s="570"/>
      <c r="FV158" s="570"/>
      <c r="FW158" s="570"/>
      <c r="FX158" s="570"/>
      <c r="FY158" s="571"/>
      <c r="FZ158" s="571"/>
      <c r="GA158" s="571"/>
      <c r="GB158" s="571"/>
      <c r="GC158" s="571"/>
      <c r="GD158" s="571"/>
      <c r="GE158" s="571"/>
      <c r="GF158" s="571"/>
      <c r="GG158" s="571"/>
      <c r="GH158" s="571"/>
      <c r="GI158" s="571"/>
      <c r="GJ158" s="571"/>
      <c r="GK158" s="571"/>
      <c r="GL158" s="571"/>
      <c r="GM158" s="571"/>
      <c r="GN158" s="571"/>
      <c r="GO158" s="571"/>
      <c r="GP158" s="570"/>
      <c r="GQ158" s="570"/>
      <c r="GR158" s="570"/>
      <c r="GS158" s="570"/>
      <c r="GT158" s="570"/>
      <c r="GU158" s="570"/>
      <c r="GV158" s="572"/>
      <c r="GW158" s="570"/>
      <c r="GX158" s="570"/>
      <c r="GY158" s="570"/>
      <c r="GZ158" s="570"/>
      <c r="HA158" s="570"/>
      <c r="HB158" s="570"/>
      <c r="HC158" s="570"/>
      <c r="HD158" s="570"/>
      <c r="HE158" s="570"/>
      <c r="HF158" s="570"/>
      <c r="HG158" s="570"/>
      <c r="HH158" s="570"/>
      <c r="HI158" s="570"/>
      <c r="HJ158" s="570"/>
      <c r="HK158" s="570"/>
      <c r="HL158" s="572"/>
      <c r="HM158" s="572"/>
      <c r="HN158" s="570"/>
      <c r="HO158" s="570"/>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791">
        <v>33488</v>
      </c>
      <c r="G159" s="1792"/>
      <c r="H159" s="1"/>
      <c r="I159" s="1" t="s">
        <v>2505</v>
      </c>
      <c r="J159" s="657">
        <f>K159/12/M62</f>
        <v>47.636666666666663</v>
      </c>
      <c r="K159" s="1789">
        <v>42873</v>
      </c>
      <c r="L159" s="1790"/>
      <c r="M159" s="1"/>
      <c r="N159" s="1"/>
      <c r="O159" s="1"/>
      <c r="P159" s="1"/>
      <c r="T159" s="1754"/>
      <c r="U159" s="1755"/>
      <c r="V159" s="568"/>
      <c r="W159" s="568"/>
      <c r="X159" s="568"/>
      <c r="Y159" s="570"/>
      <c r="Z159" s="570"/>
      <c r="AA159" s="570"/>
      <c r="AB159" s="570"/>
      <c r="AC159" s="570"/>
      <c r="AD159" s="570"/>
      <c r="AE159" s="570"/>
      <c r="AF159" s="570"/>
      <c r="AG159" s="570"/>
      <c r="AH159" s="570"/>
      <c r="AI159" s="570"/>
      <c r="AJ159" s="570"/>
      <c r="AK159" s="570"/>
      <c r="AL159" s="570"/>
      <c r="AM159" s="570"/>
      <c r="AN159" s="570"/>
      <c r="AO159" s="570"/>
      <c r="AP159" s="570"/>
      <c r="AQ159" s="570"/>
      <c r="AR159" s="570"/>
      <c r="AS159" s="570"/>
      <c r="AT159" s="570"/>
      <c r="AU159" s="570"/>
      <c r="AV159" s="570"/>
      <c r="AW159" s="570"/>
      <c r="AX159" s="570"/>
      <c r="AY159" s="570"/>
      <c r="AZ159" s="570"/>
      <c r="BA159" s="570"/>
      <c r="BB159" s="570"/>
      <c r="BC159" s="570"/>
      <c r="BD159" s="570"/>
      <c r="BE159" s="570"/>
      <c r="BF159" s="570"/>
      <c r="BG159" s="570"/>
      <c r="BH159" s="570"/>
      <c r="BI159" s="570"/>
      <c r="BJ159" s="570"/>
      <c r="BK159" s="570"/>
      <c r="BL159" s="570"/>
      <c r="BM159" s="570"/>
      <c r="BN159" s="570"/>
      <c r="BO159" s="570"/>
      <c r="BP159" s="570"/>
      <c r="BQ159" s="570"/>
      <c r="BR159" s="570"/>
      <c r="BS159" s="570"/>
      <c r="BT159" s="570"/>
      <c r="BU159" s="570"/>
      <c r="BV159" s="570"/>
      <c r="BW159" s="570"/>
      <c r="BX159" s="570"/>
      <c r="BY159" s="570"/>
      <c r="BZ159" s="570"/>
      <c r="CA159" s="570"/>
      <c r="CB159" s="570"/>
      <c r="CC159" s="570"/>
      <c r="CD159" s="570"/>
      <c r="CE159" s="570"/>
      <c r="CF159" s="570"/>
      <c r="CG159" s="570"/>
      <c r="CH159" s="570"/>
      <c r="CI159" s="570"/>
      <c r="CJ159" s="570"/>
      <c r="CK159" s="570"/>
      <c r="CL159" s="570"/>
      <c r="CM159" s="570"/>
      <c r="CN159" s="570"/>
      <c r="CO159" s="570"/>
      <c r="CP159" s="570"/>
      <c r="CQ159" s="570"/>
      <c r="CR159" s="570"/>
      <c r="CS159" s="570"/>
      <c r="CT159" s="570"/>
      <c r="CU159" s="570"/>
      <c r="CV159" s="570"/>
      <c r="CW159" s="570"/>
      <c r="CX159" s="570"/>
      <c r="CY159" s="570"/>
      <c r="CZ159" s="570"/>
      <c r="DA159" s="570"/>
      <c r="DB159" s="570"/>
      <c r="DC159" s="570"/>
      <c r="DD159" s="570"/>
      <c r="DE159" s="570"/>
      <c r="DF159" s="570"/>
      <c r="DG159" s="570"/>
      <c r="DH159" s="570"/>
      <c r="DI159" s="570"/>
      <c r="DJ159" s="570"/>
      <c r="DK159" s="570"/>
      <c r="DL159" s="570"/>
      <c r="DM159" s="570"/>
      <c r="DN159" s="570"/>
      <c r="DO159" s="570"/>
      <c r="DP159" s="570"/>
      <c r="DQ159" s="570"/>
      <c r="DR159" s="570"/>
      <c r="DS159" s="570"/>
      <c r="DT159" s="570"/>
      <c r="DU159" s="570"/>
      <c r="DV159" s="570"/>
      <c r="DW159" s="570"/>
      <c r="DX159" s="570"/>
      <c r="DY159" s="570"/>
      <c r="DZ159" s="570"/>
      <c r="EA159" s="570"/>
      <c r="EB159" s="570"/>
      <c r="EC159" s="570"/>
      <c r="ED159" s="570"/>
      <c r="EE159" s="570"/>
      <c r="EF159" s="570"/>
      <c r="EG159" s="570"/>
      <c r="EH159" s="570"/>
      <c r="EI159" s="570"/>
      <c r="EJ159" s="570"/>
      <c r="EK159" s="570"/>
      <c r="EL159" s="570"/>
      <c r="EM159" s="570"/>
      <c r="EN159" s="570"/>
      <c r="EO159" s="570"/>
      <c r="EP159" s="570"/>
      <c r="EQ159" s="570"/>
      <c r="ER159" s="570"/>
      <c r="ES159" s="570"/>
      <c r="ET159" s="570"/>
      <c r="EU159" s="570"/>
      <c r="EV159" s="570"/>
      <c r="EW159" s="570"/>
      <c r="EX159" s="570"/>
      <c r="EY159" s="570"/>
      <c r="EZ159" s="570"/>
      <c r="FA159" s="570"/>
      <c r="FB159" s="570"/>
      <c r="FC159" s="570"/>
      <c r="FD159" s="570"/>
      <c r="FE159" s="570"/>
      <c r="FF159" s="570"/>
      <c r="FG159" s="570"/>
      <c r="FH159" s="570"/>
      <c r="FI159" s="570"/>
      <c r="FJ159" s="570"/>
      <c r="FK159" s="570"/>
      <c r="FL159" s="570"/>
      <c r="FM159" s="570"/>
      <c r="FN159" s="570"/>
      <c r="FO159" s="570"/>
      <c r="FP159" s="570"/>
      <c r="FQ159" s="570"/>
      <c r="FR159" s="570"/>
      <c r="FS159" s="570"/>
      <c r="FT159" s="570"/>
      <c r="FU159" s="570"/>
      <c r="FV159" s="570"/>
      <c r="FW159" s="570"/>
      <c r="FX159" s="570"/>
      <c r="FY159" s="571"/>
      <c r="FZ159" s="571"/>
      <c r="GA159" s="571"/>
      <c r="GB159" s="571"/>
      <c r="GC159" s="571"/>
      <c r="GD159" s="571"/>
      <c r="GE159" s="571"/>
      <c r="GF159" s="571"/>
      <c r="GG159" s="571"/>
      <c r="GH159" s="571"/>
      <c r="GI159" s="571"/>
      <c r="GJ159" s="571"/>
      <c r="GK159" s="571"/>
      <c r="GL159" s="571"/>
      <c r="GM159" s="571"/>
      <c r="GN159" s="571"/>
      <c r="GO159" s="571"/>
      <c r="GP159" s="570"/>
      <c r="GQ159" s="570"/>
      <c r="GR159" s="570"/>
      <c r="GS159" s="570"/>
      <c r="GT159" s="570"/>
      <c r="GU159" s="570"/>
      <c r="GV159" s="572"/>
      <c r="GW159" s="570"/>
      <c r="GX159" s="570"/>
      <c r="GY159" s="570"/>
      <c r="GZ159" s="570"/>
      <c r="HA159" s="570"/>
      <c r="HB159" s="570"/>
      <c r="HC159" s="570"/>
      <c r="HD159" s="570"/>
      <c r="HE159" s="570"/>
      <c r="HF159" s="570"/>
      <c r="HG159" s="570"/>
      <c r="HH159" s="570"/>
      <c r="HI159" s="570"/>
      <c r="HJ159" s="570"/>
      <c r="HK159" s="570"/>
      <c r="HL159" s="572"/>
      <c r="HM159" s="572"/>
      <c r="HN159" s="570"/>
      <c r="HO159" s="570"/>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776">
        <v>10526</v>
      </c>
      <c r="G160" s="1777"/>
      <c r="H160" s="1"/>
      <c r="I160" s="1" t="s">
        <v>1458</v>
      </c>
      <c r="J160" s="1"/>
      <c r="K160" s="1789"/>
      <c r="L160" s="1790"/>
      <c r="M160" s="1"/>
      <c r="N160" s="11" t="s">
        <v>1322</v>
      </c>
      <c r="O160" s="11"/>
      <c r="P160" s="497">
        <f>P161*M62</f>
        <v>31500</v>
      </c>
      <c r="T160" s="1754"/>
      <c r="U160" s="1755"/>
      <c r="V160" s="568"/>
      <c r="W160" s="568"/>
      <c r="X160" s="568"/>
      <c r="Y160" s="570"/>
      <c r="Z160" s="570"/>
      <c r="AA160" s="570"/>
      <c r="AB160" s="570"/>
      <c r="AC160" s="570"/>
      <c r="AD160" s="570"/>
      <c r="AE160" s="570"/>
      <c r="AF160" s="570"/>
      <c r="AG160" s="570"/>
      <c r="AH160" s="570"/>
      <c r="AI160" s="570"/>
      <c r="AJ160" s="570"/>
      <c r="AK160" s="570"/>
      <c r="AL160" s="570"/>
      <c r="AM160" s="570"/>
      <c r="AN160" s="570"/>
      <c r="AO160" s="570"/>
      <c r="AP160" s="570"/>
      <c r="AQ160" s="570"/>
      <c r="AR160" s="570"/>
      <c r="AS160" s="570"/>
      <c r="AT160" s="570"/>
      <c r="AU160" s="570"/>
      <c r="AV160" s="570"/>
      <c r="AW160" s="570"/>
      <c r="AX160" s="570"/>
      <c r="AY160" s="570"/>
      <c r="AZ160" s="570"/>
      <c r="BA160" s="570"/>
      <c r="BB160" s="570"/>
      <c r="BC160" s="570"/>
      <c r="BD160" s="570"/>
      <c r="BE160" s="570"/>
      <c r="BF160" s="570"/>
      <c r="BG160" s="570"/>
      <c r="BH160" s="570"/>
      <c r="BI160" s="570"/>
      <c r="BJ160" s="570"/>
      <c r="BK160" s="570"/>
      <c r="BL160" s="570"/>
      <c r="BM160" s="570"/>
      <c r="BN160" s="570"/>
      <c r="BO160" s="570"/>
      <c r="BP160" s="570"/>
      <c r="BQ160" s="570"/>
      <c r="BR160" s="570"/>
      <c r="BS160" s="570"/>
      <c r="BT160" s="570"/>
      <c r="BU160" s="570"/>
      <c r="BV160" s="570"/>
      <c r="BW160" s="570"/>
      <c r="BX160" s="570"/>
      <c r="BY160" s="570"/>
      <c r="BZ160" s="570"/>
      <c r="CA160" s="570"/>
      <c r="CB160" s="570"/>
      <c r="CC160" s="570"/>
      <c r="CD160" s="570"/>
      <c r="CE160" s="570"/>
      <c r="CF160" s="570"/>
      <c r="CG160" s="570"/>
      <c r="CH160" s="570"/>
      <c r="CI160" s="570"/>
      <c r="CJ160" s="570"/>
      <c r="CK160" s="570"/>
      <c r="CL160" s="570"/>
      <c r="CM160" s="570"/>
      <c r="CN160" s="570"/>
      <c r="CO160" s="570"/>
      <c r="CP160" s="570"/>
      <c r="CQ160" s="570"/>
      <c r="CR160" s="570"/>
      <c r="CS160" s="570"/>
      <c r="CT160" s="570"/>
      <c r="CU160" s="570"/>
      <c r="CV160" s="570"/>
      <c r="CW160" s="570"/>
      <c r="CX160" s="570"/>
      <c r="CY160" s="570"/>
      <c r="CZ160" s="570"/>
      <c r="DA160" s="570"/>
      <c r="DB160" s="570"/>
      <c r="DC160" s="570"/>
      <c r="DD160" s="570"/>
      <c r="DE160" s="570"/>
      <c r="DF160" s="570"/>
      <c r="DG160" s="570"/>
      <c r="DH160" s="570"/>
      <c r="DI160" s="570"/>
      <c r="DJ160" s="570"/>
      <c r="DK160" s="570"/>
      <c r="DL160" s="570"/>
      <c r="DM160" s="570"/>
      <c r="DN160" s="570"/>
      <c r="DO160" s="570"/>
      <c r="DP160" s="570"/>
      <c r="DQ160" s="570"/>
      <c r="DR160" s="570"/>
      <c r="DS160" s="570"/>
      <c r="DT160" s="570"/>
      <c r="DU160" s="570"/>
      <c r="DV160" s="570"/>
      <c r="DW160" s="570"/>
      <c r="DX160" s="570"/>
      <c r="DY160" s="570"/>
      <c r="DZ160" s="570"/>
      <c r="EA160" s="570"/>
      <c r="EB160" s="570"/>
      <c r="EC160" s="570"/>
      <c r="ED160" s="570"/>
      <c r="EE160" s="570"/>
      <c r="EF160" s="570"/>
      <c r="EG160" s="570"/>
      <c r="EH160" s="570"/>
      <c r="EI160" s="570"/>
      <c r="EJ160" s="570"/>
      <c r="EK160" s="570"/>
      <c r="EL160" s="570"/>
      <c r="EM160" s="570"/>
      <c r="EN160" s="570"/>
      <c r="EO160" s="570"/>
      <c r="EP160" s="570"/>
      <c r="EQ160" s="570"/>
      <c r="ER160" s="570"/>
      <c r="ES160" s="570"/>
      <c r="ET160" s="570"/>
      <c r="EU160" s="570"/>
      <c r="EV160" s="570"/>
      <c r="EW160" s="570"/>
      <c r="EX160" s="570"/>
      <c r="EY160" s="570"/>
      <c r="EZ160" s="570"/>
      <c r="FA160" s="570"/>
      <c r="FB160" s="570"/>
      <c r="FC160" s="570"/>
      <c r="FD160" s="570"/>
      <c r="FE160" s="570"/>
      <c r="FF160" s="570"/>
      <c r="FG160" s="570"/>
      <c r="FH160" s="570"/>
      <c r="FI160" s="570"/>
      <c r="FJ160" s="570"/>
      <c r="FK160" s="570"/>
      <c r="FL160" s="570"/>
      <c r="FM160" s="570"/>
      <c r="FN160" s="570"/>
      <c r="FO160" s="570"/>
      <c r="FP160" s="570"/>
      <c r="FQ160" s="570"/>
      <c r="FR160" s="570"/>
      <c r="FS160" s="570"/>
      <c r="FT160" s="570"/>
      <c r="FU160" s="570"/>
      <c r="FV160" s="570"/>
      <c r="FW160" s="570"/>
      <c r="FX160" s="570"/>
      <c r="FY160" s="571"/>
      <c r="FZ160" s="571"/>
      <c r="GA160" s="571"/>
      <c r="GB160" s="571"/>
      <c r="GC160" s="571"/>
      <c r="GD160" s="571"/>
      <c r="GE160" s="571"/>
      <c r="GF160" s="571"/>
      <c r="GG160" s="571"/>
      <c r="GH160" s="571"/>
      <c r="GI160" s="571"/>
      <c r="GJ160" s="571"/>
      <c r="GK160" s="571"/>
      <c r="GL160" s="571"/>
      <c r="GM160" s="571"/>
      <c r="GN160" s="571"/>
      <c r="GO160" s="571"/>
      <c r="GP160" s="570"/>
      <c r="GQ160" s="570"/>
      <c r="GR160" s="570"/>
      <c r="GS160" s="570"/>
      <c r="GT160" s="570"/>
      <c r="GU160" s="570"/>
      <c r="GV160" s="572"/>
      <c r="GW160" s="570"/>
      <c r="GX160" s="570"/>
      <c r="GY160" s="570"/>
      <c r="GZ160" s="570"/>
      <c r="HA160" s="570"/>
      <c r="HB160" s="570"/>
      <c r="HC160" s="570"/>
      <c r="HD160" s="570"/>
      <c r="HE160" s="570"/>
      <c r="HF160" s="570"/>
      <c r="HG160" s="570"/>
      <c r="HH160" s="570"/>
      <c r="HI160" s="570"/>
      <c r="HJ160" s="570"/>
      <c r="HK160" s="570"/>
      <c r="HL160" s="572"/>
      <c r="HM160" s="572"/>
      <c r="HN160" s="570"/>
      <c r="HO160" s="570"/>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776"/>
      <c r="G161" s="1777"/>
      <c r="H161" s="1"/>
      <c r="I161" s="1779" t="s">
        <v>54</v>
      </c>
      <c r="J161" s="1780"/>
      <c r="K161" s="1787"/>
      <c r="L161" s="1788"/>
      <c r="M161" s="1"/>
      <c r="N161" s="30" t="s">
        <v>489</v>
      </c>
      <c r="O161" s="1"/>
      <c r="P161" s="1793">
        <v>420</v>
      </c>
      <c r="T161" s="1754"/>
      <c r="U161" s="1755"/>
      <c r="V161" s="568"/>
      <c r="W161" s="568"/>
      <c r="X161" s="568"/>
      <c r="Y161" s="570"/>
      <c r="Z161" s="570"/>
      <c r="AA161" s="570"/>
      <c r="AB161" s="570"/>
      <c r="AC161" s="570"/>
      <c r="AD161" s="570"/>
      <c r="AE161" s="570"/>
      <c r="AF161" s="570"/>
      <c r="AG161" s="570"/>
      <c r="AH161" s="570"/>
      <c r="AI161" s="570"/>
      <c r="AJ161" s="570"/>
      <c r="AK161" s="570"/>
      <c r="AL161" s="570"/>
      <c r="AM161" s="570"/>
      <c r="AN161" s="570"/>
      <c r="AO161" s="570"/>
      <c r="AP161" s="570"/>
      <c r="AQ161" s="570"/>
      <c r="AR161" s="570"/>
      <c r="AS161" s="570"/>
      <c r="AT161" s="570"/>
      <c r="AU161" s="570"/>
      <c r="AV161" s="570"/>
      <c r="AW161" s="570"/>
      <c r="AX161" s="570"/>
      <c r="AY161" s="570"/>
      <c r="AZ161" s="570"/>
      <c r="BA161" s="570"/>
      <c r="BB161" s="570"/>
      <c r="BC161" s="570"/>
      <c r="BD161" s="570"/>
      <c r="BE161" s="570"/>
      <c r="BF161" s="570"/>
      <c r="BG161" s="570"/>
      <c r="BH161" s="570"/>
      <c r="BI161" s="570"/>
      <c r="BJ161" s="570"/>
      <c r="BK161" s="570"/>
      <c r="BL161" s="570"/>
      <c r="BM161" s="570"/>
      <c r="BN161" s="570"/>
      <c r="BO161" s="570"/>
      <c r="BP161" s="570"/>
      <c r="BQ161" s="570"/>
      <c r="BR161" s="570"/>
      <c r="BS161" s="570"/>
      <c r="BT161" s="570"/>
      <c r="BU161" s="570"/>
      <c r="BV161" s="570"/>
      <c r="BW161" s="570"/>
      <c r="BX161" s="570"/>
      <c r="BY161" s="570"/>
      <c r="BZ161" s="570"/>
      <c r="CA161" s="570"/>
      <c r="CB161" s="570"/>
      <c r="CC161" s="570"/>
      <c r="CD161" s="570"/>
      <c r="CE161" s="570"/>
      <c r="CF161" s="570"/>
      <c r="CG161" s="570"/>
      <c r="CH161" s="570"/>
      <c r="CI161" s="570"/>
      <c r="CJ161" s="570"/>
      <c r="CK161" s="570"/>
      <c r="CL161" s="570"/>
      <c r="CM161" s="570"/>
      <c r="CN161" s="570"/>
      <c r="CO161" s="570"/>
      <c r="CP161" s="570"/>
      <c r="CQ161" s="570"/>
      <c r="CR161" s="570"/>
      <c r="CS161" s="570"/>
      <c r="CT161" s="570"/>
      <c r="CU161" s="570"/>
      <c r="CV161" s="570"/>
      <c r="CW161" s="570"/>
      <c r="CX161" s="570"/>
      <c r="CY161" s="570"/>
      <c r="CZ161" s="570"/>
      <c r="DA161" s="570"/>
      <c r="DB161" s="570"/>
      <c r="DC161" s="570"/>
      <c r="DD161" s="570"/>
      <c r="DE161" s="570"/>
      <c r="DF161" s="570"/>
      <c r="DG161" s="570"/>
      <c r="DH161" s="570"/>
      <c r="DI161" s="570"/>
      <c r="DJ161" s="570"/>
      <c r="DK161" s="570"/>
      <c r="DL161" s="570"/>
      <c r="DM161" s="570"/>
      <c r="DN161" s="570"/>
      <c r="DO161" s="570"/>
      <c r="DP161" s="570"/>
      <c r="DQ161" s="570"/>
      <c r="DR161" s="570"/>
      <c r="DS161" s="570"/>
      <c r="DT161" s="570"/>
      <c r="DU161" s="570"/>
      <c r="DV161" s="570"/>
      <c r="DW161" s="570"/>
      <c r="DX161" s="570"/>
      <c r="DY161" s="570"/>
      <c r="DZ161" s="570"/>
      <c r="EA161" s="570"/>
      <c r="EB161" s="570"/>
      <c r="EC161" s="570"/>
      <c r="ED161" s="570"/>
      <c r="EE161" s="570"/>
      <c r="EF161" s="570"/>
      <c r="EG161" s="570"/>
      <c r="EH161" s="570"/>
      <c r="EI161" s="570"/>
      <c r="EJ161" s="570"/>
      <c r="EK161" s="570"/>
      <c r="EL161" s="570"/>
      <c r="EM161" s="570"/>
      <c r="EN161" s="570"/>
      <c r="EO161" s="570"/>
      <c r="EP161" s="570"/>
      <c r="EQ161" s="570"/>
      <c r="ER161" s="570"/>
      <c r="ES161" s="570"/>
      <c r="ET161" s="570"/>
      <c r="EU161" s="570"/>
      <c r="EV161" s="570"/>
      <c r="EW161" s="570"/>
      <c r="EX161" s="570"/>
      <c r="EY161" s="570"/>
      <c r="EZ161" s="570"/>
      <c r="FA161" s="570"/>
      <c r="FB161" s="570"/>
      <c r="FC161" s="570"/>
      <c r="FD161" s="570"/>
      <c r="FE161" s="570"/>
      <c r="FF161" s="570"/>
      <c r="FG161" s="570"/>
      <c r="FH161" s="570"/>
      <c r="FI161" s="570"/>
      <c r="FJ161" s="570"/>
      <c r="FK161" s="570"/>
      <c r="FL161" s="570"/>
      <c r="FM161" s="570"/>
      <c r="FN161" s="570"/>
      <c r="FO161" s="570"/>
      <c r="FP161" s="570"/>
      <c r="FQ161" s="570"/>
      <c r="FR161" s="570"/>
      <c r="FS161" s="570"/>
      <c r="FT161" s="570"/>
      <c r="FU161" s="570"/>
      <c r="FV161" s="570"/>
      <c r="FW161" s="570"/>
      <c r="FX161" s="570"/>
      <c r="FY161" s="571"/>
      <c r="FZ161" s="571"/>
      <c r="GA161" s="571"/>
      <c r="GB161" s="571"/>
      <c r="GC161" s="571"/>
      <c r="GD161" s="571"/>
      <c r="GE161" s="571"/>
      <c r="GF161" s="571"/>
      <c r="GG161" s="571"/>
      <c r="GH161" s="571"/>
      <c r="GI161" s="571"/>
      <c r="GJ161" s="571"/>
      <c r="GK161" s="571"/>
      <c r="GL161" s="571"/>
      <c r="GM161" s="571"/>
      <c r="GN161" s="571"/>
      <c r="GO161" s="571"/>
      <c r="GP161" s="570"/>
      <c r="GQ161" s="570"/>
      <c r="GR161" s="570"/>
      <c r="GS161" s="570"/>
      <c r="GT161" s="570"/>
      <c r="GU161" s="570"/>
      <c r="GV161" s="572"/>
      <c r="GW161" s="570"/>
      <c r="GX161" s="570"/>
      <c r="GY161" s="570"/>
      <c r="GZ161" s="570"/>
      <c r="HA161" s="570"/>
      <c r="HB161" s="570"/>
      <c r="HC161" s="570"/>
      <c r="HD161" s="570"/>
      <c r="HE161" s="570"/>
      <c r="HF161" s="570"/>
      <c r="HG161" s="570"/>
      <c r="HH161" s="570"/>
      <c r="HI161" s="570"/>
      <c r="HJ161" s="570"/>
      <c r="HK161" s="570"/>
      <c r="HL161" s="572"/>
      <c r="HM161" s="572"/>
      <c r="HN161" s="570"/>
      <c r="HO161" s="570"/>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776"/>
      <c r="G162" s="1777"/>
      <c r="H162" s="1"/>
      <c r="I162" s="1"/>
      <c r="J162" s="13" t="s">
        <v>199</v>
      </c>
      <c r="K162" s="1404">
        <f>SUM(K157:K161)</f>
        <v>62011</v>
      </c>
      <c r="L162" s="1405"/>
      <c r="M162" s="1"/>
      <c r="N162" s="1"/>
      <c r="O162" s="1"/>
      <c r="T162" s="1754"/>
      <c r="U162" s="1755"/>
      <c r="V162" s="568"/>
      <c r="W162" s="568"/>
      <c r="X162" s="568"/>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c r="BN162" s="570"/>
      <c r="BO162" s="570"/>
      <c r="BP162" s="570"/>
      <c r="BQ162" s="570"/>
      <c r="BR162" s="570"/>
      <c r="BS162" s="570"/>
      <c r="BT162" s="570"/>
      <c r="BU162" s="570"/>
      <c r="BV162" s="570"/>
      <c r="BW162" s="570"/>
      <c r="BX162" s="570"/>
      <c r="BY162" s="570"/>
      <c r="BZ162" s="570"/>
      <c r="CA162" s="570"/>
      <c r="CB162" s="570"/>
      <c r="CC162" s="570"/>
      <c r="CD162" s="570"/>
      <c r="CE162" s="570"/>
      <c r="CF162" s="570"/>
      <c r="CG162" s="570"/>
      <c r="CH162" s="570"/>
      <c r="CI162" s="570"/>
      <c r="CJ162" s="570"/>
      <c r="CK162" s="570"/>
      <c r="CL162" s="570"/>
      <c r="CM162" s="570"/>
      <c r="CN162" s="570"/>
      <c r="CO162" s="570"/>
      <c r="CP162" s="570"/>
      <c r="CQ162" s="570"/>
      <c r="CR162" s="570"/>
      <c r="CS162" s="570"/>
      <c r="CT162" s="570"/>
      <c r="CU162" s="570"/>
      <c r="CV162" s="570"/>
      <c r="CW162" s="570"/>
      <c r="CX162" s="570"/>
      <c r="CY162" s="570"/>
      <c r="CZ162" s="570"/>
      <c r="DA162" s="570"/>
      <c r="DB162" s="570"/>
      <c r="DC162" s="570"/>
      <c r="DD162" s="570"/>
      <c r="DE162" s="570"/>
      <c r="DF162" s="570"/>
      <c r="DG162" s="570"/>
      <c r="DH162" s="570"/>
      <c r="DI162" s="570"/>
      <c r="DJ162" s="570"/>
      <c r="DK162" s="570"/>
      <c r="DL162" s="570"/>
      <c r="DM162" s="570"/>
      <c r="DN162" s="570"/>
      <c r="DO162" s="570"/>
      <c r="DP162" s="570"/>
      <c r="DQ162" s="570"/>
      <c r="DR162" s="570"/>
      <c r="DS162" s="570"/>
      <c r="DT162" s="570"/>
      <c r="DU162" s="570"/>
      <c r="DV162" s="570"/>
      <c r="DW162" s="570"/>
      <c r="DX162" s="570"/>
      <c r="DY162" s="570"/>
      <c r="DZ162" s="570"/>
      <c r="EA162" s="570"/>
      <c r="EB162" s="570"/>
      <c r="EC162" s="570"/>
      <c r="ED162" s="570"/>
      <c r="EE162" s="570"/>
      <c r="EF162" s="570"/>
      <c r="EG162" s="570"/>
      <c r="EH162" s="570"/>
      <c r="EI162" s="570"/>
      <c r="EJ162" s="570"/>
      <c r="EK162" s="570"/>
      <c r="EL162" s="570"/>
      <c r="EM162" s="570"/>
      <c r="EN162" s="570"/>
      <c r="EO162" s="570"/>
      <c r="EP162" s="570"/>
      <c r="EQ162" s="570"/>
      <c r="ER162" s="570"/>
      <c r="ES162" s="570"/>
      <c r="ET162" s="570"/>
      <c r="EU162" s="570"/>
      <c r="EV162" s="570"/>
      <c r="EW162" s="570"/>
      <c r="EX162" s="570"/>
      <c r="EY162" s="570"/>
      <c r="EZ162" s="570"/>
      <c r="FA162" s="570"/>
      <c r="FB162" s="570"/>
      <c r="FC162" s="570"/>
      <c r="FD162" s="570"/>
      <c r="FE162" s="570"/>
      <c r="FF162" s="570"/>
      <c r="FG162" s="570"/>
      <c r="FH162" s="570"/>
      <c r="FI162" s="570"/>
      <c r="FJ162" s="570"/>
      <c r="FK162" s="570"/>
      <c r="FL162" s="570"/>
      <c r="FM162" s="570"/>
      <c r="FN162" s="570"/>
      <c r="FO162" s="570"/>
      <c r="FP162" s="570"/>
      <c r="FQ162" s="570"/>
      <c r="FR162" s="570"/>
      <c r="FS162" s="570"/>
      <c r="FT162" s="570"/>
      <c r="FU162" s="570"/>
      <c r="FV162" s="570"/>
      <c r="FW162" s="570"/>
      <c r="FX162" s="570"/>
      <c r="FY162" s="571"/>
      <c r="FZ162" s="571"/>
      <c r="GA162" s="571"/>
      <c r="GB162" s="571"/>
      <c r="GC162" s="571"/>
      <c r="GD162" s="571"/>
      <c r="GE162" s="571"/>
      <c r="GF162" s="571"/>
      <c r="GG162" s="571"/>
      <c r="GH162" s="571"/>
      <c r="GI162" s="571"/>
      <c r="GJ162" s="571"/>
      <c r="GK162" s="571"/>
      <c r="GL162" s="571"/>
      <c r="GM162" s="571"/>
      <c r="GN162" s="571"/>
      <c r="GO162" s="571"/>
      <c r="GP162" s="570"/>
      <c r="GQ162" s="570"/>
      <c r="GR162" s="570"/>
      <c r="GS162" s="570"/>
      <c r="GT162" s="570"/>
      <c r="GU162" s="570"/>
      <c r="GV162" s="572"/>
      <c r="GW162" s="570"/>
      <c r="GX162" s="570"/>
      <c r="GY162" s="570"/>
      <c r="GZ162" s="570"/>
      <c r="HA162" s="570"/>
      <c r="HB162" s="570"/>
      <c r="HC162" s="570"/>
      <c r="HD162" s="570"/>
      <c r="HE162" s="570"/>
      <c r="HF162" s="570"/>
      <c r="HG162" s="570"/>
      <c r="HH162" s="570"/>
      <c r="HI162" s="570"/>
      <c r="HJ162" s="570"/>
      <c r="HK162" s="570"/>
      <c r="HL162" s="572"/>
      <c r="HM162" s="572"/>
      <c r="HN162" s="570"/>
      <c r="HO162" s="570"/>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776">
        <v>6616</v>
      </c>
      <c r="G163" s="1777"/>
      <c r="H163" s="1"/>
      <c r="I163" s="1"/>
      <c r="J163" s="14"/>
      <c r="K163" s="1"/>
      <c r="L163" s="1"/>
      <c r="M163" s="1"/>
      <c r="N163" s="1"/>
      <c r="O163" s="1"/>
      <c r="T163" s="1754"/>
      <c r="U163" s="1755"/>
      <c r="V163" s="568"/>
      <c r="W163" s="568"/>
      <c r="X163" s="568"/>
      <c r="Y163" s="570"/>
      <c r="Z163" s="570"/>
      <c r="AA163" s="570"/>
      <c r="AB163" s="570"/>
      <c r="AC163" s="570"/>
      <c r="AD163" s="570"/>
      <c r="AE163" s="570"/>
      <c r="AF163" s="570"/>
      <c r="AG163" s="570"/>
      <c r="AH163" s="570"/>
      <c r="AI163" s="570"/>
      <c r="AJ163" s="570"/>
      <c r="AK163" s="570"/>
      <c r="AL163" s="570"/>
      <c r="AM163" s="570"/>
      <c r="AN163" s="570"/>
      <c r="AO163" s="570"/>
      <c r="AP163" s="570"/>
      <c r="AQ163" s="570"/>
      <c r="AR163" s="570"/>
      <c r="AS163" s="570"/>
      <c r="AT163" s="570"/>
      <c r="AU163" s="570"/>
      <c r="AV163" s="570"/>
      <c r="AW163" s="570"/>
      <c r="AX163" s="570"/>
      <c r="AY163" s="570"/>
      <c r="AZ163" s="570"/>
      <c r="BA163" s="570"/>
      <c r="BB163" s="570"/>
      <c r="BC163" s="570"/>
      <c r="BD163" s="570"/>
      <c r="BE163" s="570"/>
      <c r="BF163" s="570"/>
      <c r="BG163" s="570"/>
      <c r="BH163" s="570"/>
      <c r="BI163" s="570"/>
      <c r="BJ163" s="570"/>
      <c r="BK163" s="570"/>
      <c r="BL163" s="570"/>
      <c r="BM163" s="570"/>
      <c r="BN163" s="570"/>
      <c r="BO163" s="570"/>
      <c r="BP163" s="570"/>
      <c r="BQ163" s="570"/>
      <c r="BR163" s="570"/>
      <c r="BS163" s="570"/>
      <c r="BT163" s="570"/>
      <c r="BU163" s="570"/>
      <c r="BV163" s="570"/>
      <c r="BW163" s="570"/>
      <c r="BX163" s="570"/>
      <c r="BY163" s="570"/>
      <c r="BZ163" s="570"/>
      <c r="CA163" s="570"/>
      <c r="CB163" s="570"/>
      <c r="CC163" s="570"/>
      <c r="CD163" s="570"/>
      <c r="CE163" s="570"/>
      <c r="CF163" s="570"/>
      <c r="CG163" s="570"/>
      <c r="CH163" s="570"/>
      <c r="CI163" s="570"/>
      <c r="CJ163" s="570"/>
      <c r="CK163" s="570"/>
      <c r="CL163" s="570"/>
      <c r="CM163" s="570"/>
      <c r="CN163" s="570"/>
      <c r="CO163" s="570"/>
      <c r="CP163" s="570"/>
      <c r="CQ163" s="570"/>
      <c r="CR163" s="570"/>
      <c r="CS163" s="570"/>
      <c r="CT163" s="570"/>
      <c r="CU163" s="570"/>
      <c r="CV163" s="570"/>
      <c r="CW163" s="570"/>
      <c r="CX163" s="570"/>
      <c r="CY163" s="570"/>
      <c r="CZ163" s="570"/>
      <c r="DA163" s="570"/>
      <c r="DB163" s="570"/>
      <c r="DC163" s="570"/>
      <c r="DD163" s="570"/>
      <c r="DE163" s="570"/>
      <c r="DF163" s="570"/>
      <c r="DG163" s="570"/>
      <c r="DH163" s="570"/>
      <c r="DI163" s="570"/>
      <c r="DJ163" s="570"/>
      <c r="DK163" s="570"/>
      <c r="DL163" s="570"/>
      <c r="DM163" s="570"/>
      <c r="DN163" s="570"/>
      <c r="DO163" s="570"/>
      <c r="DP163" s="570"/>
      <c r="DQ163" s="570"/>
      <c r="DR163" s="570"/>
      <c r="DS163" s="570"/>
      <c r="DT163" s="570"/>
      <c r="DU163" s="570"/>
      <c r="DV163" s="570"/>
      <c r="DW163" s="570"/>
      <c r="DX163" s="570"/>
      <c r="DY163" s="570"/>
      <c r="DZ163" s="570"/>
      <c r="EA163" s="570"/>
      <c r="EB163" s="570"/>
      <c r="EC163" s="570"/>
      <c r="ED163" s="570"/>
      <c r="EE163" s="570"/>
      <c r="EF163" s="570"/>
      <c r="EG163" s="570"/>
      <c r="EH163" s="570"/>
      <c r="EI163" s="570"/>
      <c r="EJ163" s="570"/>
      <c r="EK163" s="570"/>
      <c r="EL163" s="570"/>
      <c r="EM163" s="570"/>
      <c r="EN163" s="570"/>
      <c r="EO163" s="570"/>
      <c r="EP163" s="570"/>
      <c r="EQ163" s="570"/>
      <c r="ER163" s="570"/>
      <c r="ES163" s="570"/>
      <c r="ET163" s="570"/>
      <c r="EU163" s="570"/>
      <c r="EV163" s="570"/>
      <c r="EW163" s="570"/>
      <c r="EX163" s="570"/>
      <c r="EY163" s="570"/>
      <c r="EZ163" s="570"/>
      <c r="FA163" s="570"/>
      <c r="FB163" s="570"/>
      <c r="FC163" s="570"/>
      <c r="FD163" s="570"/>
      <c r="FE163" s="570"/>
      <c r="FF163" s="570"/>
      <c r="FG163" s="570"/>
      <c r="FH163" s="570"/>
      <c r="FI163" s="570"/>
      <c r="FJ163" s="570"/>
      <c r="FK163" s="570"/>
      <c r="FL163" s="570"/>
      <c r="FM163" s="570"/>
      <c r="FN163" s="570"/>
      <c r="FO163" s="570"/>
      <c r="FP163" s="570"/>
      <c r="FQ163" s="570"/>
      <c r="FR163" s="570"/>
      <c r="FS163" s="570"/>
      <c r="FT163" s="570"/>
      <c r="FU163" s="570"/>
      <c r="FV163" s="570"/>
      <c r="FW163" s="570"/>
      <c r="FX163" s="570"/>
      <c r="FY163" s="571"/>
      <c r="FZ163" s="571"/>
      <c r="GA163" s="571"/>
      <c r="GB163" s="571"/>
      <c r="GC163" s="571"/>
      <c r="GD163" s="571"/>
      <c r="GE163" s="571"/>
      <c r="GF163" s="571"/>
      <c r="GG163" s="571"/>
      <c r="GH163" s="571"/>
      <c r="GI163" s="571"/>
      <c r="GJ163" s="571"/>
      <c r="GK163" s="571"/>
      <c r="GL163" s="571"/>
      <c r="GM163" s="571"/>
      <c r="GN163" s="571"/>
      <c r="GO163" s="571"/>
      <c r="GP163" s="570"/>
      <c r="GQ163" s="570"/>
      <c r="GR163" s="570"/>
      <c r="GS163" s="570"/>
      <c r="GT163" s="570"/>
      <c r="GU163" s="570"/>
      <c r="GV163" s="572"/>
      <c r="GW163" s="570"/>
      <c r="GX163" s="570"/>
      <c r="GY163" s="570"/>
      <c r="GZ163" s="570"/>
      <c r="HA163" s="570"/>
      <c r="HB163" s="570"/>
      <c r="HC163" s="570"/>
      <c r="HD163" s="570"/>
      <c r="HE163" s="570"/>
      <c r="HF163" s="570"/>
      <c r="HG163" s="570"/>
      <c r="HH163" s="570"/>
      <c r="HI163" s="570"/>
      <c r="HJ163" s="570"/>
      <c r="HK163" s="570"/>
      <c r="HL163" s="572"/>
      <c r="HM163" s="572"/>
      <c r="HN163" s="570"/>
      <c r="HO163" s="570"/>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2" t="s">
        <v>54</v>
      </c>
      <c r="C164" s="1783"/>
      <c r="D164" s="1783"/>
      <c r="E164" s="1784"/>
      <c r="F164" s="1785"/>
      <c r="G164" s="1786"/>
      <c r="H164" s="1"/>
      <c r="I164" s="1"/>
      <c r="J164" s="14"/>
      <c r="K164" s="1"/>
      <c r="L164" s="1"/>
      <c r="M164" s="1"/>
      <c r="N164" s="11" t="s">
        <v>2327</v>
      </c>
      <c r="O164" s="11"/>
      <c r="P164" s="11"/>
      <c r="T164" s="1754"/>
      <c r="U164" s="1755"/>
      <c r="V164" s="568"/>
      <c r="W164" s="568"/>
      <c r="X164" s="568"/>
      <c r="Y164" s="570"/>
      <c r="Z164" s="570"/>
      <c r="AA164" s="570"/>
      <c r="AB164" s="570"/>
      <c r="AC164" s="570"/>
      <c r="AD164" s="570"/>
      <c r="AE164" s="570"/>
      <c r="AF164" s="570"/>
      <c r="AG164" s="570"/>
      <c r="AH164" s="570"/>
      <c r="AI164" s="570"/>
      <c r="AJ164" s="570"/>
      <c r="AK164" s="570"/>
      <c r="AL164" s="570"/>
      <c r="AM164" s="570"/>
      <c r="AN164" s="570"/>
      <c r="AO164" s="570"/>
      <c r="AP164" s="570"/>
      <c r="AQ164" s="570"/>
      <c r="AR164" s="570"/>
      <c r="AS164" s="570"/>
      <c r="AT164" s="570"/>
      <c r="AU164" s="570"/>
      <c r="AV164" s="570"/>
      <c r="AW164" s="570"/>
      <c r="AX164" s="570"/>
      <c r="AY164" s="570"/>
      <c r="AZ164" s="570"/>
      <c r="BA164" s="570"/>
      <c r="BB164" s="570"/>
      <c r="BC164" s="570"/>
      <c r="BD164" s="570"/>
      <c r="BE164" s="570"/>
      <c r="BF164" s="570"/>
      <c r="BG164" s="570"/>
      <c r="BH164" s="570"/>
      <c r="BI164" s="570"/>
      <c r="BJ164" s="570"/>
      <c r="BK164" s="570"/>
      <c r="BL164" s="570"/>
      <c r="BM164" s="570"/>
      <c r="BN164" s="570"/>
      <c r="BO164" s="570"/>
      <c r="BP164" s="570"/>
      <c r="BQ164" s="570"/>
      <c r="BR164" s="570"/>
      <c r="BS164" s="570"/>
      <c r="BT164" s="570"/>
      <c r="BU164" s="570"/>
      <c r="BV164" s="570"/>
      <c r="BW164" s="570"/>
      <c r="BX164" s="570"/>
      <c r="BY164" s="570"/>
      <c r="BZ164" s="570"/>
      <c r="CA164" s="570"/>
      <c r="CB164" s="570"/>
      <c r="CC164" s="570"/>
      <c r="CD164" s="570"/>
      <c r="CE164" s="570"/>
      <c r="CF164" s="570"/>
      <c r="CG164" s="570"/>
      <c r="CH164" s="570"/>
      <c r="CI164" s="570"/>
      <c r="CJ164" s="570"/>
      <c r="CK164" s="570"/>
      <c r="CL164" s="570"/>
      <c r="CM164" s="570"/>
      <c r="CN164" s="570"/>
      <c r="CO164" s="570"/>
      <c r="CP164" s="570"/>
      <c r="CQ164" s="570"/>
      <c r="CR164" s="570"/>
      <c r="CS164" s="570"/>
      <c r="CT164" s="570"/>
      <c r="CU164" s="570"/>
      <c r="CV164" s="570"/>
      <c r="CW164" s="570"/>
      <c r="CX164" s="570"/>
      <c r="CY164" s="570"/>
      <c r="CZ164" s="570"/>
      <c r="DA164" s="570"/>
      <c r="DB164" s="570"/>
      <c r="DC164" s="570"/>
      <c r="DD164" s="570"/>
      <c r="DE164" s="570"/>
      <c r="DF164" s="570"/>
      <c r="DG164" s="570"/>
      <c r="DH164" s="570"/>
      <c r="DI164" s="570"/>
      <c r="DJ164" s="570"/>
      <c r="DK164" s="570"/>
      <c r="DL164" s="570"/>
      <c r="DM164" s="570"/>
      <c r="DN164" s="570"/>
      <c r="DO164" s="570"/>
      <c r="DP164" s="570"/>
      <c r="DQ164" s="570"/>
      <c r="DR164" s="570"/>
      <c r="DS164" s="570"/>
      <c r="DT164" s="570"/>
      <c r="DU164" s="570"/>
      <c r="DV164" s="570"/>
      <c r="DW164" s="570"/>
      <c r="DX164" s="570"/>
      <c r="DY164" s="570"/>
      <c r="DZ164" s="570"/>
      <c r="EA164" s="570"/>
      <c r="EB164" s="570"/>
      <c r="EC164" s="570"/>
      <c r="ED164" s="570"/>
      <c r="EE164" s="570"/>
      <c r="EF164" s="570"/>
      <c r="EG164" s="570"/>
      <c r="EH164" s="570"/>
      <c r="EI164" s="570"/>
      <c r="EJ164" s="570"/>
      <c r="EK164" s="570"/>
      <c r="EL164" s="570"/>
      <c r="EM164" s="570"/>
      <c r="EN164" s="570"/>
      <c r="EO164" s="570"/>
      <c r="EP164" s="570"/>
      <c r="EQ164" s="570"/>
      <c r="ER164" s="570"/>
      <c r="ES164" s="570"/>
      <c r="ET164" s="570"/>
      <c r="EU164" s="570"/>
      <c r="EV164" s="570"/>
      <c r="EW164" s="570"/>
      <c r="EX164" s="570"/>
      <c r="EY164" s="570"/>
      <c r="EZ164" s="570"/>
      <c r="FA164" s="570"/>
      <c r="FB164" s="570"/>
      <c r="FC164" s="570"/>
      <c r="FD164" s="570"/>
      <c r="FE164" s="570"/>
      <c r="FF164" s="570"/>
      <c r="FG164" s="570"/>
      <c r="FH164" s="570"/>
      <c r="FI164" s="570"/>
      <c r="FJ164" s="570"/>
      <c r="FK164" s="570"/>
      <c r="FL164" s="570"/>
      <c r="FM164" s="570"/>
      <c r="FN164" s="570"/>
      <c r="FO164" s="570"/>
      <c r="FP164" s="570"/>
      <c r="FQ164" s="570"/>
      <c r="FR164" s="570"/>
      <c r="FS164" s="570"/>
      <c r="FT164" s="570"/>
      <c r="FU164" s="570"/>
      <c r="FV164" s="570"/>
      <c r="FW164" s="570"/>
      <c r="FX164" s="570"/>
      <c r="FY164" s="571"/>
      <c r="FZ164" s="571"/>
      <c r="GA164" s="571"/>
      <c r="GB164" s="571"/>
      <c r="GC164" s="571"/>
      <c r="GD164" s="571"/>
      <c r="GE164" s="571"/>
      <c r="GF164" s="571"/>
      <c r="GG164" s="571"/>
      <c r="GH164" s="571"/>
      <c r="GI164" s="571"/>
      <c r="GJ164" s="571"/>
      <c r="GK164" s="571"/>
      <c r="GL164" s="571"/>
      <c r="GM164" s="571"/>
      <c r="GN164" s="571"/>
      <c r="GO164" s="571"/>
      <c r="GP164" s="570"/>
      <c r="GQ164" s="570"/>
      <c r="GR164" s="570"/>
      <c r="GS164" s="570"/>
      <c r="GT164" s="570"/>
      <c r="GU164" s="570"/>
      <c r="GV164" s="572"/>
      <c r="GW164" s="570"/>
      <c r="GX164" s="570"/>
      <c r="GY164" s="570"/>
      <c r="GZ164" s="570"/>
      <c r="HA164" s="570"/>
      <c r="HB164" s="570"/>
      <c r="HC164" s="570"/>
      <c r="HD164" s="570"/>
      <c r="HE164" s="570"/>
      <c r="HF164" s="570"/>
      <c r="HG164" s="570"/>
      <c r="HH164" s="570"/>
      <c r="HI164" s="570"/>
      <c r="HJ164" s="570"/>
      <c r="HK164" s="570"/>
      <c r="HL164" s="572"/>
      <c r="HM164" s="572"/>
      <c r="HN164" s="570"/>
      <c r="HO164" s="570"/>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406">
        <f>SUM(F157:G164)</f>
        <v>73130</v>
      </c>
      <c r="G165" s="1407"/>
      <c r="H165" s="1"/>
      <c r="I165" s="1"/>
      <c r="J165" s="14"/>
      <c r="K165" s="1"/>
      <c r="L165" s="1"/>
      <c r="M165" s="1"/>
      <c r="N165" s="1"/>
      <c r="O165" s="1"/>
      <c r="P165" s="496">
        <f>P157+P160</f>
        <v>350518</v>
      </c>
      <c r="T165" s="1762"/>
      <c r="U165" s="1763"/>
      <c r="V165" s="568"/>
      <c r="W165" s="568"/>
      <c r="X165" s="568"/>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570"/>
      <c r="BJ165" s="570"/>
      <c r="BK165" s="570"/>
      <c r="BL165" s="570"/>
      <c r="BM165" s="570"/>
      <c r="BN165" s="570"/>
      <c r="BO165" s="570"/>
      <c r="BP165" s="570"/>
      <c r="BQ165" s="570"/>
      <c r="BR165" s="570"/>
      <c r="BS165" s="570"/>
      <c r="BT165" s="570"/>
      <c r="BU165" s="570"/>
      <c r="BV165" s="570"/>
      <c r="BW165" s="570"/>
      <c r="BX165" s="570"/>
      <c r="BY165" s="570"/>
      <c r="BZ165" s="570"/>
      <c r="CA165" s="570"/>
      <c r="CB165" s="570"/>
      <c r="CC165" s="570"/>
      <c r="CD165" s="570"/>
      <c r="CE165" s="570"/>
      <c r="CF165" s="570"/>
      <c r="CG165" s="570"/>
      <c r="CH165" s="570"/>
      <c r="CI165" s="570"/>
      <c r="CJ165" s="570"/>
      <c r="CK165" s="570"/>
      <c r="CL165" s="570"/>
      <c r="CM165" s="570"/>
      <c r="CN165" s="570"/>
      <c r="CO165" s="570"/>
      <c r="CP165" s="570"/>
      <c r="CQ165" s="570"/>
      <c r="CR165" s="570"/>
      <c r="CS165" s="570"/>
      <c r="CT165" s="570"/>
      <c r="CU165" s="570"/>
      <c r="CV165" s="570"/>
      <c r="CW165" s="570"/>
      <c r="CX165" s="570"/>
      <c r="CY165" s="570"/>
      <c r="CZ165" s="570"/>
      <c r="DA165" s="570"/>
      <c r="DB165" s="570"/>
      <c r="DC165" s="570"/>
      <c r="DD165" s="570"/>
      <c r="DE165" s="570"/>
      <c r="DF165" s="570"/>
      <c r="DG165" s="570"/>
      <c r="DH165" s="570"/>
      <c r="DI165" s="570"/>
      <c r="DJ165" s="570"/>
      <c r="DK165" s="570"/>
      <c r="DL165" s="570"/>
      <c r="DM165" s="570"/>
      <c r="DN165" s="570"/>
      <c r="DO165" s="570"/>
      <c r="DP165" s="570"/>
      <c r="DQ165" s="570"/>
      <c r="DR165" s="570"/>
      <c r="DS165" s="570"/>
      <c r="DT165" s="570"/>
      <c r="DU165" s="570"/>
      <c r="DV165" s="570"/>
      <c r="DW165" s="570"/>
      <c r="DX165" s="570"/>
      <c r="DY165" s="570"/>
      <c r="DZ165" s="570"/>
      <c r="EA165" s="570"/>
      <c r="EB165" s="570"/>
      <c r="EC165" s="570"/>
      <c r="ED165" s="570"/>
      <c r="EE165" s="570"/>
      <c r="EF165" s="570"/>
      <c r="EG165" s="570"/>
      <c r="EH165" s="570"/>
      <c r="EI165" s="570"/>
      <c r="EJ165" s="570"/>
      <c r="EK165" s="570"/>
      <c r="EL165" s="570"/>
      <c r="EM165" s="570"/>
      <c r="EN165" s="570"/>
      <c r="EO165" s="570"/>
      <c r="EP165" s="570"/>
      <c r="EQ165" s="570"/>
      <c r="ER165" s="570"/>
      <c r="ES165" s="570"/>
      <c r="ET165" s="570"/>
      <c r="EU165" s="570"/>
      <c r="EV165" s="570"/>
      <c r="EW165" s="570"/>
      <c r="EX165" s="570"/>
      <c r="EY165" s="570"/>
      <c r="EZ165" s="570"/>
      <c r="FA165" s="570"/>
      <c r="FB165" s="570"/>
      <c r="FC165" s="570"/>
      <c r="FD165" s="570"/>
      <c r="FE165" s="570"/>
      <c r="FF165" s="570"/>
      <c r="FG165" s="570"/>
      <c r="FH165" s="570"/>
      <c r="FI165" s="570"/>
      <c r="FJ165" s="570"/>
      <c r="FK165" s="570"/>
      <c r="FL165" s="570"/>
      <c r="FM165" s="570"/>
      <c r="FN165" s="570"/>
      <c r="FO165" s="570"/>
      <c r="FP165" s="570"/>
      <c r="FQ165" s="570"/>
      <c r="FR165" s="570"/>
      <c r="FS165" s="570"/>
      <c r="FT165" s="570"/>
      <c r="FU165" s="570"/>
      <c r="FV165" s="570"/>
      <c r="FW165" s="570"/>
      <c r="FX165" s="570"/>
      <c r="FY165" s="571"/>
      <c r="FZ165" s="571"/>
      <c r="GA165" s="571"/>
      <c r="GB165" s="571"/>
      <c r="GC165" s="571"/>
      <c r="GD165" s="571"/>
      <c r="GE165" s="571"/>
      <c r="GF165" s="571"/>
      <c r="GG165" s="571"/>
      <c r="GH165" s="571"/>
      <c r="GI165" s="571"/>
      <c r="GJ165" s="571"/>
      <c r="GK165" s="571"/>
      <c r="GL165" s="571"/>
      <c r="GM165" s="571"/>
      <c r="GN165" s="571"/>
      <c r="GO165" s="571"/>
      <c r="GP165" s="570"/>
      <c r="GQ165" s="570"/>
      <c r="GR165" s="570"/>
      <c r="GS165" s="570"/>
      <c r="GT165" s="570"/>
      <c r="GU165" s="570"/>
      <c r="GV165" s="572"/>
      <c r="GW165" s="570"/>
      <c r="GX165" s="570"/>
      <c r="GY165" s="570"/>
      <c r="GZ165" s="570"/>
      <c r="HA165" s="570"/>
      <c r="HB165" s="570"/>
      <c r="HC165" s="570"/>
      <c r="HD165" s="570"/>
      <c r="HE165" s="570"/>
      <c r="HF165" s="570"/>
      <c r="HG165" s="570"/>
      <c r="HH165" s="570"/>
      <c r="HI165" s="570"/>
      <c r="HJ165" s="570"/>
      <c r="HK165" s="570"/>
      <c r="HL165" s="572"/>
      <c r="HM165" s="572"/>
      <c r="HN165" s="570"/>
      <c r="HO165" s="570"/>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c r="BN166" s="570"/>
      <c r="BO166" s="570"/>
      <c r="BP166" s="570"/>
      <c r="BQ166" s="570"/>
      <c r="BR166" s="570"/>
      <c r="BS166" s="570"/>
      <c r="BT166" s="570"/>
      <c r="BU166" s="570"/>
      <c r="BV166" s="570"/>
      <c r="BW166" s="570"/>
      <c r="BX166" s="570"/>
      <c r="BY166" s="570"/>
      <c r="BZ166" s="570"/>
      <c r="CA166" s="570"/>
      <c r="CB166" s="570"/>
      <c r="CC166" s="570"/>
      <c r="CD166" s="570"/>
      <c r="CE166" s="570"/>
      <c r="CF166" s="570"/>
      <c r="CG166" s="570"/>
      <c r="CH166" s="570"/>
      <c r="CI166" s="570"/>
      <c r="CJ166" s="570"/>
      <c r="CK166" s="570"/>
      <c r="CL166" s="570"/>
      <c r="CM166" s="570"/>
      <c r="CN166" s="570"/>
      <c r="CO166" s="570"/>
      <c r="CP166" s="570"/>
      <c r="CQ166" s="570"/>
      <c r="CR166" s="570"/>
      <c r="CS166" s="570"/>
      <c r="CT166" s="570"/>
      <c r="CU166" s="570"/>
      <c r="CV166" s="570"/>
      <c r="CW166" s="570"/>
      <c r="CX166" s="570"/>
      <c r="CY166" s="570"/>
      <c r="CZ166" s="570"/>
      <c r="DA166" s="570"/>
      <c r="DB166" s="570"/>
      <c r="DC166" s="570"/>
      <c r="DD166" s="570"/>
      <c r="DE166" s="570"/>
      <c r="DF166" s="570"/>
      <c r="DG166" s="570"/>
      <c r="DH166" s="570"/>
      <c r="DI166" s="570"/>
      <c r="DJ166" s="570"/>
      <c r="DK166" s="570"/>
      <c r="DL166" s="570"/>
      <c r="DM166" s="570"/>
      <c r="DN166" s="570"/>
      <c r="DO166" s="570"/>
      <c r="DP166" s="570"/>
      <c r="DQ166" s="570"/>
      <c r="DR166" s="570"/>
      <c r="DS166" s="570"/>
      <c r="DT166" s="570"/>
      <c r="DU166" s="570"/>
      <c r="DV166" s="570"/>
      <c r="DW166" s="570"/>
      <c r="DX166" s="570"/>
      <c r="DY166" s="570"/>
      <c r="DZ166" s="570"/>
      <c r="EA166" s="570"/>
      <c r="EB166" s="570"/>
      <c r="EC166" s="570"/>
      <c r="ED166" s="570"/>
      <c r="EE166" s="570"/>
      <c r="EF166" s="570"/>
      <c r="EG166" s="570"/>
      <c r="EH166" s="570"/>
      <c r="EI166" s="570"/>
      <c r="EJ166" s="570"/>
      <c r="EK166" s="570"/>
      <c r="EL166" s="570"/>
      <c r="EM166" s="570"/>
      <c r="EN166" s="570"/>
      <c r="EO166" s="570"/>
      <c r="EP166" s="570"/>
      <c r="EQ166" s="570"/>
      <c r="ER166" s="570"/>
      <c r="ES166" s="570"/>
      <c r="ET166" s="570"/>
      <c r="EU166" s="570"/>
      <c r="EV166" s="570"/>
      <c r="EW166" s="570"/>
      <c r="EX166" s="570"/>
      <c r="EY166" s="570"/>
      <c r="EZ166" s="570"/>
      <c r="FA166" s="570"/>
      <c r="FB166" s="570"/>
      <c r="FC166" s="570"/>
      <c r="FD166" s="570"/>
      <c r="FE166" s="570"/>
      <c r="FF166" s="570"/>
      <c r="FG166" s="570"/>
      <c r="FH166" s="570"/>
      <c r="FI166" s="570"/>
      <c r="FJ166" s="570"/>
      <c r="FK166" s="570"/>
      <c r="FL166" s="570"/>
      <c r="FM166" s="570"/>
      <c r="FN166" s="570"/>
      <c r="FO166" s="570"/>
      <c r="FP166" s="570"/>
      <c r="FQ166" s="570"/>
      <c r="FR166" s="570"/>
      <c r="FS166" s="570"/>
      <c r="FT166" s="570"/>
      <c r="FU166" s="570"/>
      <c r="FV166" s="570"/>
      <c r="FW166" s="570"/>
      <c r="FX166" s="570"/>
      <c r="FY166" s="571"/>
      <c r="FZ166" s="571"/>
      <c r="GA166" s="571"/>
      <c r="GB166" s="571"/>
      <c r="GC166" s="571"/>
      <c r="GD166" s="571"/>
      <c r="GE166" s="571"/>
      <c r="GF166" s="571"/>
      <c r="GG166" s="571"/>
      <c r="GH166" s="571"/>
      <c r="GI166" s="571"/>
      <c r="GJ166" s="571"/>
      <c r="GK166" s="571"/>
      <c r="GL166" s="571"/>
      <c r="GM166" s="571"/>
      <c r="GN166" s="571"/>
      <c r="GO166" s="571"/>
      <c r="GP166" s="570"/>
      <c r="GQ166" s="570"/>
      <c r="GR166" s="570"/>
      <c r="GS166" s="570"/>
      <c r="GT166" s="570"/>
      <c r="GU166" s="570"/>
      <c r="GV166" s="572"/>
      <c r="GW166" s="570"/>
      <c r="GX166" s="570"/>
      <c r="GY166" s="570"/>
      <c r="GZ166" s="570"/>
      <c r="HA166" s="570"/>
      <c r="HB166" s="570"/>
      <c r="HC166" s="570"/>
      <c r="HD166" s="570"/>
      <c r="HE166" s="570"/>
      <c r="HF166" s="570"/>
      <c r="HG166" s="570"/>
      <c r="HH166" s="570"/>
      <c r="HI166" s="570"/>
      <c r="HJ166" s="570"/>
      <c r="HK166" s="570"/>
      <c r="HL166" s="572"/>
      <c r="HM166" s="572"/>
      <c r="HN166" s="570"/>
      <c r="HO166" s="570"/>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794" t="s">
        <v>3790</v>
      </c>
      <c r="B168" s="1795"/>
      <c r="C168" s="1795"/>
      <c r="D168" s="1795"/>
      <c r="E168" s="1795"/>
      <c r="F168" s="1795"/>
      <c r="G168" s="1795"/>
      <c r="H168" s="1795"/>
      <c r="I168" s="1795"/>
      <c r="J168" s="1796"/>
      <c r="K168" s="1797"/>
      <c r="L168" s="1798"/>
      <c r="M168" s="1798"/>
      <c r="N168" s="1798"/>
      <c r="O168" s="1798"/>
      <c r="P168" s="1799"/>
      <c r="T168" s="1258" t="s">
        <v>2924</v>
      </c>
      <c r="U168" s="1258"/>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70"/>
      <c r="W173" s="570"/>
      <c r="X173" s="570"/>
      <c r="Y173" s="570"/>
      <c r="Z173" s="570"/>
      <c r="AA173" s="570"/>
      <c r="AB173" s="570"/>
      <c r="AC173" s="570"/>
      <c r="AD173" s="570"/>
      <c r="AE173" s="570"/>
      <c r="AF173" s="570"/>
      <c r="AG173" s="570"/>
      <c r="AH173" s="570"/>
      <c r="AI173" s="570"/>
      <c r="AJ173" s="570"/>
      <c r="AK173" s="570"/>
      <c r="AL173" s="570"/>
      <c r="AM173" s="570"/>
      <c r="AN173" s="570"/>
      <c r="AO173" s="570"/>
      <c r="AP173" s="570"/>
      <c r="AQ173" s="570"/>
      <c r="AR173" s="570"/>
      <c r="AS173" s="570"/>
      <c r="AT173" s="570"/>
      <c r="AU173" s="570"/>
      <c r="AV173" s="570"/>
      <c r="AW173" s="570"/>
      <c r="AX173" s="570"/>
      <c r="AY173" s="570"/>
      <c r="AZ173" s="570"/>
      <c r="BA173" s="570"/>
      <c r="BB173" s="570"/>
      <c r="BC173" s="570"/>
      <c r="BD173" s="570"/>
      <c r="BE173" s="570"/>
      <c r="BF173" s="570"/>
      <c r="BG173" s="570"/>
      <c r="BH173" s="570"/>
      <c r="BI173" s="570"/>
      <c r="BJ173" s="570"/>
      <c r="BK173" s="570"/>
      <c r="BL173" s="570"/>
      <c r="BM173" s="570"/>
      <c r="BN173" s="570"/>
      <c r="BO173" s="570"/>
      <c r="BP173" s="570"/>
      <c r="BQ173" s="570"/>
      <c r="BR173" s="570"/>
      <c r="BS173" s="570"/>
      <c r="BT173" s="570"/>
      <c r="BU173" s="570"/>
      <c r="BV173" s="570"/>
      <c r="BW173" s="570"/>
      <c r="BX173" s="570"/>
      <c r="BY173" s="570"/>
      <c r="BZ173" s="570"/>
      <c r="CA173" s="570"/>
      <c r="CB173" s="570"/>
      <c r="CC173" s="570"/>
      <c r="CD173" s="570"/>
      <c r="CE173" s="570"/>
      <c r="CF173" s="570"/>
      <c r="CG173" s="570"/>
      <c r="CH173" s="570"/>
      <c r="CI173" s="570"/>
      <c r="CJ173" s="570"/>
      <c r="CK173" s="570"/>
      <c r="CL173" s="570"/>
      <c r="CM173" s="570"/>
      <c r="CN173" s="570"/>
      <c r="CO173" s="570"/>
      <c r="CP173" s="570"/>
      <c r="CQ173" s="570"/>
      <c r="CR173" s="570"/>
      <c r="CS173" s="570"/>
      <c r="CT173" s="570"/>
      <c r="CU173" s="570"/>
      <c r="CV173" s="570"/>
      <c r="CW173" s="570"/>
      <c r="CX173" s="570"/>
      <c r="CY173" s="570"/>
      <c r="CZ173" s="570"/>
      <c r="DA173" s="570"/>
      <c r="DB173" s="570"/>
      <c r="DC173" s="570"/>
      <c r="DD173" s="570"/>
      <c r="DE173" s="570"/>
      <c r="DF173" s="570"/>
      <c r="DG173" s="570"/>
      <c r="DH173" s="570"/>
      <c r="DI173" s="570"/>
      <c r="DJ173" s="570"/>
      <c r="DK173" s="570"/>
      <c r="DL173" s="570"/>
      <c r="DM173" s="570"/>
      <c r="DN173" s="570"/>
      <c r="DO173" s="570"/>
      <c r="DP173" s="570"/>
      <c r="DQ173" s="570"/>
      <c r="DR173" s="570"/>
      <c r="DS173" s="570"/>
      <c r="DT173" s="570"/>
      <c r="DU173" s="570"/>
      <c r="DV173" s="570"/>
      <c r="DW173" s="570"/>
      <c r="DX173" s="570"/>
      <c r="DY173" s="570"/>
      <c r="DZ173" s="570"/>
      <c r="EA173" s="570"/>
      <c r="EB173" s="570"/>
      <c r="EC173" s="570"/>
      <c r="ED173" s="570"/>
      <c r="EE173" s="570"/>
      <c r="EF173" s="570"/>
      <c r="EG173" s="570"/>
      <c r="EH173" s="570"/>
      <c r="EI173" s="570"/>
      <c r="EJ173" s="570"/>
      <c r="EK173" s="570"/>
      <c r="EL173" s="570"/>
      <c r="EM173" s="570"/>
      <c r="EN173" s="570"/>
      <c r="EO173" s="570"/>
      <c r="EP173" s="570"/>
      <c r="EQ173" s="570"/>
      <c r="ER173" s="570"/>
      <c r="ES173" s="570"/>
      <c r="ET173" s="570"/>
      <c r="EU173" s="570"/>
      <c r="EV173" s="570"/>
      <c r="EW173" s="570"/>
      <c r="EX173" s="570"/>
      <c r="EY173" s="570"/>
      <c r="EZ173" s="570"/>
      <c r="FA173" s="570"/>
      <c r="FB173" s="570"/>
      <c r="FC173" s="570"/>
      <c r="FD173" s="570"/>
      <c r="FE173" s="570"/>
      <c r="FF173" s="570"/>
      <c r="FG173" s="570"/>
      <c r="FH173" s="570"/>
      <c r="FI173" s="570"/>
      <c r="FJ173" s="570"/>
      <c r="FK173" s="570"/>
      <c r="FL173" s="570"/>
      <c r="FM173" s="570"/>
      <c r="FN173" s="570"/>
      <c r="FO173" s="570"/>
      <c r="FP173" s="570"/>
      <c r="FQ173" s="570"/>
      <c r="FR173" s="570"/>
      <c r="FS173" s="570"/>
      <c r="FT173" s="570"/>
      <c r="FU173" s="570"/>
      <c r="FV173" s="570"/>
      <c r="FW173" s="570"/>
      <c r="FX173" s="570"/>
      <c r="FY173" s="571"/>
      <c r="FZ173" s="571"/>
      <c r="GA173" s="571"/>
      <c r="GB173" s="571"/>
      <c r="GC173" s="571"/>
      <c r="GD173" s="571"/>
      <c r="GE173" s="571"/>
      <c r="GF173" s="571"/>
      <c r="GG173" s="571"/>
      <c r="GH173" s="571"/>
      <c r="GI173" s="571"/>
      <c r="GJ173" s="571"/>
      <c r="GK173" s="571"/>
      <c r="GL173" s="571"/>
      <c r="GM173" s="571"/>
      <c r="GN173" s="571"/>
      <c r="GO173" s="571"/>
      <c r="GP173" s="570"/>
      <c r="GQ173" s="570"/>
      <c r="GR173" s="570"/>
      <c r="GS173" s="570"/>
      <c r="GT173" s="570"/>
      <c r="GU173" s="570"/>
      <c r="GV173" s="572"/>
      <c r="GW173" s="570"/>
      <c r="GX173" s="570"/>
      <c r="GY173" s="570"/>
      <c r="GZ173" s="570"/>
      <c r="HA173" s="570"/>
      <c r="HB173" s="570"/>
      <c r="HC173" s="570"/>
      <c r="HD173" s="570"/>
      <c r="HE173" s="570"/>
      <c r="HF173" s="570"/>
      <c r="HG173" s="570"/>
      <c r="HH173" s="570"/>
      <c r="HI173" s="570"/>
      <c r="HJ173" s="570"/>
      <c r="HK173" s="570"/>
      <c r="HL173" s="572"/>
      <c r="HM173" s="572"/>
      <c r="HN173" s="570"/>
      <c r="HO173" s="570"/>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70"/>
      <c r="W174" s="570"/>
      <c r="X174" s="570"/>
      <c r="Y174" s="570"/>
      <c r="Z174" s="570"/>
      <c r="AA174" s="570"/>
      <c r="AB174" s="570"/>
      <c r="AC174" s="570"/>
      <c r="AD174" s="570"/>
      <c r="AE174" s="570"/>
      <c r="AF174" s="570"/>
      <c r="AG174" s="570"/>
      <c r="AH174" s="570"/>
      <c r="AI174" s="570"/>
      <c r="AJ174" s="570"/>
      <c r="AK174" s="570"/>
      <c r="AL174" s="570"/>
      <c r="AM174" s="570"/>
      <c r="AN174" s="570"/>
      <c r="AO174" s="570"/>
      <c r="AP174" s="570"/>
      <c r="AQ174" s="570"/>
      <c r="AR174" s="570"/>
      <c r="AS174" s="570"/>
      <c r="AT174" s="570"/>
      <c r="AU174" s="570"/>
      <c r="AV174" s="570"/>
      <c r="AW174" s="570"/>
      <c r="AX174" s="570"/>
      <c r="AY174" s="570"/>
      <c r="AZ174" s="570"/>
      <c r="BA174" s="570"/>
      <c r="BB174" s="570"/>
      <c r="BC174" s="570"/>
      <c r="BD174" s="570"/>
      <c r="BE174" s="570"/>
      <c r="BF174" s="570"/>
      <c r="BG174" s="570"/>
      <c r="BH174" s="570"/>
      <c r="BI174" s="570"/>
      <c r="BJ174" s="570"/>
      <c r="BK174" s="570"/>
      <c r="BL174" s="570"/>
      <c r="BM174" s="570"/>
      <c r="BN174" s="570"/>
      <c r="BO174" s="570"/>
      <c r="BP174" s="570"/>
      <c r="BQ174" s="570"/>
      <c r="BR174" s="570"/>
      <c r="BS174" s="570"/>
      <c r="BT174" s="570"/>
      <c r="BU174" s="570"/>
      <c r="BV174" s="570"/>
      <c r="BW174" s="570"/>
      <c r="BX174" s="570"/>
      <c r="BY174" s="570"/>
      <c r="BZ174" s="570"/>
      <c r="CA174" s="570"/>
      <c r="CB174" s="570"/>
      <c r="CC174" s="570"/>
      <c r="CD174" s="570"/>
      <c r="CE174" s="570"/>
      <c r="CF174" s="570"/>
      <c r="CG174" s="570"/>
      <c r="CH174" s="570"/>
      <c r="CI174" s="570"/>
      <c r="CJ174" s="570"/>
      <c r="CK174" s="570"/>
      <c r="CL174" s="570"/>
      <c r="CM174" s="570"/>
      <c r="CN174" s="570"/>
      <c r="CO174" s="570"/>
      <c r="CP174" s="570"/>
      <c r="CQ174" s="570"/>
      <c r="CR174" s="570"/>
      <c r="CS174" s="570"/>
      <c r="CT174" s="570"/>
      <c r="CU174" s="570"/>
      <c r="CV174" s="570"/>
      <c r="CW174" s="570"/>
      <c r="CX174" s="570"/>
      <c r="CY174" s="570"/>
      <c r="CZ174" s="570"/>
      <c r="DA174" s="570"/>
      <c r="DB174" s="570"/>
      <c r="DC174" s="570"/>
      <c r="DD174" s="570"/>
      <c r="DE174" s="570"/>
      <c r="DF174" s="570"/>
      <c r="DG174" s="570"/>
      <c r="DH174" s="570"/>
      <c r="DI174" s="570"/>
      <c r="DJ174" s="570"/>
      <c r="DK174" s="570"/>
      <c r="DL174" s="570"/>
      <c r="DM174" s="570"/>
      <c r="DN174" s="570"/>
      <c r="DO174" s="570"/>
      <c r="DP174" s="570"/>
      <c r="DQ174" s="570"/>
      <c r="DR174" s="570"/>
      <c r="DS174" s="570"/>
      <c r="DT174" s="570"/>
      <c r="DU174" s="570"/>
      <c r="DV174" s="570"/>
      <c r="DW174" s="570"/>
      <c r="DX174" s="570"/>
      <c r="DY174" s="570"/>
      <c r="DZ174" s="570"/>
      <c r="EA174" s="570"/>
      <c r="EB174" s="570"/>
      <c r="EC174" s="570"/>
      <c r="ED174" s="570"/>
      <c r="EE174" s="570"/>
      <c r="EF174" s="570"/>
      <c r="EG174" s="570"/>
      <c r="EH174" s="570"/>
      <c r="EI174" s="570"/>
      <c r="EJ174" s="570"/>
      <c r="EK174" s="570"/>
      <c r="EL174" s="570"/>
      <c r="EM174" s="570"/>
      <c r="EN174" s="570"/>
      <c r="EO174" s="570"/>
      <c r="EP174" s="570"/>
      <c r="EQ174" s="570"/>
      <c r="ER174" s="570"/>
      <c r="ES174" s="570"/>
      <c r="ET174" s="570"/>
      <c r="EU174" s="570"/>
      <c r="EV174" s="570"/>
      <c r="EW174" s="570"/>
      <c r="EX174" s="570"/>
      <c r="EY174" s="570"/>
      <c r="EZ174" s="570"/>
      <c r="FA174" s="570"/>
      <c r="FB174" s="570"/>
      <c r="FC174" s="570"/>
      <c r="FD174" s="570"/>
      <c r="FE174" s="570"/>
      <c r="FF174" s="570"/>
      <c r="FG174" s="570"/>
      <c r="FH174" s="570"/>
      <c r="FI174" s="570"/>
      <c r="FJ174" s="570"/>
      <c r="FK174" s="570"/>
      <c r="FL174" s="570"/>
      <c r="FM174" s="570"/>
      <c r="FN174" s="570"/>
      <c r="FO174" s="570"/>
      <c r="FP174" s="570"/>
      <c r="FQ174" s="570"/>
      <c r="FR174" s="570"/>
      <c r="FS174" s="570"/>
      <c r="FT174" s="570"/>
      <c r="FU174" s="570"/>
      <c r="FV174" s="570"/>
      <c r="FW174" s="570"/>
      <c r="FX174" s="570"/>
      <c r="FY174" s="571"/>
      <c r="FZ174" s="571"/>
      <c r="GA174" s="571"/>
      <c r="GB174" s="571"/>
      <c r="GC174" s="571"/>
      <c r="GD174" s="571"/>
      <c r="GE174" s="571"/>
      <c r="GF174" s="571"/>
      <c r="GG174" s="571"/>
      <c r="GH174" s="571"/>
      <c r="GI174" s="571"/>
      <c r="GJ174" s="571"/>
      <c r="GK174" s="571"/>
      <c r="GL174" s="571"/>
      <c r="GM174" s="571"/>
      <c r="GN174" s="571"/>
      <c r="GO174" s="571"/>
      <c r="GP174" s="570"/>
      <c r="GQ174" s="570"/>
      <c r="GR174" s="570"/>
      <c r="GS174" s="570"/>
      <c r="GT174" s="570"/>
      <c r="GU174" s="570"/>
      <c r="GV174" s="572"/>
      <c r="GW174" s="570"/>
      <c r="GX174" s="570"/>
      <c r="GY174" s="570"/>
      <c r="GZ174" s="570"/>
      <c r="HA174" s="570"/>
      <c r="HB174" s="570"/>
      <c r="HC174" s="570"/>
      <c r="HD174" s="570"/>
      <c r="HE174" s="570"/>
      <c r="HF174" s="570"/>
      <c r="HG174" s="570"/>
      <c r="HH174" s="570"/>
      <c r="HI174" s="570"/>
      <c r="HJ174" s="570"/>
      <c r="HK174" s="570"/>
      <c r="HL174" s="572"/>
      <c r="HM174" s="572"/>
      <c r="HN174" s="570"/>
      <c r="HO174" s="570"/>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70"/>
      <c r="W175" s="570"/>
      <c r="X175" s="570"/>
      <c r="Y175" s="570"/>
      <c r="Z175" s="570"/>
      <c r="AA175" s="570"/>
      <c r="AB175" s="570"/>
      <c r="AC175" s="570"/>
      <c r="AD175" s="570"/>
      <c r="AE175" s="570"/>
      <c r="AF175" s="570"/>
      <c r="AG175" s="570"/>
      <c r="AH175" s="570"/>
      <c r="AI175" s="570"/>
      <c r="AJ175" s="570"/>
      <c r="AK175" s="570"/>
      <c r="AL175" s="570"/>
      <c r="AM175" s="570"/>
      <c r="AN175" s="570"/>
      <c r="AO175" s="570"/>
      <c r="AP175" s="570"/>
      <c r="AQ175" s="570"/>
      <c r="AR175" s="570"/>
      <c r="AS175" s="570"/>
      <c r="AT175" s="570"/>
      <c r="AU175" s="570"/>
      <c r="AV175" s="570"/>
      <c r="AW175" s="570"/>
      <c r="AX175" s="570"/>
      <c r="AY175" s="570"/>
      <c r="AZ175" s="570"/>
      <c r="BA175" s="570"/>
      <c r="BB175" s="570"/>
      <c r="BC175" s="570"/>
      <c r="BD175" s="570"/>
      <c r="BE175" s="570"/>
      <c r="BF175" s="570"/>
      <c r="BG175" s="570"/>
      <c r="BH175" s="570"/>
      <c r="BI175" s="570"/>
      <c r="BJ175" s="570"/>
      <c r="BK175" s="570"/>
      <c r="BL175" s="570"/>
      <c r="BM175" s="570"/>
      <c r="BN175" s="570"/>
      <c r="BO175" s="570"/>
      <c r="BP175" s="570"/>
      <c r="BQ175" s="570"/>
      <c r="BR175" s="570"/>
      <c r="BS175" s="570"/>
      <c r="BT175" s="570"/>
      <c r="BU175" s="570"/>
      <c r="BV175" s="570"/>
      <c r="BW175" s="570"/>
      <c r="BX175" s="570"/>
      <c r="BY175" s="570"/>
      <c r="BZ175" s="570"/>
      <c r="CA175" s="570"/>
      <c r="CB175" s="570"/>
      <c r="CC175" s="570"/>
      <c r="CD175" s="570"/>
      <c r="CE175" s="570"/>
      <c r="CF175" s="570"/>
      <c r="CG175" s="570"/>
      <c r="CH175" s="570"/>
      <c r="CI175" s="570"/>
      <c r="CJ175" s="570"/>
      <c r="CK175" s="570"/>
      <c r="CL175" s="570"/>
      <c r="CM175" s="570"/>
      <c r="CN175" s="570"/>
      <c r="CO175" s="570"/>
      <c r="CP175" s="570"/>
      <c r="CQ175" s="570"/>
      <c r="CR175" s="570"/>
      <c r="CS175" s="570"/>
      <c r="CT175" s="570"/>
      <c r="CU175" s="570"/>
      <c r="CV175" s="570"/>
      <c r="CW175" s="570"/>
      <c r="CX175" s="570"/>
      <c r="CY175" s="570"/>
      <c r="CZ175" s="570"/>
      <c r="DA175" s="570"/>
      <c r="DB175" s="570"/>
      <c r="DC175" s="570"/>
      <c r="DD175" s="570"/>
      <c r="DE175" s="570"/>
      <c r="DF175" s="570"/>
      <c r="DG175" s="570"/>
      <c r="DH175" s="570"/>
      <c r="DI175" s="570"/>
      <c r="DJ175" s="570"/>
      <c r="DK175" s="570"/>
      <c r="DL175" s="570"/>
      <c r="DM175" s="570"/>
      <c r="DN175" s="570"/>
      <c r="DO175" s="570"/>
      <c r="DP175" s="570"/>
      <c r="DQ175" s="570"/>
      <c r="DR175" s="570"/>
      <c r="DS175" s="570"/>
      <c r="DT175" s="570"/>
      <c r="DU175" s="570"/>
      <c r="DV175" s="570"/>
      <c r="DW175" s="570"/>
      <c r="DX175" s="570"/>
      <c r="DY175" s="570"/>
      <c r="DZ175" s="570"/>
      <c r="EA175" s="570"/>
      <c r="EB175" s="570"/>
      <c r="EC175" s="570"/>
      <c r="ED175" s="570"/>
      <c r="EE175" s="570"/>
      <c r="EF175" s="570"/>
      <c r="EG175" s="570"/>
      <c r="EH175" s="570"/>
      <c r="EI175" s="570"/>
      <c r="EJ175" s="570"/>
      <c r="EK175" s="570"/>
      <c r="EL175" s="570"/>
      <c r="EM175" s="570"/>
      <c r="EN175" s="570"/>
      <c r="EO175" s="570"/>
      <c r="EP175" s="570"/>
      <c r="EQ175" s="570"/>
      <c r="ER175" s="570"/>
      <c r="ES175" s="570"/>
      <c r="ET175" s="570"/>
      <c r="EU175" s="570"/>
      <c r="EV175" s="570"/>
      <c r="EW175" s="570"/>
      <c r="EX175" s="570"/>
      <c r="EY175" s="570"/>
      <c r="EZ175" s="570"/>
      <c r="FA175" s="570"/>
      <c r="FB175" s="570"/>
      <c r="FC175" s="570"/>
      <c r="FD175" s="570"/>
      <c r="FE175" s="570"/>
      <c r="FF175" s="570"/>
      <c r="FG175" s="570"/>
      <c r="FH175" s="570"/>
      <c r="FI175" s="570"/>
      <c r="FJ175" s="570"/>
      <c r="FK175" s="570"/>
      <c r="FL175" s="570"/>
      <c r="FM175" s="570"/>
      <c r="FN175" s="570"/>
      <c r="FO175" s="570"/>
      <c r="FP175" s="570"/>
      <c r="FQ175" s="570"/>
      <c r="FR175" s="570"/>
      <c r="FS175" s="570"/>
      <c r="FT175" s="570"/>
      <c r="FU175" s="570"/>
      <c r="FV175" s="570"/>
      <c r="FW175" s="570"/>
      <c r="FX175" s="570"/>
      <c r="FY175" s="571"/>
      <c r="FZ175" s="571"/>
      <c r="GA175" s="571"/>
      <c r="GB175" s="571"/>
      <c r="GC175" s="571"/>
      <c r="GD175" s="571"/>
      <c r="GE175" s="571"/>
      <c r="GF175" s="571"/>
      <c r="GG175" s="571"/>
      <c r="GH175" s="571"/>
      <c r="GI175" s="571"/>
      <c r="GJ175" s="571"/>
      <c r="GK175" s="571"/>
      <c r="GL175" s="571"/>
      <c r="GM175" s="571"/>
      <c r="GN175" s="571"/>
      <c r="GO175" s="571"/>
      <c r="GP175" s="570"/>
      <c r="GQ175" s="570"/>
      <c r="GR175" s="570"/>
      <c r="GS175" s="570"/>
      <c r="GT175" s="570"/>
      <c r="GU175" s="570"/>
      <c r="GV175" s="572"/>
      <c r="GW175" s="570"/>
      <c r="GX175" s="570"/>
      <c r="GY175" s="570"/>
      <c r="GZ175" s="570"/>
      <c r="HA175" s="570"/>
      <c r="HB175" s="570"/>
      <c r="HC175" s="570"/>
      <c r="HD175" s="570"/>
      <c r="HE175" s="570"/>
      <c r="HF175" s="570"/>
      <c r="HG175" s="570"/>
      <c r="HH175" s="570"/>
      <c r="HI175" s="570"/>
      <c r="HJ175" s="570"/>
      <c r="HK175" s="570"/>
      <c r="HL175" s="572"/>
      <c r="HM175" s="572"/>
      <c r="HN175" s="570"/>
      <c r="HO175" s="570"/>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70"/>
      <c r="W176" s="570"/>
      <c r="X176" s="570"/>
      <c r="Y176" s="570"/>
      <c r="Z176" s="570"/>
      <c r="AA176" s="570"/>
      <c r="AB176" s="570"/>
      <c r="AC176" s="570"/>
      <c r="AD176" s="570"/>
      <c r="AE176" s="570"/>
      <c r="AF176" s="570"/>
      <c r="AG176" s="570"/>
      <c r="AH176" s="570"/>
      <c r="AI176" s="570"/>
      <c r="AJ176" s="570"/>
      <c r="AK176" s="570"/>
      <c r="AL176" s="570"/>
      <c r="AM176" s="570"/>
      <c r="AN176" s="570"/>
      <c r="AO176" s="570"/>
      <c r="AP176" s="570"/>
      <c r="AQ176" s="570"/>
      <c r="AR176" s="570"/>
      <c r="AS176" s="570"/>
      <c r="AT176" s="570"/>
      <c r="AU176" s="570"/>
      <c r="AV176" s="570"/>
      <c r="AW176" s="570"/>
      <c r="AX176" s="570"/>
      <c r="AY176" s="570"/>
      <c r="AZ176" s="570"/>
      <c r="BA176" s="570"/>
      <c r="BB176" s="570"/>
      <c r="BC176" s="570"/>
      <c r="BD176" s="570"/>
      <c r="BE176" s="570"/>
      <c r="BF176" s="570"/>
      <c r="BG176" s="570"/>
      <c r="BH176" s="570"/>
      <c r="BI176" s="570"/>
      <c r="BJ176" s="570"/>
      <c r="BK176" s="570"/>
      <c r="BL176" s="570"/>
      <c r="BM176" s="570"/>
      <c r="BN176" s="570"/>
      <c r="BO176" s="570"/>
      <c r="BP176" s="570"/>
      <c r="BQ176" s="570"/>
      <c r="BR176" s="570"/>
      <c r="BS176" s="570"/>
      <c r="BT176" s="570"/>
      <c r="BU176" s="570"/>
      <c r="BV176" s="570"/>
      <c r="BW176" s="570"/>
      <c r="BX176" s="570"/>
      <c r="BY176" s="570"/>
      <c r="BZ176" s="570"/>
      <c r="CA176" s="570"/>
      <c r="CB176" s="570"/>
      <c r="CC176" s="570"/>
      <c r="CD176" s="570"/>
      <c r="CE176" s="570"/>
      <c r="CF176" s="570"/>
      <c r="CG176" s="570"/>
      <c r="CH176" s="570"/>
      <c r="CI176" s="570"/>
      <c r="CJ176" s="570"/>
      <c r="CK176" s="570"/>
      <c r="CL176" s="570"/>
      <c r="CM176" s="570"/>
      <c r="CN176" s="570"/>
      <c r="CO176" s="570"/>
      <c r="CP176" s="570"/>
      <c r="CQ176" s="570"/>
      <c r="CR176" s="570"/>
      <c r="CS176" s="570"/>
      <c r="CT176" s="570"/>
      <c r="CU176" s="570"/>
      <c r="CV176" s="570"/>
      <c r="CW176" s="570"/>
      <c r="CX176" s="570"/>
      <c r="CY176" s="570"/>
      <c r="CZ176" s="570"/>
      <c r="DA176" s="570"/>
      <c r="DB176" s="570"/>
      <c r="DC176" s="570"/>
      <c r="DD176" s="570"/>
      <c r="DE176" s="570"/>
      <c r="DF176" s="570"/>
      <c r="DG176" s="570"/>
      <c r="DH176" s="570"/>
      <c r="DI176" s="570"/>
      <c r="DJ176" s="570"/>
      <c r="DK176" s="570"/>
      <c r="DL176" s="570"/>
      <c r="DM176" s="570"/>
      <c r="DN176" s="570"/>
      <c r="DO176" s="570"/>
      <c r="DP176" s="570"/>
      <c r="DQ176" s="570"/>
      <c r="DR176" s="570"/>
      <c r="DS176" s="570"/>
      <c r="DT176" s="570"/>
      <c r="DU176" s="570"/>
      <c r="DV176" s="570"/>
      <c r="DW176" s="570"/>
      <c r="DX176" s="570"/>
      <c r="DY176" s="570"/>
      <c r="DZ176" s="570"/>
      <c r="EA176" s="570"/>
      <c r="EB176" s="570"/>
      <c r="EC176" s="570"/>
      <c r="ED176" s="570"/>
      <c r="EE176" s="570"/>
      <c r="EF176" s="570"/>
      <c r="EG176" s="570"/>
      <c r="EH176" s="570"/>
      <c r="EI176" s="570"/>
      <c r="EJ176" s="570"/>
      <c r="EK176" s="570"/>
      <c r="EL176" s="570"/>
      <c r="EM176" s="570"/>
      <c r="EN176" s="570"/>
      <c r="EO176" s="570"/>
      <c r="EP176" s="570"/>
      <c r="EQ176" s="570"/>
      <c r="ER176" s="570"/>
      <c r="ES176" s="570"/>
      <c r="ET176" s="570"/>
      <c r="EU176" s="570"/>
      <c r="EV176" s="570"/>
      <c r="EW176" s="570"/>
      <c r="EX176" s="570"/>
      <c r="EY176" s="570"/>
      <c r="EZ176" s="570"/>
      <c r="FA176" s="570"/>
      <c r="FB176" s="570"/>
      <c r="FC176" s="570"/>
      <c r="FD176" s="570"/>
      <c r="FE176" s="570"/>
      <c r="FF176" s="570"/>
      <c r="FG176" s="570"/>
      <c r="FH176" s="570"/>
      <c r="FI176" s="570"/>
      <c r="FJ176" s="570"/>
      <c r="FK176" s="570"/>
      <c r="FL176" s="570"/>
      <c r="FM176" s="570"/>
      <c r="FN176" s="570"/>
      <c r="FO176" s="570"/>
      <c r="FP176" s="570"/>
      <c r="FQ176" s="570"/>
      <c r="FR176" s="570"/>
      <c r="FS176" s="570"/>
      <c r="FT176" s="570"/>
      <c r="FU176" s="570"/>
      <c r="FV176" s="570"/>
      <c r="FW176" s="570"/>
      <c r="FX176" s="570"/>
      <c r="FY176" s="571"/>
      <c r="FZ176" s="571"/>
      <c r="GA176" s="571"/>
      <c r="GB176" s="571"/>
      <c r="GC176" s="571"/>
      <c r="GD176" s="571"/>
      <c r="GE176" s="571"/>
      <c r="GF176" s="571"/>
      <c r="GG176" s="571"/>
      <c r="GH176" s="571"/>
      <c r="GI176" s="571"/>
      <c r="GJ176" s="571"/>
      <c r="GK176" s="571"/>
      <c r="GL176" s="571"/>
      <c r="GM176" s="571"/>
      <c r="GN176" s="571"/>
      <c r="GO176" s="571"/>
      <c r="GP176" s="570"/>
      <c r="GQ176" s="570"/>
      <c r="GR176" s="570"/>
      <c r="GS176" s="570"/>
      <c r="GT176" s="570"/>
      <c r="GU176" s="570"/>
      <c r="GV176" s="572"/>
      <c r="GW176" s="570"/>
      <c r="GX176" s="570"/>
      <c r="GY176" s="570"/>
      <c r="GZ176" s="570"/>
      <c r="HA176" s="570"/>
      <c r="HB176" s="570"/>
      <c r="HC176" s="570"/>
      <c r="HD176" s="570"/>
      <c r="HE176" s="570"/>
      <c r="HF176" s="570"/>
      <c r="HG176" s="570"/>
      <c r="HH176" s="570"/>
      <c r="HI176" s="570"/>
      <c r="HJ176" s="570"/>
      <c r="HK176" s="570"/>
      <c r="HL176" s="572"/>
      <c r="HM176" s="572"/>
      <c r="HN176" s="570"/>
      <c r="HO176" s="570"/>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70"/>
      <c r="W177" s="570"/>
      <c r="X177" s="570"/>
      <c r="Y177" s="570"/>
      <c r="Z177" s="570"/>
      <c r="AA177" s="570"/>
      <c r="AB177" s="570"/>
      <c r="AC177" s="570"/>
      <c r="AD177" s="570"/>
      <c r="AE177" s="570"/>
      <c r="AF177" s="570"/>
      <c r="AG177" s="570"/>
      <c r="AH177" s="570"/>
      <c r="AI177" s="570"/>
      <c r="AJ177" s="570"/>
      <c r="AK177" s="570"/>
      <c r="AL177" s="570"/>
      <c r="AM177" s="570"/>
      <c r="AN177" s="570"/>
      <c r="AO177" s="570"/>
      <c r="AP177" s="570"/>
      <c r="AQ177" s="570"/>
      <c r="AR177" s="570"/>
      <c r="AS177" s="570"/>
      <c r="AT177" s="570"/>
      <c r="AU177" s="570"/>
      <c r="AV177" s="570"/>
      <c r="AW177" s="570"/>
      <c r="AX177" s="570"/>
      <c r="AY177" s="570"/>
      <c r="AZ177" s="570"/>
      <c r="BA177" s="570"/>
      <c r="BB177" s="570"/>
      <c r="BC177" s="570"/>
      <c r="BD177" s="570"/>
      <c r="BE177" s="570"/>
      <c r="BF177" s="570"/>
      <c r="BG177" s="570"/>
      <c r="BH177" s="570"/>
      <c r="BI177" s="570"/>
      <c r="BJ177" s="570"/>
      <c r="BK177" s="570"/>
      <c r="BL177" s="570"/>
      <c r="BM177" s="570"/>
      <c r="BN177" s="570"/>
      <c r="BO177" s="570"/>
      <c r="BP177" s="570"/>
      <c r="BQ177" s="570"/>
      <c r="BR177" s="570"/>
      <c r="BS177" s="570"/>
      <c r="BT177" s="570"/>
      <c r="BU177" s="570"/>
      <c r="BV177" s="570"/>
      <c r="BW177" s="570"/>
      <c r="BX177" s="570"/>
      <c r="BY177" s="570"/>
      <c r="BZ177" s="570"/>
      <c r="CA177" s="570"/>
      <c r="CB177" s="570"/>
      <c r="CC177" s="570"/>
      <c r="CD177" s="570"/>
      <c r="CE177" s="570"/>
      <c r="CF177" s="570"/>
      <c r="CG177" s="570"/>
      <c r="CH177" s="570"/>
      <c r="CI177" s="570"/>
      <c r="CJ177" s="570"/>
      <c r="CK177" s="570"/>
      <c r="CL177" s="570"/>
      <c r="CM177" s="570"/>
      <c r="CN177" s="570"/>
      <c r="CO177" s="570"/>
      <c r="CP177" s="570"/>
      <c r="CQ177" s="570"/>
      <c r="CR177" s="570"/>
      <c r="CS177" s="570"/>
      <c r="CT177" s="570"/>
      <c r="CU177" s="570"/>
      <c r="CV177" s="570"/>
      <c r="CW177" s="570"/>
      <c r="CX177" s="570"/>
      <c r="CY177" s="570"/>
      <c r="CZ177" s="570"/>
      <c r="DA177" s="570"/>
      <c r="DB177" s="570"/>
      <c r="DC177" s="570"/>
      <c r="DD177" s="570"/>
      <c r="DE177" s="570"/>
      <c r="DF177" s="570"/>
      <c r="DG177" s="570"/>
      <c r="DH177" s="570"/>
      <c r="DI177" s="570"/>
      <c r="DJ177" s="570"/>
      <c r="DK177" s="570"/>
      <c r="DL177" s="570"/>
      <c r="DM177" s="570"/>
      <c r="DN177" s="570"/>
      <c r="DO177" s="570"/>
      <c r="DP177" s="570"/>
      <c r="DQ177" s="570"/>
      <c r="DR177" s="570"/>
      <c r="DS177" s="570"/>
      <c r="DT177" s="570"/>
      <c r="DU177" s="570"/>
      <c r="DV177" s="570"/>
      <c r="DW177" s="570"/>
      <c r="DX177" s="570"/>
      <c r="DY177" s="570"/>
      <c r="DZ177" s="570"/>
      <c r="EA177" s="570"/>
      <c r="EB177" s="570"/>
      <c r="EC177" s="570"/>
      <c r="ED177" s="570"/>
      <c r="EE177" s="570"/>
      <c r="EF177" s="570"/>
      <c r="EG177" s="570"/>
      <c r="EH177" s="570"/>
      <c r="EI177" s="570"/>
      <c r="EJ177" s="570"/>
      <c r="EK177" s="570"/>
      <c r="EL177" s="570"/>
      <c r="EM177" s="570"/>
      <c r="EN177" s="570"/>
      <c r="EO177" s="570"/>
      <c r="EP177" s="570"/>
      <c r="EQ177" s="570"/>
      <c r="ER177" s="570"/>
      <c r="ES177" s="570"/>
      <c r="ET177" s="570"/>
      <c r="EU177" s="570"/>
      <c r="EV177" s="570"/>
      <c r="EW177" s="570"/>
      <c r="EX177" s="570"/>
      <c r="EY177" s="570"/>
      <c r="EZ177" s="570"/>
      <c r="FA177" s="570"/>
      <c r="FB177" s="570"/>
      <c r="FC177" s="570"/>
      <c r="FD177" s="570"/>
      <c r="FE177" s="570"/>
      <c r="FF177" s="570"/>
      <c r="FG177" s="570"/>
      <c r="FH177" s="570"/>
      <c r="FI177" s="570"/>
      <c r="FJ177" s="570"/>
      <c r="FK177" s="570"/>
      <c r="FL177" s="570"/>
      <c r="FM177" s="570"/>
      <c r="FN177" s="570"/>
      <c r="FO177" s="570"/>
      <c r="FP177" s="570"/>
      <c r="FQ177" s="570"/>
      <c r="FR177" s="570"/>
      <c r="FS177" s="570"/>
      <c r="FT177" s="570"/>
      <c r="FU177" s="570"/>
      <c r="FV177" s="570"/>
      <c r="FW177" s="570"/>
      <c r="FX177" s="570"/>
      <c r="FY177" s="571"/>
      <c r="FZ177" s="571"/>
      <c r="GA177" s="571"/>
      <c r="GB177" s="571"/>
      <c r="GC177" s="571"/>
      <c r="GD177" s="571"/>
      <c r="GE177" s="571"/>
      <c r="GF177" s="571"/>
      <c r="GG177" s="571"/>
      <c r="GH177" s="571"/>
      <c r="GI177" s="571"/>
      <c r="GJ177" s="571"/>
      <c r="GK177" s="571"/>
      <c r="GL177" s="571"/>
      <c r="GM177" s="571"/>
      <c r="GN177" s="571"/>
      <c r="GO177" s="571"/>
      <c r="GP177" s="570"/>
      <c r="GQ177" s="570"/>
      <c r="GR177" s="570"/>
      <c r="GS177" s="570"/>
      <c r="GT177" s="570"/>
      <c r="GU177" s="570"/>
      <c r="GV177" s="572"/>
      <c r="GW177" s="570"/>
      <c r="GX177" s="570"/>
      <c r="GY177" s="570"/>
      <c r="GZ177" s="570"/>
      <c r="HA177" s="570"/>
      <c r="HB177" s="570"/>
      <c r="HC177" s="570"/>
      <c r="HD177" s="570"/>
      <c r="HE177" s="570"/>
      <c r="HF177" s="570"/>
      <c r="HG177" s="570"/>
      <c r="HH177" s="570"/>
      <c r="HI177" s="570"/>
      <c r="HJ177" s="570"/>
      <c r="HK177" s="570"/>
      <c r="HL177" s="572"/>
      <c r="HM177" s="572"/>
      <c r="HN177" s="570"/>
      <c r="HO177" s="570"/>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70"/>
      <c r="W178" s="570"/>
      <c r="X178" s="570"/>
      <c r="Y178" s="570"/>
      <c r="Z178" s="570"/>
      <c r="AA178" s="570"/>
      <c r="AB178" s="570"/>
      <c r="AC178" s="570"/>
      <c r="AD178" s="570"/>
      <c r="AE178" s="570"/>
      <c r="AF178" s="570"/>
      <c r="AG178" s="570"/>
      <c r="AH178" s="570"/>
      <c r="AI178" s="570"/>
      <c r="AJ178" s="570"/>
      <c r="AK178" s="570"/>
      <c r="AL178" s="570"/>
      <c r="AM178" s="570"/>
      <c r="AN178" s="570"/>
      <c r="AO178" s="570"/>
      <c r="AP178" s="570"/>
      <c r="AQ178" s="570"/>
      <c r="AR178" s="570"/>
      <c r="AS178" s="570"/>
      <c r="AT178" s="570"/>
      <c r="AU178" s="570"/>
      <c r="AV178" s="570"/>
      <c r="AW178" s="570"/>
      <c r="AX178" s="570"/>
      <c r="AY178" s="570"/>
      <c r="AZ178" s="570"/>
      <c r="BA178" s="570"/>
      <c r="BB178" s="570"/>
      <c r="BC178" s="570"/>
      <c r="BD178" s="570"/>
      <c r="BE178" s="570"/>
      <c r="BF178" s="570"/>
      <c r="BG178" s="570"/>
      <c r="BH178" s="570"/>
      <c r="BI178" s="570"/>
      <c r="BJ178" s="570"/>
      <c r="BK178" s="570"/>
      <c r="BL178" s="570"/>
      <c r="BM178" s="570"/>
      <c r="BN178" s="570"/>
      <c r="BO178" s="570"/>
      <c r="BP178" s="570"/>
      <c r="BQ178" s="570"/>
      <c r="BR178" s="570"/>
      <c r="BS178" s="570"/>
      <c r="BT178" s="570"/>
      <c r="BU178" s="570"/>
      <c r="BV178" s="570"/>
      <c r="BW178" s="570"/>
      <c r="BX178" s="570"/>
      <c r="BY178" s="570"/>
      <c r="BZ178" s="570"/>
      <c r="CA178" s="570"/>
      <c r="CB178" s="570"/>
      <c r="CC178" s="570"/>
      <c r="CD178" s="570"/>
      <c r="CE178" s="570"/>
      <c r="CF178" s="570"/>
      <c r="CG178" s="570"/>
      <c r="CH178" s="570"/>
      <c r="CI178" s="570"/>
      <c r="CJ178" s="570"/>
      <c r="CK178" s="570"/>
      <c r="CL178" s="570"/>
      <c r="CM178" s="570"/>
      <c r="CN178" s="570"/>
      <c r="CO178" s="570"/>
      <c r="CP178" s="570"/>
      <c r="CQ178" s="570"/>
      <c r="CR178" s="570"/>
      <c r="CS178" s="570"/>
      <c r="CT178" s="570"/>
      <c r="CU178" s="570"/>
      <c r="CV178" s="570"/>
      <c r="CW178" s="570"/>
      <c r="CX178" s="570"/>
      <c r="CY178" s="570"/>
      <c r="CZ178" s="570"/>
      <c r="DA178" s="570"/>
      <c r="DB178" s="570"/>
      <c r="DC178" s="570"/>
      <c r="DD178" s="570"/>
      <c r="DE178" s="570"/>
      <c r="DF178" s="570"/>
      <c r="DG178" s="570"/>
      <c r="DH178" s="570"/>
      <c r="DI178" s="570"/>
      <c r="DJ178" s="570"/>
      <c r="DK178" s="570"/>
      <c r="DL178" s="570"/>
      <c r="DM178" s="570"/>
      <c r="DN178" s="570"/>
      <c r="DO178" s="570"/>
      <c r="DP178" s="570"/>
      <c r="DQ178" s="570"/>
      <c r="DR178" s="570"/>
      <c r="DS178" s="570"/>
      <c r="DT178" s="570"/>
      <c r="DU178" s="570"/>
      <c r="DV178" s="570"/>
      <c r="DW178" s="570"/>
      <c r="DX178" s="570"/>
      <c r="DY178" s="570"/>
      <c r="DZ178" s="570"/>
      <c r="EA178" s="570"/>
      <c r="EB178" s="570"/>
      <c r="EC178" s="570"/>
      <c r="ED178" s="570"/>
      <c r="EE178" s="570"/>
      <c r="EF178" s="570"/>
      <c r="EG178" s="570"/>
      <c r="EH178" s="570"/>
      <c r="EI178" s="570"/>
      <c r="EJ178" s="570"/>
      <c r="EK178" s="570"/>
      <c r="EL178" s="570"/>
      <c r="EM178" s="570"/>
      <c r="EN178" s="570"/>
      <c r="EO178" s="570"/>
      <c r="EP178" s="570"/>
      <c r="EQ178" s="570"/>
      <c r="ER178" s="570"/>
      <c r="ES178" s="570"/>
      <c r="ET178" s="570"/>
      <c r="EU178" s="570"/>
      <c r="EV178" s="570"/>
      <c r="EW178" s="570"/>
      <c r="EX178" s="570"/>
      <c r="EY178" s="570"/>
      <c r="EZ178" s="570"/>
      <c r="FA178" s="570"/>
      <c r="FB178" s="570"/>
      <c r="FC178" s="570"/>
      <c r="FD178" s="570"/>
      <c r="FE178" s="570"/>
      <c r="FF178" s="570"/>
      <c r="FG178" s="570"/>
      <c r="FH178" s="570"/>
      <c r="FI178" s="570"/>
      <c r="FJ178" s="570"/>
      <c r="FK178" s="570"/>
      <c r="FL178" s="570"/>
      <c r="FM178" s="570"/>
      <c r="FN178" s="570"/>
      <c r="FO178" s="570"/>
      <c r="FP178" s="570"/>
      <c r="FQ178" s="570"/>
      <c r="FR178" s="570"/>
      <c r="FS178" s="570"/>
      <c r="FT178" s="570"/>
      <c r="FU178" s="570"/>
      <c r="FV178" s="570"/>
      <c r="FW178" s="570"/>
      <c r="FX178" s="570"/>
      <c r="FY178" s="571"/>
      <c r="FZ178" s="571"/>
      <c r="GA178" s="571"/>
      <c r="GB178" s="571"/>
      <c r="GC178" s="571"/>
      <c r="GD178" s="571"/>
      <c r="GE178" s="571"/>
      <c r="GF178" s="571"/>
      <c r="GG178" s="571"/>
      <c r="GH178" s="571"/>
      <c r="GI178" s="571"/>
      <c r="GJ178" s="571"/>
      <c r="GK178" s="571"/>
      <c r="GL178" s="571"/>
      <c r="GM178" s="571"/>
      <c r="GN178" s="571"/>
      <c r="GO178" s="571"/>
      <c r="GP178" s="570"/>
      <c r="GQ178" s="570"/>
      <c r="GR178" s="570"/>
      <c r="GS178" s="570"/>
      <c r="GT178" s="570"/>
      <c r="GU178" s="570"/>
      <c r="GV178" s="572"/>
      <c r="GW178" s="570"/>
      <c r="GX178" s="570"/>
      <c r="GY178" s="570"/>
      <c r="GZ178" s="570"/>
      <c r="HA178" s="570"/>
      <c r="HB178" s="570"/>
      <c r="HC178" s="570"/>
      <c r="HD178" s="570"/>
      <c r="HE178" s="570"/>
      <c r="HF178" s="570"/>
      <c r="HG178" s="570"/>
      <c r="HH178" s="570"/>
      <c r="HI178" s="570"/>
      <c r="HJ178" s="570"/>
      <c r="HK178" s="570"/>
      <c r="HL178" s="572"/>
      <c r="HM178" s="572"/>
      <c r="HN178" s="570"/>
      <c r="HO178" s="570"/>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70"/>
      <c r="W179" s="570"/>
      <c r="X179" s="570"/>
      <c r="Y179" s="570"/>
      <c r="Z179" s="570"/>
      <c r="AA179" s="570"/>
      <c r="AB179" s="570"/>
      <c r="AC179" s="570"/>
      <c r="AD179" s="570"/>
      <c r="AE179" s="570"/>
      <c r="AF179" s="570"/>
      <c r="AG179" s="570"/>
      <c r="AH179" s="570"/>
      <c r="AI179" s="570"/>
      <c r="AJ179" s="570"/>
      <c r="AK179" s="570"/>
      <c r="AL179" s="570"/>
      <c r="AM179" s="570"/>
      <c r="AN179" s="570"/>
      <c r="AO179" s="570"/>
      <c r="AP179" s="570"/>
      <c r="AQ179" s="570"/>
      <c r="AR179" s="570"/>
      <c r="AS179" s="570"/>
      <c r="AT179" s="570"/>
      <c r="AU179" s="570"/>
      <c r="AV179" s="570"/>
      <c r="AW179" s="570"/>
      <c r="AX179" s="570"/>
      <c r="AY179" s="570"/>
      <c r="AZ179" s="570"/>
      <c r="BA179" s="570"/>
      <c r="BB179" s="570"/>
      <c r="BC179" s="570"/>
      <c r="BD179" s="570"/>
      <c r="BE179" s="570"/>
      <c r="BF179" s="570"/>
      <c r="BG179" s="570"/>
      <c r="BH179" s="570"/>
      <c r="BI179" s="570"/>
      <c r="BJ179" s="570"/>
      <c r="BK179" s="570"/>
      <c r="BL179" s="570"/>
      <c r="BM179" s="570"/>
      <c r="BN179" s="570"/>
      <c r="BO179" s="570"/>
      <c r="BP179" s="570"/>
      <c r="BQ179" s="570"/>
      <c r="BR179" s="570"/>
      <c r="BS179" s="570"/>
      <c r="BT179" s="570"/>
      <c r="BU179" s="570"/>
      <c r="BV179" s="570"/>
      <c r="BW179" s="570"/>
      <c r="BX179" s="570"/>
      <c r="BY179" s="570"/>
      <c r="BZ179" s="570"/>
      <c r="CA179" s="570"/>
      <c r="CB179" s="570"/>
      <c r="CC179" s="570"/>
      <c r="CD179" s="570"/>
      <c r="CE179" s="570"/>
      <c r="CF179" s="570"/>
      <c r="CG179" s="570"/>
      <c r="CH179" s="570"/>
      <c r="CI179" s="570"/>
      <c r="CJ179" s="570"/>
      <c r="CK179" s="570"/>
      <c r="CL179" s="570"/>
      <c r="CM179" s="570"/>
      <c r="CN179" s="570"/>
      <c r="CO179" s="570"/>
      <c r="CP179" s="570"/>
      <c r="CQ179" s="570"/>
      <c r="CR179" s="570"/>
      <c r="CS179" s="570"/>
      <c r="CT179" s="570"/>
      <c r="CU179" s="570"/>
      <c r="CV179" s="570"/>
      <c r="CW179" s="570"/>
      <c r="CX179" s="570"/>
      <c r="CY179" s="570"/>
      <c r="CZ179" s="570"/>
      <c r="DA179" s="570"/>
      <c r="DB179" s="570"/>
      <c r="DC179" s="570"/>
      <c r="DD179" s="570"/>
      <c r="DE179" s="570"/>
      <c r="DF179" s="570"/>
      <c r="DG179" s="570"/>
      <c r="DH179" s="570"/>
      <c r="DI179" s="570"/>
      <c r="DJ179" s="570"/>
      <c r="DK179" s="570"/>
      <c r="DL179" s="570"/>
      <c r="DM179" s="570"/>
      <c r="DN179" s="570"/>
      <c r="DO179" s="570"/>
      <c r="DP179" s="570"/>
      <c r="DQ179" s="570"/>
      <c r="DR179" s="570"/>
      <c r="DS179" s="570"/>
      <c r="DT179" s="570"/>
      <c r="DU179" s="570"/>
      <c r="DV179" s="570"/>
      <c r="DW179" s="570"/>
      <c r="DX179" s="570"/>
      <c r="DY179" s="570"/>
      <c r="DZ179" s="570"/>
      <c r="EA179" s="570"/>
      <c r="EB179" s="570"/>
      <c r="EC179" s="570"/>
      <c r="ED179" s="570"/>
      <c r="EE179" s="570"/>
      <c r="EF179" s="570"/>
      <c r="EG179" s="570"/>
      <c r="EH179" s="570"/>
      <c r="EI179" s="570"/>
      <c r="EJ179" s="570"/>
      <c r="EK179" s="570"/>
      <c r="EL179" s="570"/>
      <c r="EM179" s="570"/>
      <c r="EN179" s="570"/>
      <c r="EO179" s="570"/>
      <c r="EP179" s="570"/>
      <c r="EQ179" s="570"/>
      <c r="ER179" s="570"/>
      <c r="ES179" s="570"/>
      <c r="ET179" s="570"/>
      <c r="EU179" s="570"/>
      <c r="EV179" s="570"/>
      <c r="EW179" s="570"/>
      <c r="EX179" s="570"/>
      <c r="EY179" s="570"/>
      <c r="EZ179" s="570"/>
      <c r="FA179" s="570"/>
      <c r="FB179" s="570"/>
      <c r="FC179" s="570"/>
      <c r="FD179" s="570"/>
      <c r="FE179" s="570"/>
      <c r="FF179" s="570"/>
      <c r="FG179" s="570"/>
      <c r="FH179" s="570"/>
      <c r="FI179" s="570"/>
      <c r="FJ179" s="570"/>
      <c r="FK179" s="570"/>
      <c r="FL179" s="570"/>
      <c r="FM179" s="570"/>
      <c r="FN179" s="570"/>
      <c r="FO179" s="570"/>
      <c r="FP179" s="570"/>
      <c r="FQ179" s="570"/>
      <c r="FR179" s="570"/>
      <c r="FS179" s="570"/>
      <c r="FT179" s="570"/>
      <c r="FU179" s="570"/>
      <c r="FV179" s="570"/>
      <c r="FW179" s="570"/>
      <c r="FX179" s="570"/>
      <c r="FY179" s="571"/>
      <c r="FZ179" s="571"/>
      <c r="GA179" s="571"/>
      <c r="GB179" s="571"/>
      <c r="GC179" s="571"/>
      <c r="GD179" s="571"/>
      <c r="GE179" s="571"/>
      <c r="GF179" s="571"/>
      <c r="GG179" s="571"/>
      <c r="GH179" s="571"/>
      <c r="GI179" s="571"/>
      <c r="GJ179" s="571"/>
      <c r="GK179" s="571"/>
      <c r="GL179" s="571"/>
      <c r="GM179" s="571"/>
      <c r="GN179" s="571"/>
      <c r="GO179" s="571"/>
      <c r="GP179" s="570"/>
      <c r="GQ179" s="570"/>
      <c r="GR179" s="570"/>
      <c r="GS179" s="570"/>
      <c r="GT179" s="570"/>
      <c r="GU179" s="570"/>
      <c r="GV179" s="572"/>
      <c r="GW179" s="570"/>
      <c r="GX179" s="570"/>
      <c r="GY179" s="570"/>
      <c r="GZ179" s="570"/>
      <c r="HA179" s="570"/>
      <c r="HB179" s="570"/>
      <c r="HC179" s="570"/>
      <c r="HD179" s="570"/>
      <c r="HE179" s="570"/>
      <c r="HF179" s="570"/>
      <c r="HG179" s="570"/>
      <c r="HH179" s="570"/>
      <c r="HI179" s="570"/>
      <c r="HJ179" s="570"/>
      <c r="HK179" s="570"/>
      <c r="HL179" s="572"/>
      <c r="HM179" s="572"/>
      <c r="HN179" s="570"/>
      <c r="HO179" s="570"/>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70"/>
      <c r="W184" s="570"/>
      <c r="X184" s="570"/>
      <c r="Y184" s="570"/>
      <c r="Z184" s="570"/>
      <c r="AA184" s="570"/>
      <c r="AB184" s="570"/>
      <c r="AC184" s="570"/>
      <c r="AD184" s="570"/>
      <c r="AE184" s="570"/>
      <c r="AF184" s="570"/>
      <c r="AG184" s="570"/>
      <c r="AH184" s="570"/>
      <c r="AI184" s="570"/>
      <c r="AJ184" s="570"/>
      <c r="AK184" s="570"/>
      <c r="AL184" s="570"/>
      <c r="AM184" s="570"/>
      <c r="AN184" s="570"/>
      <c r="AO184" s="570"/>
      <c r="AP184" s="570"/>
      <c r="AQ184" s="570"/>
      <c r="AR184" s="570"/>
      <c r="AS184" s="570"/>
      <c r="AT184" s="570"/>
      <c r="AU184" s="570"/>
      <c r="AV184" s="570"/>
      <c r="AW184" s="570"/>
      <c r="AX184" s="570"/>
      <c r="AY184" s="570"/>
      <c r="AZ184" s="570"/>
      <c r="BA184" s="570"/>
      <c r="BB184" s="570"/>
      <c r="BC184" s="570"/>
      <c r="BD184" s="570"/>
      <c r="BE184" s="570"/>
      <c r="BF184" s="570"/>
      <c r="BG184" s="570"/>
      <c r="BH184" s="570"/>
      <c r="BI184" s="570"/>
      <c r="BJ184" s="570"/>
      <c r="BK184" s="570"/>
      <c r="BL184" s="570"/>
      <c r="BM184" s="570"/>
      <c r="BN184" s="570"/>
      <c r="BO184" s="570"/>
      <c r="BP184" s="570"/>
      <c r="BQ184" s="570"/>
      <c r="BR184" s="570"/>
      <c r="BS184" s="570"/>
      <c r="BT184" s="570"/>
      <c r="BU184" s="570"/>
      <c r="BV184" s="570"/>
      <c r="BW184" s="570"/>
      <c r="BX184" s="570"/>
      <c r="BY184" s="570"/>
      <c r="BZ184" s="570"/>
      <c r="CA184" s="570"/>
      <c r="CB184" s="570"/>
      <c r="CC184" s="570"/>
      <c r="CD184" s="570"/>
      <c r="CE184" s="570"/>
      <c r="CF184" s="570"/>
      <c r="CG184" s="570"/>
      <c r="CH184" s="570"/>
      <c r="CI184" s="570"/>
      <c r="CJ184" s="570"/>
      <c r="CK184" s="570"/>
      <c r="CL184" s="570"/>
      <c r="CM184" s="570"/>
      <c r="CN184" s="570"/>
      <c r="CO184" s="570"/>
      <c r="CP184" s="570"/>
      <c r="CQ184" s="570"/>
      <c r="CR184" s="570"/>
      <c r="CS184" s="570"/>
      <c r="CT184" s="570"/>
      <c r="CU184" s="570"/>
      <c r="CV184" s="570"/>
      <c r="CW184" s="570"/>
      <c r="CX184" s="570"/>
      <c r="CY184" s="570"/>
      <c r="CZ184" s="570"/>
      <c r="DA184" s="570"/>
      <c r="DB184" s="570"/>
      <c r="DC184" s="570"/>
      <c r="DD184" s="570"/>
      <c r="DE184" s="570"/>
      <c r="DF184" s="570"/>
      <c r="DG184" s="570"/>
      <c r="DH184" s="570"/>
      <c r="DI184" s="570"/>
      <c r="DJ184" s="570"/>
      <c r="DK184" s="570"/>
      <c r="DL184" s="570"/>
      <c r="DM184" s="570"/>
      <c r="DN184" s="570"/>
      <c r="DO184" s="570"/>
      <c r="DP184" s="570"/>
      <c r="DQ184" s="570"/>
      <c r="DR184" s="570"/>
      <c r="DS184" s="570"/>
      <c r="DT184" s="570"/>
      <c r="DU184" s="570"/>
      <c r="DV184" s="570"/>
      <c r="DW184" s="570"/>
      <c r="DX184" s="570"/>
      <c r="DY184" s="570"/>
      <c r="DZ184" s="570"/>
      <c r="EA184" s="570"/>
      <c r="EB184" s="570"/>
      <c r="EC184" s="570"/>
      <c r="ED184" s="570"/>
      <c r="EE184" s="570"/>
      <c r="EF184" s="570"/>
      <c r="EG184" s="570"/>
      <c r="EH184" s="570"/>
      <c r="EI184" s="570"/>
      <c r="EJ184" s="570"/>
      <c r="EK184" s="570"/>
      <c r="EL184" s="570"/>
      <c r="EM184" s="570"/>
      <c r="EN184" s="570"/>
      <c r="EO184" s="570"/>
      <c r="EP184" s="570"/>
      <c r="EQ184" s="570"/>
      <c r="ER184" s="570"/>
      <c r="ES184" s="570"/>
      <c r="ET184" s="570"/>
      <c r="EU184" s="570"/>
      <c r="EV184" s="570"/>
      <c r="EW184" s="570"/>
      <c r="EX184" s="570"/>
      <c r="EY184" s="570"/>
      <c r="EZ184" s="570"/>
      <c r="FA184" s="570"/>
      <c r="FB184" s="570"/>
      <c r="FC184" s="570"/>
      <c r="FD184" s="570"/>
      <c r="FE184" s="570"/>
      <c r="FF184" s="570"/>
      <c r="FG184" s="570"/>
      <c r="FH184" s="570"/>
      <c r="FI184" s="570"/>
      <c r="FJ184" s="570"/>
      <c r="FK184" s="570"/>
      <c r="FL184" s="570"/>
      <c r="FM184" s="570"/>
      <c r="FN184" s="570"/>
      <c r="FO184" s="570"/>
      <c r="FP184" s="570"/>
      <c r="FQ184" s="570"/>
      <c r="FR184" s="570"/>
      <c r="FS184" s="570"/>
      <c r="FT184" s="570"/>
      <c r="FU184" s="570"/>
      <c r="FV184" s="570"/>
      <c r="FW184" s="570"/>
      <c r="FX184" s="570"/>
      <c r="FY184" s="571"/>
      <c r="FZ184" s="571"/>
      <c r="GA184" s="571"/>
      <c r="GB184" s="571"/>
      <c r="GC184" s="571"/>
      <c r="GD184" s="571"/>
      <c r="GE184" s="571"/>
      <c r="GF184" s="571"/>
      <c r="GG184" s="571"/>
      <c r="GH184" s="571"/>
      <c r="GI184" s="571"/>
      <c r="GJ184" s="571"/>
      <c r="GK184" s="571"/>
      <c r="GL184" s="571"/>
      <c r="GM184" s="571"/>
      <c r="GN184" s="571"/>
      <c r="GO184" s="571"/>
      <c r="GP184" s="570"/>
      <c r="GQ184" s="570"/>
      <c r="GR184" s="570"/>
      <c r="GS184" s="570"/>
      <c r="GT184" s="570"/>
      <c r="GU184" s="570"/>
      <c r="GV184" s="572"/>
      <c r="GW184" s="570"/>
      <c r="GX184" s="570"/>
      <c r="GY184" s="570"/>
      <c r="GZ184" s="570"/>
      <c r="HA184" s="570"/>
      <c r="HB184" s="570"/>
      <c r="HC184" s="570"/>
      <c r="HD184" s="570"/>
      <c r="HE184" s="570"/>
      <c r="HF184" s="570"/>
      <c r="HG184" s="570"/>
      <c r="HH184" s="570"/>
      <c r="HI184" s="570"/>
      <c r="HJ184" s="570"/>
      <c r="HK184" s="570"/>
      <c r="HL184" s="572"/>
      <c r="HM184" s="572"/>
      <c r="HN184" s="570"/>
      <c r="HO184" s="570"/>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70"/>
      <c r="W185" s="570"/>
      <c r="X185" s="570"/>
      <c r="Y185" s="570"/>
      <c r="Z185" s="570"/>
      <c r="AA185" s="570"/>
      <c r="AB185" s="570"/>
      <c r="AC185" s="570"/>
      <c r="AD185" s="570"/>
      <c r="AE185" s="570"/>
      <c r="AF185" s="570"/>
      <c r="AG185" s="570"/>
      <c r="AH185" s="570"/>
      <c r="AI185" s="570"/>
      <c r="AJ185" s="570"/>
      <c r="AK185" s="570"/>
      <c r="AL185" s="570"/>
      <c r="AM185" s="570"/>
      <c r="AN185" s="570"/>
      <c r="AO185" s="570"/>
      <c r="AP185" s="570"/>
      <c r="AQ185" s="570"/>
      <c r="AR185" s="570"/>
      <c r="AS185" s="570"/>
      <c r="AT185" s="570"/>
      <c r="AU185" s="570"/>
      <c r="AV185" s="570"/>
      <c r="AW185" s="570"/>
      <c r="AX185" s="570"/>
      <c r="AY185" s="570"/>
      <c r="AZ185" s="570"/>
      <c r="BA185" s="570"/>
      <c r="BB185" s="570"/>
      <c r="BC185" s="570"/>
      <c r="BD185" s="570"/>
      <c r="BE185" s="570"/>
      <c r="BF185" s="570"/>
      <c r="BG185" s="570"/>
      <c r="BH185" s="570"/>
      <c r="BI185" s="570"/>
      <c r="BJ185" s="570"/>
      <c r="BK185" s="570"/>
      <c r="BL185" s="570"/>
      <c r="BM185" s="570"/>
      <c r="BN185" s="570"/>
      <c r="BO185" s="570"/>
      <c r="BP185" s="570"/>
      <c r="BQ185" s="570"/>
      <c r="BR185" s="570"/>
      <c r="BS185" s="570"/>
      <c r="BT185" s="570"/>
      <c r="BU185" s="570"/>
      <c r="BV185" s="570"/>
      <c r="BW185" s="570"/>
      <c r="BX185" s="570"/>
      <c r="BY185" s="570"/>
      <c r="BZ185" s="570"/>
      <c r="CA185" s="570"/>
      <c r="CB185" s="570"/>
      <c r="CC185" s="570"/>
      <c r="CD185" s="570"/>
      <c r="CE185" s="570"/>
      <c r="CF185" s="570"/>
      <c r="CG185" s="570"/>
      <c r="CH185" s="570"/>
      <c r="CI185" s="570"/>
      <c r="CJ185" s="570"/>
      <c r="CK185" s="570"/>
      <c r="CL185" s="570"/>
      <c r="CM185" s="570"/>
      <c r="CN185" s="570"/>
      <c r="CO185" s="570"/>
      <c r="CP185" s="570"/>
      <c r="CQ185" s="570"/>
      <c r="CR185" s="570"/>
      <c r="CS185" s="570"/>
      <c r="CT185" s="570"/>
      <c r="CU185" s="570"/>
      <c r="CV185" s="570"/>
      <c r="CW185" s="570"/>
      <c r="CX185" s="570"/>
      <c r="CY185" s="570"/>
      <c r="CZ185" s="570"/>
      <c r="DA185" s="570"/>
      <c r="DB185" s="570"/>
      <c r="DC185" s="570"/>
      <c r="DD185" s="570"/>
      <c r="DE185" s="570"/>
      <c r="DF185" s="570"/>
      <c r="DG185" s="570"/>
      <c r="DH185" s="570"/>
      <c r="DI185" s="570"/>
      <c r="DJ185" s="570"/>
      <c r="DK185" s="570"/>
      <c r="DL185" s="570"/>
      <c r="DM185" s="570"/>
      <c r="DN185" s="570"/>
      <c r="DO185" s="570"/>
      <c r="DP185" s="570"/>
      <c r="DQ185" s="570"/>
      <c r="DR185" s="570"/>
      <c r="DS185" s="570"/>
      <c r="DT185" s="570"/>
      <c r="DU185" s="570"/>
      <c r="DV185" s="570"/>
      <c r="DW185" s="570"/>
      <c r="DX185" s="570"/>
      <c r="DY185" s="570"/>
      <c r="DZ185" s="570"/>
      <c r="EA185" s="570"/>
      <c r="EB185" s="570"/>
      <c r="EC185" s="570"/>
      <c r="ED185" s="570"/>
      <c r="EE185" s="570"/>
      <c r="EF185" s="570"/>
      <c r="EG185" s="570"/>
      <c r="EH185" s="570"/>
      <c r="EI185" s="570"/>
      <c r="EJ185" s="570"/>
      <c r="EK185" s="570"/>
      <c r="EL185" s="570"/>
      <c r="EM185" s="570"/>
      <c r="EN185" s="570"/>
      <c r="EO185" s="570"/>
      <c r="EP185" s="570"/>
      <c r="EQ185" s="570"/>
      <c r="ER185" s="570"/>
      <c r="ES185" s="570"/>
      <c r="ET185" s="570"/>
      <c r="EU185" s="570"/>
      <c r="EV185" s="570"/>
      <c r="EW185" s="570"/>
      <c r="EX185" s="570"/>
      <c r="EY185" s="570"/>
      <c r="EZ185" s="570"/>
      <c r="FA185" s="570"/>
      <c r="FB185" s="570"/>
      <c r="FC185" s="570"/>
      <c r="FD185" s="570"/>
      <c r="FE185" s="570"/>
      <c r="FF185" s="570"/>
      <c r="FG185" s="570"/>
      <c r="FH185" s="570"/>
      <c r="FI185" s="570"/>
      <c r="FJ185" s="570"/>
      <c r="FK185" s="570"/>
      <c r="FL185" s="570"/>
      <c r="FM185" s="570"/>
      <c r="FN185" s="570"/>
      <c r="FO185" s="570"/>
      <c r="FP185" s="570"/>
      <c r="FQ185" s="570"/>
      <c r="FR185" s="570"/>
      <c r="FS185" s="570"/>
      <c r="FT185" s="570"/>
      <c r="FU185" s="570"/>
      <c r="FV185" s="570"/>
      <c r="FW185" s="570"/>
      <c r="FX185" s="570"/>
      <c r="FY185" s="571"/>
      <c r="FZ185" s="571"/>
      <c r="GA185" s="571"/>
      <c r="GB185" s="571"/>
      <c r="GC185" s="571"/>
      <c r="GD185" s="571"/>
      <c r="GE185" s="571"/>
      <c r="GF185" s="571"/>
      <c r="GG185" s="571"/>
      <c r="GH185" s="571"/>
      <c r="GI185" s="571"/>
      <c r="GJ185" s="571"/>
      <c r="GK185" s="571"/>
      <c r="GL185" s="571"/>
      <c r="GM185" s="571"/>
      <c r="GN185" s="571"/>
      <c r="GO185" s="571"/>
      <c r="GP185" s="570"/>
      <c r="GQ185" s="570"/>
      <c r="GR185" s="570"/>
      <c r="GS185" s="570"/>
      <c r="GT185" s="570"/>
      <c r="GU185" s="570"/>
      <c r="GV185" s="572"/>
      <c r="GW185" s="570"/>
      <c r="GX185" s="570"/>
      <c r="GY185" s="570"/>
      <c r="GZ185" s="570"/>
      <c r="HA185" s="570"/>
      <c r="HB185" s="570"/>
      <c r="HC185" s="570"/>
      <c r="HD185" s="570"/>
      <c r="HE185" s="570"/>
      <c r="HF185" s="570"/>
      <c r="HG185" s="570"/>
      <c r="HH185" s="570"/>
      <c r="HI185" s="570"/>
      <c r="HJ185" s="570"/>
      <c r="HK185" s="570"/>
      <c r="HL185" s="572"/>
      <c r="HM185" s="572"/>
      <c r="HN185" s="570"/>
      <c r="HO185" s="570"/>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70"/>
      <c r="W186" s="570"/>
      <c r="X186" s="570"/>
      <c r="Y186" s="570"/>
      <c r="Z186" s="570"/>
      <c r="AA186" s="570"/>
      <c r="AB186" s="570"/>
      <c r="AC186" s="570"/>
      <c r="AD186" s="570"/>
      <c r="AE186" s="570"/>
      <c r="AF186" s="570"/>
      <c r="AG186" s="570"/>
      <c r="AH186" s="570"/>
      <c r="AI186" s="570"/>
      <c r="AJ186" s="570"/>
      <c r="AK186" s="570"/>
      <c r="AL186" s="570"/>
      <c r="AM186" s="570"/>
      <c r="AN186" s="570"/>
      <c r="AO186" s="570"/>
      <c r="AP186" s="570"/>
      <c r="AQ186" s="570"/>
      <c r="AR186" s="570"/>
      <c r="AS186" s="570"/>
      <c r="AT186" s="570"/>
      <c r="AU186" s="570"/>
      <c r="AV186" s="570"/>
      <c r="AW186" s="570"/>
      <c r="AX186" s="570"/>
      <c r="AY186" s="570"/>
      <c r="AZ186" s="570"/>
      <c r="BA186" s="570"/>
      <c r="BB186" s="570"/>
      <c r="BC186" s="570"/>
      <c r="BD186" s="570"/>
      <c r="BE186" s="570"/>
      <c r="BF186" s="570"/>
      <c r="BG186" s="570"/>
      <c r="BH186" s="570"/>
      <c r="BI186" s="570"/>
      <c r="BJ186" s="570"/>
      <c r="BK186" s="570"/>
      <c r="BL186" s="570"/>
      <c r="BM186" s="570"/>
      <c r="BN186" s="570"/>
      <c r="BO186" s="570"/>
      <c r="BP186" s="570"/>
      <c r="BQ186" s="570"/>
      <c r="BR186" s="570"/>
      <c r="BS186" s="570"/>
      <c r="BT186" s="570"/>
      <c r="BU186" s="570"/>
      <c r="BV186" s="570"/>
      <c r="BW186" s="570"/>
      <c r="BX186" s="570"/>
      <c r="BY186" s="570"/>
      <c r="BZ186" s="570"/>
      <c r="CA186" s="570"/>
      <c r="CB186" s="570"/>
      <c r="CC186" s="570"/>
      <c r="CD186" s="570"/>
      <c r="CE186" s="570"/>
      <c r="CF186" s="570"/>
      <c r="CG186" s="570"/>
      <c r="CH186" s="570"/>
      <c r="CI186" s="570"/>
      <c r="CJ186" s="570"/>
      <c r="CK186" s="570"/>
      <c r="CL186" s="570"/>
      <c r="CM186" s="570"/>
      <c r="CN186" s="570"/>
      <c r="CO186" s="570"/>
      <c r="CP186" s="570"/>
      <c r="CQ186" s="570"/>
      <c r="CR186" s="570"/>
      <c r="CS186" s="570"/>
      <c r="CT186" s="570"/>
      <c r="CU186" s="570"/>
      <c r="CV186" s="570"/>
      <c r="CW186" s="570"/>
      <c r="CX186" s="570"/>
      <c r="CY186" s="570"/>
      <c r="CZ186" s="570"/>
      <c r="DA186" s="570"/>
      <c r="DB186" s="570"/>
      <c r="DC186" s="570"/>
      <c r="DD186" s="570"/>
      <c r="DE186" s="570"/>
      <c r="DF186" s="570"/>
      <c r="DG186" s="570"/>
      <c r="DH186" s="570"/>
      <c r="DI186" s="570"/>
      <c r="DJ186" s="570"/>
      <c r="DK186" s="570"/>
      <c r="DL186" s="570"/>
      <c r="DM186" s="570"/>
      <c r="DN186" s="570"/>
      <c r="DO186" s="570"/>
      <c r="DP186" s="570"/>
      <c r="DQ186" s="570"/>
      <c r="DR186" s="570"/>
      <c r="DS186" s="570"/>
      <c r="DT186" s="570"/>
      <c r="DU186" s="570"/>
      <c r="DV186" s="570"/>
      <c r="DW186" s="570"/>
      <c r="DX186" s="570"/>
      <c r="DY186" s="570"/>
      <c r="DZ186" s="570"/>
      <c r="EA186" s="570"/>
      <c r="EB186" s="570"/>
      <c r="EC186" s="570"/>
      <c r="ED186" s="570"/>
      <c r="EE186" s="570"/>
      <c r="EF186" s="570"/>
      <c r="EG186" s="570"/>
      <c r="EH186" s="570"/>
      <c r="EI186" s="570"/>
      <c r="EJ186" s="570"/>
      <c r="EK186" s="570"/>
      <c r="EL186" s="570"/>
      <c r="EM186" s="570"/>
      <c r="EN186" s="570"/>
      <c r="EO186" s="570"/>
      <c r="EP186" s="570"/>
      <c r="EQ186" s="570"/>
      <c r="ER186" s="570"/>
      <c r="ES186" s="570"/>
      <c r="ET186" s="570"/>
      <c r="EU186" s="570"/>
      <c r="EV186" s="570"/>
      <c r="EW186" s="570"/>
      <c r="EX186" s="570"/>
      <c r="EY186" s="570"/>
      <c r="EZ186" s="570"/>
      <c r="FA186" s="570"/>
      <c r="FB186" s="570"/>
      <c r="FC186" s="570"/>
      <c r="FD186" s="570"/>
      <c r="FE186" s="570"/>
      <c r="FF186" s="570"/>
      <c r="FG186" s="570"/>
      <c r="FH186" s="570"/>
      <c r="FI186" s="570"/>
      <c r="FJ186" s="570"/>
      <c r="FK186" s="570"/>
      <c r="FL186" s="570"/>
      <c r="FM186" s="570"/>
      <c r="FN186" s="570"/>
      <c r="FO186" s="570"/>
      <c r="FP186" s="570"/>
      <c r="FQ186" s="570"/>
      <c r="FR186" s="570"/>
      <c r="FS186" s="570"/>
      <c r="FT186" s="570"/>
      <c r="FU186" s="570"/>
      <c r="FV186" s="570"/>
      <c r="FW186" s="570"/>
      <c r="FX186" s="570"/>
      <c r="FY186" s="571"/>
      <c r="FZ186" s="571"/>
      <c r="GA186" s="571"/>
      <c r="GB186" s="571"/>
      <c r="GC186" s="571"/>
      <c r="GD186" s="571"/>
      <c r="GE186" s="571"/>
      <c r="GF186" s="571"/>
      <c r="GG186" s="571"/>
      <c r="GH186" s="571"/>
      <c r="GI186" s="571"/>
      <c r="GJ186" s="571"/>
      <c r="GK186" s="571"/>
      <c r="GL186" s="571"/>
      <c r="GM186" s="571"/>
      <c r="GN186" s="571"/>
      <c r="GO186" s="571"/>
      <c r="GP186" s="570"/>
      <c r="GQ186" s="570"/>
      <c r="GR186" s="570"/>
      <c r="GS186" s="570"/>
      <c r="GT186" s="570"/>
      <c r="GU186" s="570"/>
      <c r="GV186" s="572"/>
      <c r="GW186" s="570"/>
      <c r="GX186" s="570"/>
      <c r="GY186" s="570"/>
      <c r="GZ186" s="570"/>
      <c r="HA186" s="570"/>
      <c r="HB186" s="570"/>
      <c r="HC186" s="570"/>
      <c r="HD186" s="570"/>
      <c r="HE186" s="570"/>
      <c r="HF186" s="570"/>
      <c r="HG186" s="570"/>
      <c r="HH186" s="570"/>
      <c r="HI186" s="570"/>
      <c r="HJ186" s="570"/>
      <c r="HK186" s="570"/>
      <c r="HL186" s="572"/>
      <c r="HM186" s="572"/>
      <c r="HN186" s="570"/>
      <c r="HO186" s="570"/>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70"/>
      <c r="W187" s="570"/>
      <c r="X187" s="570"/>
      <c r="Y187" s="570"/>
      <c r="Z187" s="570"/>
      <c r="AA187" s="570"/>
      <c r="AB187" s="570"/>
      <c r="AC187" s="570"/>
      <c r="AD187" s="570"/>
      <c r="AE187" s="570"/>
      <c r="AF187" s="570"/>
      <c r="AG187" s="570"/>
      <c r="AH187" s="570"/>
      <c r="AI187" s="570"/>
      <c r="AJ187" s="570"/>
      <c r="AK187" s="570"/>
      <c r="AL187" s="570"/>
      <c r="AM187" s="570"/>
      <c r="AN187" s="570"/>
      <c r="AO187" s="570"/>
      <c r="AP187" s="570"/>
      <c r="AQ187" s="570"/>
      <c r="AR187" s="570"/>
      <c r="AS187" s="570"/>
      <c r="AT187" s="570"/>
      <c r="AU187" s="570"/>
      <c r="AV187" s="570"/>
      <c r="AW187" s="570"/>
      <c r="AX187" s="570"/>
      <c r="AY187" s="570"/>
      <c r="AZ187" s="570"/>
      <c r="BA187" s="570"/>
      <c r="BB187" s="570"/>
      <c r="BC187" s="570"/>
      <c r="BD187" s="570"/>
      <c r="BE187" s="570"/>
      <c r="BF187" s="570"/>
      <c r="BG187" s="570"/>
      <c r="BH187" s="570"/>
      <c r="BI187" s="570"/>
      <c r="BJ187" s="570"/>
      <c r="BK187" s="570"/>
      <c r="BL187" s="570"/>
      <c r="BM187" s="570"/>
      <c r="BN187" s="570"/>
      <c r="BO187" s="570"/>
      <c r="BP187" s="570"/>
      <c r="BQ187" s="570"/>
      <c r="BR187" s="570"/>
      <c r="BS187" s="570"/>
      <c r="BT187" s="570"/>
      <c r="BU187" s="570"/>
      <c r="BV187" s="570"/>
      <c r="BW187" s="570"/>
      <c r="BX187" s="570"/>
      <c r="BY187" s="570"/>
      <c r="BZ187" s="570"/>
      <c r="CA187" s="570"/>
      <c r="CB187" s="570"/>
      <c r="CC187" s="570"/>
      <c r="CD187" s="570"/>
      <c r="CE187" s="570"/>
      <c r="CF187" s="570"/>
      <c r="CG187" s="570"/>
      <c r="CH187" s="570"/>
      <c r="CI187" s="570"/>
      <c r="CJ187" s="570"/>
      <c r="CK187" s="570"/>
      <c r="CL187" s="570"/>
      <c r="CM187" s="570"/>
      <c r="CN187" s="570"/>
      <c r="CO187" s="570"/>
      <c r="CP187" s="570"/>
      <c r="CQ187" s="570"/>
      <c r="CR187" s="570"/>
      <c r="CS187" s="570"/>
      <c r="CT187" s="570"/>
      <c r="CU187" s="570"/>
      <c r="CV187" s="570"/>
      <c r="CW187" s="570"/>
      <c r="CX187" s="570"/>
      <c r="CY187" s="570"/>
      <c r="CZ187" s="570"/>
      <c r="DA187" s="570"/>
      <c r="DB187" s="570"/>
      <c r="DC187" s="570"/>
      <c r="DD187" s="570"/>
      <c r="DE187" s="570"/>
      <c r="DF187" s="570"/>
      <c r="DG187" s="570"/>
      <c r="DH187" s="570"/>
      <c r="DI187" s="570"/>
      <c r="DJ187" s="570"/>
      <c r="DK187" s="570"/>
      <c r="DL187" s="570"/>
      <c r="DM187" s="570"/>
      <c r="DN187" s="570"/>
      <c r="DO187" s="570"/>
      <c r="DP187" s="570"/>
      <c r="DQ187" s="570"/>
      <c r="DR187" s="570"/>
      <c r="DS187" s="570"/>
      <c r="DT187" s="570"/>
      <c r="DU187" s="570"/>
      <c r="DV187" s="570"/>
      <c r="DW187" s="570"/>
      <c r="DX187" s="570"/>
      <c r="DY187" s="570"/>
      <c r="DZ187" s="570"/>
      <c r="EA187" s="570"/>
      <c r="EB187" s="570"/>
      <c r="EC187" s="570"/>
      <c r="ED187" s="570"/>
      <c r="EE187" s="570"/>
      <c r="EF187" s="570"/>
      <c r="EG187" s="570"/>
      <c r="EH187" s="570"/>
      <c r="EI187" s="570"/>
      <c r="EJ187" s="570"/>
      <c r="EK187" s="570"/>
      <c r="EL187" s="570"/>
      <c r="EM187" s="570"/>
      <c r="EN187" s="570"/>
      <c r="EO187" s="570"/>
      <c r="EP187" s="570"/>
      <c r="EQ187" s="570"/>
      <c r="ER187" s="570"/>
      <c r="ES187" s="570"/>
      <c r="ET187" s="570"/>
      <c r="EU187" s="570"/>
      <c r="EV187" s="570"/>
      <c r="EW187" s="570"/>
      <c r="EX187" s="570"/>
      <c r="EY187" s="570"/>
      <c r="EZ187" s="570"/>
      <c r="FA187" s="570"/>
      <c r="FB187" s="570"/>
      <c r="FC187" s="570"/>
      <c r="FD187" s="570"/>
      <c r="FE187" s="570"/>
      <c r="FF187" s="570"/>
      <c r="FG187" s="570"/>
      <c r="FH187" s="570"/>
      <c r="FI187" s="570"/>
      <c r="FJ187" s="570"/>
      <c r="FK187" s="570"/>
      <c r="FL187" s="570"/>
      <c r="FM187" s="570"/>
      <c r="FN187" s="570"/>
      <c r="FO187" s="570"/>
      <c r="FP187" s="570"/>
      <c r="FQ187" s="570"/>
      <c r="FR187" s="570"/>
      <c r="FS187" s="570"/>
      <c r="FT187" s="570"/>
      <c r="FU187" s="570"/>
      <c r="FV187" s="570"/>
      <c r="FW187" s="570"/>
      <c r="FX187" s="570"/>
      <c r="FY187" s="571"/>
      <c r="FZ187" s="571"/>
      <c r="GA187" s="571"/>
      <c r="GB187" s="571"/>
      <c r="GC187" s="571"/>
      <c r="GD187" s="571"/>
      <c r="GE187" s="571"/>
      <c r="GF187" s="571"/>
      <c r="GG187" s="571"/>
      <c r="GH187" s="571"/>
      <c r="GI187" s="571"/>
      <c r="GJ187" s="571"/>
      <c r="GK187" s="571"/>
      <c r="GL187" s="571"/>
      <c r="GM187" s="571"/>
      <c r="GN187" s="571"/>
      <c r="GO187" s="571"/>
      <c r="GP187" s="570"/>
      <c r="GQ187" s="570"/>
      <c r="GR187" s="570"/>
      <c r="GS187" s="570"/>
      <c r="GT187" s="570"/>
      <c r="GU187" s="570"/>
      <c r="GV187" s="572"/>
      <c r="GW187" s="570"/>
      <c r="GX187" s="570"/>
      <c r="GY187" s="570"/>
      <c r="GZ187" s="570"/>
      <c r="HA187" s="570"/>
      <c r="HB187" s="570"/>
      <c r="HC187" s="570"/>
      <c r="HD187" s="570"/>
      <c r="HE187" s="570"/>
      <c r="HF187" s="570"/>
      <c r="HG187" s="570"/>
      <c r="HH187" s="570"/>
      <c r="HI187" s="570"/>
      <c r="HJ187" s="570"/>
      <c r="HK187" s="570"/>
      <c r="HL187" s="572"/>
      <c r="HM187" s="572"/>
      <c r="HN187" s="570"/>
      <c r="HO187" s="570"/>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70"/>
      <c r="W188" s="570"/>
      <c r="X188" s="570"/>
      <c r="Y188" s="570"/>
      <c r="Z188" s="570"/>
      <c r="AA188" s="570"/>
      <c r="AB188" s="570"/>
      <c r="AC188" s="570"/>
      <c r="AD188" s="570"/>
      <c r="AE188" s="570"/>
      <c r="AF188" s="570"/>
      <c r="AG188" s="570"/>
      <c r="AH188" s="570"/>
      <c r="AI188" s="570"/>
      <c r="AJ188" s="570"/>
      <c r="AK188" s="570"/>
      <c r="AL188" s="570"/>
      <c r="AM188" s="570"/>
      <c r="AN188" s="570"/>
      <c r="AO188" s="570"/>
      <c r="AP188" s="570"/>
      <c r="AQ188" s="570"/>
      <c r="AR188" s="570"/>
      <c r="AS188" s="570"/>
      <c r="AT188" s="570"/>
      <c r="AU188" s="570"/>
      <c r="AV188" s="570"/>
      <c r="AW188" s="570"/>
      <c r="AX188" s="570"/>
      <c r="AY188" s="570"/>
      <c r="AZ188" s="570"/>
      <c r="BA188" s="570"/>
      <c r="BB188" s="570"/>
      <c r="BC188" s="570"/>
      <c r="BD188" s="570"/>
      <c r="BE188" s="570"/>
      <c r="BF188" s="570"/>
      <c r="BG188" s="570"/>
      <c r="BH188" s="570"/>
      <c r="BI188" s="570"/>
      <c r="BJ188" s="570"/>
      <c r="BK188" s="570"/>
      <c r="BL188" s="570"/>
      <c r="BM188" s="570"/>
      <c r="BN188" s="570"/>
      <c r="BO188" s="570"/>
      <c r="BP188" s="570"/>
      <c r="BQ188" s="570"/>
      <c r="BR188" s="570"/>
      <c r="BS188" s="570"/>
      <c r="BT188" s="570"/>
      <c r="BU188" s="570"/>
      <c r="BV188" s="570"/>
      <c r="BW188" s="570"/>
      <c r="BX188" s="570"/>
      <c r="BY188" s="570"/>
      <c r="BZ188" s="570"/>
      <c r="CA188" s="570"/>
      <c r="CB188" s="570"/>
      <c r="CC188" s="570"/>
      <c r="CD188" s="570"/>
      <c r="CE188" s="570"/>
      <c r="CF188" s="570"/>
      <c r="CG188" s="570"/>
      <c r="CH188" s="570"/>
      <c r="CI188" s="570"/>
      <c r="CJ188" s="570"/>
      <c r="CK188" s="570"/>
      <c r="CL188" s="570"/>
      <c r="CM188" s="570"/>
      <c r="CN188" s="570"/>
      <c r="CO188" s="570"/>
      <c r="CP188" s="570"/>
      <c r="CQ188" s="570"/>
      <c r="CR188" s="570"/>
      <c r="CS188" s="570"/>
      <c r="CT188" s="570"/>
      <c r="CU188" s="570"/>
      <c r="CV188" s="570"/>
      <c r="CW188" s="570"/>
      <c r="CX188" s="570"/>
      <c r="CY188" s="570"/>
      <c r="CZ188" s="570"/>
      <c r="DA188" s="570"/>
      <c r="DB188" s="570"/>
      <c r="DC188" s="570"/>
      <c r="DD188" s="570"/>
      <c r="DE188" s="570"/>
      <c r="DF188" s="570"/>
      <c r="DG188" s="570"/>
      <c r="DH188" s="570"/>
      <c r="DI188" s="570"/>
      <c r="DJ188" s="570"/>
      <c r="DK188" s="570"/>
      <c r="DL188" s="570"/>
      <c r="DM188" s="570"/>
      <c r="DN188" s="570"/>
      <c r="DO188" s="570"/>
      <c r="DP188" s="570"/>
      <c r="DQ188" s="570"/>
      <c r="DR188" s="570"/>
      <c r="DS188" s="570"/>
      <c r="DT188" s="570"/>
      <c r="DU188" s="570"/>
      <c r="DV188" s="570"/>
      <c r="DW188" s="570"/>
      <c r="DX188" s="570"/>
      <c r="DY188" s="570"/>
      <c r="DZ188" s="570"/>
      <c r="EA188" s="570"/>
      <c r="EB188" s="570"/>
      <c r="EC188" s="570"/>
      <c r="ED188" s="570"/>
      <c r="EE188" s="570"/>
      <c r="EF188" s="570"/>
      <c r="EG188" s="570"/>
      <c r="EH188" s="570"/>
      <c r="EI188" s="570"/>
      <c r="EJ188" s="570"/>
      <c r="EK188" s="570"/>
      <c r="EL188" s="570"/>
      <c r="EM188" s="570"/>
      <c r="EN188" s="570"/>
      <c r="EO188" s="570"/>
      <c r="EP188" s="570"/>
      <c r="EQ188" s="570"/>
      <c r="ER188" s="570"/>
      <c r="ES188" s="570"/>
      <c r="ET188" s="570"/>
      <c r="EU188" s="570"/>
      <c r="EV188" s="570"/>
      <c r="EW188" s="570"/>
      <c r="EX188" s="570"/>
      <c r="EY188" s="570"/>
      <c r="EZ188" s="570"/>
      <c r="FA188" s="570"/>
      <c r="FB188" s="570"/>
      <c r="FC188" s="570"/>
      <c r="FD188" s="570"/>
      <c r="FE188" s="570"/>
      <c r="FF188" s="570"/>
      <c r="FG188" s="570"/>
      <c r="FH188" s="570"/>
      <c r="FI188" s="570"/>
      <c r="FJ188" s="570"/>
      <c r="FK188" s="570"/>
      <c r="FL188" s="570"/>
      <c r="FM188" s="570"/>
      <c r="FN188" s="570"/>
      <c r="FO188" s="570"/>
      <c r="FP188" s="570"/>
      <c r="FQ188" s="570"/>
      <c r="FR188" s="570"/>
      <c r="FS188" s="570"/>
      <c r="FT188" s="570"/>
      <c r="FU188" s="570"/>
      <c r="FV188" s="570"/>
      <c r="FW188" s="570"/>
      <c r="FX188" s="570"/>
      <c r="FY188" s="571"/>
      <c r="FZ188" s="571"/>
      <c r="GA188" s="571"/>
      <c r="GB188" s="571"/>
      <c r="GC188" s="571"/>
      <c r="GD188" s="571"/>
      <c r="GE188" s="571"/>
      <c r="GF188" s="571"/>
      <c r="GG188" s="571"/>
      <c r="GH188" s="571"/>
      <c r="GI188" s="571"/>
      <c r="GJ188" s="571"/>
      <c r="GK188" s="571"/>
      <c r="GL188" s="571"/>
      <c r="GM188" s="571"/>
      <c r="GN188" s="571"/>
      <c r="GO188" s="571"/>
      <c r="GP188" s="570"/>
      <c r="GQ188" s="570"/>
      <c r="GR188" s="570"/>
      <c r="GS188" s="570"/>
      <c r="GT188" s="570"/>
      <c r="GU188" s="570"/>
      <c r="GV188" s="572"/>
      <c r="GW188" s="570"/>
      <c r="GX188" s="570"/>
      <c r="GY188" s="570"/>
      <c r="GZ188" s="570"/>
      <c r="HA188" s="570"/>
      <c r="HB188" s="570"/>
      <c r="HC188" s="570"/>
      <c r="HD188" s="570"/>
      <c r="HE188" s="570"/>
      <c r="HF188" s="570"/>
      <c r="HG188" s="570"/>
      <c r="HH188" s="570"/>
      <c r="HI188" s="570"/>
      <c r="HJ188" s="570"/>
      <c r="HK188" s="570"/>
      <c r="HL188" s="572"/>
      <c r="HM188" s="572"/>
      <c r="HN188" s="570"/>
      <c r="HO188" s="570"/>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70"/>
      <c r="W196" s="570"/>
      <c r="X196" s="570"/>
      <c r="Y196" s="570"/>
      <c r="Z196" s="570"/>
      <c r="AA196" s="570"/>
      <c r="AB196" s="570"/>
      <c r="AC196" s="570"/>
      <c r="AD196" s="570"/>
      <c r="AE196" s="570"/>
      <c r="AF196" s="570"/>
      <c r="AG196" s="570"/>
      <c r="AH196" s="570"/>
      <c r="AI196" s="570"/>
      <c r="AJ196" s="570"/>
      <c r="AK196" s="570"/>
      <c r="AL196" s="570"/>
      <c r="AM196" s="570"/>
      <c r="AN196" s="570"/>
      <c r="AO196" s="570"/>
      <c r="AP196" s="570"/>
      <c r="AQ196" s="570"/>
      <c r="AR196" s="570"/>
      <c r="AS196" s="570"/>
      <c r="AT196" s="570"/>
      <c r="AU196" s="570"/>
      <c r="AV196" s="570"/>
      <c r="AW196" s="570"/>
      <c r="AX196" s="570"/>
      <c r="AY196" s="570"/>
      <c r="AZ196" s="570"/>
      <c r="BA196" s="570"/>
      <c r="BB196" s="570"/>
      <c r="BC196" s="570"/>
      <c r="BD196" s="570"/>
      <c r="BE196" s="570"/>
      <c r="BF196" s="570"/>
      <c r="BG196" s="570"/>
      <c r="BH196" s="570"/>
      <c r="BI196" s="570"/>
      <c r="BJ196" s="570"/>
      <c r="BK196" s="570"/>
      <c r="BL196" s="570"/>
      <c r="BM196" s="570"/>
      <c r="BN196" s="570"/>
      <c r="BO196" s="570"/>
      <c r="BP196" s="570"/>
      <c r="BQ196" s="570"/>
      <c r="BR196" s="570"/>
      <c r="BS196" s="570"/>
      <c r="BT196" s="570"/>
      <c r="BU196" s="570"/>
      <c r="BV196" s="570"/>
      <c r="BW196" s="570"/>
      <c r="BX196" s="570"/>
      <c r="BY196" s="570"/>
      <c r="BZ196" s="570"/>
      <c r="CA196" s="570"/>
      <c r="CB196" s="570"/>
      <c r="CC196" s="570"/>
      <c r="CD196" s="570"/>
      <c r="CE196" s="570"/>
      <c r="CF196" s="570"/>
      <c r="CG196" s="570"/>
      <c r="CH196" s="570"/>
      <c r="CI196" s="570"/>
      <c r="CJ196" s="570"/>
      <c r="CK196" s="570"/>
      <c r="CL196" s="570"/>
      <c r="CM196" s="570"/>
      <c r="CN196" s="570"/>
      <c r="CO196" s="570"/>
      <c r="CP196" s="570"/>
      <c r="CQ196" s="570"/>
      <c r="CR196" s="570"/>
      <c r="CS196" s="570"/>
      <c r="CT196" s="570"/>
      <c r="CU196" s="570"/>
      <c r="CV196" s="570"/>
      <c r="CW196" s="570"/>
      <c r="CX196" s="570"/>
      <c r="CY196" s="570"/>
      <c r="CZ196" s="570"/>
      <c r="DA196" s="570"/>
      <c r="DB196" s="570"/>
      <c r="DC196" s="570"/>
      <c r="DD196" s="570"/>
      <c r="DE196" s="570"/>
      <c r="DF196" s="570"/>
      <c r="DG196" s="570"/>
      <c r="DH196" s="570"/>
      <c r="DI196" s="570"/>
      <c r="DJ196" s="570"/>
      <c r="DK196" s="570"/>
      <c r="DL196" s="570"/>
      <c r="DM196" s="570"/>
      <c r="DN196" s="570"/>
      <c r="DO196" s="570"/>
      <c r="DP196" s="570"/>
      <c r="DQ196" s="570"/>
      <c r="DR196" s="570"/>
      <c r="DS196" s="570"/>
      <c r="DT196" s="570"/>
      <c r="DU196" s="570"/>
      <c r="DV196" s="570"/>
      <c r="DW196" s="570"/>
      <c r="DX196" s="570"/>
      <c r="DY196" s="570"/>
      <c r="DZ196" s="570"/>
      <c r="EA196" s="570"/>
      <c r="EB196" s="570"/>
      <c r="EC196" s="570"/>
      <c r="ED196" s="570"/>
      <c r="EE196" s="570"/>
      <c r="EF196" s="570"/>
      <c r="EG196" s="570"/>
      <c r="EH196" s="570"/>
      <c r="EI196" s="570"/>
      <c r="EJ196" s="570"/>
      <c r="EK196" s="570"/>
      <c r="EL196" s="570"/>
      <c r="EM196" s="570"/>
      <c r="EN196" s="570"/>
      <c r="EO196" s="570"/>
      <c r="EP196" s="570"/>
      <c r="EQ196" s="570"/>
      <c r="ER196" s="570"/>
      <c r="ES196" s="570"/>
      <c r="ET196" s="570"/>
      <c r="EU196" s="570"/>
      <c r="EV196" s="570"/>
      <c r="EW196" s="570"/>
      <c r="EX196" s="570"/>
      <c r="EY196" s="570"/>
      <c r="EZ196" s="570"/>
      <c r="FA196" s="570"/>
      <c r="FB196" s="570"/>
      <c r="FC196" s="570"/>
      <c r="FD196" s="570"/>
      <c r="FE196" s="570"/>
      <c r="FF196" s="570"/>
      <c r="FG196" s="570"/>
      <c r="FH196" s="570"/>
      <c r="FI196" s="570"/>
      <c r="FJ196" s="570"/>
      <c r="FK196" s="570"/>
      <c r="FL196" s="570"/>
      <c r="FM196" s="570"/>
      <c r="FN196" s="570"/>
      <c r="FO196" s="570"/>
      <c r="FP196" s="570"/>
      <c r="FQ196" s="570"/>
      <c r="FR196" s="570"/>
      <c r="FS196" s="570"/>
      <c r="FT196" s="570"/>
      <c r="FU196" s="570"/>
      <c r="FV196" s="570"/>
      <c r="FW196" s="570"/>
      <c r="FX196" s="570"/>
      <c r="FY196" s="571"/>
      <c r="FZ196" s="571"/>
      <c r="GA196" s="571"/>
      <c r="GB196" s="571"/>
      <c r="GC196" s="571"/>
      <c r="GD196" s="571"/>
      <c r="GE196" s="571"/>
      <c r="GF196" s="571"/>
      <c r="GG196" s="571"/>
      <c r="GH196" s="571"/>
      <c r="GI196" s="571"/>
      <c r="GJ196" s="571"/>
      <c r="GK196" s="571"/>
      <c r="GL196" s="571"/>
      <c r="GM196" s="571"/>
      <c r="GN196" s="571"/>
      <c r="GO196" s="571"/>
      <c r="GP196" s="570"/>
      <c r="GQ196" s="570"/>
      <c r="GR196" s="570"/>
      <c r="GS196" s="570"/>
      <c r="GT196" s="570"/>
      <c r="GU196" s="570"/>
      <c r="GV196" s="572"/>
      <c r="GW196" s="570"/>
      <c r="GX196" s="570"/>
      <c r="GY196" s="570"/>
      <c r="GZ196" s="570"/>
      <c r="HA196" s="570"/>
      <c r="HB196" s="570"/>
      <c r="HC196" s="570"/>
      <c r="HD196" s="570"/>
      <c r="HE196" s="570"/>
      <c r="HF196" s="570"/>
      <c r="HG196" s="570"/>
      <c r="HH196" s="570"/>
      <c r="HI196" s="570"/>
      <c r="HJ196" s="570"/>
      <c r="HK196" s="570"/>
      <c r="HL196" s="572"/>
      <c r="HM196" s="572"/>
      <c r="HN196" s="570"/>
      <c r="HO196" s="570"/>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70"/>
      <c r="W197" s="570"/>
      <c r="X197" s="570"/>
      <c r="Y197" s="570"/>
      <c r="Z197" s="570"/>
      <c r="AA197" s="570"/>
      <c r="AB197" s="570"/>
      <c r="AC197" s="570"/>
      <c r="AD197" s="570"/>
      <c r="AE197" s="570"/>
      <c r="AF197" s="570"/>
      <c r="AG197" s="570"/>
      <c r="AH197" s="570"/>
      <c r="AI197" s="570"/>
      <c r="AJ197" s="570"/>
      <c r="AK197" s="570"/>
      <c r="AL197" s="570"/>
      <c r="AM197" s="570"/>
      <c r="AN197" s="570"/>
      <c r="AO197" s="570"/>
      <c r="AP197" s="570"/>
      <c r="AQ197" s="570"/>
      <c r="AR197" s="570"/>
      <c r="AS197" s="570"/>
      <c r="AT197" s="570"/>
      <c r="AU197" s="570"/>
      <c r="AV197" s="570"/>
      <c r="AW197" s="570"/>
      <c r="AX197" s="570"/>
      <c r="AY197" s="570"/>
      <c r="AZ197" s="570"/>
      <c r="BA197" s="570"/>
      <c r="BB197" s="570"/>
      <c r="BC197" s="570"/>
      <c r="BD197" s="570"/>
      <c r="BE197" s="570"/>
      <c r="BF197" s="570"/>
      <c r="BG197" s="570"/>
      <c r="BH197" s="570"/>
      <c r="BI197" s="570"/>
      <c r="BJ197" s="570"/>
      <c r="BK197" s="570"/>
      <c r="BL197" s="570"/>
      <c r="BM197" s="570"/>
      <c r="BN197" s="570"/>
      <c r="BO197" s="570"/>
      <c r="BP197" s="570"/>
      <c r="BQ197" s="570"/>
      <c r="BR197" s="570"/>
      <c r="BS197" s="570"/>
      <c r="BT197" s="570"/>
      <c r="BU197" s="570"/>
      <c r="BV197" s="570"/>
      <c r="BW197" s="570"/>
      <c r="BX197" s="570"/>
      <c r="BY197" s="570"/>
      <c r="BZ197" s="570"/>
      <c r="CA197" s="570"/>
      <c r="CB197" s="570"/>
      <c r="CC197" s="570"/>
      <c r="CD197" s="570"/>
      <c r="CE197" s="570"/>
      <c r="CF197" s="570"/>
      <c r="CG197" s="570"/>
      <c r="CH197" s="570"/>
      <c r="CI197" s="570"/>
      <c r="CJ197" s="570"/>
      <c r="CK197" s="570"/>
      <c r="CL197" s="570"/>
      <c r="CM197" s="570"/>
      <c r="CN197" s="570"/>
      <c r="CO197" s="570"/>
      <c r="CP197" s="570"/>
      <c r="CQ197" s="570"/>
      <c r="CR197" s="570"/>
      <c r="CS197" s="570"/>
      <c r="CT197" s="570"/>
      <c r="CU197" s="570"/>
      <c r="CV197" s="570"/>
      <c r="CW197" s="570"/>
      <c r="CX197" s="570"/>
      <c r="CY197" s="570"/>
      <c r="CZ197" s="570"/>
      <c r="DA197" s="570"/>
      <c r="DB197" s="570"/>
      <c r="DC197" s="570"/>
      <c r="DD197" s="570"/>
      <c r="DE197" s="570"/>
      <c r="DF197" s="570"/>
      <c r="DG197" s="570"/>
      <c r="DH197" s="570"/>
      <c r="DI197" s="570"/>
      <c r="DJ197" s="570"/>
      <c r="DK197" s="570"/>
      <c r="DL197" s="570"/>
      <c r="DM197" s="570"/>
      <c r="DN197" s="570"/>
      <c r="DO197" s="570"/>
      <c r="DP197" s="570"/>
      <c r="DQ197" s="570"/>
      <c r="DR197" s="570"/>
      <c r="DS197" s="570"/>
      <c r="DT197" s="570"/>
      <c r="DU197" s="570"/>
      <c r="DV197" s="570"/>
      <c r="DW197" s="570"/>
      <c r="DX197" s="570"/>
      <c r="DY197" s="570"/>
      <c r="DZ197" s="570"/>
      <c r="EA197" s="570"/>
      <c r="EB197" s="570"/>
      <c r="EC197" s="570"/>
      <c r="ED197" s="570"/>
      <c r="EE197" s="570"/>
      <c r="EF197" s="570"/>
      <c r="EG197" s="570"/>
      <c r="EH197" s="570"/>
      <c r="EI197" s="570"/>
      <c r="EJ197" s="570"/>
      <c r="EK197" s="570"/>
      <c r="EL197" s="570"/>
      <c r="EM197" s="570"/>
      <c r="EN197" s="570"/>
      <c r="EO197" s="570"/>
      <c r="EP197" s="570"/>
      <c r="EQ197" s="570"/>
      <c r="ER197" s="570"/>
      <c r="ES197" s="570"/>
      <c r="ET197" s="570"/>
      <c r="EU197" s="570"/>
      <c r="EV197" s="570"/>
      <c r="EW197" s="570"/>
      <c r="EX197" s="570"/>
      <c r="EY197" s="570"/>
      <c r="EZ197" s="570"/>
      <c r="FA197" s="570"/>
      <c r="FB197" s="570"/>
      <c r="FC197" s="570"/>
      <c r="FD197" s="570"/>
      <c r="FE197" s="570"/>
      <c r="FF197" s="570"/>
      <c r="FG197" s="570"/>
      <c r="FH197" s="570"/>
      <c r="FI197" s="570"/>
      <c r="FJ197" s="570"/>
      <c r="FK197" s="570"/>
      <c r="FL197" s="570"/>
      <c r="FM197" s="570"/>
      <c r="FN197" s="570"/>
      <c r="FO197" s="570"/>
      <c r="FP197" s="570"/>
      <c r="FQ197" s="570"/>
      <c r="FR197" s="570"/>
      <c r="FS197" s="570"/>
      <c r="FT197" s="570"/>
      <c r="FU197" s="570"/>
      <c r="FV197" s="570"/>
      <c r="FW197" s="570"/>
      <c r="FX197" s="570"/>
      <c r="FY197" s="571"/>
      <c r="FZ197" s="571"/>
      <c r="GA197" s="571"/>
      <c r="GB197" s="571"/>
      <c r="GC197" s="571"/>
      <c r="GD197" s="571"/>
      <c r="GE197" s="571"/>
      <c r="GF197" s="571"/>
      <c r="GG197" s="571"/>
      <c r="GH197" s="571"/>
      <c r="GI197" s="571"/>
      <c r="GJ197" s="571"/>
      <c r="GK197" s="571"/>
      <c r="GL197" s="571"/>
      <c r="GM197" s="571"/>
      <c r="GN197" s="571"/>
      <c r="GO197" s="571"/>
      <c r="GP197" s="570"/>
      <c r="GQ197" s="570"/>
      <c r="GR197" s="570"/>
      <c r="GS197" s="570"/>
      <c r="GT197" s="570"/>
      <c r="GU197" s="570"/>
      <c r="GV197" s="572"/>
      <c r="GW197" s="570"/>
      <c r="GX197" s="570"/>
      <c r="GY197" s="570"/>
      <c r="GZ197" s="570"/>
      <c r="HA197" s="570"/>
      <c r="HB197" s="570"/>
      <c r="HC197" s="570"/>
      <c r="HD197" s="570"/>
      <c r="HE197" s="570"/>
      <c r="HF197" s="570"/>
      <c r="HG197" s="570"/>
      <c r="HH197" s="570"/>
      <c r="HI197" s="570"/>
      <c r="HJ197" s="570"/>
      <c r="HK197" s="570"/>
      <c r="HL197" s="572"/>
      <c r="HM197" s="572"/>
      <c r="HN197" s="570"/>
      <c r="HO197" s="570"/>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70"/>
      <c r="W198" s="570"/>
      <c r="X198" s="570"/>
      <c r="Y198" s="570"/>
      <c r="Z198" s="570"/>
      <c r="AA198" s="570"/>
      <c r="AB198" s="570"/>
      <c r="AC198" s="570"/>
      <c r="AD198" s="570"/>
      <c r="AE198" s="570"/>
      <c r="AF198" s="570"/>
      <c r="AG198" s="570"/>
      <c r="AH198" s="570"/>
      <c r="AI198" s="570"/>
      <c r="AJ198" s="570"/>
      <c r="AK198" s="570"/>
      <c r="AL198" s="570"/>
      <c r="AM198" s="570"/>
      <c r="AN198" s="570"/>
      <c r="AO198" s="570"/>
      <c r="AP198" s="570"/>
      <c r="AQ198" s="570"/>
      <c r="AR198" s="570"/>
      <c r="AS198" s="570"/>
      <c r="AT198" s="570"/>
      <c r="AU198" s="570"/>
      <c r="AV198" s="570"/>
      <c r="AW198" s="570"/>
      <c r="AX198" s="570"/>
      <c r="AY198" s="570"/>
      <c r="AZ198" s="570"/>
      <c r="BA198" s="570"/>
      <c r="BB198" s="570"/>
      <c r="BC198" s="570"/>
      <c r="BD198" s="570"/>
      <c r="BE198" s="570"/>
      <c r="BF198" s="570"/>
      <c r="BG198" s="570"/>
      <c r="BH198" s="570"/>
      <c r="BI198" s="570"/>
      <c r="BJ198" s="570"/>
      <c r="BK198" s="570"/>
      <c r="BL198" s="570"/>
      <c r="BM198" s="570"/>
      <c r="BN198" s="570"/>
      <c r="BO198" s="570"/>
      <c r="BP198" s="570"/>
      <c r="BQ198" s="570"/>
      <c r="BR198" s="570"/>
      <c r="BS198" s="570"/>
      <c r="BT198" s="570"/>
      <c r="BU198" s="570"/>
      <c r="BV198" s="570"/>
      <c r="BW198" s="570"/>
      <c r="BX198" s="570"/>
      <c r="BY198" s="570"/>
      <c r="BZ198" s="570"/>
      <c r="CA198" s="570"/>
      <c r="CB198" s="570"/>
      <c r="CC198" s="570"/>
      <c r="CD198" s="570"/>
      <c r="CE198" s="570"/>
      <c r="CF198" s="570"/>
      <c r="CG198" s="570"/>
      <c r="CH198" s="570"/>
      <c r="CI198" s="570"/>
      <c r="CJ198" s="570"/>
      <c r="CK198" s="570"/>
      <c r="CL198" s="570"/>
      <c r="CM198" s="570"/>
      <c r="CN198" s="570"/>
      <c r="CO198" s="570"/>
      <c r="CP198" s="570"/>
      <c r="CQ198" s="570"/>
      <c r="CR198" s="570"/>
      <c r="CS198" s="570"/>
      <c r="CT198" s="570"/>
      <c r="CU198" s="570"/>
      <c r="CV198" s="570"/>
      <c r="CW198" s="570"/>
      <c r="CX198" s="570"/>
      <c r="CY198" s="570"/>
      <c r="CZ198" s="570"/>
      <c r="DA198" s="570"/>
      <c r="DB198" s="570"/>
      <c r="DC198" s="570"/>
      <c r="DD198" s="570"/>
      <c r="DE198" s="570"/>
      <c r="DF198" s="570"/>
      <c r="DG198" s="570"/>
      <c r="DH198" s="570"/>
      <c r="DI198" s="570"/>
      <c r="DJ198" s="570"/>
      <c r="DK198" s="570"/>
      <c r="DL198" s="570"/>
      <c r="DM198" s="570"/>
      <c r="DN198" s="570"/>
      <c r="DO198" s="570"/>
      <c r="DP198" s="570"/>
      <c r="DQ198" s="570"/>
      <c r="DR198" s="570"/>
      <c r="DS198" s="570"/>
      <c r="DT198" s="570"/>
      <c r="DU198" s="570"/>
      <c r="DV198" s="570"/>
      <c r="DW198" s="570"/>
      <c r="DX198" s="570"/>
      <c r="DY198" s="570"/>
      <c r="DZ198" s="570"/>
      <c r="EA198" s="570"/>
      <c r="EB198" s="570"/>
      <c r="EC198" s="570"/>
      <c r="ED198" s="570"/>
      <c r="EE198" s="570"/>
      <c r="EF198" s="570"/>
      <c r="EG198" s="570"/>
      <c r="EH198" s="570"/>
      <c r="EI198" s="570"/>
      <c r="EJ198" s="570"/>
      <c r="EK198" s="570"/>
      <c r="EL198" s="570"/>
      <c r="EM198" s="570"/>
      <c r="EN198" s="570"/>
      <c r="EO198" s="570"/>
      <c r="EP198" s="570"/>
      <c r="EQ198" s="570"/>
      <c r="ER198" s="570"/>
      <c r="ES198" s="570"/>
      <c r="ET198" s="570"/>
      <c r="EU198" s="570"/>
      <c r="EV198" s="570"/>
      <c r="EW198" s="570"/>
      <c r="EX198" s="570"/>
      <c r="EY198" s="570"/>
      <c r="EZ198" s="570"/>
      <c r="FA198" s="570"/>
      <c r="FB198" s="570"/>
      <c r="FC198" s="570"/>
      <c r="FD198" s="570"/>
      <c r="FE198" s="570"/>
      <c r="FF198" s="570"/>
      <c r="FG198" s="570"/>
      <c r="FH198" s="570"/>
      <c r="FI198" s="570"/>
      <c r="FJ198" s="570"/>
      <c r="FK198" s="570"/>
      <c r="FL198" s="570"/>
      <c r="FM198" s="570"/>
      <c r="FN198" s="570"/>
      <c r="FO198" s="570"/>
      <c r="FP198" s="570"/>
      <c r="FQ198" s="570"/>
      <c r="FR198" s="570"/>
      <c r="FS198" s="570"/>
      <c r="FT198" s="570"/>
      <c r="FU198" s="570"/>
      <c r="FV198" s="570"/>
      <c r="FW198" s="570"/>
      <c r="FX198" s="570"/>
      <c r="FY198" s="571"/>
      <c r="FZ198" s="571"/>
      <c r="GA198" s="571"/>
      <c r="GB198" s="571"/>
      <c r="GC198" s="571"/>
      <c r="GD198" s="571"/>
      <c r="GE198" s="571"/>
      <c r="GF198" s="571"/>
      <c r="GG198" s="571"/>
      <c r="GH198" s="571"/>
      <c r="GI198" s="571"/>
      <c r="GJ198" s="571"/>
      <c r="GK198" s="571"/>
      <c r="GL198" s="571"/>
      <c r="GM198" s="571"/>
      <c r="GN198" s="571"/>
      <c r="GO198" s="571"/>
      <c r="GP198" s="570"/>
      <c r="GQ198" s="570"/>
      <c r="GR198" s="570"/>
      <c r="GS198" s="570"/>
      <c r="GT198" s="570"/>
      <c r="GU198" s="570"/>
      <c r="GV198" s="572"/>
      <c r="GW198" s="570"/>
      <c r="GX198" s="570"/>
      <c r="GY198" s="570"/>
      <c r="GZ198" s="570"/>
      <c r="HA198" s="570"/>
      <c r="HB198" s="570"/>
      <c r="HC198" s="570"/>
      <c r="HD198" s="570"/>
      <c r="HE198" s="570"/>
      <c r="HF198" s="570"/>
      <c r="HG198" s="570"/>
      <c r="HH198" s="570"/>
      <c r="HI198" s="570"/>
      <c r="HJ198" s="570"/>
      <c r="HK198" s="570"/>
      <c r="HL198" s="572"/>
      <c r="HM198" s="572"/>
      <c r="HN198" s="570"/>
      <c r="HO198" s="570"/>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70"/>
      <c r="W199" s="570"/>
      <c r="X199" s="570"/>
      <c r="Y199" s="570"/>
      <c r="Z199" s="570"/>
      <c r="AA199" s="570"/>
      <c r="AB199" s="570"/>
      <c r="AC199" s="570"/>
      <c r="AD199" s="570"/>
      <c r="AE199" s="570"/>
      <c r="AF199" s="570"/>
      <c r="AG199" s="570"/>
      <c r="AH199" s="570"/>
      <c r="AI199" s="570"/>
      <c r="AJ199" s="570"/>
      <c r="AK199" s="570"/>
      <c r="AL199" s="570"/>
      <c r="AM199" s="570"/>
      <c r="AN199" s="570"/>
      <c r="AO199" s="570"/>
      <c r="AP199" s="570"/>
      <c r="AQ199" s="570"/>
      <c r="AR199" s="570"/>
      <c r="AS199" s="570"/>
      <c r="AT199" s="570"/>
      <c r="AU199" s="570"/>
      <c r="AV199" s="570"/>
      <c r="AW199" s="570"/>
      <c r="AX199" s="570"/>
      <c r="AY199" s="570"/>
      <c r="AZ199" s="570"/>
      <c r="BA199" s="570"/>
      <c r="BB199" s="570"/>
      <c r="BC199" s="570"/>
      <c r="BD199" s="570"/>
      <c r="BE199" s="570"/>
      <c r="BF199" s="570"/>
      <c r="BG199" s="570"/>
      <c r="BH199" s="570"/>
      <c r="BI199" s="570"/>
      <c r="BJ199" s="570"/>
      <c r="BK199" s="570"/>
      <c r="BL199" s="570"/>
      <c r="BM199" s="570"/>
      <c r="BN199" s="570"/>
      <c r="BO199" s="570"/>
      <c r="BP199" s="570"/>
      <c r="BQ199" s="570"/>
      <c r="BR199" s="570"/>
      <c r="BS199" s="570"/>
      <c r="BT199" s="570"/>
      <c r="BU199" s="570"/>
      <c r="BV199" s="570"/>
      <c r="BW199" s="570"/>
      <c r="BX199" s="570"/>
      <c r="BY199" s="570"/>
      <c r="BZ199" s="570"/>
      <c r="CA199" s="570"/>
      <c r="CB199" s="570"/>
      <c r="CC199" s="570"/>
      <c r="CD199" s="570"/>
      <c r="CE199" s="570"/>
      <c r="CF199" s="570"/>
      <c r="CG199" s="570"/>
      <c r="CH199" s="570"/>
      <c r="CI199" s="570"/>
      <c r="CJ199" s="570"/>
      <c r="CK199" s="570"/>
      <c r="CL199" s="570"/>
      <c r="CM199" s="570"/>
      <c r="CN199" s="570"/>
      <c r="CO199" s="570"/>
      <c r="CP199" s="570"/>
      <c r="CQ199" s="570"/>
      <c r="CR199" s="570"/>
      <c r="CS199" s="570"/>
      <c r="CT199" s="570"/>
      <c r="CU199" s="570"/>
      <c r="CV199" s="570"/>
      <c r="CW199" s="570"/>
      <c r="CX199" s="570"/>
      <c r="CY199" s="570"/>
      <c r="CZ199" s="570"/>
      <c r="DA199" s="570"/>
      <c r="DB199" s="570"/>
      <c r="DC199" s="570"/>
      <c r="DD199" s="570"/>
      <c r="DE199" s="570"/>
      <c r="DF199" s="570"/>
      <c r="DG199" s="570"/>
      <c r="DH199" s="570"/>
      <c r="DI199" s="570"/>
      <c r="DJ199" s="570"/>
      <c r="DK199" s="570"/>
      <c r="DL199" s="570"/>
      <c r="DM199" s="570"/>
      <c r="DN199" s="570"/>
      <c r="DO199" s="570"/>
      <c r="DP199" s="570"/>
      <c r="DQ199" s="570"/>
      <c r="DR199" s="570"/>
      <c r="DS199" s="570"/>
      <c r="DT199" s="570"/>
      <c r="DU199" s="570"/>
      <c r="DV199" s="570"/>
      <c r="DW199" s="570"/>
      <c r="DX199" s="570"/>
      <c r="DY199" s="570"/>
      <c r="DZ199" s="570"/>
      <c r="EA199" s="570"/>
      <c r="EB199" s="570"/>
      <c r="EC199" s="570"/>
      <c r="ED199" s="570"/>
      <c r="EE199" s="570"/>
      <c r="EF199" s="570"/>
      <c r="EG199" s="570"/>
      <c r="EH199" s="570"/>
      <c r="EI199" s="570"/>
      <c r="EJ199" s="570"/>
      <c r="EK199" s="570"/>
      <c r="EL199" s="570"/>
      <c r="EM199" s="570"/>
      <c r="EN199" s="570"/>
      <c r="EO199" s="570"/>
      <c r="EP199" s="570"/>
      <c r="EQ199" s="570"/>
      <c r="ER199" s="570"/>
      <c r="ES199" s="570"/>
      <c r="ET199" s="570"/>
      <c r="EU199" s="570"/>
      <c r="EV199" s="570"/>
      <c r="EW199" s="570"/>
      <c r="EX199" s="570"/>
      <c r="EY199" s="570"/>
      <c r="EZ199" s="570"/>
      <c r="FA199" s="570"/>
      <c r="FB199" s="570"/>
      <c r="FC199" s="570"/>
      <c r="FD199" s="570"/>
      <c r="FE199" s="570"/>
      <c r="FF199" s="570"/>
      <c r="FG199" s="570"/>
      <c r="FH199" s="570"/>
      <c r="FI199" s="570"/>
      <c r="FJ199" s="570"/>
      <c r="FK199" s="570"/>
      <c r="FL199" s="570"/>
      <c r="FM199" s="570"/>
      <c r="FN199" s="570"/>
      <c r="FO199" s="570"/>
      <c r="FP199" s="570"/>
      <c r="FQ199" s="570"/>
      <c r="FR199" s="570"/>
      <c r="FS199" s="570"/>
      <c r="FT199" s="570"/>
      <c r="FU199" s="570"/>
      <c r="FV199" s="570"/>
      <c r="FW199" s="570"/>
      <c r="FX199" s="570"/>
      <c r="FY199" s="571"/>
      <c r="FZ199" s="571"/>
      <c r="GA199" s="571"/>
      <c r="GB199" s="571"/>
      <c r="GC199" s="571"/>
      <c r="GD199" s="571"/>
      <c r="GE199" s="571"/>
      <c r="GF199" s="571"/>
      <c r="GG199" s="571"/>
      <c r="GH199" s="571"/>
      <c r="GI199" s="571"/>
      <c r="GJ199" s="571"/>
      <c r="GK199" s="571"/>
      <c r="GL199" s="571"/>
      <c r="GM199" s="571"/>
      <c r="GN199" s="571"/>
      <c r="GO199" s="571"/>
      <c r="GP199" s="570"/>
      <c r="GQ199" s="570"/>
      <c r="GR199" s="570"/>
      <c r="GS199" s="570"/>
      <c r="GT199" s="570"/>
      <c r="GU199" s="570"/>
      <c r="GV199" s="572"/>
      <c r="GW199" s="570"/>
      <c r="GX199" s="570"/>
      <c r="GY199" s="570"/>
      <c r="GZ199" s="570"/>
      <c r="HA199" s="570"/>
      <c r="HB199" s="570"/>
      <c r="HC199" s="570"/>
      <c r="HD199" s="570"/>
      <c r="HE199" s="570"/>
      <c r="HF199" s="570"/>
      <c r="HG199" s="570"/>
      <c r="HH199" s="570"/>
      <c r="HI199" s="570"/>
      <c r="HJ199" s="570"/>
      <c r="HK199" s="570"/>
      <c r="HL199" s="572"/>
      <c r="HM199" s="572"/>
      <c r="HN199" s="570"/>
      <c r="HO199" s="570"/>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70"/>
      <c r="W200" s="570"/>
      <c r="X200" s="570"/>
      <c r="Y200" s="570"/>
      <c r="Z200" s="570"/>
      <c r="AA200" s="570"/>
      <c r="AB200" s="570"/>
      <c r="AC200" s="570"/>
      <c r="AD200" s="570"/>
      <c r="AE200" s="570"/>
      <c r="AF200" s="570"/>
      <c r="AG200" s="570"/>
      <c r="AH200" s="570"/>
      <c r="AI200" s="570"/>
      <c r="AJ200" s="570"/>
      <c r="AK200" s="570"/>
      <c r="AL200" s="570"/>
      <c r="AM200" s="570"/>
      <c r="AN200" s="570"/>
      <c r="AO200" s="570"/>
      <c r="AP200" s="570"/>
      <c r="AQ200" s="570"/>
      <c r="AR200" s="570"/>
      <c r="AS200" s="570"/>
      <c r="AT200" s="570"/>
      <c r="AU200" s="570"/>
      <c r="AV200" s="570"/>
      <c r="AW200" s="570"/>
      <c r="AX200" s="570"/>
      <c r="AY200" s="570"/>
      <c r="AZ200" s="570"/>
      <c r="BA200" s="570"/>
      <c r="BB200" s="570"/>
      <c r="BC200" s="570"/>
      <c r="BD200" s="570"/>
      <c r="BE200" s="570"/>
      <c r="BF200" s="570"/>
      <c r="BG200" s="570"/>
      <c r="BH200" s="570"/>
      <c r="BI200" s="570"/>
      <c r="BJ200" s="570"/>
      <c r="BK200" s="570"/>
      <c r="BL200" s="570"/>
      <c r="BM200" s="570"/>
      <c r="BN200" s="570"/>
      <c r="BO200" s="570"/>
      <c r="BP200" s="570"/>
      <c r="BQ200" s="570"/>
      <c r="BR200" s="570"/>
      <c r="BS200" s="570"/>
      <c r="BT200" s="570"/>
      <c r="BU200" s="570"/>
      <c r="BV200" s="570"/>
      <c r="BW200" s="570"/>
      <c r="BX200" s="570"/>
      <c r="BY200" s="570"/>
      <c r="BZ200" s="570"/>
      <c r="CA200" s="570"/>
      <c r="CB200" s="570"/>
      <c r="CC200" s="570"/>
      <c r="CD200" s="570"/>
      <c r="CE200" s="570"/>
      <c r="CF200" s="570"/>
      <c r="CG200" s="570"/>
      <c r="CH200" s="570"/>
      <c r="CI200" s="570"/>
      <c r="CJ200" s="570"/>
      <c r="CK200" s="570"/>
      <c r="CL200" s="570"/>
      <c r="CM200" s="570"/>
      <c r="CN200" s="570"/>
      <c r="CO200" s="570"/>
      <c r="CP200" s="570"/>
      <c r="CQ200" s="570"/>
      <c r="CR200" s="570"/>
      <c r="CS200" s="570"/>
      <c r="CT200" s="570"/>
      <c r="CU200" s="570"/>
      <c r="CV200" s="570"/>
      <c r="CW200" s="570"/>
      <c r="CX200" s="570"/>
      <c r="CY200" s="570"/>
      <c r="CZ200" s="570"/>
      <c r="DA200" s="570"/>
      <c r="DB200" s="570"/>
      <c r="DC200" s="570"/>
      <c r="DD200" s="570"/>
      <c r="DE200" s="570"/>
      <c r="DF200" s="570"/>
      <c r="DG200" s="570"/>
      <c r="DH200" s="570"/>
      <c r="DI200" s="570"/>
      <c r="DJ200" s="570"/>
      <c r="DK200" s="570"/>
      <c r="DL200" s="570"/>
      <c r="DM200" s="570"/>
      <c r="DN200" s="570"/>
      <c r="DO200" s="570"/>
      <c r="DP200" s="570"/>
      <c r="DQ200" s="570"/>
      <c r="DR200" s="570"/>
      <c r="DS200" s="570"/>
      <c r="DT200" s="570"/>
      <c r="DU200" s="570"/>
      <c r="DV200" s="570"/>
      <c r="DW200" s="570"/>
      <c r="DX200" s="570"/>
      <c r="DY200" s="570"/>
      <c r="DZ200" s="570"/>
      <c r="EA200" s="570"/>
      <c r="EB200" s="570"/>
      <c r="EC200" s="570"/>
      <c r="ED200" s="570"/>
      <c r="EE200" s="570"/>
      <c r="EF200" s="570"/>
      <c r="EG200" s="570"/>
      <c r="EH200" s="570"/>
      <c r="EI200" s="570"/>
      <c r="EJ200" s="570"/>
      <c r="EK200" s="570"/>
      <c r="EL200" s="570"/>
      <c r="EM200" s="570"/>
      <c r="EN200" s="570"/>
      <c r="EO200" s="570"/>
      <c r="EP200" s="570"/>
      <c r="EQ200" s="570"/>
      <c r="ER200" s="570"/>
      <c r="ES200" s="570"/>
      <c r="ET200" s="570"/>
      <c r="EU200" s="570"/>
      <c r="EV200" s="570"/>
      <c r="EW200" s="570"/>
      <c r="EX200" s="570"/>
      <c r="EY200" s="570"/>
      <c r="EZ200" s="570"/>
      <c r="FA200" s="570"/>
      <c r="FB200" s="570"/>
      <c r="FC200" s="570"/>
      <c r="FD200" s="570"/>
      <c r="FE200" s="570"/>
      <c r="FF200" s="570"/>
      <c r="FG200" s="570"/>
      <c r="FH200" s="570"/>
      <c r="FI200" s="570"/>
      <c r="FJ200" s="570"/>
      <c r="FK200" s="570"/>
      <c r="FL200" s="570"/>
      <c r="FM200" s="570"/>
      <c r="FN200" s="570"/>
      <c r="FO200" s="570"/>
      <c r="FP200" s="570"/>
      <c r="FQ200" s="570"/>
      <c r="FR200" s="570"/>
      <c r="FS200" s="570"/>
      <c r="FT200" s="570"/>
      <c r="FU200" s="570"/>
      <c r="FV200" s="570"/>
      <c r="FW200" s="570"/>
      <c r="FX200" s="570"/>
      <c r="FY200" s="571"/>
      <c r="FZ200" s="571"/>
      <c r="GA200" s="571"/>
      <c r="GB200" s="571"/>
      <c r="GC200" s="571"/>
      <c r="GD200" s="571"/>
      <c r="GE200" s="571"/>
      <c r="GF200" s="571"/>
      <c r="GG200" s="571"/>
      <c r="GH200" s="571"/>
      <c r="GI200" s="571"/>
      <c r="GJ200" s="571"/>
      <c r="GK200" s="571"/>
      <c r="GL200" s="571"/>
      <c r="GM200" s="571"/>
      <c r="GN200" s="571"/>
      <c r="GO200" s="571"/>
      <c r="GP200" s="570"/>
      <c r="GQ200" s="570"/>
      <c r="GR200" s="570"/>
      <c r="GS200" s="570"/>
      <c r="GT200" s="570"/>
      <c r="GU200" s="570"/>
      <c r="GV200" s="572"/>
      <c r="GW200" s="570"/>
      <c r="GX200" s="570"/>
      <c r="GY200" s="570"/>
      <c r="GZ200" s="570"/>
      <c r="HA200" s="570"/>
      <c r="HB200" s="570"/>
      <c r="HC200" s="570"/>
      <c r="HD200" s="570"/>
      <c r="HE200" s="570"/>
      <c r="HF200" s="570"/>
      <c r="HG200" s="570"/>
      <c r="HH200" s="570"/>
      <c r="HI200" s="570"/>
      <c r="HJ200" s="570"/>
      <c r="HK200" s="570"/>
      <c r="HL200" s="572"/>
      <c r="HM200" s="572"/>
      <c r="HN200" s="570"/>
      <c r="HO200" s="570"/>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7"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2" t="str">
        <f>CONCATENATE("PART SEVEN - OPERATING PRO FORMA","  -  ",'Part I-Project Information'!$O$4," ",'Part I-Project Information'!$F$23,", ",'Part I-Project Information'!F27,", ",'Part I-Project Information'!J28," County")</f>
        <v>PART SEVEN - OPERATING PRO FORMA  -  2014-039 Willingham Village II, Rome, Floyd County</v>
      </c>
      <c r="B1" s="2179"/>
      <c r="C1" s="2179"/>
      <c r="D1" s="2179"/>
      <c r="E1" s="2179"/>
      <c r="F1" s="2179"/>
      <c r="G1" s="2179"/>
      <c r="H1" s="2179"/>
      <c r="I1" s="2179"/>
      <c r="J1" s="2179"/>
      <c r="K1" s="2076"/>
      <c r="L1" s="11"/>
      <c r="M1" s="1410" t="str">
        <f>A1</f>
        <v>PART SEVEN - OPERATING PRO FORMA  -  2014-039 Willingham Village II, Rome, Floyd County</v>
      </c>
      <c r="N1" s="1410"/>
      <c r="O1" s="11"/>
    </row>
    <row r="2" spans="1:15" ht="13.5" customHeight="1">
      <c r="A2" s="643"/>
      <c r="B2" s="643"/>
      <c r="C2" s="643"/>
      <c r="D2" s="643"/>
      <c r="E2" s="643"/>
      <c r="F2" s="643"/>
      <c r="G2" s="643"/>
      <c r="H2" s="643"/>
      <c r="I2" s="643"/>
      <c r="J2" s="643"/>
      <c r="K2" s="643"/>
      <c r="M2" s="1411" t="s">
        <v>1974</v>
      </c>
      <c r="N2" s="1411"/>
    </row>
    <row r="3" spans="1:15" ht="13.5">
      <c r="A3" s="16" t="s">
        <v>93</v>
      </c>
      <c r="D3" s="16" t="s">
        <v>83</v>
      </c>
      <c r="E3" s="265"/>
      <c r="F3" s="332" t="s">
        <v>1109</v>
      </c>
      <c r="M3" s="16" t="str">
        <f>A3</f>
        <v>I.  OPERATING ASSUMPTIONS</v>
      </c>
      <c r="N3" s="35"/>
    </row>
    <row r="4" spans="1:15" ht="2.4500000000000002" customHeight="1">
      <c r="A4" s="19"/>
      <c r="B4" s="19"/>
      <c r="C4" s="19"/>
      <c r="H4" s="19"/>
      <c r="I4" s="19"/>
    </row>
    <row r="5" spans="1:15" ht="13.5" customHeight="1">
      <c r="A5" s="19" t="s">
        <v>2328</v>
      </c>
      <c r="B5" s="91">
        <v>0.02</v>
      </c>
      <c r="C5" s="19"/>
      <c r="D5" s="19" t="s">
        <v>838</v>
      </c>
      <c r="F5" s="19"/>
      <c r="G5" s="2180">
        <v>6000</v>
      </c>
      <c r="H5" s="113" t="s">
        <v>2041</v>
      </c>
      <c r="K5" s="118">
        <f>IF(($B$14+$B$15+$B$16+$B$17)=0,"",B28/($B$14+$B$15+$B$16+$B$17))</f>
        <v>-1.2715394006192144E-2</v>
      </c>
      <c r="M5" s="1746"/>
      <c r="N5" s="1747"/>
    </row>
    <row r="6" spans="1:15">
      <c r="A6" s="19" t="s">
        <v>2329</v>
      </c>
      <c r="B6" s="91">
        <v>0.03</v>
      </c>
      <c r="C6" s="19"/>
      <c r="D6" s="19"/>
      <c r="E6" s="19"/>
      <c r="F6" s="19"/>
      <c r="G6" s="19"/>
      <c r="H6" s="19"/>
      <c r="I6" s="19"/>
      <c r="J6" s="19"/>
      <c r="K6" s="19"/>
      <c r="M6" s="1754"/>
      <c r="N6" s="1755"/>
    </row>
    <row r="7" spans="1:15">
      <c r="A7" s="19" t="s">
        <v>2331</v>
      </c>
      <c r="B7" s="91">
        <v>0.03</v>
      </c>
      <c r="C7" s="19"/>
      <c r="D7" s="93" t="s">
        <v>284</v>
      </c>
      <c r="G7" s="95"/>
      <c r="H7" s="113" t="s">
        <v>2530</v>
      </c>
      <c r="K7" s="118">
        <f>IF(($B$14+$B$15+$B$16+$B$17)=0,"",-B20/($B$14+$B$15+$B$16+$B$17))</f>
        <v>8.9999558775827992E-2</v>
      </c>
      <c r="M7" s="1754"/>
      <c r="N7" s="1755"/>
    </row>
    <row r="8" spans="1:15" ht="13.15" customHeight="1">
      <c r="A8" s="19" t="s">
        <v>2330</v>
      </c>
      <c r="B8" s="2181">
        <v>7.0000000000000007E-2</v>
      </c>
      <c r="C8" s="19"/>
      <c r="D8" s="92" t="s">
        <v>2677</v>
      </c>
      <c r="G8" s="2182" t="s">
        <v>3702</v>
      </c>
      <c r="H8" s="203" t="s">
        <v>1540</v>
      </c>
      <c r="K8" s="2183"/>
      <c r="M8" s="1754"/>
      <c r="N8" s="1755"/>
    </row>
    <row r="9" spans="1:15">
      <c r="A9" s="19" t="s">
        <v>1510</v>
      </c>
      <c r="B9" s="91">
        <v>0.02</v>
      </c>
      <c r="D9" s="92" t="s">
        <v>1839</v>
      </c>
      <c r="G9" s="2182" t="s">
        <v>3701</v>
      </c>
      <c r="H9" s="203" t="s">
        <v>2510</v>
      </c>
      <c r="K9" s="2184">
        <v>0.09</v>
      </c>
      <c r="M9" s="1762"/>
      <c r="N9" s="1763"/>
    </row>
    <row r="10" spans="1:15" ht="13.5" customHeight="1"/>
    <row r="11" spans="1:15">
      <c r="A11" s="16" t="s">
        <v>94</v>
      </c>
      <c r="M11" s="16" t="str">
        <f>A11</f>
        <v>II.  OPERATING PRO FORMA</v>
      </c>
    </row>
    <row r="12" spans="1:15" ht="2.4500000000000002" customHeight="1"/>
    <row r="13" spans="1:15" ht="14.45" customHeight="1">
      <c r="A13" s="16" t="s">
        <v>2648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60" t="s">
        <v>2807</v>
      </c>
      <c r="N13" s="1260"/>
    </row>
    <row r="14" spans="1:15" ht="13.15" customHeight="1">
      <c r="A14" s="21" t="s">
        <v>2565</v>
      </c>
      <c r="B14" s="22">
        <f>'Part VI-Revenues &amp; Expenses'!L49</f>
        <v>503652</v>
      </c>
      <c r="C14" s="22">
        <f t="shared" ref="C14:K14" si="1">$B$14*(1+$B$5)^(C13-1)</f>
        <v>513725.04000000004</v>
      </c>
      <c r="D14" s="22">
        <f t="shared" si="1"/>
        <v>523999.54080000002</v>
      </c>
      <c r="E14" s="22">
        <f t="shared" si="1"/>
        <v>534479.53161599999</v>
      </c>
      <c r="F14" s="22">
        <f t="shared" si="1"/>
        <v>545169.12224832003</v>
      </c>
      <c r="G14" s="22">
        <f t="shared" si="1"/>
        <v>556072.50469328638</v>
      </c>
      <c r="H14" s="22">
        <f t="shared" si="1"/>
        <v>567193.95478715212</v>
      </c>
      <c r="I14" s="22">
        <f t="shared" si="1"/>
        <v>578537.83388289507</v>
      </c>
      <c r="J14" s="22">
        <f t="shared" si="1"/>
        <v>590108.59056055301</v>
      </c>
      <c r="K14" s="23">
        <f t="shared" si="1"/>
        <v>601910.76237176405</v>
      </c>
      <c r="M14" s="1746"/>
      <c r="N14" s="1747"/>
    </row>
    <row r="15" spans="1:15" ht="13.15" customHeight="1">
      <c r="A15" s="24" t="s">
        <v>1078</v>
      </c>
      <c r="B15" s="25">
        <f>MIN(B14*B9,'Part VI-Revenues &amp; Expenses'!H104)</f>
        <v>3734</v>
      </c>
      <c r="C15" s="25">
        <f t="shared" ref="C15:K15" si="2">$B$15*(1+$B$5)^(C13-1)</f>
        <v>3808.6800000000003</v>
      </c>
      <c r="D15" s="25">
        <f t="shared" si="2"/>
        <v>3884.8535999999999</v>
      </c>
      <c r="E15" s="25">
        <f t="shared" si="2"/>
        <v>3962.5506719999998</v>
      </c>
      <c r="F15" s="25">
        <f t="shared" si="2"/>
        <v>4041.8016854399998</v>
      </c>
      <c r="G15" s="25">
        <f t="shared" si="2"/>
        <v>4122.6377191488</v>
      </c>
      <c r="H15" s="25">
        <f t="shared" si="2"/>
        <v>4205.0904735317763</v>
      </c>
      <c r="I15" s="25">
        <f t="shared" si="2"/>
        <v>4289.1922830024105</v>
      </c>
      <c r="J15" s="25">
        <f t="shared" si="2"/>
        <v>4374.9761286624598</v>
      </c>
      <c r="K15" s="26">
        <f t="shared" si="2"/>
        <v>4462.4756512357089</v>
      </c>
      <c r="M15" s="1754"/>
      <c r="N15" s="1755"/>
    </row>
    <row r="16" spans="1:15" ht="13.15" customHeight="1">
      <c r="A16" s="24" t="s">
        <v>2566</v>
      </c>
      <c r="B16" s="25">
        <f t="shared" ref="B16:K16" si="3">-(B14+B15)*$B$8</f>
        <v>-35517.020000000004</v>
      </c>
      <c r="C16" s="25">
        <f t="shared" si="3"/>
        <v>-36227.360400000005</v>
      </c>
      <c r="D16" s="25">
        <f t="shared" si="3"/>
        <v>-36951.907608000001</v>
      </c>
      <c r="E16" s="25">
        <f t="shared" si="3"/>
        <v>-37690.945760160008</v>
      </c>
      <c r="F16" s="25">
        <f t="shared" si="3"/>
        <v>-38444.764675363207</v>
      </c>
      <c r="G16" s="25">
        <f t="shared" si="3"/>
        <v>-39213.659968870466</v>
      </c>
      <c r="H16" s="25">
        <f t="shared" si="3"/>
        <v>-39997.933168247873</v>
      </c>
      <c r="I16" s="25">
        <f t="shared" si="3"/>
        <v>-40797.891831612826</v>
      </c>
      <c r="J16" s="25">
        <f t="shared" si="3"/>
        <v>-41613.849668245086</v>
      </c>
      <c r="K16" s="26">
        <f t="shared" si="3"/>
        <v>-42446.126661609982</v>
      </c>
      <c r="M16" s="1754"/>
      <c r="N16" s="1755"/>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4"/>
      <c r="N17" s="1755"/>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4"/>
      <c r="N18" s="1755"/>
    </row>
    <row r="19" spans="1:14" ht="13.15" customHeight="1">
      <c r="A19" s="24" t="s">
        <v>655</v>
      </c>
      <c r="B19" s="25">
        <f>-('Part VI-Revenues &amp; Expenses'!P157-'Part VI-Revenues &amp; Expenses'!P147)</f>
        <v>-276550</v>
      </c>
      <c r="C19" s="25">
        <f t="shared" ref="C19:K19" si="4">$B$19*(1+$B$6)^(C13-1)</f>
        <v>-284846.5</v>
      </c>
      <c r="D19" s="25">
        <f t="shared" si="4"/>
        <v>-293391.89499999996</v>
      </c>
      <c r="E19" s="25">
        <f t="shared" si="4"/>
        <v>-302193.65185000002</v>
      </c>
      <c r="F19" s="25">
        <f t="shared" si="4"/>
        <v>-311259.46140549995</v>
      </c>
      <c r="G19" s="25">
        <f t="shared" si="4"/>
        <v>-320597.24524766498</v>
      </c>
      <c r="H19" s="25">
        <f t="shared" si="4"/>
        <v>-330215.1626050949</v>
      </c>
      <c r="I19" s="25">
        <f t="shared" si="4"/>
        <v>-340121.61748324777</v>
      </c>
      <c r="J19" s="25">
        <f t="shared" si="4"/>
        <v>-350325.26600774517</v>
      </c>
      <c r="K19" s="26">
        <f t="shared" si="4"/>
        <v>-360835.02398797753</v>
      </c>
      <c r="M19" s="1754"/>
      <c r="N19" s="1755"/>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-42468</v>
      </c>
      <c r="C20" s="25">
        <f>IF(AND('Part VII-Pro Forma'!$G$8="Yes",'Part VII-Pro Forma'!$G$9="Yes"),"Choose One!",IF('Part VII-Pro Forma'!$G$8="Yes",ROUND((-$K$8*(1+'Part VII-Pro Forma'!$B$6)^('Part VII-Pro Forma'!C13-1)),),IF('Part VII-Pro Forma'!$G$9="Yes",ROUND((-(SUM(C14:C17)*'Part VII-Pro Forma'!$K$9)),),"Choose mgt fee")))</f>
        <v>-43318</v>
      </c>
      <c r="D20" s="25">
        <f>IF(AND('Part VII-Pro Forma'!$G$8="Yes",'Part VII-Pro Forma'!$G$9="Yes"),"Choose One!",IF('Part VII-Pro Forma'!$G$8="Yes",ROUND((-$K$8*(1+'Part VII-Pro Forma'!$B$6)^('Part VII-Pro Forma'!D13-1)),),IF('Part VII-Pro Forma'!$G$9="Yes",ROUND((-(SUM(D14:D17)*'Part VII-Pro Forma'!$K$9)),),"Choose mgt fee")))</f>
        <v>-44184</v>
      </c>
      <c r="E20" s="25">
        <f>IF(AND('Part VII-Pro Forma'!$G$8="Yes",'Part VII-Pro Forma'!$G$9="Yes"),"Choose One!",IF('Part VII-Pro Forma'!$G$8="Yes",ROUND((-$K$8*(1+'Part VII-Pro Forma'!$B$6)^('Part VII-Pro Forma'!E13-1)),),IF('Part VII-Pro Forma'!$G$9="Yes",ROUND((-(SUM(E14:E17)*'Part VII-Pro Forma'!$K$9)),),"Choose mgt fee")))</f>
        <v>-45068</v>
      </c>
      <c r="F20" s="25">
        <f>IF(AND('Part VII-Pro Forma'!$G$8="Yes",'Part VII-Pro Forma'!$G$9="Yes"),"Choose One!",IF('Part VII-Pro Forma'!$G$8="Yes",ROUND((-$K$8*(1+'Part VII-Pro Forma'!$B$6)^('Part VII-Pro Forma'!F13-1)),),IF('Part VII-Pro Forma'!$G$9="Yes",ROUND((-(SUM(F14:F17)*'Part VII-Pro Forma'!$K$9)),),"Choose mgt fee")))</f>
        <v>-45969</v>
      </c>
      <c r="G20" s="25">
        <f>IF(AND('Part VII-Pro Forma'!$G$8="Yes",'Part VII-Pro Forma'!$G$9="Yes"),"Choose One!",IF('Part VII-Pro Forma'!$G$8="Yes",ROUND((-$K$8*(1+'Part VII-Pro Forma'!$B$6)^('Part VII-Pro Forma'!G13-1)),),IF('Part VII-Pro Forma'!$G$9="Yes",ROUND((-(SUM(G14:G17)*'Part VII-Pro Forma'!$K$9)),),"Choose mgt fee")))</f>
        <v>-46888</v>
      </c>
      <c r="H20" s="25">
        <f>IF(AND('Part VII-Pro Forma'!$G$8="Yes",'Part VII-Pro Forma'!$G$9="Yes"),"Choose One!",IF('Part VII-Pro Forma'!$G$8="Yes",ROUND((-$K$8*(1+'Part VII-Pro Forma'!$B$6)^('Part VII-Pro Forma'!H13-1)),),IF('Part VII-Pro Forma'!$G$9="Yes",ROUND((-(SUM(H14:H17)*'Part VII-Pro Forma'!$K$9)),),"Choose mgt fee")))</f>
        <v>-47826</v>
      </c>
      <c r="I20" s="25">
        <f>IF(AND('Part VII-Pro Forma'!$G$8="Yes",'Part VII-Pro Forma'!$G$9="Yes"),"Choose One!",IF('Part VII-Pro Forma'!$G$8="Yes",ROUND((-$K$8*(1+'Part VII-Pro Forma'!$B$6)^('Part VII-Pro Forma'!I13-1)),),IF('Part VII-Pro Forma'!$G$9="Yes",ROUND((-(SUM(I14:I17)*'Part VII-Pro Forma'!$K$9)),),"Choose mgt fee")))</f>
        <v>-48783</v>
      </c>
      <c r="J20" s="25">
        <f>IF(AND('Part VII-Pro Forma'!$G$8="Yes",'Part VII-Pro Forma'!$G$9="Yes"),"Choose One!",IF('Part VII-Pro Forma'!$G$8="Yes",ROUND((-$K$8*(1+'Part VII-Pro Forma'!$B$6)^('Part VII-Pro Forma'!J13-1)),),IF('Part VII-Pro Forma'!$G$9="Yes",ROUND((-(SUM(J14:J17)*'Part VII-Pro Forma'!$K$9)),),"Choose mgt fee")))</f>
        <v>-49758</v>
      </c>
      <c r="K20" s="25">
        <f>IF(AND('Part VII-Pro Forma'!$G$8="Yes",'Part VII-Pro Forma'!$G$9="Yes"),"Choose One!",IF('Part VII-Pro Forma'!$G$8="Yes",ROUND((-$K$8*(1+'Part VII-Pro Forma'!$B$6)^('Part VII-Pro Forma'!K13-1)),),IF('Part VII-Pro Forma'!$G$9="Yes",ROUND((-(SUM(K14:K17)*'Part VII-Pro Forma'!$K$9)),),"Choose mgt fee")))</f>
        <v>-50753</v>
      </c>
      <c r="M20" s="1754"/>
      <c r="N20" s="1755"/>
    </row>
    <row r="21" spans="1:14" ht="13.15" customHeight="1">
      <c r="A21" s="24" t="s">
        <v>1278</v>
      </c>
      <c r="B21" s="25">
        <f>-('Part VI-Revenues &amp; Expenses'!P160)</f>
        <v>-31500</v>
      </c>
      <c r="C21" s="25">
        <f t="shared" ref="C21:K21" si="5">$B$21*(1+$B$7)^(C13-1)</f>
        <v>-32445</v>
      </c>
      <c r="D21" s="25">
        <f t="shared" si="5"/>
        <v>-33418.35</v>
      </c>
      <c r="E21" s="25">
        <f t="shared" si="5"/>
        <v>-34420.900500000003</v>
      </c>
      <c r="F21" s="25">
        <f t="shared" si="5"/>
        <v>-35453.527514999994</v>
      </c>
      <c r="G21" s="25">
        <f t="shared" si="5"/>
        <v>-36517.133340449996</v>
      </c>
      <c r="H21" s="25">
        <f t="shared" si="5"/>
        <v>-37612.647340663498</v>
      </c>
      <c r="I21" s="25">
        <f t="shared" si="5"/>
        <v>-38741.026760883404</v>
      </c>
      <c r="J21" s="25">
        <f t="shared" si="5"/>
        <v>-39903.2575637099</v>
      </c>
      <c r="K21" s="26">
        <f t="shared" si="5"/>
        <v>-41100.355290621199</v>
      </c>
      <c r="M21" s="1754"/>
      <c r="N21" s="1755"/>
    </row>
    <row r="22" spans="1:14" ht="13.15" customHeight="1">
      <c r="A22" s="24" t="s">
        <v>1279</v>
      </c>
      <c r="B22" s="25">
        <f t="shared" ref="B22:K22" si="6">SUM(B14:B21)</f>
        <v>121350.97999999998</v>
      </c>
      <c r="C22" s="25">
        <f t="shared" si="6"/>
        <v>120696.85960000003</v>
      </c>
      <c r="D22" s="25">
        <f t="shared" si="6"/>
        <v>119938.24179200004</v>
      </c>
      <c r="E22" s="25">
        <f t="shared" si="6"/>
        <v>119068.58417784002</v>
      </c>
      <c r="F22" s="25">
        <f t="shared" si="6"/>
        <v>118084.17033789688</v>
      </c>
      <c r="G22" s="25">
        <f t="shared" si="6"/>
        <v>116979.10385544971</v>
      </c>
      <c r="H22" s="25">
        <f t="shared" si="6"/>
        <v>115747.30214667754</v>
      </c>
      <c r="I22" s="25">
        <f t="shared" si="6"/>
        <v>114383.49009015353</v>
      </c>
      <c r="J22" s="25">
        <f t="shared" si="6"/>
        <v>112883.19344951535</v>
      </c>
      <c r="K22" s="26">
        <f t="shared" si="6"/>
        <v>111238.73208279102</v>
      </c>
      <c r="M22" s="1754"/>
      <c r="N22" s="1755"/>
    </row>
    <row r="23" spans="1:14" ht="13.15" customHeight="1">
      <c r="A23" s="524" t="s">
        <v>1699</v>
      </c>
      <c r="B23" s="2185">
        <f>IF('Part III-Sources of Funds'!$M$32="", 0,-'Part III-Sources of Funds'!$M$32)</f>
        <v>-69273.961968822725</v>
      </c>
      <c r="C23" s="2185">
        <f>IF('Part III-Sources of Funds'!$M$32="", 0,-'Part III-Sources of Funds'!$M$32)</f>
        <v>-69273.961968822725</v>
      </c>
      <c r="D23" s="2185">
        <f>IF('Part III-Sources of Funds'!$M$32="", 0,-'Part III-Sources of Funds'!$M$32)</f>
        <v>-69273.961968822725</v>
      </c>
      <c r="E23" s="2185">
        <f>IF('Part III-Sources of Funds'!$M$32="", 0,-'Part III-Sources of Funds'!$M$32)</f>
        <v>-69273.961968822725</v>
      </c>
      <c r="F23" s="2185">
        <f>IF('Part III-Sources of Funds'!$M$32="", 0,-'Part III-Sources of Funds'!$M$32)</f>
        <v>-69273.961968822725</v>
      </c>
      <c r="G23" s="2185">
        <f>IF('Part III-Sources of Funds'!$M$32="", 0,-'Part III-Sources of Funds'!$M$32)</f>
        <v>-69273.961968822725</v>
      </c>
      <c r="H23" s="2185">
        <f>IF('Part III-Sources of Funds'!$M$32="", 0,-'Part III-Sources of Funds'!$M$32)</f>
        <v>-69273.961968822725</v>
      </c>
      <c r="I23" s="2185">
        <f>IF('Part III-Sources of Funds'!$M$32="", 0,-'Part III-Sources of Funds'!$M$32)</f>
        <v>-69273.961968822725</v>
      </c>
      <c r="J23" s="2185">
        <f>IF('Part III-Sources of Funds'!$M$32="", 0,-'Part III-Sources of Funds'!$M$32)</f>
        <v>-69273.961968822725</v>
      </c>
      <c r="K23" s="2185">
        <f>IF('Part III-Sources of Funds'!$M$32="", 0,-'Part III-Sources of Funds'!$M$32)</f>
        <v>-69273.961968822725</v>
      </c>
      <c r="M23" s="1754"/>
      <c r="N23" s="1755"/>
    </row>
    <row r="24" spans="1:14" ht="13.15" customHeight="1">
      <c r="A24" s="524" t="s">
        <v>1700</v>
      </c>
      <c r="B24" s="2186">
        <f>IF('Part III-Sources of Funds'!$M$33="", 0,-'Part III-Sources of Funds'!$M$33)</f>
        <v>0</v>
      </c>
      <c r="C24" s="2186">
        <f>IF('Part III-Sources of Funds'!$M$33="", 0,-'Part III-Sources of Funds'!$M$33)</f>
        <v>0</v>
      </c>
      <c r="D24" s="2186">
        <f>IF('Part III-Sources of Funds'!$M$33="", 0,-'Part III-Sources of Funds'!$M$33)</f>
        <v>0</v>
      </c>
      <c r="E24" s="2186">
        <f>IF('Part III-Sources of Funds'!$M$33="", 0,-'Part III-Sources of Funds'!$M$33)</f>
        <v>0</v>
      </c>
      <c r="F24" s="2186">
        <f>IF('Part III-Sources of Funds'!$M$33="", 0,-'Part III-Sources of Funds'!$M$33)</f>
        <v>0</v>
      </c>
      <c r="G24" s="2186">
        <f>IF('Part III-Sources of Funds'!$M$33="", 0,-'Part III-Sources of Funds'!$M$33)</f>
        <v>0</v>
      </c>
      <c r="H24" s="2186">
        <f>IF('Part III-Sources of Funds'!$M$33="", 0,-'Part III-Sources of Funds'!$M$33)</f>
        <v>0</v>
      </c>
      <c r="I24" s="2186">
        <f>IF('Part III-Sources of Funds'!$M$33="", 0,-'Part III-Sources of Funds'!$M$33)</f>
        <v>0</v>
      </c>
      <c r="J24" s="2186">
        <f>IF('Part III-Sources of Funds'!$M$33="", 0,-'Part III-Sources of Funds'!$M$33)</f>
        <v>0</v>
      </c>
      <c r="K24" s="2186">
        <f>IF('Part III-Sources of Funds'!$M$33="", 0,-'Part III-Sources of Funds'!$M$33)</f>
        <v>0</v>
      </c>
      <c r="M24" s="1754"/>
      <c r="N24" s="1755"/>
    </row>
    <row r="25" spans="1:14" ht="13.15" customHeight="1">
      <c r="A25" s="524" t="s">
        <v>1701</v>
      </c>
      <c r="B25" s="2186">
        <f>IF('Part III-Sources of Funds'!$M$34="", 0,-'Part III-Sources of Funds'!$M$34)</f>
        <v>0</v>
      </c>
      <c r="C25" s="2186">
        <f>IF('Part III-Sources of Funds'!$M$34="", 0,-'Part III-Sources of Funds'!$M$34)</f>
        <v>0</v>
      </c>
      <c r="D25" s="2186">
        <f>IF('Part III-Sources of Funds'!$M$34="", 0,-'Part III-Sources of Funds'!$M$34)</f>
        <v>0</v>
      </c>
      <c r="E25" s="2186">
        <f>IF('Part III-Sources of Funds'!$M$34="", 0,-'Part III-Sources of Funds'!$M$34)</f>
        <v>0</v>
      </c>
      <c r="F25" s="2186">
        <f>IF('Part III-Sources of Funds'!$M$34="", 0,-'Part III-Sources of Funds'!$M$34)</f>
        <v>0</v>
      </c>
      <c r="G25" s="2186">
        <f>IF('Part III-Sources of Funds'!$M$34="", 0,-'Part III-Sources of Funds'!$M$34)</f>
        <v>0</v>
      </c>
      <c r="H25" s="2186">
        <f>IF('Part III-Sources of Funds'!$M$34="", 0,-'Part III-Sources of Funds'!$M$34)</f>
        <v>0</v>
      </c>
      <c r="I25" s="2186">
        <f>IF('Part III-Sources of Funds'!$M$34="", 0,-'Part III-Sources of Funds'!$M$34)</f>
        <v>0</v>
      </c>
      <c r="J25" s="2186">
        <f>IF('Part III-Sources of Funds'!$M$34="", 0,-'Part III-Sources of Funds'!$M$34)</f>
        <v>0</v>
      </c>
      <c r="K25" s="2186">
        <f>IF('Part III-Sources of Funds'!$M$34="", 0,-'Part III-Sources of Funds'!$M$34)</f>
        <v>0</v>
      </c>
      <c r="M25" s="1754"/>
      <c r="N25" s="1755"/>
    </row>
    <row r="26" spans="1:14" ht="13.15" customHeight="1">
      <c r="A26" s="24" t="s">
        <v>835</v>
      </c>
      <c r="B26" s="2186">
        <f>IF('Part III-Sources of Funds'!$M$35="", 0,-'Part III-Sources of Funds'!$M$35)</f>
        <v>0</v>
      </c>
      <c r="C26" s="2186">
        <f>IF('Part III-Sources of Funds'!$M$35="", 0,-'Part III-Sources of Funds'!$M$35)</f>
        <v>0</v>
      </c>
      <c r="D26" s="2186">
        <f>IF('Part III-Sources of Funds'!$M$35="", 0,-'Part III-Sources of Funds'!$M$35)</f>
        <v>0</v>
      </c>
      <c r="E26" s="2186">
        <f>IF('Part III-Sources of Funds'!$M$35="", 0,-'Part III-Sources of Funds'!$M$35)</f>
        <v>0</v>
      </c>
      <c r="F26" s="2186">
        <f>IF('Part III-Sources of Funds'!$M$35="", 0,-'Part III-Sources of Funds'!$M$35)</f>
        <v>0</v>
      </c>
      <c r="G26" s="2186">
        <f>IF('Part III-Sources of Funds'!$M$35="", 0,-'Part III-Sources of Funds'!$M$35)</f>
        <v>0</v>
      </c>
      <c r="H26" s="2186">
        <f>IF('Part III-Sources of Funds'!$M$35="", 0,-'Part III-Sources of Funds'!$M$35)</f>
        <v>0</v>
      </c>
      <c r="I26" s="2186">
        <f>IF('Part III-Sources of Funds'!$M$35="", 0,-'Part III-Sources of Funds'!$M$35)</f>
        <v>0</v>
      </c>
      <c r="J26" s="2186">
        <f>IF('Part III-Sources of Funds'!$M$35="", 0,-'Part III-Sources of Funds'!$M$35)</f>
        <v>0</v>
      </c>
      <c r="K26" s="2186">
        <f>IF('Part III-Sources of Funds'!$M$35="", 0,-'Part III-Sources of Funds'!$M$35)</f>
        <v>0</v>
      </c>
      <c r="M26" s="1754"/>
      <c r="N26" s="1755"/>
    </row>
    <row r="27" spans="1:14" ht="13.15" customHeight="1">
      <c r="A27" s="24" t="s">
        <v>814</v>
      </c>
      <c r="B27" s="2187"/>
      <c r="C27" s="2187"/>
      <c r="D27" s="2187"/>
      <c r="E27" s="2187"/>
      <c r="F27" s="2187"/>
      <c r="G27" s="2187"/>
      <c r="H27" s="2187"/>
      <c r="I27" s="2187"/>
      <c r="J27" s="2187"/>
      <c r="K27" s="2187"/>
      <c r="M27" s="1754"/>
      <c r="N27" s="1755"/>
    </row>
    <row r="28" spans="1:14" ht="13.15" customHeight="1">
      <c r="A28" s="24" t="s">
        <v>1234</v>
      </c>
      <c r="B28" s="2186">
        <f>-$G$5</f>
        <v>-6000</v>
      </c>
      <c r="C28" s="2186">
        <f>+B28*1.03</f>
        <v>-6180</v>
      </c>
      <c r="D28" s="2186">
        <f t="shared" ref="D28:K28" si="7">+C28*1.03</f>
        <v>-6365.4000000000005</v>
      </c>
      <c r="E28" s="2186">
        <f t="shared" si="7"/>
        <v>-6556.362000000001</v>
      </c>
      <c r="F28" s="2186">
        <f t="shared" si="7"/>
        <v>-6753.0528600000016</v>
      </c>
      <c r="G28" s="2186">
        <f t="shared" si="7"/>
        <v>-6955.6444458000014</v>
      </c>
      <c r="H28" s="2186">
        <f t="shared" si="7"/>
        <v>-7164.3137791740019</v>
      </c>
      <c r="I28" s="2186">
        <f t="shared" si="7"/>
        <v>-7379.2431925492219</v>
      </c>
      <c r="J28" s="2186">
        <f t="shared" si="7"/>
        <v>-7600.6204883256987</v>
      </c>
      <c r="K28" s="2186">
        <f t="shared" si="7"/>
        <v>-7828.6391029754695</v>
      </c>
      <c r="M28" s="1754"/>
      <c r="N28" s="1755"/>
    </row>
    <row r="29" spans="1:14" ht="13.15" customHeight="1">
      <c r="A29" s="24" t="s">
        <v>1280</v>
      </c>
      <c r="B29" s="2188">
        <f>IF('Part III-Sources of Funds'!$M$37="", 0,-'Part III-Sources of Funds'!$M$37)</f>
        <v>0</v>
      </c>
      <c r="C29" s="2188">
        <f>IF('Part III-Sources of Funds'!$M$37="", 0,-'Part III-Sources of Funds'!$M$37)</f>
        <v>0</v>
      </c>
      <c r="D29" s="2188">
        <f>IF('Part III-Sources of Funds'!$M$37="", 0,-'Part III-Sources of Funds'!$M$37)</f>
        <v>0</v>
      </c>
      <c r="E29" s="2188">
        <f>IF('Part III-Sources of Funds'!$M$37="", 0,-'Part III-Sources of Funds'!$M$37)</f>
        <v>0</v>
      </c>
      <c r="F29" s="2188">
        <f>IF('Part III-Sources of Funds'!$M$37="", 0,-'Part III-Sources of Funds'!$M$37)</f>
        <v>0</v>
      </c>
      <c r="G29" s="2188">
        <f>IF('Part III-Sources of Funds'!$M$37="", 0,-'Part III-Sources of Funds'!$M$37)</f>
        <v>0</v>
      </c>
      <c r="H29" s="2188">
        <f>IF('Part III-Sources of Funds'!$M$37="", 0,-'Part III-Sources of Funds'!$M$37)</f>
        <v>0</v>
      </c>
      <c r="I29" s="2188">
        <f>IF('Part III-Sources of Funds'!$M$37="", 0,-'Part III-Sources of Funds'!$M$37)</f>
        <v>0</v>
      </c>
      <c r="J29" s="2188">
        <f>IF('Part III-Sources of Funds'!$M$37="", 0,-'Part III-Sources of Funds'!$M$37)</f>
        <v>0</v>
      </c>
      <c r="K29" s="2188">
        <f>IF('Part III-Sources of Funds'!$M$37="", 0,-'Part III-Sources of Funds'!$M$37)</f>
        <v>0</v>
      </c>
      <c r="M29" s="1754"/>
      <c r="N29" s="1755"/>
    </row>
    <row r="30" spans="1:14" ht="13.15" customHeight="1">
      <c r="A30" s="24" t="s">
        <v>1235</v>
      </c>
      <c r="B30" s="25">
        <f t="shared" ref="B30:K30" si="8">SUM(B22:B29)</f>
        <v>46077.018031177256</v>
      </c>
      <c r="C30" s="25">
        <f t="shared" si="8"/>
        <v>45242.8976311773</v>
      </c>
      <c r="D30" s="25">
        <f t="shared" si="8"/>
        <v>44298.879823177318</v>
      </c>
      <c r="E30" s="25">
        <f t="shared" si="8"/>
        <v>43238.260209017295</v>
      </c>
      <c r="F30" s="25">
        <f t="shared" si="8"/>
        <v>42057.155509074153</v>
      </c>
      <c r="G30" s="25">
        <f t="shared" si="8"/>
        <v>40749.497440826977</v>
      </c>
      <c r="H30" s="25">
        <f t="shared" si="8"/>
        <v>39309.026398680813</v>
      </c>
      <c r="I30" s="25">
        <f t="shared" si="8"/>
        <v>37730.284928781584</v>
      </c>
      <c r="J30" s="25">
        <f t="shared" si="8"/>
        <v>36008.610992366928</v>
      </c>
      <c r="K30" s="26">
        <f t="shared" si="8"/>
        <v>34136.131010992824</v>
      </c>
      <c r="M30" s="1754"/>
      <c r="N30" s="1755"/>
    </row>
    <row r="31" spans="1:14" ht="13.15" customHeight="1">
      <c r="A31" s="24" t="str">
        <f>IF('Part III-Sources of Funds'!$E$32 = "Neither", "", "DCR Mortgage A")</f>
        <v>DCR Mortgage A</v>
      </c>
      <c r="B31" s="27">
        <f>IF(B23=0,"",-B22/B23)</f>
        <v>1.7517545777822685</v>
      </c>
      <c r="C31" s="27">
        <f t="shared" ref="C31:K31" si="9">IF(C23=0,"",-C22/C23)</f>
        <v>1.7423120631431557</v>
      </c>
      <c r="D31" s="27">
        <f t="shared" si="9"/>
        <v>1.7313610826240768</v>
      </c>
      <c r="E31" s="27">
        <f t="shared" si="9"/>
        <v>1.7188071938404179</v>
      </c>
      <c r="F31" s="27">
        <f t="shared" si="9"/>
        <v>1.7045967486462166</v>
      </c>
      <c r="G31" s="27">
        <f t="shared" si="9"/>
        <v>1.6886446296820303</v>
      </c>
      <c r="H31" s="27">
        <f t="shared" si="9"/>
        <v>1.6708630321847406</v>
      </c>
      <c r="I31" s="27">
        <f t="shared" si="9"/>
        <v>1.651175807464754</v>
      </c>
      <c r="J31" s="27">
        <f t="shared" si="9"/>
        <v>1.6295183679593683</v>
      </c>
      <c r="K31" s="28">
        <f t="shared" si="9"/>
        <v>1.6057798474534322</v>
      </c>
      <c r="M31" s="1754"/>
      <c r="N31" s="1755"/>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4"/>
      <c r="N32" s="1755"/>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4"/>
      <c r="N33" s="1755"/>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4"/>
      <c r="N34" s="1755"/>
    </row>
    <row r="35" spans="1:14" ht="13.15" customHeight="1">
      <c r="A35" s="24" t="s">
        <v>821</v>
      </c>
      <c r="B35" s="321">
        <f>IF(OR(B20="Choose mgt fee",B20="Choose One!"),"",(B14+B15+B16+B17+B18) / -(B19+B20+B21))</f>
        <v>1.3462047027542094</v>
      </c>
      <c r="C35" s="321">
        <f t="shared" ref="C35:K35" si="13">IF(OR(C20="Choose mgt fee",C20="Choose One!"),"",(C14+C15+C16+C17+C18) / -(C19+C20+C21))</f>
        <v>1.3347023847125492</v>
      </c>
      <c r="D35" s="321">
        <f t="shared" si="13"/>
        <v>1.3232886854942996</v>
      </c>
      <c r="E35" s="321">
        <f t="shared" si="13"/>
        <v>1.311957105308432</v>
      </c>
      <c r="F35" s="321">
        <f t="shared" si="13"/>
        <v>1.3007119594726397</v>
      </c>
      <c r="G35" s="321">
        <f t="shared" si="13"/>
        <v>1.289550532509887</v>
      </c>
      <c r="H35" s="321">
        <f t="shared" si="13"/>
        <v>1.2784704467445691</v>
      </c>
      <c r="I35" s="321">
        <f t="shared" si="13"/>
        <v>1.2674725947281136</v>
      </c>
      <c r="J35" s="321">
        <f t="shared" si="13"/>
        <v>1.2565605703857035</v>
      </c>
      <c r="K35" s="322">
        <f t="shared" si="13"/>
        <v>1.2457291531540093</v>
      </c>
      <c r="M35" s="1754"/>
      <c r="N35" s="1755"/>
    </row>
    <row r="36" spans="1:14" ht="13.15" customHeight="1">
      <c r="A36" s="524" t="s">
        <v>2800</v>
      </c>
      <c r="B36" s="2189">
        <f>IF('Part III-Sources of Funds'!$H$32="","",-FV('Part III-Sources of Funds'!$J$32/12,12,B23/12,'Part III-Sources of Funds'!$H$32))</f>
        <v>541096.65478817362</v>
      </c>
      <c r="C36" s="2189">
        <f>IF('Part III-Sources of Funds'!$H$32="","",-FV('Part III-Sources of Funds'!$J$32/12,12,C23/12,B36))</f>
        <v>488368.90764601342</v>
      </c>
      <c r="D36" s="2189">
        <f>IF('Part III-Sources of Funds'!$H$32="","",-FV('Part III-Sources of Funds'!$J$32/12,12,D23/12,C36))</f>
        <v>433928.90440814622</v>
      </c>
      <c r="E36" s="2189">
        <f>IF('Part III-Sources of Funds'!$H$32="","",-FV('Part III-Sources of Funds'!$J$32/12,12,E23/12,D36))</f>
        <v>377721.04207432666</v>
      </c>
      <c r="F36" s="2189">
        <f>IF('Part III-Sources of Funds'!$H$32="","",-FV('Part III-Sources of Funds'!$J$32/12,12,F23/12,E36))</f>
        <v>319687.9120185948</v>
      </c>
      <c r="G36" s="2189">
        <f>IF('Part III-Sources of Funds'!$H$32="","",-FV('Part III-Sources of Funds'!$J$32/12,12,G23/12,F36))</f>
        <v>259770.24135423469</v>
      </c>
      <c r="H36" s="2189">
        <f>IF('Part III-Sources of Funds'!$H$32="","",-FV('Part III-Sources of Funds'!$J$32/12,12,H23/12,G36))</f>
        <v>197906.83239464631</v>
      </c>
      <c r="I36" s="2189">
        <f>IF('Part III-Sources of Funds'!$H$32="","",-FV('Part III-Sources of Funds'!$J$32/12,12,I23/12,H36))</f>
        <v>134034.50014829816</v>
      </c>
      <c r="J36" s="2189">
        <f>IF('Part III-Sources of Funds'!$H$32="","",-FV('Part III-Sources of Funds'!$J$32/12,12,J23/12,I36))</f>
        <v>68088.007783920184</v>
      </c>
      <c r="K36" s="2189">
        <f>IF('Part III-Sources of Funds'!$H$32="","",-FV('Part III-Sources of Funds'!$J$32/12,12,K23/12,J36))</f>
        <v>2.3894244804978371E-8</v>
      </c>
      <c r="M36" s="1754"/>
      <c r="N36" s="1755"/>
    </row>
    <row r="37" spans="1:14" ht="13.15" customHeight="1">
      <c r="A37" s="524" t="s">
        <v>2801</v>
      </c>
      <c r="B37" s="2186" t="str">
        <f>IF('Part III-Sources of Funds'!$H$33="","",-FV('Part III-Sources of Funds'!$J$33/12,12,B24/12,'Part III-Sources of Funds'!$H$33))</f>
        <v/>
      </c>
      <c r="C37" s="2186" t="str">
        <f>IF('Part III-Sources of Funds'!$H$33="","",-FV('Part III-Sources of Funds'!$J$33/12,12,C24/12,B37))</f>
        <v/>
      </c>
      <c r="D37" s="2186" t="str">
        <f>IF('Part III-Sources of Funds'!$H$33="","",-FV('Part III-Sources of Funds'!$J$33/12,12,D24/12,C37))</f>
        <v/>
      </c>
      <c r="E37" s="2186" t="str">
        <f>IF('Part III-Sources of Funds'!$H$33="","",-FV('Part III-Sources of Funds'!$J$33/12,12,E24/12,D37))</f>
        <v/>
      </c>
      <c r="F37" s="2186" t="str">
        <f>IF('Part III-Sources of Funds'!$H$33="","",-FV('Part III-Sources of Funds'!$J$33/12,12,F24/12,E37))</f>
        <v/>
      </c>
      <c r="G37" s="2186" t="str">
        <f>IF('Part III-Sources of Funds'!$H$33="","",-FV('Part III-Sources of Funds'!$J$33/12,12,G24/12,F37))</f>
        <v/>
      </c>
      <c r="H37" s="2186" t="str">
        <f>IF('Part III-Sources of Funds'!$H$33="","",-FV('Part III-Sources of Funds'!$J$33/12,12,H24/12,G37))</f>
        <v/>
      </c>
      <c r="I37" s="2186" t="str">
        <f>IF('Part III-Sources of Funds'!$H$33="","",-FV('Part III-Sources of Funds'!$J$33/12,12,I24/12,H37))</f>
        <v/>
      </c>
      <c r="J37" s="2186" t="str">
        <f>IF('Part III-Sources of Funds'!$H$33="","",-FV('Part III-Sources of Funds'!$J$33/12,12,J24/12,I37))</f>
        <v/>
      </c>
      <c r="K37" s="2186" t="str">
        <f>IF('Part III-Sources of Funds'!$H$33="","",-FV('Part III-Sources of Funds'!$J$33/12,12,K24/12,J37))</f>
        <v/>
      </c>
      <c r="M37" s="1754"/>
      <c r="N37" s="1755"/>
    </row>
    <row r="38" spans="1:14" ht="13.15" customHeight="1">
      <c r="A38" s="524" t="s">
        <v>2802</v>
      </c>
      <c r="B38" s="2186" t="str">
        <f>IF('Part III-Sources of Funds'!$H$34="","",-FV('Part III-Sources of Funds'!$J$34/12,12,B25/12,'Part III-Sources of Funds'!$H$34))</f>
        <v/>
      </c>
      <c r="C38" s="2186" t="str">
        <f>IF('Part III-Sources of Funds'!$H$34="","",-FV('Part III-Sources of Funds'!$J$34/12,12,C25/12,B38))</f>
        <v/>
      </c>
      <c r="D38" s="2186" t="str">
        <f>IF('Part III-Sources of Funds'!$H$34="","",-FV('Part III-Sources of Funds'!$J$34/12,12,D25/12,C38))</f>
        <v/>
      </c>
      <c r="E38" s="2186" t="str">
        <f>IF('Part III-Sources of Funds'!$H$34="","",-FV('Part III-Sources of Funds'!$J$34/12,12,E25/12,D38))</f>
        <v/>
      </c>
      <c r="F38" s="2186" t="str">
        <f>IF('Part III-Sources of Funds'!$H$34="","",-FV('Part III-Sources of Funds'!$J$34/12,12,F25/12,E38))</f>
        <v/>
      </c>
      <c r="G38" s="2186" t="str">
        <f>IF('Part III-Sources of Funds'!$H$34="","",-FV('Part III-Sources of Funds'!$J$34/12,12,G25/12,F38))</f>
        <v/>
      </c>
      <c r="H38" s="2186" t="str">
        <f>IF('Part III-Sources of Funds'!$H$34="","",-FV('Part III-Sources of Funds'!$J$34/12,12,H25/12,G38))</f>
        <v/>
      </c>
      <c r="I38" s="2186" t="str">
        <f>IF('Part III-Sources of Funds'!$H$34="","",-FV('Part III-Sources of Funds'!$J$34/12,12,I25/12,H38))</f>
        <v/>
      </c>
      <c r="J38" s="2186" t="str">
        <f>IF('Part III-Sources of Funds'!$H$34="","",-FV('Part III-Sources of Funds'!$J$34/12,12,J25/12,I38))</f>
        <v/>
      </c>
      <c r="K38" s="2186" t="str">
        <f>IF('Part III-Sources of Funds'!$H$34="","",-FV('Part III-Sources of Funds'!$J$34/12,12,K25/12,J38))</f>
        <v/>
      </c>
      <c r="M38" s="1754"/>
      <c r="N38" s="1755"/>
    </row>
    <row r="39" spans="1:14" ht="13.15" customHeight="1">
      <c r="A39" s="24" t="s">
        <v>837</v>
      </c>
      <c r="B39" s="2186" t="str">
        <f>IF('Part III-Sources of Funds'!$H$35="","",-FV('Part III-Sources of Funds'!$J$35/12,12,B24/12,'Part III-Sources of Funds'!$H$35))</f>
        <v/>
      </c>
      <c r="C39" s="2186" t="str">
        <f>IF('Part III-Sources of Funds'!$H$35="","",-FV('Part III-Sources of Funds'!$J$35/12,12,C26/12,B39))</f>
        <v/>
      </c>
      <c r="D39" s="2186" t="str">
        <f>IF('Part III-Sources of Funds'!$H$35="","",-FV('Part III-Sources of Funds'!$J$35/12,12,D26/12,C39))</f>
        <v/>
      </c>
      <c r="E39" s="2186" t="str">
        <f>IF('Part III-Sources of Funds'!$H$35="","",-FV('Part III-Sources of Funds'!$J$35/12,12,E26/12,D39))</f>
        <v/>
      </c>
      <c r="F39" s="2186" t="str">
        <f>IF('Part III-Sources of Funds'!$H$35="","",-FV('Part III-Sources of Funds'!$J$35/12,12,F26/12,E39))</f>
        <v/>
      </c>
      <c r="G39" s="2186" t="str">
        <f>IF('Part III-Sources of Funds'!$H$35="","",-FV('Part III-Sources of Funds'!$J$35/12,12,G26/12,F39))</f>
        <v/>
      </c>
      <c r="H39" s="2186" t="str">
        <f>IF('Part III-Sources of Funds'!$H$35="","",-FV('Part III-Sources of Funds'!$J$35/12,12,H26/12,G39))</f>
        <v/>
      </c>
      <c r="I39" s="2186" t="str">
        <f>IF('Part III-Sources of Funds'!$H$35="","",-FV('Part III-Sources of Funds'!$J$35/12,12,I26/12,H39))</f>
        <v/>
      </c>
      <c r="J39" s="2186" t="str">
        <f>IF('Part III-Sources of Funds'!$H$35="","",-FV('Part III-Sources of Funds'!$J$35/12,12,J26/12,I39))</f>
        <v/>
      </c>
      <c r="K39" s="2186" t="str">
        <f>IF('Part III-Sources of Funds'!$H$35="","",-FV('Part III-Sources of Funds'!$J$35/12,12,K26/12,J39))</f>
        <v/>
      </c>
      <c r="M39" s="1754"/>
      <c r="N39" s="1755"/>
    </row>
    <row r="40" spans="1:14" ht="13.15" customHeight="1">
      <c r="A40" s="29" t="s">
        <v>1315</v>
      </c>
      <c r="B40" s="2188" t="str">
        <f>IF('Part III-Sources of Funds'!$H$37="","",-FV('Part III-Sources of Funds'!$J$37/12,12,B29/12,'Part III-Sources of Funds'!$H$37))</f>
        <v/>
      </c>
      <c r="C40" s="2188" t="str">
        <f>IF('Part III-Sources of Funds'!$H$37="","",-FV('Part III-Sources of Funds'!$J$37/12,12,C29/12,B40))</f>
        <v/>
      </c>
      <c r="D40" s="2188" t="str">
        <f>IF('Part III-Sources of Funds'!$H$37="","",-FV('Part III-Sources of Funds'!$J$37/12,12,D29/12,C40))</f>
        <v/>
      </c>
      <c r="E40" s="2188" t="str">
        <f>IF('Part III-Sources of Funds'!$H$37="","",-FV('Part III-Sources of Funds'!$J$37/12,12,E29/12,D40))</f>
        <v/>
      </c>
      <c r="F40" s="2188" t="str">
        <f>IF('Part III-Sources of Funds'!$H$37="","",-FV('Part III-Sources of Funds'!$J$37/12,12,F29/12,E40))</f>
        <v/>
      </c>
      <c r="G40" s="2188" t="str">
        <f>IF('Part III-Sources of Funds'!$H$37="","",-FV('Part III-Sources of Funds'!$J$37/12,12,G29/12,F40))</f>
        <v/>
      </c>
      <c r="H40" s="2188" t="str">
        <f>IF('Part III-Sources of Funds'!$H$37="","",-FV('Part III-Sources of Funds'!$J$37/12,12,H29/12,G40))</f>
        <v/>
      </c>
      <c r="I40" s="2188" t="str">
        <f>IF('Part III-Sources of Funds'!$H$37="","",-FV('Part III-Sources of Funds'!$J$37/12,12,I29/12,H40))</f>
        <v/>
      </c>
      <c r="J40" s="2188" t="str">
        <f>IF('Part III-Sources of Funds'!$H$37="","",-FV('Part III-Sources of Funds'!$J$37/12,12,J29/12,I40))</f>
        <v/>
      </c>
      <c r="K40" s="2188" t="str">
        <f>IF('Part III-Sources of Funds'!$H$37="","",-FV('Part III-Sources of Funds'!$J$37/12,12,K29/12,J40))</f>
        <v/>
      </c>
      <c r="M40" s="1762"/>
      <c r="N40" s="1763"/>
    </row>
    <row r="41" spans="1:14" ht="4.1500000000000004" customHeight="1">
      <c r="B41" s="20"/>
      <c r="C41" s="20"/>
      <c r="D41" s="20"/>
      <c r="E41" s="20"/>
      <c r="F41" s="20"/>
      <c r="G41" s="20"/>
      <c r="H41" s="20"/>
      <c r="I41" s="20"/>
      <c r="J41" s="20"/>
      <c r="K41" s="20"/>
    </row>
    <row r="42" spans="1:14" ht="14.45" customHeight="1">
      <c r="A42" s="16" t="s">
        <v>2648</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60" t="s">
        <v>2805</v>
      </c>
      <c r="N42" s="1260"/>
    </row>
    <row r="43" spans="1:14" ht="13.15" customHeight="1">
      <c r="A43" s="21" t="s">
        <v>2565</v>
      </c>
      <c r="B43" s="22">
        <f t="shared" ref="B43:K43" si="15">$B$14*(1+$B$5)^(B42-1)</f>
        <v>613948.97761919943</v>
      </c>
      <c r="C43" s="22">
        <f t="shared" si="15"/>
        <v>626227.95717158332</v>
      </c>
      <c r="D43" s="22">
        <f t="shared" si="15"/>
        <v>638752.51631501503</v>
      </c>
      <c r="E43" s="22">
        <f t="shared" si="15"/>
        <v>651527.56664131535</v>
      </c>
      <c r="F43" s="22">
        <f t="shared" si="15"/>
        <v>664558.11797414173</v>
      </c>
      <c r="G43" s="22">
        <f t="shared" si="15"/>
        <v>677849.28033362434</v>
      </c>
      <c r="H43" s="22">
        <f t="shared" si="15"/>
        <v>691406.26594029693</v>
      </c>
      <c r="I43" s="22">
        <f t="shared" si="15"/>
        <v>705234.39125910297</v>
      </c>
      <c r="J43" s="22">
        <f t="shared" si="15"/>
        <v>719339.07908428495</v>
      </c>
      <c r="K43" s="23">
        <f t="shared" si="15"/>
        <v>733725.8606659706</v>
      </c>
      <c r="M43" s="1746"/>
      <c r="N43" s="1747"/>
    </row>
    <row r="44" spans="1:14" ht="13.15" customHeight="1">
      <c r="A44" s="24" t="s">
        <v>1078</v>
      </c>
      <c r="B44" s="25">
        <f t="shared" ref="B44:K44" si="16">$B$15*(1+$B$5)^(B42-1)</f>
        <v>4551.7251642604233</v>
      </c>
      <c r="C44" s="25">
        <f t="shared" si="16"/>
        <v>4642.7596675456307</v>
      </c>
      <c r="D44" s="25">
        <f t="shared" si="16"/>
        <v>4735.6148608965441</v>
      </c>
      <c r="E44" s="25">
        <f t="shared" si="16"/>
        <v>4830.3271581144745</v>
      </c>
      <c r="F44" s="25">
        <f t="shared" si="16"/>
        <v>4926.9337012767646</v>
      </c>
      <c r="G44" s="25">
        <f t="shared" si="16"/>
        <v>5025.4723753022981</v>
      </c>
      <c r="H44" s="25">
        <f t="shared" si="16"/>
        <v>5125.981822808345</v>
      </c>
      <c r="I44" s="25">
        <f t="shared" si="16"/>
        <v>5228.501459264513</v>
      </c>
      <c r="J44" s="25">
        <f t="shared" si="16"/>
        <v>5333.071488449802</v>
      </c>
      <c r="K44" s="26">
        <f t="shared" si="16"/>
        <v>5439.7329182187977</v>
      </c>
      <c r="M44" s="1754"/>
      <c r="N44" s="1755"/>
    </row>
    <row r="45" spans="1:14" ht="13.15" customHeight="1">
      <c r="A45" s="24" t="s">
        <v>2566</v>
      </c>
      <c r="B45" s="25">
        <f t="shared" ref="B45:K45" si="17">-(B43+B44)*$B$8</f>
        <v>-43295.049194842191</v>
      </c>
      <c r="C45" s="25">
        <f t="shared" si="17"/>
        <v>-44160.950178739033</v>
      </c>
      <c r="D45" s="25">
        <f t="shared" si="17"/>
        <v>-45044.16918231381</v>
      </c>
      <c r="E45" s="25">
        <f t="shared" si="17"/>
        <v>-45945.052565960097</v>
      </c>
      <c r="F45" s="25">
        <f t="shared" si="17"/>
        <v>-46863.953617279301</v>
      </c>
      <c r="G45" s="25">
        <f t="shared" si="17"/>
        <v>-47801.232689624871</v>
      </c>
      <c r="H45" s="25">
        <f t="shared" si="17"/>
        <v>-48757.257343417376</v>
      </c>
      <c r="I45" s="25">
        <f t="shared" si="17"/>
        <v>-49732.402490285727</v>
      </c>
      <c r="J45" s="25">
        <f t="shared" si="17"/>
        <v>-50727.050540091441</v>
      </c>
      <c r="K45" s="26">
        <f t="shared" si="17"/>
        <v>-51741.591550893267</v>
      </c>
      <c r="M45" s="1754"/>
      <c r="N45" s="1755"/>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4"/>
      <c r="N46" s="1755"/>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4"/>
      <c r="N47" s="1755"/>
    </row>
    <row r="48" spans="1:14" ht="13.15" customHeight="1">
      <c r="A48" s="24" t="s">
        <v>655</v>
      </c>
      <c r="B48" s="25">
        <f t="shared" ref="B48:K48" si="18">$B$19*(1+$B$6)^(B42-1)</f>
        <v>-371660.07470761688</v>
      </c>
      <c r="C48" s="25">
        <f t="shared" si="18"/>
        <v>-382809.8769488454</v>
      </c>
      <c r="D48" s="25">
        <f t="shared" si="18"/>
        <v>-394294.1732573107</v>
      </c>
      <c r="E48" s="25">
        <f t="shared" si="18"/>
        <v>-406122.99845503003</v>
      </c>
      <c r="F48" s="25">
        <f t="shared" si="18"/>
        <v>-418306.68840868096</v>
      </c>
      <c r="G48" s="25">
        <f t="shared" si="18"/>
        <v>-430855.88906094141</v>
      </c>
      <c r="H48" s="25">
        <f t="shared" si="18"/>
        <v>-443781.56573276955</v>
      </c>
      <c r="I48" s="25">
        <f t="shared" si="18"/>
        <v>-457095.01270475268</v>
      </c>
      <c r="J48" s="25">
        <f t="shared" si="18"/>
        <v>-470807.86308589525</v>
      </c>
      <c r="K48" s="26">
        <f t="shared" si="18"/>
        <v>-484932.09897847206</v>
      </c>
      <c r="M48" s="1754"/>
      <c r="N48" s="1755"/>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-51769</v>
      </c>
      <c r="C49" s="25">
        <f>IF(AND('Part VII-Pro Forma'!$G$8="Yes",'Part VII-Pro Forma'!$G$9="Yes"),"Choose One!",IF('Part VII-Pro Forma'!$G$8="Yes",ROUND((-$K$8*(1+'Part VII-Pro Forma'!$B$6)^('Part VII-Pro Forma'!C42-1)),),IF('Part VII-Pro Forma'!$G$9="Yes",ROUND((-(SUM(C43:C46)*'Part VII-Pro Forma'!$K$9)),),"Choose mgt fee")))</f>
        <v>-52804</v>
      </c>
      <c r="D49" s="25">
        <f>IF(AND('Part VII-Pro Forma'!$G$8="Yes",'Part VII-Pro Forma'!$G$9="Yes"),"Choose One!",IF('Part VII-Pro Forma'!$G$8="Yes",ROUND((-$K$8*(1+'Part VII-Pro Forma'!$B$6)^('Part VII-Pro Forma'!D42-1)),),IF('Part VII-Pro Forma'!$G$9="Yes",ROUND((-(SUM(D43:D46)*'Part VII-Pro Forma'!$K$9)),),"Choose mgt fee")))</f>
        <v>-53860</v>
      </c>
      <c r="E49" s="25">
        <f>IF(AND('Part VII-Pro Forma'!$G$8="Yes",'Part VII-Pro Forma'!$G$9="Yes"),"Choose One!",IF('Part VII-Pro Forma'!$G$8="Yes",ROUND((-$K$8*(1+'Part VII-Pro Forma'!$B$6)^('Part VII-Pro Forma'!E42-1)),),IF('Part VII-Pro Forma'!$G$9="Yes",ROUND((-(SUM(E43:E46)*'Part VII-Pro Forma'!$K$9)),),"Choose mgt fee")))</f>
        <v>-54937</v>
      </c>
      <c r="F49" s="25">
        <f>IF(AND('Part VII-Pro Forma'!$G$8="Yes",'Part VII-Pro Forma'!$G$9="Yes"),"Choose One!",IF('Part VII-Pro Forma'!$G$8="Yes",ROUND((-$K$8*(1+'Part VII-Pro Forma'!$B$6)^('Part VII-Pro Forma'!F42-1)),),IF('Part VII-Pro Forma'!$G$9="Yes",ROUND((-(SUM(F43:F46)*'Part VII-Pro Forma'!$K$9)),),"Choose mgt fee")))</f>
        <v>-56036</v>
      </c>
      <c r="G49" s="25">
        <f>IF(AND('Part VII-Pro Forma'!$G$8="Yes",'Part VII-Pro Forma'!$G$9="Yes"),"Choose One!",IF('Part VII-Pro Forma'!$G$8="Yes",ROUND((-$K$8*(1+'Part VII-Pro Forma'!$B$6)^('Part VII-Pro Forma'!G42-1)),),IF('Part VII-Pro Forma'!$G$9="Yes",ROUND((-(SUM(G43:G46)*'Part VII-Pro Forma'!$K$9)),),"Choose mgt fee")))</f>
        <v>-57157</v>
      </c>
      <c r="H49" s="25">
        <f>IF(AND('Part VII-Pro Forma'!$G$8="Yes",'Part VII-Pro Forma'!$G$9="Yes"),"Choose One!",IF('Part VII-Pro Forma'!$G$8="Yes",ROUND((-$K$8*(1+'Part VII-Pro Forma'!$B$6)^('Part VII-Pro Forma'!H42-1)),),IF('Part VII-Pro Forma'!$G$9="Yes",ROUND((-(SUM(H43:H46)*'Part VII-Pro Forma'!$K$9)),),"Choose mgt fee")))</f>
        <v>-58300</v>
      </c>
      <c r="I49" s="25">
        <f>IF(AND('Part VII-Pro Forma'!$G$8="Yes",'Part VII-Pro Forma'!$G$9="Yes"),"Choose One!",IF('Part VII-Pro Forma'!$G$8="Yes",ROUND((-$K$8*(1+'Part VII-Pro Forma'!$B$6)^('Part VII-Pro Forma'!I42-1)),),IF('Part VII-Pro Forma'!$G$9="Yes",ROUND((-(SUM(I43:I46)*'Part VII-Pro Forma'!$K$9)),),"Choose mgt fee")))</f>
        <v>-59466</v>
      </c>
      <c r="J49" s="25">
        <f>IF(AND('Part VII-Pro Forma'!$G$8="Yes",'Part VII-Pro Forma'!$G$9="Yes"),"Choose One!",IF('Part VII-Pro Forma'!$G$8="Yes",ROUND((-$K$8*(1+'Part VII-Pro Forma'!$B$6)^('Part VII-Pro Forma'!J42-1)),),IF('Part VII-Pro Forma'!$G$9="Yes",ROUND((-(SUM(J43:J46)*'Part VII-Pro Forma'!$K$9)),),"Choose mgt fee")))</f>
        <v>-60655</v>
      </c>
      <c r="K49" s="25">
        <f>IF(AND('Part VII-Pro Forma'!$G$8="Yes",'Part VII-Pro Forma'!$G$9="Yes"),"Choose One!",IF('Part VII-Pro Forma'!$G$8="Yes",ROUND((-$K$8*(1+'Part VII-Pro Forma'!$B$6)^('Part VII-Pro Forma'!K42-1)),),IF('Part VII-Pro Forma'!$G$9="Yes",ROUND((-(SUM(K43:K46)*'Part VII-Pro Forma'!$K$9)),),"Choose mgt fee")))</f>
        <v>-61868</v>
      </c>
      <c r="M49" s="1754"/>
      <c r="N49" s="1755"/>
    </row>
    <row r="50" spans="1:14" ht="13.15" customHeight="1">
      <c r="A50" s="24" t="s">
        <v>1278</v>
      </c>
      <c r="B50" s="25">
        <f t="shared" ref="B50:K50" si="19">$B$21*(1+$B$7)^(B42-1)</f>
        <v>-42333.365949339837</v>
      </c>
      <c r="C50" s="25">
        <f t="shared" si="19"/>
        <v>-43603.366927820032</v>
      </c>
      <c r="D50" s="25">
        <f t="shared" si="19"/>
        <v>-44911.467935654626</v>
      </c>
      <c r="E50" s="25">
        <f t="shared" si="19"/>
        <v>-46258.811973724267</v>
      </c>
      <c r="F50" s="25">
        <f t="shared" si="19"/>
        <v>-47646.576332935998</v>
      </c>
      <c r="G50" s="25">
        <f t="shared" si="19"/>
        <v>-49075.973622924081</v>
      </c>
      <c r="H50" s="25">
        <f t="shared" si="19"/>
        <v>-50548.25283161179</v>
      </c>
      <c r="I50" s="25">
        <f t="shared" si="19"/>
        <v>-52064.700416560147</v>
      </c>
      <c r="J50" s="25">
        <f t="shared" si="19"/>
        <v>-53626.641429056952</v>
      </c>
      <c r="K50" s="26">
        <f t="shared" si="19"/>
        <v>-55235.440671928656</v>
      </c>
      <c r="M50" s="1754"/>
      <c r="N50" s="1755"/>
    </row>
    <row r="51" spans="1:14" ht="13.15" customHeight="1">
      <c r="A51" s="24" t="s">
        <v>1279</v>
      </c>
      <c r="B51" s="25">
        <f t="shared" ref="B51:K51" si="20">SUM(B43:B50)</f>
        <v>109443.21293166085</v>
      </c>
      <c r="C51" s="25">
        <f t="shared" si="20"/>
        <v>107492.52278372453</v>
      </c>
      <c r="D51" s="25">
        <f t="shared" si="20"/>
        <v>105378.32080063235</v>
      </c>
      <c r="E51" s="25">
        <f t="shared" si="20"/>
        <v>103094.03080471548</v>
      </c>
      <c r="F51" s="25">
        <f t="shared" si="20"/>
        <v>100631.83331652224</v>
      </c>
      <c r="G51" s="25">
        <f t="shared" si="20"/>
        <v>97984.657335436306</v>
      </c>
      <c r="H51" s="25">
        <f t="shared" si="20"/>
        <v>95145.171855306602</v>
      </c>
      <c r="I51" s="25">
        <f t="shared" si="20"/>
        <v>92104.777106769005</v>
      </c>
      <c r="J51" s="25">
        <f t="shared" si="20"/>
        <v>88855.595517691094</v>
      </c>
      <c r="K51" s="26">
        <f t="shared" si="20"/>
        <v>85388.462382895435</v>
      </c>
      <c r="M51" s="1754"/>
      <c r="N51" s="1755"/>
    </row>
    <row r="52" spans="1:14" ht="13.15" customHeight="1">
      <c r="A52" s="24" t="str">
        <f>$A23</f>
        <v>Mortgage A</v>
      </c>
      <c r="B52" s="2185">
        <f>IF('Part III-Sources of Funds'!$M$32="", 0,-'Part III-Sources of Funds'!$M$32)*0</f>
        <v>0</v>
      </c>
      <c r="C52" s="2185">
        <f>IF('Part III-Sources of Funds'!$M$32="", 0,-'Part III-Sources of Funds'!$M$32)*0</f>
        <v>0</v>
      </c>
      <c r="D52" s="2185">
        <f>IF('Part III-Sources of Funds'!$M$32="", 0,-'Part III-Sources of Funds'!$M$32)*0</f>
        <v>0</v>
      </c>
      <c r="E52" s="2185">
        <f>IF('Part III-Sources of Funds'!$M$32="", 0,-'Part III-Sources of Funds'!$M$32)*0</f>
        <v>0</v>
      </c>
      <c r="F52" s="2185">
        <f>IF('Part III-Sources of Funds'!$M$32="", 0,-'Part III-Sources of Funds'!$M$32)*0</f>
        <v>0</v>
      </c>
      <c r="G52" s="2185">
        <f>IF('Part III-Sources of Funds'!$M$32="", 0,-'Part III-Sources of Funds'!$M$32)*0</f>
        <v>0</v>
      </c>
      <c r="H52" s="2185">
        <f>IF('Part III-Sources of Funds'!$M$32="", 0,-'Part III-Sources of Funds'!$M$32)*0</f>
        <v>0</v>
      </c>
      <c r="I52" s="2185">
        <f>IF('Part III-Sources of Funds'!$M$32="", 0,-'Part III-Sources of Funds'!$M$32)*0</f>
        <v>0</v>
      </c>
      <c r="J52" s="2185">
        <f>IF('Part III-Sources of Funds'!$M$32="", 0,-'Part III-Sources of Funds'!$M$32)*0</f>
        <v>0</v>
      </c>
      <c r="K52" s="2185">
        <f>IF('Part III-Sources of Funds'!$M$32="", 0,-'Part III-Sources of Funds'!$M$32)*0</f>
        <v>0</v>
      </c>
      <c r="M52" s="1754"/>
      <c r="N52" s="1755"/>
    </row>
    <row r="53" spans="1:14" ht="13.15" customHeight="1">
      <c r="A53" s="24" t="str">
        <f>$A24</f>
        <v>Mortgage B</v>
      </c>
      <c r="B53" s="2186">
        <f>IF('Part III-Sources of Funds'!$M$33="", 0,-'Part III-Sources of Funds'!$M$33)</f>
        <v>0</v>
      </c>
      <c r="C53" s="2186">
        <f>IF('Part III-Sources of Funds'!$M$33="", 0,-'Part III-Sources of Funds'!$M$33)</f>
        <v>0</v>
      </c>
      <c r="D53" s="2186">
        <f>IF('Part III-Sources of Funds'!$M$33="", 0,-'Part III-Sources of Funds'!$M$33)</f>
        <v>0</v>
      </c>
      <c r="E53" s="2186">
        <f>IF('Part III-Sources of Funds'!$M$33="", 0,-'Part III-Sources of Funds'!$M$33)</f>
        <v>0</v>
      </c>
      <c r="F53" s="2186">
        <f>IF('Part III-Sources of Funds'!$M$33="", 0,-'Part III-Sources of Funds'!$M$33)</f>
        <v>0</v>
      </c>
      <c r="G53" s="2186">
        <f>IF('Part III-Sources of Funds'!$M$33="", 0,-'Part III-Sources of Funds'!$M$33)</f>
        <v>0</v>
      </c>
      <c r="H53" s="2186">
        <f>IF('Part III-Sources of Funds'!$M$33="", 0,-'Part III-Sources of Funds'!$M$33)</f>
        <v>0</v>
      </c>
      <c r="I53" s="2186">
        <f>IF('Part III-Sources of Funds'!$M$33="", 0,-'Part III-Sources of Funds'!$M$33)</f>
        <v>0</v>
      </c>
      <c r="J53" s="2186">
        <f>IF('Part III-Sources of Funds'!$M$33="", 0,-'Part III-Sources of Funds'!$M$33)</f>
        <v>0</v>
      </c>
      <c r="K53" s="2186">
        <f>IF('Part III-Sources of Funds'!$M$33="", 0,-'Part III-Sources of Funds'!$M$33)</f>
        <v>0</v>
      </c>
      <c r="M53" s="1754"/>
      <c r="N53" s="1755"/>
    </row>
    <row r="54" spans="1:14" ht="13.15" customHeight="1">
      <c r="A54" s="24" t="str">
        <f>$A25</f>
        <v>Mortgage C</v>
      </c>
      <c r="B54" s="2186">
        <f>IF('Part III-Sources of Funds'!$M$34="", 0,-'Part III-Sources of Funds'!$M$34)</f>
        <v>0</v>
      </c>
      <c r="C54" s="2186">
        <f>IF('Part III-Sources of Funds'!$M$34="", 0,-'Part III-Sources of Funds'!$M$34)</f>
        <v>0</v>
      </c>
      <c r="D54" s="2186">
        <f>IF('Part III-Sources of Funds'!$M$34="", 0,-'Part III-Sources of Funds'!$M$34)</f>
        <v>0</v>
      </c>
      <c r="E54" s="2186">
        <f>IF('Part III-Sources of Funds'!$M$34="", 0,-'Part III-Sources of Funds'!$M$34)</f>
        <v>0</v>
      </c>
      <c r="F54" s="2186">
        <f>IF('Part III-Sources of Funds'!$M$34="", 0,-'Part III-Sources of Funds'!$M$34)</f>
        <v>0</v>
      </c>
      <c r="G54" s="2186">
        <f>IF('Part III-Sources of Funds'!$M$34="", 0,-'Part III-Sources of Funds'!$M$34)</f>
        <v>0</v>
      </c>
      <c r="H54" s="2186">
        <f>IF('Part III-Sources of Funds'!$M$34="", 0,-'Part III-Sources of Funds'!$M$34)</f>
        <v>0</v>
      </c>
      <c r="I54" s="2186">
        <f>IF('Part III-Sources of Funds'!$M$34="", 0,-'Part III-Sources of Funds'!$M$34)</f>
        <v>0</v>
      </c>
      <c r="J54" s="2186">
        <f>IF('Part III-Sources of Funds'!$M$34="", 0,-'Part III-Sources of Funds'!$M$34)</f>
        <v>0</v>
      </c>
      <c r="K54" s="2186">
        <f>IF('Part III-Sources of Funds'!$M$34="", 0,-'Part III-Sources of Funds'!$M$34)</f>
        <v>0</v>
      </c>
      <c r="M54" s="1754"/>
      <c r="N54" s="1755"/>
    </row>
    <row r="55" spans="1:14" ht="13.15" customHeight="1">
      <c r="A55" s="24" t="str">
        <f>$A26</f>
        <v>D/S Other Source</v>
      </c>
      <c r="B55" s="2186">
        <f>IF('Part III-Sources of Funds'!$M$35="", 0,-'Part III-Sources of Funds'!$M$35)</f>
        <v>0</v>
      </c>
      <c r="C55" s="2186">
        <f>IF('Part III-Sources of Funds'!$M$35="", 0,-'Part III-Sources of Funds'!$M$35)</f>
        <v>0</v>
      </c>
      <c r="D55" s="2186">
        <f>IF('Part III-Sources of Funds'!$M$35="", 0,-'Part III-Sources of Funds'!$M$35)</f>
        <v>0</v>
      </c>
      <c r="E55" s="2186">
        <f>IF('Part III-Sources of Funds'!$M$35="", 0,-'Part III-Sources of Funds'!$M$35)</f>
        <v>0</v>
      </c>
      <c r="F55" s="2186">
        <f>IF('Part III-Sources of Funds'!$M$35="", 0,-'Part III-Sources of Funds'!$M$35)</f>
        <v>0</v>
      </c>
      <c r="G55" s="2186">
        <f>IF('Part III-Sources of Funds'!$M$35="", 0,-'Part III-Sources of Funds'!$M$35)</f>
        <v>0</v>
      </c>
      <c r="H55" s="2186">
        <f>IF('Part III-Sources of Funds'!$M$35="", 0,-'Part III-Sources of Funds'!$M$35)</f>
        <v>0</v>
      </c>
      <c r="I55" s="2186">
        <f>IF('Part III-Sources of Funds'!$M$35="", 0,-'Part III-Sources of Funds'!$M$35)</f>
        <v>0</v>
      </c>
      <c r="J55" s="2186">
        <f>IF('Part III-Sources of Funds'!$M$35="", 0,-'Part III-Sources of Funds'!$M$35)</f>
        <v>0</v>
      </c>
      <c r="K55" s="2186">
        <f>IF('Part III-Sources of Funds'!$M$35="", 0,-'Part III-Sources of Funds'!$M$35)</f>
        <v>0</v>
      </c>
      <c r="M55" s="1754"/>
      <c r="N55" s="1755"/>
    </row>
    <row r="56" spans="1:14" ht="13.15" customHeight="1">
      <c r="A56" s="24" t="s">
        <v>814</v>
      </c>
      <c r="B56" s="2187"/>
      <c r="C56" s="2187"/>
      <c r="D56" s="2187"/>
      <c r="E56" s="2187"/>
      <c r="F56" s="2187"/>
      <c r="G56" s="2187"/>
      <c r="H56" s="2187"/>
      <c r="I56" s="2187"/>
      <c r="J56" s="2187"/>
      <c r="K56" s="2187"/>
      <c r="M56" s="1754"/>
      <c r="N56" s="1755"/>
    </row>
    <row r="57" spans="1:14" ht="13.15" customHeight="1">
      <c r="A57" s="24" t="s">
        <v>1234</v>
      </c>
      <c r="B57" s="2186">
        <f>+K28*1.03</f>
        <v>-8063.4982760647335</v>
      </c>
      <c r="C57" s="2186">
        <f>+B57*1.03</f>
        <v>-8305.4032243466754</v>
      </c>
      <c r="D57" s="2186">
        <f t="shared" ref="D57:K57" si="21">+C57*1.03</f>
        <v>-8554.5653210770761</v>
      </c>
      <c r="E57" s="2186">
        <f t="shared" si="21"/>
        <v>-8811.202280709389</v>
      </c>
      <c r="F57" s="2186">
        <f t="shared" si="21"/>
        <v>-9075.5383491306711</v>
      </c>
      <c r="G57" s="2186">
        <f t="shared" si="21"/>
        <v>-9347.8044996045919</v>
      </c>
      <c r="H57" s="2186">
        <f t="shared" si="21"/>
        <v>-9628.2386345927298</v>
      </c>
      <c r="I57" s="2186">
        <f t="shared" si="21"/>
        <v>-9917.0857936305129</v>
      </c>
      <c r="J57" s="2186">
        <f t="shared" si="21"/>
        <v>-10214.598367439428</v>
      </c>
      <c r="K57" s="2186">
        <f t="shared" si="21"/>
        <v>-10521.036318462611</v>
      </c>
      <c r="M57" s="1754"/>
      <c r="N57" s="1755"/>
    </row>
    <row r="58" spans="1:14" ht="13.15" customHeight="1">
      <c r="A58" s="24" t="s">
        <v>1280</v>
      </c>
      <c r="B58" s="2188">
        <f>IF('Part III-Sources of Funds'!$M$37="", 0,-'Part III-Sources of Funds'!$M$37)</f>
        <v>0</v>
      </c>
      <c r="C58" s="2188">
        <f>IF('Part III-Sources of Funds'!$M$37="", 0,-'Part III-Sources of Funds'!$M$37)</f>
        <v>0</v>
      </c>
      <c r="D58" s="2188">
        <f>IF('Part III-Sources of Funds'!$M$37="", 0,-'Part III-Sources of Funds'!$M$37)</f>
        <v>0</v>
      </c>
      <c r="E58" s="2188">
        <f>IF('Part III-Sources of Funds'!$M$37="", 0,-'Part III-Sources of Funds'!$M$37)</f>
        <v>0</v>
      </c>
      <c r="F58" s="2188">
        <f>IF('Part III-Sources of Funds'!$M$37="", 0,-'Part III-Sources of Funds'!$M$37)</f>
        <v>0</v>
      </c>
      <c r="G58" s="2188">
        <f>IF('Part III-Sources of Funds'!$M$37="", 0,-'Part III-Sources of Funds'!$M$37)</f>
        <v>0</v>
      </c>
      <c r="H58" s="2188">
        <f>IF('Part III-Sources of Funds'!$M$37="", 0,-'Part III-Sources of Funds'!$M$37)</f>
        <v>0</v>
      </c>
      <c r="I58" s="2188">
        <f>IF('Part III-Sources of Funds'!$M$37="", 0,-'Part III-Sources of Funds'!$M$37)</f>
        <v>0</v>
      </c>
      <c r="J58" s="2188">
        <f>IF('Part III-Sources of Funds'!$M$37="", 0,-'Part III-Sources of Funds'!$M$37)</f>
        <v>0</v>
      </c>
      <c r="K58" s="2186">
        <f>IF('Part III-Sources of Funds'!$M$37="", 0,-'Part III-Sources of Funds'!$M$37)</f>
        <v>0</v>
      </c>
      <c r="M58" s="1754"/>
      <c r="N58" s="1755"/>
    </row>
    <row r="59" spans="1:14" ht="13.15" customHeight="1">
      <c r="A59" s="24" t="s">
        <v>1235</v>
      </c>
      <c r="B59" s="25">
        <f t="shared" ref="B59:K59" si="22">SUM(B51:B58)</f>
        <v>101379.71465559611</v>
      </c>
      <c r="C59" s="25">
        <f t="shared" si="22"/>
        <v>99187.119559377854</v>
      </c>
      <c r="D59" s="25">
        <f t="shared" si="22"/>
        <v>96823.755479555286</v>
      </c>
      <c r="E59" s="25">
        <f t="shared" si="22"/>
        <v>94282.828524006094</v>
      </c>
      <c r="F59" s="25">
        <f t="shared" si="22"/>
        <v>91556.294967391572</v>
      </c>
      <c r="G59" s="25">
        <f t="shared" si="22"/>
        <v>88636.852835831713</v>
      </c>
      <c r="H59" s="25">
        <f t="shared" si="22"/>
        <v>85516.933220713865</v>
      </c>
      <c r="I59" s="25">
        <f t="shared" si="22"/>
        <v>82187.691313138494</v>
      </c>
      <c r="J59" s="25">
        <f t="shared" si="22"/>
        <v>78640.997150251671</v>
      </c>
      <c r="K59" s="23">
        <f t="shared" si="22"/>
        <v>74867.426064432831</v>
      </c>
      <c r="M59" s="1754"/>
      <c r="N59" s="1755"/>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54"/>
      <c r="N60" s="1755"/>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4"/>
      <c r="N61" s="1755"/>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4"/>
      <c r="N62" s="1755"/>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4"/>
      <c r="N63" s="1755"/>
    </row>
    <row r="64" spans="1:14" ht="13.15" customHeight="1">
      <c r="A64" s="24" t="s">
        <v>821</v>
      </c>
      <c r="B64" s="321">
        <f>IF(OR(B49="Choose mgt fee",B49="Choose One!"),"",(B43+B44+B45+B46+B47) / -(B48+B49+B50))</f>
        <v>1.2349764673538113</v>
      </c>
      <c r="C64" s="321">
        <f t="shared" ref="C64:K64" si="27">IF(OR(C49="Choose mgt fee",C49="Choose One!"),"",(C43+C44+C45+C46+C47) / -(C48+C49+C50))</f>
        <v>1.2243085451478235</v>
      </c>
      <c r="D64" s="321">
        <f t="shared" si="27"/>
        <v>1.2137206732670949</v>
      </c>
      <c r="E64" s="321">
        <f t="shared" si="27"/>
        <v>1.2032134994513348</v>
      </c>
      <c r="F64" s="321">
        <f t="shared" si="27"/>
        <v>1.192785254628435</v>
      </c>
      <c r="G64" s="321">
        <f t="shared" si="27"/>
        <v>1.1824365838565356</v>
      </c>
      <c r="H64" s="321">
        <f t="shared" si="27"/>
        <v>1.1721680022668235</v>
      </c>
      <c r="I64" s="321">
        <f t="shared" si="27"/>
        <v>1.1619778616784413</v>
      </c>
      <c r="J64" s="321">
        <f t="shared" si="27"/>
        <v>1.1518666713930437</v>
      </c>
      <c r="K64" s="322">
        <f t="shared" si="27"/>
        <v>1.1418329263958074</v>
      </c>
      <c r="M64" s="1754"/>
      <c r="N64" s="1755"/>
    </row>
    <row r="65" spans="1:14" ht="13.15" customHeight="1">
      <c r="A65" s="524" t="s">
        <v>2800</v>
      </c>
      <c r="B65" s="2189">
        <f>IF('Part III-Sources of Funds'!$H$32="","",-FV('Part III-Sources of Funds'!$J$32/12,12,B52/12,K36))</f>
        <v>2.4670175288208239E-8</v>
      </c>
      <c r="C65" s="2189">
        <f>IF('Part III-Sources of Funds'!$H$32="","",-FV('Part III-Sources of Funds'!$J$32/12,12,C52/12,B65))</f>
        <v>2.5471302973514144E-8</v>
      </c>
      <c r="D65" s="2189">
        <f>IF('Part III-Sources of Funds'!$H$32="","",-FV('Part III-Sources of Funds'!$J$32/12,12,D52/12,C65))</f>
        <v>2.6298446103001766E-8</v>
      </c>
      <c r="E65" s="2189">
        <f>IF('Part III-Sources of Funds'!$H$32="","",-FV('Part III-Sources of Funds'!$J$32/12,12,E52/12,D65))</f>
        <v>2.7152449489986618E-8</v>
      </c>
      <c r="F65" s="2189">
        <f>IF('Part III-Sources of Funds'!$H$32="","",-FV('Part III-Sources of Funds'!$J$32/12,12,F52/12,E65))</f>
        <v>2.8034185381855033E-8</v>
      </c>
      <c r="G65" s="2189">
        <f>IF('Part III-Sources of Funds'!$H$32="","",-FV('Part III-Sources of Funds'!$J$32/12,12,G52/12,F65))</f>
        <v>2.8944554350945294E-8</v>
      </c>
      <c r="H65" s="2189">
        <f>IF('Part III-Sources of Funds'!$H$32="","",-FV('Part III-Sources of Funds'!$J$32/12,12,H52/12,G65))</f>
        <v>2.9884486214358814E-8</v>
      </c>
      <c r="I65" s="2189">
        <f>IF('Part III-Sources of Funds'!$H$32="","",-FV('Part III-Sources of Funds'!$J$32/12,12,I52/12,H65))</f>
        <v>3.0854940983640847E-8</v>
      </c>
      <c r="J65" s="2189">
        <f>IF('Part III-Sources of Funds'!$H$32="","",-FV('Part III-Sources of Funds'!$J$32/12,12,J52/12,I65))</f>
        <v>3.1856909845300678E-8</v>
      </c>
      <c r="K65" s="2189">
        <f>IF('Part III-Sources of Funds'!$H$32="","",-FV('Part III-Sources of Funds'!$J$32/12,12,K52/12,J65))</f>
        <v>3.289141617317275E-8</v>
      </c>
      <c r="M65" s="1754"/>
      <c r="N65" s="1755"/>
    </row>
    <row r="66" spans="1:14" ht="13.15" customHeight="1">
      <c r="A66" s="524" t="s">
        <v>2801</v>
      </c>
      <c r="B66" s="2186" t="str">
        <f>IF('Part III-Sources of Funds'!$H$33="","",-FV('Part III-Sources of Funds'!$J$33/12,12,B53/12,K37))</f>
        <v/>
      </c>
      <c r="C66" s="2186" t="str">
        <f>IF('Part III-Sources of Funds'!$H$33="","",-FV('Part III-Sources of Funds'!$J$33/12,12,C53/12,B66))</f>
        <v/>
      </c>
      <c r="D66" s="2186" t="str">
        <f>IF('Part III-Sources of Funds'!$H$33="","",-FV('Part III-Sources of Funds'!$J$33/12,12,D53/12,C66))</f>
        <v/>
      </c>
      <c r="E66" s="2186" t="str">
        <f>IF('Part III-Sources of Funds'!$H$33="","",-FV('Part III-Sources of Funds'!$J$33/12,12,E53/12,D66))</f>
        <v/>
      </c>
      <c r="F66" s="2186" t="str">
        <f>IF('Part III-Sources of Funds'!$H$33="","",-FV('Part III-Sources of Funds'!$J$33/12,12,F53/12,E66))</f>
        <v/>
      </c>
      <c r="G66" s="2186" t="str">
        <f>IF('Part III-Sources of Funds'!$H$33="","",-FV('Part III-Sources of Funds'!$J$33/12,12,G53/12,F66))</f>
        <v/>
      </c>
      <c r="H66" s="2186" t="str">
        <f>IF('Part III-Sources of Funds'!$H$33="","",-FV('Part III-Sources of Funds'!$J$33/12,12,H53/12,G66))</f>
        <v/>
      </c>
      <c r="I66" s="2186" t="str">
        <f>IF('Part III-Sources of Funds'!$H$33="","",-FV('Part III-Sources of Funds'!$J$33/12,12,I53/12,H66))</f>
        <v/>
      </c>
      <c r="J66" s="2186" t="str">
        <f>IF('Part III-Sources of Funds'!$H$33="","",-FV('Part III-Sources of Funds'!$J$33/12,12,J53/12,I66))</f>
        <v/>
      </c>
      <c r="K66" s="2186" t="str">
        <f>IF('Part III-Sources of Funds'!$H$33="","",-FV('Part III-Sources of Funds'!$J$33/12,12,K53/12,J66))</f>
        <v/>
      </c>
      <c r="M66" s="1754"/>
      <c r="N66" s="1755"/>
    </row>
    <row r="67" spans="1:14" ht="13.15" customHeight="1">
      <c r="A67" s="524" t="s">
        <v>2802</v>
      </c>
      <c r="B67" s="2186" t="str">
        <f>IF('Part III-Sources of Funds'!$H$34="","",-FV('Part III-Sources of Funds'!$J$34/12,12,B54/12,K38))</f>
        <v/>
      </c>
      <c r="C67" s="2186" t="str">
        <f>IF('Part III-Sources of Funds'!$H$34="","",-FV('Part III-Sources of Funds'!$J$34/12,12,C54/12,B67))</f>
        <v/>
      </c>
      <c r="D67" s="2186" t="str">
        <f>IF('Part III-Sources of Funds'!$H$34="","",-FV('Part III-Sources of Funds'!$J$34/12,12,D54/12,C67))</f>
        <v/>
      </c>
      <c r="E67" s="2186" t="str">
        <f>IF('Part III-Sources of Funds'!$H$34="","",-FV('Part III-Sources of Funds'!$J$34/12,12,E54/12,D67))</f>
        <v/>
      </c>
      <c r="F67" s="2186" t="str">
        <f>IF('Part III-Sources of Funds'!$H$34="","",-FV('Part III-Sources of Funds'!$J$34/12,12,F54/12,E67))</f>
        <v/>
      </c>
      <c r="G67" s="2186" t="str">
        <f>IF('Part III-Sources of Funds'!$H$34="","",-FV('Part III-Sources of Funds'!$J$34/12,12,G54/12,F67))</f>
        <v/>
      </c>
      <c r="H67" s="2186" t="str">
        <f>IF('Part III-Sources of Funds'!$H$34="","",-FV('Part III-Sources of Funds'!$J$34/12,12,H54/12,G67))</f>
        <v/>
      </c>
      <c r="I67" s="2186" t="str">
        <f>IF('Part III-Sources of Funds'!$H$34="","",-FV('Part III-Sources of Funds'!$J$34/12,12,I54/12,H67))</f>
        <v/>
      </c>
      <c r="J67" s="2186" t="str">
        <f>IF('Part III-Sources of Funds'!$H$34="","",-FV('Part III-Sources of Funds'!$J$34/12,12,J54/12,I67))</f>
        <v/>
      </c>
      <c r="K67" s="2186" t="str">
        <f>IF('Part III-Sources of Funds'!$H$34="","",-FV('Part III-Sources of Funds'!$J$34/12,12,K54/12,J67))</f>
        <v/>
      </c>
      <c r="M67" s="1754"/>
      <c r="N67" s="1755"/>
    </row>
    <row r="68" spans="1:14" ht="13.15" customHeight="1">
      <c r="A68" s="24" t="s">
        <v>837</v>
      </c>
      <c r="B68" s="2186" t="str">
        <f>IF('Part III-Sources of Funds'!$H$35="","",-FV('Part III-Sources of Funds'!$J$35/12,12,B55/12,K39))</f>
        <v/>
      </c>
      <c r="C68" s="2186" t="str">
        <f>IF('Part III-Sources of Funds'!$H$35="","",-FV('Part III-Sources of Funds'!$J$35/12,12,C55/12,B68))</f>
        <v/>
      </c>
      <c r="D68" s="2186" t="str">
        <f>IF('Part III-Sources of Funds'!$H$35="","",-FV('Part III-Sources of Funds'!$J$35/12,12,D55/12,C68))</f>
        <v/>
      </c>
      <c r="E68" s="2186" t="str">
        <f>IF('Part III-Sources of Funds'!$H$35="","",-FV('Part III-Sources of Funds'!$J$35/12,12,E55/12,D68))</f>
        <v/>
      </c>
      <c r="F68" s="2186" t="str">
        <f>IF('Part III-Sources of Funds'!$H$35="","",-FV('Part III-Sources of Funds'!$J$35/12,12,F55/12,E68))</f>
        <v/>
      </c>
      <c r="G68" s="2186" t="str">
        <f>IF('Part III-Sources of Funds'!$H$35="","",-FV('Part III-Sources of Funds'!$J$35/12,12,G55/12,F68))</f>
        <v/>
      </c>
      <c r="H68" s="2186" t="str">
        <f>IF('Part III-Sources of Funds'!$H$35="","",-FV('Part III-Sources of Funds'!$J$35/12,12,H55/12,G68))</f>
        <v/>
      </c>
      <c r="I68" s="2186" t="str">
        <f>IF('Part III-Sources of Funds'!$H$35="","",-FV('Part III-Sources of Funds'!$J$35/12,12,I55/12,H68))</f>
        <v/>
      </c>
      <c r="J68" s="2186" t="str">
        <f>IF('Part III-Sources of Funds'!$H$35="","",-FV('Part III-Sources of Funds'!$J$35/12,12,J55/12,I68))</f>
        <v/>
      </c>
      <c r="K68" s="2186" t="str">
        <f>IF('Part III-Sources of Funds'!$H$35="","",-FV('Part III-Sources of Funds'!$J$35/12,12,K55/12,J68))</f>
        <v/>
      </c>
      <c r="M68" s="1754"/>
      <c r="N68" s="1755"/>
    </row>
    <row r="69" spans="1:14" ht="13.15" customHeight="1">
      <c r="A69" s="29" t="s">
        <v>1315</v>
      </c>
      <c r="B69" s="2188" t="str">
        <f>IF('Part III-Sources of Funds'!$H$37="","",-FV('Part III-Sources of Funds'!$J$37/12,12,B58/12,K40))</f>
        <v/>
      </c>
      <c r="C69" s="2188" t="str">
        <f>IF('Part III-Sources of Funds'!$H$37="","",-FV('Part III-Sources of Funds'!$J$37/12,12,C58/12,B69))</f>
        <v/>
      </c>
      <c r="D69" s="2188" t="str">
        <f>IF('Part III-Sources of Funds'!$H$37="","",-FV('Part III-Sources of Funds'!$J$37/12,12,D58/12,C69))</f>
        <v/>
      </c>
      <c r="E69" s="2188" t="str">
        <f>IF('Part III-Sources of Funds'!$H$37="","",-FV('Part III-Sources of Funds'!$J$37/12,12,E58/12,D69))</f>
        <v/>
      </c>
      <c r="F69" s="2188" t="str">
        <f>IF('Part III-Sources of Funds'!$H$37="","",-FV('Part III-Sources of Funds'!$J$37/12,12,F58/12,E69))</f>
        <v/>
      </c>
      <c r="G69" s="2188" t="str">
        <f>IF('Part III-Sources of Funds'!$H$37="","",-FV('Part III-Sources of Funds'!$J$37/12,12,G58/12,F69))</f>
        <v/>
      </c>
      <c r="H69" s="2188" t="str">
        <f>IF('Part III-Sources of Funds'!$H$37="","",-FV('Part III-Sources of Funds'!$J$37/12,12,H58/12,G69))</f>
        <v/>
      </c>
      <c r="I69" s="2188" t="str">
        <f>IF('Part III-Sources of Funds'!$H$37="","",-FV('Part III-Sources of Funds'!$J$37/12,12,I58/12,H69))</f>
        <v/>
      </c>
      <c r="J69" s="2188" t="str">
        <f>IF('Part III-Sources of Funds'!$H$37="","",-FV('Part III-Sources of Funds'!$J$37/12,12,J58/12,I69))</f>
        <v/>
      </c>
      <c r="K69" s="2188" t="str">
        <f>IF('Part III-Sources of Funds'!$H$37="","",-FV('Part III-Sources of Funds'!$J$37/12,12,K58/12,J69))</f>
        <v/>
      </c>
      <c r="M69" s="1762"/>
      <c r="N69" s="1763"/>
    </row>
    <row r="70" spans="1:14" ht="4.1500000000000004" customHeight="1">
      <c r="B70" s="20"/>
      <c r="C70" s="20"/>
      <c r="D70" s="20"/>
      <c r="E70" s="20"/>
      <c r="F70" s="20"/>
      <c r="G70" s="20"/>
      <c r="H70" s="20"/>
      <c r="I70" s="20"/>
      <c r="J70" s="20"/>
      <c r="K70" s="20"/>
    </row>
    <row r="71" spans="1:14" ht="14.45" customHeight="1">
      <c r="A71" s="16" t="s">
        <v>2648</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60" t="s">
        <v>2806</v>
      </c>
      <c r="N71" s="1260"/>
    </row>
    <row r="72" spans="1:14" ht="13.15" customHeight="1">
      <c r="A72" s="21" t="s">
        <v>2565</v>
      </c>
      <c r="B72" s="22">
        <f t="shared" ref="B72:K72" si="29">$B$14*(1+$B$5)^(B71-1)</f>
        <v>748400.37787929003</v>
      </c>
      <c r="C72" s="22">
        <f t="shared" si="29"/>
        <v>763368.38543687586</v>
      </c>
      <c r="D72" s="22">
        <f t="shared" si="29"/>
        <v>778635.75314561336</v>
      </c>
      <c r="E72" s="22">
        <f t="shared" si="29"/>
        <v>794208.46820852545</v>
      </c>
      <c r="F72" s="22">
        <f t="shared" si="29"/>
        <v>810092.63757269608</v>
      </c>
      <c r="G72" s="22">
        <f t="shared" si="29"/>
        <v>826294.49032414996</v>
      </c>
      <c r="H72" s="22">
        <f t="shared" si="29"/>
        <v>842820.38013063301</v>
      </c>
      <c r="I72" s="22">
        <f t="shared" si="29"/>
        <v>859676.78773324552</v>
      </c>
      <c r="J72" s="22">
        <f t="shared" si="29"/>
        <v>876870.32348791067</v>
      </c>
      <c r="K72" s="23">
        <f t="shared" si="29"/>
        <v>894407.72995766869</v>
      </c>
      <c r="M72" s="1746"/>
      <c r="N72" s="1747"/>
    </row>
    <row r="73" spans="1:14" ht="13.15" customHeight="1">
      <c r="A73" s="24" t="s">
        <v>1078</v>
      </c>
      <c r="B73" s="25">
        <f t="shared" ref="B73:K73" si="30">$B$15*(1+$B$5)^(B71-1)</f>
        <v>5548.5275765831748</v>
      </c>
      <c r="C73" s="25">
        <f t="shared" si="30"/>
        <v>5659.4981281148375</v>
      </c>
      <c r="D73" s="25">
        <f t="shared" si="30"/>
        <v>5772.6880906771348</v>
      </c>
      <c r="E73" s="25">
        <f t="shared" si="30"/>
        <v>5888.1418524906767</v>
      </c>
      <c r="F73" s="25">
        <f t="shared" si="30"/>
        <v>6005.9046895404899</v>
      </c>
      <c r="G73" s="25">
        <f t="shared" si="30"/>
        <v>6126.0227833313002</v>
      </c>
      <c r="H73" s="25">
        <f t="shared" si="30"/>
        <v>6248.5432389979269</v>
      </c>
      <c r="I73" s="25">
        <f t="shared" si="30"/>
        <v>6373.514103777884</v>
      </c>
      <c r="J73" s="25">
        <f t="shared" si="30"/>
        <v>6500.9843858534432</v>
      </c>
      <c r="K73" s="26">
        <f t="shared" si="30"/>
        <v>6631.0040735705106</v>
      </c>
      <c r="M73" s="1754"/>
      <c r="N73" s="1755"/>
    </row>
    <row r="74" spans="1:14" ht="13.15" customHeight="1">
      <c r="A74" s="24" t="s">
        <v>2566</v>
      </c>
      <c r="B74" s="25">
        <f t="shared" ref="B74:K74" si="31">-(B72+B73)*$B$8</f>
        <v>-52776.423381911132</v>
      </c>
      <c r="C74" s="25">
        <f t="shared" si="31"/>
        <v>-53831.951849549354</v>
      </c>
      <c r="D74" s="25">
        <f t="shared" si="31"/>
        <v>-54908.59088654034</v>
      </c>
      <c r="E74" s="25">
        <f t="shared" si="31"/>
        <v>-56006.762704271139</v>
      </c>
      <c r="F74" s="25">
        <f t="shared" si="31"/>
        <v>-57126.897958356567</v>
      </c>
      <c r="G74" s="25">
        <f t="shared" si="31"/>
        <v>-58269.435917523697</v>
      </c>
      <c r="H74" s="25">
        <f t="shared" si="31"/>
        <v>-59434.824635874174</v>
      </c>
      <c r="I74" s="25">
        <f t="shared" si="31"/>
        <v>-60623.521128591645</v>
      </c>
      <c r="J74" s="25">
        <f t="shared" si="31"/>
        <v>-61835.99155116349</v>
      </c>
      <c r="K74" s="26">
        <f t="shared" si="31"/>
        <v>-63072.711382186746</v>
      </c>
      <c r="M74" s="1754"/>
      <c r="N74" s="1755"/>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4"/>
      <c r="N75" s="1755"/>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4"/>
      <c r="N76" s="1755"/>
    </row>
    <row r="77" spans="1:14" ht="13.15" customHeight="1">
      <c r="A77" s="24" t="s">
        <v>655</v>
      </c>
      <c r="B77" s="25">
        <f t="shared" ref="B77:K77" si="32">$B$19*(1+$B$6)^(B71-1)</f>
        <v>-499480.06194782624</v>
      </c>
      <c r="C77" s="25">
        <f t="shared" si="32"/>
        <v>-514464.46380626096</v>
      </c>
      <c r="D77" s="25">
        <f t="shared" si="32"/>
        <v>-529898.39772044879</v>
      </c>
      <c r="E77" s="25">
        <f t="shared" si="32"/>
        <v>-545795.34965206229</v>
      </c>
      <c r="F77" s="25">
        <f t="shared" si="32"/>
        <v>-562169.21014162409</v>
      </c>
      <c r="G77" s="25">
        <f t="shared" si="32"/>
        <v>-579034.28644587286</v>
      </c>
      <c r="H77" s="25">
        <f t="shared" si="32"/>
        <v>-596405.31503924914</v>
      </c>
      <c r="I77" s="25">
        <f t="shared" si="32"/>
        <v>-614297.47449042648</v>
      </c>
      <c r="J77" s="25">
        <f t="shared" si="32"/>
        <v>-632726.39872513933</v>
      </c>
      <c r="K77" s="26">
        <f t="shared" si="32"/>
        <v>-651708.19068689342</v>
      </c>
      <c r="M77" s="1754"/>
      <c r="N77" s="1755"/>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-63106</v>
      </c>
      <c r="C78" s="25">
        <f>IF(AND('Part VII-Pro Forma'!$G$8="Yes",'Part VII-Pro Forma'!$G$9="Yes"),"Choose One!",IF('Part VII-Pro Forma'!$G$8="Yes",ROUND((-$K$8*(1+'Part VII-Pro Forma'!$B$6)^('Part VII-Pro Forma'!C71-1)),),IF('Part VII-Pro Forma'!$G$9="Yes",ROUND((-(SUM(C72:C75)*'Part VII-Pro Forma'!$K$9)),),"Choose mgt fee")))</f>
        <v>-64368</v>
      </c>
      <c r="D78" s="25">
        <f>IF(AND('Part VII-Pro Forma'!$G$8="Yes",'Part VII-Pro Forma'!$G$9="Yes"),"Choose One!",IF('Part VII-Pro Forma'!$G$8="Yes",ROUND((-$K$8*(1+'Part VII-Pro Forma'!$B$6)^('Part VII-Pro Forma'!D71-1)),),IF('Part VII-Pro Forma'!$G$9="Yes",ROUND((-(SUM(D72:D75)*'Part VII-Pro Forma'!$K$9)),),"Choose mgt fee")))</f>
        <v>-65655</v>
      </c>
      <c r="E78" s="25">
        <f>IF(AND('Part VII-Pro Forma'!$G$8="Yes",'Part VII-Pro Forma'!$G$9="Yes"),"Choose One!",IF('Part VII-Pro Forma'!$G$8="Yes",ROUND((-$K$8*(1+'Part VII-Pro Forma'!$B$6)^('Part VII-Pro Forma'!E71-1)),),IF('Part VII-Pro Forma'!$G$9="Yes",ROUND((-(SUM(E72:E75)*'Part VII-Pro Forma'!$K$9)),),"Choose mgt fee")))</f>
        <v>-66968</v>
      </c>
      <c r="F78" s="25">
        <f>IF(AND('Part VII-Pro Forma'!$G$8="Yes",'Part VII-Pro Forma'!$G$9="Yes"),"Choose One!",IF('Part VII-Pro Forma'!$G$8="Yes",ROUND((-$K$8*(1+'Part VII-Pro Forma'!$B$6)^('Part VII-Pro Forma'!F71-1)),),IF('Part VII-Pro Forma'!$G$9="Yes",ROUND((-(SUM(F72:F75)*'Part VII-Pro Forma'!$K$9)),),"Choose mgt fee")))</f>
        <v>-68307</v>
      </c>
      <c r="G78" s="25">
        <f>IF(AND('Part VII-Pro Forma'!$G$8="Yes",'Part VII-Pro Forma'!$G$9="Yes"),"Choose One!",IF('Part VII-Pro Forma'!$G$8="Yes",ROUND((-$K$8*(1+'Part VII-Pro Forma'!$B$6)^('Part VII-Pro Forma'!G71-1)),),IF('Part VII-Pro Forma'!$G$9="Yes",ROUND((-(SUM(G72:G75)*'Part VII-Pro Forma'!$K$9)),),"Choose mgt fee")))</f>
        <v>-69674</v>
      </c>
      <c r="H78" s="25">
        <f>IF(AND('Part VII-Pro Forma'!$G$8="Yes",'Part VII-Pro Forma'!$G$9="Yes"),"Choose One!",IF('Part VII-Pro Forma'!$G$8="Yes",ROUND((-$K$8*(1+'Part VII-Pro Forma'!$B$6)^('Part VII-Pro Forma'!H71-1)),),IF('Part VII-Pro Forma'!$G$9="Yes",ROUND((-(SUM(H72:H75)*'Part VII-Pro Forma'!$K$9)),),"Choose mgt fee")))</f>
        <v>-71067</v>
      </c>
      <c r="I78" s="25">
        <f>IF(AND('Part VII-Pro Forma'!$G$8="Yes",'Part VII-Pro Forma'!$G$9="Yes"),"Choose One!",IF('Part VII-Pro Forma'!$G$8="Yes",ROUND((-$K$8*(1+'Part VII-Pro Forma'!$B$6)^('Part VII-Pro Forma'!I71-1)),),IF('Part VII-Pro Forma'!$G$9="Yes",ROUND((-(SUM(I72:I75)*'Part VII-Pro Forma'!$K$9)),),"Choose mgt fee")))</f>
        <v>-72488</v>
      </c>
      <c r="J78" s="25">
        <f>IF(AND('Part VII-Pro Forma'!$G$8="Yes",'Part VII-Pro Forma'!$G$9="Yes"),"Choose One!",IF('Part VII-Pro Forma'!$G$8="Yes",ROUND((-$K$8*(1+'Part VII-Pro Forma'!$B$6)^('Part VII-Pro Forma'!J71-1)),),IF('Part VII-Pro Forma'!$G$9="Yes",ROUND((-(SUM(J72:J75)*'Part VII-Pro Forma'!$K$9)),),"Choose mgt fee")))</f>
        <v>-73938</v>
      </c>
      <c r="K78" s="25">
        <f>IF(AND('Part VII-Pro Forma'!$G$8="Yes",'Part VII-Pro Forma'!$G$9="Yes"),"Choose One!",IF('Part VII-Pro Forma'!$G$8="Yes",ROUND((-$K$8*(1+'Part VII-Pro Forma'!$B$6)^('Part VII-Pro Forma'!K71-1)),),IF('Part VII-Pro Forma'!$G$9="Yes",ROUND((-(SUM(K72:K75)*'Part VII-Pro Forma'!$K$9)),),"Choose mgt fee")))</f>
        <v>-75417</v>
      </c>
      <c r="M78" s="1754"/>
      <c r="N78" s="1755"/>
    </row>
    <row r="79" spans="1:14" ht="13.15" customHeight="1">
      <c r="A79" s="24" t="s">
        <v>1278</v>
      </c>
      <c r="B79" s="25">
        <f t="shared" ref="B79:K79" si="33">$B$21*(1+$B$7)^(B71-1)</f>
        <v>-56892.503892086519</v>
      </c>
      <c r="C79" s="25">
        <f t="shared" si="33"/>
        <v>-58599.279008849102</v>
      </c>
      <c r="D79" s="25">
        <f t="shared" si="33"/>
        <v>-60357.257379114584</v>
      </c>
      <c r="E79" s="25">
        <f t="shared" si="33"/>
        <v>-62167.975100488024</v>
      </c>
      <c r="F79" s="25">
        <f t="shared" si="33"/>
        <v>-64033.014353502658</v>
      </c>
      <c r="G79" s="25">
        <f t="shared" si="33"/>
        <v>-65954.004784107732</v>
      </c>
      <c r="H79" s="25">
        <f t="shared" si="33"/>
        <v>-67932.624927630983</v>
      </c>
      <c r="I79" s="25">
        <f t="shared" si="33"/>
        <v>-69970.603675459904</v>
      </c>
      <c r="J79" s="25">
        <f t="shared" si="33"/>
        <v>-72069.721785723697</v>
      </c>
      <c r="K79" s="26">
        <f t="shared" si="33"/>
        <v>-74231.813439295394</v>
      </c>
      <c r="M79" s="1754"/>
      <c r="N79" s="1755"/>
    </row>
    <row r="80" spans="1:14" ht="13.15" customHeight="1">
      <c r="A80" s="24" t="s">
        <v>1279</v>
      </c>
      <c r="B80" s="25">
        <f t="shared" ref="B80:K80" si="34">SUM(B72:B79)</f>
        <v>81693.916234049349</v>
      </c>
      <c r="C80" s="25">
        <f t="shared" si="34"/>
        <v>77764.188900331341</v>
      </c>
      <c r="D80" s="25">
        <f t="shared" si="34"/>
        <v>73589.195250186764</v>
      </c>
      <c r="E80" s="25">
        <f t="shared" si="34"/>
        <v>69158.522604194732</v>
      </c>
      <c r="F80" s="25">
        <f t="shared" si="34"/>
        <v>64462.4198087533</v>
      </c>
      <c r="G80" s="25">
        <f t="shared" si="34"/>
        <v>59488.785959977016</v>
      </c>
      <c r="H80" s="25">
        <f t="shared" si="34"/>
        <v>54229.158766876688</v>
      </c>
      <c r="I80" s="25">
        <f t="shared" si="34"/>
        <v>48670.702542545463</v>
      </c>
      <c r="J80" s="25">
        <f t="shared" si="34"/>
        <v>42801.195811737562</v>
      </c>
      <c r="K80" s="26">
        <f t="shared" si="34"/>
        <v>36609.018522863626</v>
      </c>
      <c r="M80" s="1754"/>
      <c r="N80" s="1755"/>
    </row>
    <row r="81" spans="1:14" ht="13.15" customHeight="1">
      <c r="A81" s="24" t="str">
        <f>$A52</f>
        <v>Mortgage A</v>
      </c>
      <c r="B81" s="2185">
        <f>IF('Part III-Sources of Funds'!$M$32="", 0,-'Part III-Sources of Funds'!$M$32)*0</f>
        <v>0</v>
      </c>
      <c r="C81" s="2185">
        <f>IF('Part III-Sources of Funds'!$M$32="", 0,-'Part III-Sources of Funds'!$M$32)*0</f>
        <v>0</v>
      </c>
      <c r="D81" s="2185">
        <f>IF('Part III-Sources of Funds'!$M$32="", 0,-'Part III-Sources of Funds'!$M$32)*0</f>
        <v>0</v>
      </c>
      <c r="E81" s="2185">
        <f>IF('Part III-Sources of Funds'!$M$32="", 0,-'Part III-Sources of Funds'!$M$32)*0</f>
        <v>0</v>
      </c>
      <c r="F81" s="2185">
        <f>IF('Part III-Sources of Funds'!$M$32="", 0,-'Part III-Sources of Funds'!$M$32)*0</f>
        <v>0</v>
      </c>
      <c r="G81" s="2185">
        <f>IF('Part III-Sources of Funds'!$M$32="", 0,-'Part III-Sources of Funds'!$M$32)*0</f>
        <v>0</v>
      </c>
      <c r="H81" s="2185">
        <f>IF('Part III-Sources of Funds'!$M$32="", 0,-'Part III-Sources of Funds'!$M$32)*0</f>
        <v>0</v>
      </c>
      <c r="I81" s="2185">
        <f>IF('Part III-Sources of Funds'!$M$32="", 0,-'Part III-Sources of Funds'!$M$32)*0</f>
        <v>0</v>
      </c>
      <c r="J81" s="2185">
        <f>IF('Part III-Sources of Funds'!$M$32="", 0,-'Part III-Sources of Funds'!$M$32)*0</f>
        <v>0</v>
      </c>
      <c r="K81" s="2185">
        <f>IF('Part III-Sources of Funds'!$M$32="", 0,-'Part III-Sources of Funds'!$M$32)*0</f>
        <v>0</v>
      </c>
      <c r="M81" s="1754"/>
      <c r="N81" s="1755"/>
    </row>
    <row r="82" spans="1:14" ht="13.15" customHeight="1">
      <c r="A82" s="24" t="str">
        <f>$A53</f>
        <v>Mortgage B</v>
      </c>
      <c r="B82" s="2186">
        <f>IF('Part III-Sources of Funds'!$M$33="", 0,-'Part III-Sources of Funds'!$M$33)</f>
        <v>0</v>
      </c>
      <c r="C82" s="2186">
        <f>IF('Part III-Sources of Funds'!$M$33="", 0,-'Part III-Sources of Funds'!$M$33)</f>
        <v>0</v>
      </c>
      <c r="D82" s="2186">
        <f>IF('Part III-Sources of Funds'!$M$33="", 0,-'Part III-Sources of Funds'!$M$33)</f>
        <v>0</v>
      </c>
      <c r="E82" s="2186">
        <f>IF('Part III-Sources of Funds'!$M$33="", 0,-'Part III-Sources of Funds'!$M$33)</f>
        <v>0</v>
      </c>
      <c r="F82" s="2186">
        <f>IF('Part III-Sources of Funds'!$M$33="", 0,-'Part III-Sources of Funds'!$M$33)</f>
        <v>0</v>
      </c>
      <c r="G82" s="2186">
        <f>IF('Part III-Sources of Funds'!$M$33="", 0,-'Part III-Sources of Funds'!$M$33)</f>
        <v>0</v>
      </c>
      <c r="H82" s="2186">
        <f>IF('Part III-Sources of Funds'!$M$33="", 0,-'Part III-Sources of Funds'!$M$33)</f>
        <v>0</v>
      </c>
      <c r="I82" s="2186">
        <f>IF('Part III-Sources of Funds'!$M$33="", 0,-'Part III-Sources of Funds'!$M$33)</f>
        <v>0</v>
      </c>
      <c r="J82" s="2186">
        <f>IF('Part III-Sources of Funds'!$M$33="", 0,-'Part III-Sources of Funds'!$M$33)</f>
        <v>0</v>
      </c>
      <c r="K82" s="2186">
        <f>IF('Part III-Sources of Funds'!$M$33="", 0,-'Part III-Sources of Funds'!$M$33)</f>
        <v>0</v>
      </c>
      <c r="M82" s="1754"/>
      <c r="N82" s="1755"/>
    </row>
    <row r="83" spans="1:14" ht="13.15" customHeight="1">
      <c r="A83" s="24" t="str">
        <f>$A54</f>
        <v>Mortgage C</v>
      </c>
      <c r="B83" s="2186">
        <f>IF('Part III-Sources of Funds'!$M$34="", 0,-'Part III-Sources of Funds'!$M$34)</f>
        <v>0</v>
      </c>
      <c r="C83" s="2186">
        <f>IF('Part III-Sources of Funds'!$M$34="", 0,-'Part III-Sources of Funds'!$M$34)</f>
        <v>0</v>
      </c>
      <c r="D83" s="2186">
        <f>IF('Part III-Sources of Funds'!$M$34="", 0,-'Part III-Sources of Funds'!$M$34)</f>
        <v>0</v>
      </c>
      <c r="E83" s="2186">
        <f>IF('Part III-Sources of Funds'!$M$34="", 0,-'Part III-Sources of Funds'!$M$34)</f>
        <v>0</v>
      </c>
      <c r="F83" s="2186">
        <f>IF('Part III-Sources of Funds'!$M$34="", 0,-'Part III-Sources of Funds'!$M$34)</f>
        <v>0</v>
      </c>
      <c r="G83" s="2186">
        <f>IF('Part III-Sources of Funds'!$M$34="", 0,-'Part III-Sources of Funds'!$M$34)</f>
        <v>0</v>
      </c>
      <c r="H83" s="2186">
        <f>IF('Part III-Sources of Funds'!$M$34="", 0,-'Part III-Sources of Funds'!$M$34)</f>
        <v>0</v>
      </c>
      <c r="I83" s="2186">
        <f>IF('Part III-Sources of Funds'!$M$34="", 0,-'Part III-Sources of Funds'!$M$34)</f>
        <v>0</v>
      </c>
      <c r="J83" s="2186">
        <f>IF('Part III-Sources of Funds'!$M$34="", 0,-'Part III-Sources of Funds'!$M$34)</f>
        <v>0</v>
      </c>
      <c r="K83" s="2186">
        <f>IF('Part III-Sources of Funds'!$M$34="", 0,-'Part III-Sources of Funds'!$M$34)</f>
        <v>0</v>
      </c>
      <c r="M83" s="1754"/>
      <c r="N83" s="1755"/>
    </row>
    <row r="84" spans="1:14" ht="13.15" customHeight="1">
      <c r="A84" s="24" t="str">
        <f>$A55</f>
        <v>D/S Other Source</v>
      </c>
      <c r="B84" s="2186">
        <f>IF('Part III-Sources of Funds'!$M$35="", 0,-'Part III-Sources of Funds'!$M$35)</f>
        <v>0</v>
      </c>
      <c r="C84" s="2186">
        <f>IF('Part III-Sources of Funds'!$M$35="", 0,-'Part III-Sources of Funds'!$M$35)</f>
        <v>0</v>
      </c>
      <c r="D84" s="2186">
        <f>IF('Part III-Sources of Funds'!$M$35="", 0,-'Part III-Sources of Funds'!$M$35)</f>
        <v>0</v>
      </c>
      <c r="E84" s="2186">
        <f>IF('Part III-Sources of Funds'!$M$35="", 0,-'Part III-Sources of Funds'!$M$35)</f>
        <v>0</v>
      </c>
      <c r="F84" s="2186">
        <f>IF('Part III-Sources of Funds'!$M$35="", 0,-'Part III-Sources of Funds'!$M$35)</f>
        <v>0</v>
      </c>
      <c r="G84" s="2186">
        <f>IF('Part III-Sources of Funds'!$M$35="", 0,-'Part III-Sources of Funds'!$M$35)</f>
        <v>0</v>
      </c>
      <c r="H84" s="2186">
        <f>IF('Part III-Sources of Funds'!$M$35="", 0,-'Part III-Sources of Funds'!$M$35)</f>
        <v>0</v>
      </c>
      <c r="I84" s="2186">
        <f>IF('Part III-Sources of Funds'!$M$35="", 0,-'Part III-Sources of Funds'!$M$35)</f>
        <v>0</v>
      </c>
      <c r="J84" s="2186">
        <f>IF('Part III-Sources of Funds'!$M$35="", 0,-'Part III-Sources of Funds'!$M$35)</f>
        <v>0</v>
      </c>
      <c r="K84" s="2186">
        <f>IF('Part III-Sources of Funds'!$M$35="", 0,-'Part III-Sources of Funds'!$M$35)</f>
        <v>0</v>
      </c>
      <c r="M84" s="1754"/>
      <c r="N84" s="1755"/>
    </row>
    <row r="85" spans="1:14" ht="13.15" customHeight="1">
      <c r="A85" s="24" t="s">
        <v>814</v>
      </c>
      <c r="B85" s="2187"/>
      <c r="C85" s="2187"/>
      <c r="D85" s="2187"/>
      <c r="E85" s="2187"/>
      <c r="F85" s="2187"/>
      <c r="G85" s="2187"/>
      <c r="H85" s="2187"/>
      <c r="I85" s="2187"/>
      <c r="J85" s="2187"/>
      <c r="K85" s="2187"/>
      <c r="M85" s="1754"/>
      <c r="N85" s="1755"/>
    </row>
    <row r="86" spans="1:14" ht="13.15" customHeight="1">
      <c r="A86" s="24" t="s">
        <v>1234</v>
      </c>
      <c r="B86" s="2186">
        <f>+K57*1.03</f>
        <v>-10836.66740801649</v>
      </c>
      <c r="C86" s="2186">
        <f>+B86*1.03</f>
        <v>-11161.767430256985</v>
      </c>
      <c r="D86" s="2186">
        <f t="shared" ref="D86:K86" si="35">+C86*1.03</f>
        <v>-11496.620453164694</v>
      </c>
      <c r="E86" s="2186">
        <f t="shared" si="35"/>
        <v>-11841.519066759636</v>
      </c>
      <c r="F86" s="2186">
        <f t="shared" si="35"/>
        <v>-12196.764638762426</v>
      </c>
      <c r="G86" s="2186">
        <f t="shared" si="35"/>
        <v>-12562.6675779253</v>
      </c>
      <c r="H86" s="2186">
        <f t="shared" si="35"/>
        <v>-12939.54760526306</v>
      </c>
      <c r="I86" s="2186">
        <f t="shared" si="35"/>
        <v>-13327.734033420953</v>
      </c>
      <c r="J86" s="2186">
        <f t="shared" si="35"/>
        <v>-13727.566054423582</v>
      </c>
      <c r="K86" s="2186">
        <f t="shared" si="35"/>
        <v>-14139.39303605629</v>
      </c>
      <c r="M86" s="1754"/>
      <c r="N86" s="1755"/>
    </row>
    <row r="87" spans="1:14" ht="13.15" customHeight="1">
      <c r="A87" s="24" t="s">
        <v>1280</v>
      </c>
      <c r="B87" s="2188">
        <f>IF('Part III-Sources of Funds'!$M$37="", 0,-'Part III-Sources of Funds'!$M$37)</f>
        <v>0</v>
      </c>
      <c r="C87" s="2188">
        <f>IF('Part III-Sources of Funds'!$M$37="", 0,-'Part III-Sources of Funds'!$M$37)</f>
        <v>0</v>
      </c>
      <c r="D87" s="2188">
        <f>IF('Part III-Sources of Funds'!$M$37="", 0,-'Part III-Sources of Funds'!$M$37)</f>
        <v>0</v>
      </c>
      <c r="E87" s="2188">
        <f>IF('Part III-Sources of Funds'!$M$37="", 0,-'Part III-Sources of Funds'!$M$37)</f>
        <v>0</v>
      </c>
      <c r="F87" s="2188">
        <f>IF('Part III-Sources of Funds'!$M$37="", 0,-'Part III-Sources of Funds'!$M$37)</f>
        <v>0</v>
      </c>
      <c r="G87" s="2188">
        <f>IF('Part III-Sources of Funds'!$M$37="", 0,-'Part III-Sources of Funds'!$M$37)</f>
        <v>0</v>
      </c>
      <c r="H87" s="2188">
        <f>IF('Part III-Sources of Funds'!$M$37="", 0,-'Part III-Sources of Funds'!$M$37)</f>
        <v>0</v>
      </c>
      <c r="I87" s="2188">
        <f>IF('Part III-Sources of Funds'!$M$37="", 0,-'Part III-Sources of Funds'!$M$37)</f>
        <v>0</v>
      </c>
      <c r="J87" s="2188">
        <f>IF('Part III-Sources of Funds'!$M$37="", 0,-'Part III-Sources of Funds'!$M$37)</f>
        <v>0</v>
      </c>
      <c r="K87" s="2186">
        <f>IF('Part III-Sources of Funds'!$M$37="", 0,-'Part III-Sources of Funds'!$M$37)</f>
        <v>0</v>
      </c>
      <c r="M87" s="1754"/>
      <c r="N87" s="1755"/>
    </row>
    <row r="88" spans="1:14" ht="13.15" customHeight="1">
      <c r="A88" s="24" t="s">
        <v>1235</v>
      </c>
      <c r="B88" s="25">
        <f t="shared" ref="B88:K88" si="36">SUM(B80:B87)</f>
        <v>70857.248826032854</v>
      </c>
      <c r="C88" s="25">
        <f t="shared" si="36"/>
        <v>66602.421470074361</v>
      </c>
      <c r="D88" s="25">
        <f t="shared" si="36"/>
        <v>62092.574797022069</v>
      </c>
      <c r="E88" s="25">
        <f t="shared" si="36"/>
        <v>57317.003537435099</v>
      </c>
      <c r="F88" s="25">
        <f t="shared" si="36"/>
        <v>52265.655169990874</v>
      </c>
      <c r="G88" s="25">
        <f t="shared" si="36"/>
        <v>46926.118382051718</v>
      </c>
      <c r="H88" s="25">
        <f t="shared" si="36"/>
        <v>41289.611161613626</v>
      </c>
      <c r="I88" s="25">
        <f t="shared" si="36"/>
        <v>35342.968509124512</v>
      </c>
      <c r="J88" s="25">
        <f t="shared" si="36"/>
        <v>29073.629757313982</v>
      </c>
      <c r="K88" s="23">
        <f t="shared" si="36"/>
        <v>22469.625486807337</v>
      </c>
      <c r="M88" s="1754"/>
      <c r="N88" s="1755"/>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54"/>
      <c r="N89" s="1755"/>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4"/>
      <c r="N90" s="1755"/>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4"/>
      <c r="N91" s="1755"/>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4"/>
      <c r="N92" s="1755"/>
    </row>
    <row r="93" spans="1:14" ht="13.15" customHeight="1">
      <c r="A93" s="24" t="s">
        <v>821</v>
      </c>
      <c r="B93" s="321">
        <f>IF(OR(B78="Choose mgt fee",B78="Choose One!"),"",(B72+B73+B74+B75+B76) / -(B77+B78+B79))</f>
        <v>1.131875291154401</v>
      </c>
      <c r="C93" s="321">
        <f t="shared" ref="C93:K93" si="41">IF(OR(C78="Choose mgt fee",C78="Choose One!"),"",(C72+C73+C74+C75+C76) / -(C77+C78+C79))</f>
        <v>1.1219961035465522</v>
      </c>
      <c r="D93" s="321">
        <f t="shared" si="41"/>
        <v>1.1121939317162279</v>
      </c>
      <c r="E93" s="321">
        <f t="shared" si="41"/>
        <v>1.1024674956812091</v>
      </c>
      <c r="F93" s="321">
        <f t="shared" si="41"/>
        <v>1.0928172262299529</v>
      </c>
      <c r="G93" s="321">
        <f t="shared" si="41"/>
        <v>1.083240415354213</v>
      </c>
      <c r="H93" s="321">
        <f t="shared" si="41"/>
        <v>1.0737405418697881</v>
      </c>
      <c r="I93" s="321">
        <f t="shared" si="41"/>
        <v>1.0643149146030071</v>
      </c>
      <c r="J93" s="321">
        <f t="shared" si="41"/>
        <v>1.0549625278826351</v>
      </c>
      <c r="K93" s="322">
        <f t="shared" si="41"/>
        <v>1.0456837818030711</v>
      </c>
      <c r="M93" s="1754"/>
      <c r="N93" s="1755"/>
    </row>
    <row r="94" spans="1:14" ht="13.15" customHeight="1">
      <c r="A94" s="524" t="s">
        <v>2800</v>
      </c>
      <c r="B94" s="2189">
        <f>IF('Part III-Sources of Funds'!$H$32="","",-FV('Part III-Sources of Funds'!$J$32/12,12,B81/12,K65))</f>
        <v>3.3959516573652751E-8</v>
      </c>
      <c r="C94" s="2189">
        <f>IF('Part III-Sources of Funds'!$H$32="","",-FV('Part III-Sources of Funds'!$J$32/12,12,C81/12,B94))</f>
        <v>3.5062301964876207E-8</v>
      </c>
      <c r="D94" s="2189">
        <f>IF('Part III-Sources of Funds'!$H$32="","",-FV('Part III-Sources of Funds'!$J$32/12,12,D81/12,C94))</f>
        <v>3.620089869094179E-8</v>
      </c>
      <c r="E94" s="2189">
        <f>IF('Part III-Sources of Funds'!$H$32="","",-FV('Part III-Sources of Funds'!$J$32/12,12,E81/12,D94))</f>
        <v>3.7376469672317417E-8</v>
      </c>
      <c r="F94" s="2189">
        <f>IF('Part III-Sources of Funds'!$H$32="","",-FV('Part III-Sources of Funds'!$J$32/12,12,F81/12,E94))</f>
        <v>3.8590215593604087E-8</v>
      </c>
      <c r="G94" s="2189">
        <f>IF('Part III-Sources of Funds'!$H$32="","",-FV('Part III-Sources of Funds'!$J$32/12,12,G81/12,F94))</f>
        <v>3.9843376129870594E-8</v>
      </c>
      <c r="H94" s="2189">
        <f>IF('Part III-Sources of Funds'!$H$32="","",-FV('Part III-Sources of Funds'!$J$32/12,12,H81/12,G94))</f>
        <v>4.1137231212811678E-8</v>
      </c>
      <c r="I94" s="2189">
        <f>IF('Part III-Sources of Funds'!$H$32="","",-FV('Part III-Sources of Funds'!$J$32/12,12,I81/12,H94))</f>
        <v>4.247310233802277E-8</v>
      </c>
      <c r="J94" s="2189">
        <f>IF('Part III-Sources of Funds'!$H$32="","",-FV('Part III-Sources of Funds'!$J$32/12,12,J81/12,I94))</f>
        <v>4.3852353914726594E-8</v>
      </c>
      <c r="K94" s="2189">
        <f>IF('Part III-Sources of Funds'!$H$32="","",-FV('Part III-Sources of Funds'!$J$32/12,12,K81/12,J94))</f>
        <v>4.5276394659330149E-8</v>
      </c>
      <c r="M94" s="1754"/>
      <c r="N94" s="1755"/>
    </row>
    <row r="95" spans="1:14" ht="13.15" customHeight="1">
      <c r="A95" s="524" t="s">
        <v>2801</v>
      </c>
      <c r="B95" s="2186" t="str">
        <f>IF('Part III-Sources of Funds'!$H$33="","",-FV('Part III-Sources of Funds'!$J$33/12,12,B82/12,K66))</f>
        <v/>
      </c>
      <c r="C95" s="2186" t="str">
        <f>IF('Part III-Sources of Funds'!$H$33="","",-FV('Part III-Sources of Funds'!$J$33/12,12,C82/12,B95))</f>
        <v/>
      </c>
      <c r="D95" s="2186" t="str">
        <f>IF('Part III-Sources of Funds'!$H$33="","",-FV('Part III-Sources of Funds'!$J$33/12,12,D82/12,C95))</f>
        <v/>
      </c>
      <c r="E95" s="2186" t="str">
        <f>IF('Part III-Sources of Funds'!$H$33="","",-FV('Part III-Sources of Funds'!$J$33/12,12,E82/12,D95))</f>
        <v/>
      </c>
      <c r="F95" s="2186" t="str">
        <f>IF('Part III-Sources of Funds'!$H$33="","",-FV('Part III-Sources of Funds'!$J$33/12,12,F82/12,E95))</f>
        <v/>
      </c>
      <c r="G95" s="2186" t="str">
        <f>IF('Part III-Sources of Funds'!$H$33="","",-FV('Part III-Sources of Funds'!$J$33/12,12,G82/12,F95))</f>
        <v/>
      </c>
      <c r="H95" s="2186" t="str">
        <f>IF('Part III-Sources of Funds'!$H$33="","",-FV('Part III-Sources of Funds'!$J$33/12,12,H82/12,G95))</f>
        <v/>
      </c>
      <c r="I95" s="2186" t="str">
        <f>IF('Part III-Sources of Funds'!$H$33="","",-FV('Part III-Sources of Funds'!$J$33/12,12,I82/12,H95))</f>
        <v/>
      </c>
      <c r="J95" s="2186" t="str">
        <f>IF('Part III-Sources of Funds'!$H$33="","",-FV('Part III-Sources of Funds'!$J$33/12,12,J82/12,I95))</f>
        <v/>
      </c>
      <c r="K95" s="2186" t="str">
        <f>IF('Part III-Sources of Funds'!$H$33="","",-FV('Part III-Sources of Funds'!$J$33/12,12,K82/12,J95))</f>
        <v/>
      </c>
      <c r="M95" s="1754"/>
      <c r="N95" s="1755"/>
    </row>
    <row r="96" spans="1:14" ht="13.15" customHeight="1">
      <c r="A96" s="524" t="s">
        <v>2802</v>
      </c>
      <c r="B96" s="2186" t="str">
        <f>IF('Part III-Sources of Funds'!$H$34="","",-FV('Part III-Sources of Funds'!$J$34/12,12,B83/12,K67))</f>
        <v/>
      </c>
      <c r="C96" s="2186" t="str">
        <f>IF('Part III-Sources of Funds'!$H$34="","",-FV('Part III-Sources of Funds'!$J$34/12,12,C83/12,B96))</f>
        <v/>
      </c>
      <c r="D96" s="2186" t="str">
        <f>IF('Part III-Sources of Funds'!$H$34="","",-FV('Part III-Sources of Funds'!$J$34/12,12,D83/12,C96))</f>
        <v/>
      </c>
      <c r="E96" s="2186" t="str">
        <f>IF('Part III-Sources of Funds'!$H$34="","",-FV('Part III-Sources of Funds'!$J$34/12,12,E83/12,D96))</f>
        <v/>
      </c>
      <c r="F96" s="2186" t="str">
        <f>IF('Part III-Sources of Funds'!$H$34="","",-FV('Part III-Sources of Funds'!$J$34/12,12,F83/12,E96))</f>
        <v/>
      </c>
      <c r="G96" s="2186" t="str">
        <f>IF('Part III-Sources of Funds'!$H$34="","",-FV('Part III-Sources of Funds'!$J$34/12,12,G83/12,F96))</f>
        <v/>
      </c>
      <c r="H96" s="2186" t="str">
        <f>IF('Part III-Sources of Funds'!$H$34="","",-FV('Part III-Sources of Funds'!$J$34/12,12,H83/12,G96))</f>
        <v/>
      </c>
      <c r="I96" s="2186" t="str">
        <f>IF('Part III-Sources of Funds'!$H$34="","",-FV('Part III-Sources of Funds'!$J$34/12,12,I83/12,H96))</f>
        <v/>
      </c>
      <c r="J96" s="2186" t="str">
        <f>IF('Part III-Sources of Funds'!$H$34="","",-FV('Part III-Sources of Funds'!$J$34/12,12,J83/12,I96))</f>
        <v/>
      </c>
      <c r="K96" s="2186" t="str">
        <f>IF('Part III-Sources of Funds'!$H$34="","",-FV('Part III-Sources of Funds'!$J$34/12,12,K83/12,J96))</f>
        <v/>
      </c>
      <c r="M96" s="1754"/>
      <c r="N96" s="1755"/>
    </row>
    <row r="97" spans="1:14" ht="13.15" customHeight="1">
      <c r="A97" s="24" t="s">
        <v>837</v>
      </c>
      <c r="B97" s="2186" t="str">
        <f>IF('Part III-Sources of Funds'!$H$35="","",-FV('Part III-Sources of Funds'!$J$35/12,12,B84/12,K68))</f>
        <v/>
      </c>
      <c r="C97" s="2186" t="str">
        <f>IF('Part III-Sources of Funds'!$H$35="","",-FV('Part III-Sources of Funds'!$J$35/12,12,C84/12,B97))</f>
        <v/>
      </c>
      <c r="D97" s="2186" t="str">
        <f>IF('Part III-Sources of Funds'!$H$35="","",-FV('Part III-Sources of Funds'!$J$35/12,12,D84/12,C97))</f>
        <v/>
      </c>
      <c r="E97" s="2186" t="str">
        <f>IF('Part III-Sources of Funds'!$H$35="","",-FV('Part III-Sources of Funds'!$J$35/12,12,E84/12,D97))</f>
        <v/>
      </c>
      <c r="F97" s="2186" t="str">
        <f>IF('Part III-Sources of Funds'!$H$35="","",-FV('Part III-Sources of Funds'!$J$35/12,12,F84/12,E97))</f>
        <v/>
      </c>
      <c r="G97" s="2186" t="str">
        <f>IF('Part III-Sources of Funds'!$H$35="","",-FV('Part III-Sources of Funds'!$J$35/12,12,G84/12,F97))</f>
        <v/>
      </c>
      <c r="H97" s="2186" t="str">
        <f>IF('Part III-Sources of Funds'!$H$35="","",-FV('Part III-Sources of Funds'!$J$35/12,12,H84/12,G97))</f>
        <v/>
      </c>
      <c r="I97" s="2186" t="str">
        <f>IF('Part III-Sources of Funds'!$H$35="","",-FV('Part III-Sources of Funds'!$J$35/12,12,I84/12,H97))</f>
        <v/>
      </c>
      <c r="J97" s="2186" t="str">
        <f>IF('Part III-Sources of Funds'!$H$35="","",-FV('Part III-Sources of Funds'!$J$35/12,12,J84/12,I97))</f>
        <v/>
      </c>
      <c r="K97" s="2186" t="str">
        <f>IF('Part III-Sources of Funds'!$H$35="","",-FV('Part III-Sources of Funds'!$J$35/12,12,K84/12,J97))</f>
        <v/>
      </c>
      <c r="M97" s="1754"/>
      <c r="N97" s="1755"/>
    </row>
    <row r="98" spans="1:14" ht="13.15" customHeight="1">
      <c r="A98" s="29" t="s">
        <v>1315</v>
      </c>
      <c r="B98" s="2188" t="str">
        <f>IF('Part III-Sources of Funds'!$H$37="","",-FV('Part III-Sources of Funds'!$J$37/12,12,B87/12,K69))</f>
        <v/>
      </c>
      <c r="C98" s="2188" t="str">
        <f>IF('Part III-Sources of Funds'!$H$37="","",-FV('Part III-Sources of Funds'!$J$37/12,12,C87/12,B98))</f>
        <v/>
      </c>
      <c r="D98" s="2188" t="str">
        <f>IF('Part III-Sources of Funds'!$H$37="","",-FV('Part III-Sources of Funds'!$J$37/12,12,D87/12,C98))</f>
        <v/>
      </c>
      <c r="E98" s="2188" t="str">
        <f>IF('Part III-Sources of Funds'!$H$37="","",-FV('Part III-Sources of Funds'!$J$37/12,12,E87/12,D98))</f>
        <v/>
      </c>
      <c r="F98" s="2188" t="str">
        <f>IF('Part III-Sources of Funds'!$H$37="","",-FV('Part III-Sources of Funds'!$J$37/12,12,F87/12,E98))</f>
        <v/>
      </c>
      <c r="G98" s="2188" t="str">
        <f>IF('Part III-Sources of Funds'!$H$37="","",-FV('Part III-Sources of Funds'!$J$37/12,12,G87/12,F98))</f>
        <v/>
      </c>
      <c r="H98" s="2188" t="str">
        <f>IF('Part III-Sources of Funds'!$H$37="","",-FV('Part III-Sources of Funds'!$J$37/12,12,H87/12,G98))</f>
        <v/>
      </c>
      <c r="I98" s="2188" t="str">
        <f>IF('Part III-Sources of Funds'!$H$37="","",-FV('Part III-Sources of Funds'!$J$37/12,12,I87/12,H98))</f>
        <v/>
      </c>
      <c r="J98" s="2188" t="str">
        <f>IF('Part III-Sources of Funds'!$H$37="","",-FV('Part III-Sources of Funds'!$J$37/12,12,J87/12,I98))</f>
        <v/>
      </c>
      <c r="K98" s="2188" t="str">
        <f>IF('Part III-Sources of Funds'!$H$37="","",-FV('Part III-Sources of Funds'!$J$37/12,12,K87/12,J98))</f>
        <v/>
      </c>
      <c r="M98" s="1762"/>
      <c r="N98" s="1763"/>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794"/>
      <c r="B103" s="2190"/>
      <c r="C103" s="2190"/>
      <c r="D103" s="2190"/>
      <c r="E103" s="2190"/>
      <c r="F103" s="2191"/>
      <c r="G103" s="2192"/>
      <c r="H103" s="2193"/>
      <c r="I103" s="2193"/>
      <c r="J103" s="2193"/>
      <c r="K103" s="2194"/>
      <c r="M103" s="1258" t="s">
        <v>2924</v>
      </c>
      <c r="N103" s="1258"/>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7"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topLeftCell="A361"/>
      <selection sqref="A1:XFD1048576"/>
      <selection pane="bottomLeft" activeCell="V392" sqref="V392"/>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97" t="str">
        <f>CONCATENATE("PART EIGHT - THRESHOLD CRITERIA","  -  ",'Part I-Project Information'!$O$4," ",'Part I-Project Information'!$F$23,", ",'Part I-Project Information'!F27,", ",'Part I-Project Information'!J28," County")</f>
        <v>PART EIGHT - THRESHOLD CRITERIA  -  2014-039 Willingham Village II, Rome, Floyd County</v>
      </c>
      <c r="B1" s="1298"/>
      <c r="C1" s="1298"/>
      <c r="D1" s="1298"/>
      <c r="E1" s="1298"/>
      <c r="F1" s="1298"/>
      <c r="G1" s="1298"/>
      <c r="H1" s="1298"/>
      <c r="I1" s="1298"/>
      <c r="J1" s="1298"/>
      <c r="K1" s="1298"/>
      <c r="L1" s="1298"/>
      <c r="M1" s="1298"/>
      <c r="N1" s="1298"/>
      <c r="O1" s="1298"/>
      <c r="P1" s="1298"/>
      <c r="Q1" s="1298"/>
    </row>
    <row r="2" spans="1:32" s="31" customFormat="1" ht="3" customHeight="1">
      <c r="S2" s="43"/>
      <c r="T2" s="43"/>
      <c r="AE2" s="137"/>
      <c r="AF2" s="137"/>
    </row>
    <row r="3" spans="1:32" ht="13.5" customHeight="1">
      <c r="A3" s="1429"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29"/>
      <c r="C3" s="1429"/>
      <c r="D3" s="1429"/>
      <c r="E3" s="1429"/>
      <c r="F3" s="1429"/>
      <c r="G3" s="1429"/>
      <c r="H3" s="1429"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29"/>
      <c r="J3" s="1429"/>
      <c r="K3" s="1429"/>
      <c r="L3" s="1429"/>
      <c r="M3" s="1429"/>
      <c r="N3" s="1430"/>
      <c r="O3" s="1431" t="s">
        <v>991</v>
      </c>
      <c r="P3" s="1432"/>
      <c r="Q3" s="812" t="s">
        <v>1971</v>
      </c>
    </row>
    <row r="4" spans="1:32" ht="3" customHeight="1">
      <c r="A4" s="1159"/>
      <c r="B4" s="1420"/>
      <c r="C4" s="1420"/>
      <c r="D4" s="1420"/>
      <c r="E4" s="1159"/>
      <c r="F4" s="1159"/>
      <c r="G4" s="1159"/>
      <c r="H4" s="1159"/>
      <c r="I4" s="1159"/>
      <c r="J4" s="1159"/>
      <c r="K4" s="1159"/>
      <c r="L4" s="1159"/>
      <c r="M4" s="1159"/>
      <c r="N4" s="1159"/>
      <c r="P4" s="1159"/>
      <c r="Q4" s="1159"/>
    </row>
    <row r="5" spans="1:32" ht="10.9" hidden="1" customHeight="1">
      <c r="A5" s="1159"/>
      <c r="B5" s="1159"/>
      <c r="C5" s="1159"/>
      <c r="D5" s="1159"/>
      <c r="E5" s="1159"/>
      <c r="F5" s="1159"/>
      <c r="G5" s="1159"/>
      <c r="H5" s="1159"/>
      <c r="I5" s="1159"/>
      <c r="J5" s="1159"/>
      <c r="K5" s="1159"/>
      <c r="L5" s="1159"/>
      <c r="M5" s="1159"/>
      <c r="N5" s="1159"/>
      <c r="P5" s="1159"/>
      <c r="Q5" s="1159"/>
    </row>
    <row r="6" spans="1:32" ht="15" customHeight="1">
      <c r="A6" s="151" t="s">
        <v>600</v>
      </c>
      <c r="J6" s="1159"/>
      <c r="K6" s="1159"/>
      <c r="L6" s="1159"/>
      <c r="M6" s="1159"/>
      <c r="N6" s="1159"/>
      <c r="P6" s="1424"/>
      <c r="Q6" s="1425"/>
    </row>
    <row r="7" spans="1:32" ht="12.6" customHeight="1">
      <c r="A7" s="152" t="s">
        <v>290</v>
      </c>
      <c r="C7" s="153"/>
      <c r="D7" s="153"/>
      <c r="J7" s="1159"/>
      <c r="K7" s="1159"/>
      <c r="L7" s="1159"/>
      <c r="M7" s="1159"/>
      <c r="N7" s="1159"/>
    </row>
    <row r="8" spans="1:32" ht="24.6" customHeight="1">
      <c r="A8" s="1426" t="s">
        <v>1500</v>
      </c>
      <c r="B8" s="1427"/>
      <c r="C8" s="1427"/>
      <c r="D8" s="1427"/>
      <c r="E8" s="1427"/>
      <c r="F8" s="1427"/>
      <c r="G8" s="1427"/>
      <c r="H8" s="1427"/>
      <c r="I8" s="1427"/>
      <c r="J8" s="1427"/>
      <c r="K8" s="1427"/>
      <c r="L8" s="1427"/>
      <c r="M8" s="1427"/>
      <c r="N8" s="1427"/>
      <c r="O8" s="1427"/>
      <c r="P8" s="1427"/>
      <c r="Q8" s="1428"/>
      <c r="R8" s="1446" t="s">
        <v>2167</v>
      </c>
      <c r="S8" s="1182"/>
    </row>
    <row r="9" spans="1:32" ht="24.6" customHeight="1">
      <c r="A9" s="1421" t="s">
        <v>237</v>
      </c>
      <c r="B9" s="1422"/>
      <c r="C9" s="1422"/>
      <c r="D9" s="1422"/>
      <c r="E9" s="1422"/>
      <c r="F9" s="1422"/>
      <c r="G9" s="1422"/>
      <c r="H9" s="1422"/>
      <c r="I9" s="1422"/>
      <c r="J9" s="1422"/>
      <c r="K9" s="1422"/>
      <c r="L9" s="1422"/>
      <c r="M9" s="1422"/>
      <c r="N9" s="1422"/>
      <c r="O9" s="1422"/>
      <c r="P9" s="1422"/>
      <c r="Q9" s="1423"/>
      <c r="R9" s="1446"/>
      <c r="S9" s="1182"/>
    </row>
    <row r="10" spans="1:32" ht="24.6" customHeight="1">
      <c r="A10" s="1421" t="s">
        <v>1496</v>
      </c>
      <c r="B10" s="1422"/>
      <c r="C10" s="1422"/>
      <c r="D10" s="1422"/>
      <c r="E10" s="1422"/>
      <c r="F10" s="1422"/>
      <c r="G10" s="1422"/>
      <c r="H10" s="1422"/>
      <c r="I10" s="1422"/>
      <c r="J10" s="1422"/>
      <c r="K10" s="1422"/>
      <c r="L10" s="1422"/>
      <c r="M10" s="1422"/>
      <c r="N10" s="1422"/>
      <c r="O10" s="1422"/>
      <c r="P10" s="1422"/>
      <c r="Q10" s="1423"/>
      <c r="R10" s="1446"/>
      <c r="S10" s="1182"/>
    </row>
    <row r="11" spans="1:32" ht="24.6" customHeight="1">
      <c r="A11" s="1421" t="s">
        <v>1497</v>
      </c>
      <c r="B11" s="1422"/>
      <c r="C11" s="1422"/>
      <c r="D11" s="1422"/>
      <c r="E11" s="1422"/>
      <c r="F11" s="1422"/>
      <c r="G11" s="1422"/>
      <c r="H11" s="1422"/>
      <c r="I11" s="1422"/>
      <c r="J11" s="1422"/>
      <c r="K11" s="1422"/>
      <c r="L11" s="1422"/>
      <c r="M11" s="1422"/>
      <c r="N11" s="1422"/>
      <c r="O11" s="1422"/>
      <c r="P11" s="1422"/>
      <c r="Q11" s="1423"/>
      <c r="R11" s="1446"/>
      <c r="S11" s="1182"/>
    </row>
    <row r="12" spans="1:32" ht="24.6" customHeight="1">
      <c r="A12" s="1421" t="s">
        <v>1498</v>
      </c>
      <c r="B12" s="1422"/>
      <c r="C12" s="1422"/>
      <c r="D12" s="1422"/>
      <c r="E12" s="1422"/>
      <c r="F12" s="1422"/>
      <c r="G12" s="1422"/>
      <c r="H12" s="1422"/>
      <c r="I12" s="1422"/>
      <c r="J12" s="1422"/>
      <c r="K12" s="1422"/>
      <c r="L12" s="1422"/>
      <c r="M12" s="1422"/>
      <c r="N12" s="1422"/>
      <c r="O12" s="1422"/>
      <c r="P12" s="1422"/>
      <c r="Q12" s="1423"/>
      <c r="R12" s="1132"/>
      <c r="S12" s="1132"/>
    </row>
    <row r="13" spans="1:32" ht="24.6" customHeight="1">
      <c r="A13" s="1421" t="s">
        <v>1499</v>
      </c>
      <c r="B13" s="1422"/>
      <c r="C13" s="1422"/>
      <c r="D13" s="1422"/>
      <c r="E13" s="1422"/>
      <c r="F13" s="1422"/>
      <c r="G13" s="1422"/>
      <c r="H13" s="1422"/>
      <c r="I13" s="1422"/>
      <c r="J13" s="1422"/>
      <c r="K13" s="1422"/>
      <c r="L13" s="1422"/>
      <c r="M13" s="1422"/>
      <c r="N13" s="1422"/>
      <c r="O13" s="1422"/>
      <c r="P13" s="1422"/>
      <c r="Q13" s="1423"/>
      <c r="R13" s="1132"/>
      <c r="S13" s="1132"/>
    </row>
    <row r="14" spans="1:32" ht="24.6" customHeight="1">
      <c r="A14" s="1421" t="s">
        <v>1501</v>
      </c>
      <c r="B14" s="1422"/>
      <c r="C14" s="1422"/>
      <c r="D14" s="1422"/>
      <c r="E14" s="1422"/>
      <c r="F14" s="1422"/>
      <c r="G14" s="1422"/>
      <c r="H14" s="1422"/>
      <c r="I14" s="1422"/>
      <c r="J14" s="1422"/>
      <c r="K14" s="1422"/>
      <c r="L14" s="1422"/>
      <c r="M14" s="1422"/>
      <c r="N14" s="1422"/>
      <c r="O14" s="1422"/>
      <c r="P14" s="1422"/>
      <c r="Q14" s="1423"/>
    </row>
    <row r="15" spans="1:32" ht="24.6" customHeight="1">
      <c r="A15" s="1421" t="s">
        <v>2154</v>
      </c>
      <c r="B15" s="1422"/>
      <c r="C15" s="1422"/>
      <c r="D15" s="1422"/>
      <c r="E15" s="1422"/>
      <c r="F15" s="1422"/>
      <c r="G15" s="1422"/>
      <c r="H15" s="1422"/>
      <c r="I15" s="1422"/>
      <c r="J15" s="1422"/>
      <c r="K15" s="1422"/>
      <c r="L15" s="1422"/>
      <c r="M15" s="1422"/>
      <c r="N15" s="1422"/>
      <c r="O15" s="1422"/>
      <c r="P15" s="1422"/>
      <c r="Q15" s="1423"/>
      <c r="R15" s="1182" t="s">
        <v>2167</v>
      </c>
      <c r="S15" s="1182"/>
    </row>
    <row r="16" spans="1:32" ht="24.6" customHeight="1">
      <c r="A16" s="1421" t="s">
        <v>2155</v>
      </c>
      <c r="B16" s="1422"/>
      <c r="C16" s="1422"/>
      <c r="D16" s="1422"/>
      <c r="E16" s="1422"/>
      <c r="F16" s="1422"/>
      <c r="G16" s="1422"/>
      <c r="H16" s="1422"/>
      <c r="I16" s="1422"/>
      <c r="J16" s="1422"/>
      <c r="K16" s="1422"/>
      <c r="L16" s="1422"/>
      <c r="M16" s="1422"/>
      <c r="N16" s="1422"/>
      <c r="O16" s="1422"/>
      <c r="P16" s="1422"/>
      <c r="Q16" s="1423"/>
      <c r="R16" s="1182"/>
      <c r="S16" s="1182"/>
    </row>
    <row r="17" spans="1:19" ht="24.6" customHeight="1">
      <c r="A17" s="1421" t="s">
        <v>2156</v>
      </c>
      <c r="B17" s="1422"/>
      <c r="C17" s="1422"/>
      <c r="D17" s="1422"/>
      <c r="E17" s="1422"/>
      <c r="F17" s="1422"/>
      <c r="G17" s="1422"/>
      <c r="H17" s="1422"/>
      <c r="I17" s="1422"/>
      <c r="J17" s="1422"/>
      <c r="K17" s="1422"/>
      <c r="L17" s="1422"/>
      <c r="M17" s="1422"/>
      <c r="N17" s="1422"/>
      <c r="O17" s="1422"/>
      <c r="P17" s="1422"/>
      <c r="Q17" s="1423"/>
      <c r="R17" s="1182"/>
      <c r="S17" s="1182"/>
    </row>
    <row r="18" spans="1:19" ht="24.6" customHeight="1">
      <c r="A18" s="1421" t="s">
        <v>2157</v>
      </c>
      <c r="B18" s="1422"/>
      <c r="C18" s="1422"/>
      <c r="D18" s="1422"/>
      <c r="E18" s="1422"/>
      <c r="F18" s="1422"/>
      <c r="G18" s="1422"/>
      <c r="H18" s="1422"/>
      <c r="I18" s="1422"/>
      <c r="J18" s="1422"/>
      <c r="K18" s="1422"/>
      <c r="L18" s="1422"/>
      <c r="M18" s="1422"/>
      <c r="N18" s="1422"/>
      <c r="O18" s="1422"/>
      <c r="P18" s="1422"/>
      <c r="Q18" s="1423"/>
      <c r="R18" s="1182"/>
      <c r="S18" s="1182"/>
    </row>
    <row r="19" spans="1:19" ht="24.6" customHeight="1">
      <c r="A19" s="1421" t="s">
        <v>2158</v>
      </c>
      <c r="B19" s="1422"/>
      <c r="C19" s="1422"/>
      <c r="D19" s="1422"/>
      <c r="E19" s="1422"/>
      <c r="F19" s="1422"/>
      <c r="G19" s="1422"/>
      <c r="H19" s="1422"/>
      <c r="I19" s="1422"/>
      <c r="J19" s="1422"/>
      <c r="K19" s="1422"/>
      <c r="L19" s="1422"/>
      <c r="M19" s="1422"/>
      <c r="N19" s="1422"/>
      <c r="O19" s="1422"/>
      <c r="P19" s="1422"/>
      <c r="Q19" s="1423"/>
      <c r="R19" s="1132"/>
      <c r="S19" s="1132"/>
    </row>
    <row r="20" spans="1:19" ht="24.6" customHeight="1">
      <c r="A20" s="1421" t="s">
        <v>2159</v>
      </c>
      <c r="B20" s="1422"/>
      <c r="C20" s="1422"/>
      <c r="D20" s="1422"/>
      <c r="E20" s="1422"/>
      <c r="F20" s="1422"/>
      <c r="G20" s="1422"/>
      <c r="H20" s="1422"/>
      <c r="I20" s="1422"/>
      <c r="J20" s="1422"/>
      <c r="K20" s="1422"/>
      <c r="L20" s="1422"/>
      <c r="M20" s="1422"/>
      <c r="N20" s="1422"/>
      <c r="O20" s="1422"/>
      <c r="P20" s="1422"/>
      <c r="Q20" s="1423"/>
      <c r="R20" s="1132"/>
      <c r="S20" s="1132"/>
    </row>
    <row r="21" spans="1:19" ht="24.6" customHeight="1">
      <c r="A21" s="1421" t="s">
        <v>2160</v>
      </c>
      <c r="B21" s="1422"/>
      <c r="C21" s="1422"/>
      <c r="D21" s="1422"/>
      <c r="E21" s="1422"/>
      <c r="F21" s="1422"/>
      <c r="G21" s="1422"/>
      <c r="H21" s="1422"/>
      <c r="I21" s="1422"/>
      <c r="J21" s="1422"/>
      <c r="K21" s="1422"/>
      <c r="L21" s="1422"/>
      <c r="M21" s="1422"/>
      <c r="N21" s="1422"/>
      <c r="O21" s="1422"/>
      <c r="P21" s="1422"/>
      <c r="Q21" s="1423"/>
    </row>
    <row r="22" spans="1:19" ht="24.6" customHeight="1">
      <c r="A22" s="1421" t="s">
        <v>2161</v>
      </c>
      <c r="B22" s="1422"/>
      <c r="C22" s="1422"/>
      <c r="D22" s="1422"/>
      <c r="E22" s="1422"/>
      <c r="F22" s="1422"/>
      <c r="G22" s="1422"/>
      <c r="H22" s="1422"/>
      <c r="I22" s="1422"/>
      <c r="J22" s="1422"/>
      <c r="K22" s="1422"/>
      <c r="L22" s="1422"/>
      <c r="M22" s="1422"/>
      <c r="N22" s="1422"/>
      <c r="O22" s="1422"/>
      <c r="P22" s="1422"/>
      <c r="Q22" s="1423"/>
      <c r="R22" s="1182" t="s">
        <v>2167</v>
      </c>
      <c r="S22" s="1182"/>
    </row>
    <row r="23" spans="1:19" ht="24.6" customHeight="1">
      <c r="A23" s="1421" t="s">
        <v>2162</v>
      </c>
      <c r="B23" s="1422"/>
      <c r="C23" s="1422"/>
      <c r="D23" s="1422"/>
      <c r="E23" s="1422"/>
      <c r="F23" s="1422"/>
      <c r="G23" s="1422"/>
      <c r="H23" s="1422"/>
      <c r="I23" s="1422"/>
      <c r="J23" s="1422"/>
      <c r="K23" s="1422"/>
      <c r="L23" s="1422"/>
      <c r="M23" s="1422"/>
      <c r="N23" s="1422"/>
      <c r="O23" s="1422"/>
      <c r="P23" s="1422"/>
      <c r="Q23" s="1423"/>
      <c r="R23" s="1182"/>
      <c r="S23" s="1182"/>
    </row>
    <row r="24" spans="1:19" ht="24.6" customHeight="1">
      <c r="A24" s="1421" t="s">
        <v>2163</v>
      </c>
      <c r="B24" s="1422"/>
      <c r="C24" s="1422"/>
      <c r="D24" s="1422"/>
      <c r="E24" s="1422"/>
      <c r="F24" s="1422"/>
      <c r="G24" s="1422"/>
      <c r="H24" s="1422"/>
      <c r="I24" s="1422"/>
      <c r="J24" s="1422"/>
      <c r="K24" s="1422"/>
      <c r="L24" s="1422"/>
      <c r="M24" s="1422"/>
      <c r="N24" s="1422"/>
      <c r="O24" s="1422"/>
      <c r="P24" s="1422"/>
      <c r="Q24" s="1423"/>
      <c r="R24" s="1182"/>
      <c r="S24" s="1182"/>
    </row>
    <row r="25" spans="1:19" ht="24.6" customHeight="1">
      <c r="A25" s="1421" t="s">
        <v>2164</v>
      </c>
      <c r="B25" s="1422"/>
      <c r="C25" s="1422"/>
      <c r="D25" s="1422"/>
      <c r="E25" s="1422"/>
      <c r="F25" s="1422"/>
      <c r="G25" s="1422"/>
      <c r="H25" s="1422"/>
      <c r="I25" s="1422"/>
      <c r="J25" s="1422"/>
      <c r="K25" s="1422"/>
      <c r="L25" s="1422"/>
      <c r="M25" s="1422"/>
      <c r="N25" s="1422"/>
      <c r="O25" s="1422"/>
      <c r="P25" s="1422"/>
      <c r="Q25" s="1423"/>
      <c r="R25" s="1182"/>
      <c r="S25" s="1182"/>
    </row>
    <row r="26" spans="1:19" ht="24.6" customHeight="1">
      <c r="A26" s="1421" t="s">
        <v>2165</v>
      </c>
      <c r="B26" s="1422"/>
      <c r="C26" s="1422"/>
      <c r="D26" s="1422"/>
      <c r="E26" s="1422"/>
      <c r="F26" s="1422"/>
      <c r="G26" s="1422"/>
      <c r="H26" s="1422"/>
      <c r="I26" s="1422"/>
      <c r="J26" s="1422"/>
      <c r="K26" s="1422"/>
      <c r="L26" s="1422"/>
      <c r="M26" s="1422"/>
      <c r="N26" s="1422"/>
      <c r="O26" s="1422"/>
      <c r="P26" s="1422"/>
      <c r="Q26" s="1423"/>
      <c r="R26" s="1132"/>
      <c r="S26" s="1132"/>
    </row>
    <row r="27" spans="1:19" ht="24.6" customHeight="1">
      <c r="A27" s="1457" t="s">
        <v>2166</v>
      </c>
      <c r="B27" s="1458"/>
      <c r="C27" s="1458"/>
      <c r="D27" s="1458"/>
      <c r="E27" s="1458"/>
      <c r="F27" s="1458"/>
      <c r="G27" s="1458"/>
      <c r="H27" s="1458"/>
      <c r="I27" s="1458"/>
      <c r="J27" s="1458"/>
      <c r="K27" s="1458"/>
      <c r="L27" s="1458"/>
      <c r="M27" s="1458"/>
      <c r="N27" s="1458"/>
      <c r="O27" s="1458"/>
      <c r="P27" s="1458"/>
      <c r="Q27" s="1459"/>
      <c r="R27" s="1132"/>
      <c r="S27" s="1132"/>
    </row>
    <row r="28" spans="1:19" ht="6" customHeight="1"/>
    <row r="29" spans="1:19" ht="13.9" customHeight="1">
      <c r="A29" s="154">
        <v>1</v>
      </c>
      <c r="B29" s="155" t="s">
        <v>2848</v>
      </c>
      <c r="C29" s="156"/>
      <c r="D29" s="101"/>
      <c r="E29" s="101"/>
      <c r="F29" s="101"/>
      <c r="G29" s="101"/>
      <c r="I29" s="1177"/>
      <c r="J29" s="1177"/>
      <c r="K29" s="1177"/>
      <c r="L29" s="1159"/>
      <c r="M29" s="1159"/>
      <c r="O29" s="157" t="s">
        <v>1997</v>
      </c>
      <c r="P29" s="1415"/>
      <c r="Q29" s="1416"/>
    </row>
    <row r="30" spans="1:19" ht="3" customHeight="1"/>
    <row r="31" spans="1:19" ht="12" customHeight="1">
      <c r="B31" s="168" t="s">
        <v>2118</v>
      </c>
      <c r="C31" s="62" t="s">
        <v>3519</v>
      </c>
      <c r="E31" s="38"/>
      <c r="F31" s="38"/>
      <c r="G31" s="38"/>
      <c r="H31" s="38"/>
      <c r="I31" s="50"/>
      <c r="J31" s="40"/>
      <c r="K31" s="50"/>
      <c r="L31" s="40"/>
      <c r="M31" s="40"/>
      <c r="O31" s="78" t="s">
        <v>635</v>
      </c>
      <c r="P31" s="2195" t="s">
        <v>3702</v>
      </c>
      <c r="Q31" s="794"/>
    </row>
    <row r="32" spans="1:19" ht="12" customHeight="1">
      <c r="B32" s="55" t="s">
        <v>2121</v>
      </c>
      <c r="C32" s="62" t="s">
        <v>766</v>
      </c>
      <c r="E32" s="38"/>
      <c r="F32" s="38"/>
      <c r="G32" s="38"/>
      <c r="H32" s="38"/>
      <c r="J32" s="2196" t="s">
        <v>2296</v>
      </c>
      <c r="K32" s="2197"/>
      <c r="L32" s="2197"/>
      <c r="M32" s="2197"/>
      <c r="N32" s="2198"/>
      <c r="O32" s="78"/>
      <c r="P32" s="78"/>
      <c r="Q32" s="78"/>
    </row>
    <row r="33" spans="1:31" ht="11.25" customHeight="1">
      <c r="B33" s="79" t="s">
        <v>1995</v>
      </c>
      <c r="C33" s="79"/>
      <c r="D33" s="79"/>
      <c r="E33" s="79"/>
      <c r="F33" s="79"/>
      <c r="G33" s="1177"/>
      <c r="H33" s="1177"/>
      <c r="I33" s="1177"/>
      <c r="J33" s="1177"/>
      <c r="K33" s="1159"/>
      <c r="L33" s="1159"/>
      <c r="M33" s="1159"/>
      <c r="N33" s="1159"/>
      <c r="O33" s="1159"/>
      <c r="P33" s="60"/>
      <c r="S33" s="189"/>
      <c r="T33" s="189"/>
    </row>
    <row r="34" spans="1:31" ht="12" customHeight="1">
      <c r="A34" s="2199" t="s">
        <v>1029</v>
      </c>
      <c r="B34" s="2200"/>
      <c r="C34" s="2200"/>
      <c r="D34" s="2200"/>
      <c r="E34" s="2200"/>
      <c r="F34" s="2200"/>
      <c r="G34" s="2200"/>
      <c r="H34" s="2200"/>
      <c r="I34" s="2200"/>
      <c r="J34" s="2200"/>
      <c r="K34" s="2200"/>
      <c r="L34" s="2200"/>
      <c r="M34" s="2200"/>
      <c r="N34" s="2200"/>
      <c r="O34" s="2200"/>
      <c r="P34" s="2200"/>
      <c r="Q34" s="2201"/>
      <c r="R34" s="563" t="s">
        <v>1332</v>
      </c>
      <c r="S34" s="564"/>
      <c r="T34" s="189"/>
      <c r="U34" s="162"/>
      <c r="V34" s="162"/>
      <c r="W34" s="162"/>
      <c r="X34" s="162"/>
      <c r="Y34" s="162"/>
      <c r="Z34" s="162"/>
      <c r="AA34" s="162"/>
      <c r="AB34" s="162"/>
      <c r="AC34" s="162"/>
      <c r="AD34" s="162"/>
      <c r="AE34" s="596"/>
    </row>
    <row r="35" spans="1:31" ht="11.25" customHeight="1">
      <c r="B35" s="163" t="s">
        <v>1996</v>
      </c>
      <c r="C35" s="164"/>
      <c r="D35" s="1164"/>
      <c r="E35" s="1164"/>
      <c r="F35" s="1164"/>
      <c r="G35" s="1164"/>
      <c r="H35" s="1164"/>
      <c r="I35" s="1164"/>
      <c r="J35" s="1164"/>
      <c r="K35" s="1164"/>
      <c r="L35" s="1164"/>
      <c r="M35" s="1164"/>
      <c r="N35" s="1164"/>
      <c r="O35" s="1164"/>
      <c r="P35" s="1164"/>
    </row>
    <row r="36" spans="1:31" ht="12" customHeight="1">
      <c r="A36" s="1454"/>
      <c r="B36" s="1455"/>
      <c r="C36" s="1455"/>
      <c r="D36" s="1455"/>
      <c r="E36" s="1455"/>
      <c r="F36" s="1455"/>
      <c r="G36" s="1455"/>
      <c r="H36" s="1455"/>
      <c r="I36" s="1455"/>
      <c r="J36" s="1455"/>
      <c r="K36" s="1455"/>
      <c r="L36" s="1455"/>
      <c r="M36" s="1455"/>
      <c r="N36" s="1455"/>
      <c r="O36" s="1455"/>
      <c r="P36" s="1455"/>
      <c r="Q36" s="1456"/>
      <c r="R36" s="563" t="s">
        <v>1332</v>
      </c>
      <c r="S36" s="564"/>
    </row>
    <row r="37" spans="1:31" ht="12" customHeight="1">
      <c r="A37" s="1435"/>
      <c r="B37" s="1436"/>
      <c r="C37" s="1436"/>
      <c r="D37" s="1436"/>
      <c r="E37" s="1436"/>
      <c r="F37" s="1436"/>
      <c r="G37" s="1436"/>
      <c r="H37" s="1436"/>
      <c r="I37" s="1436"/>
      <c r="J37" s="1436"/>
      <c r="K37" s="1436"/>
      <c r="L37" s="1436"/>
      <c r="M37" s="1436"/>
      <c r="N37" s="1436"/>
      <c r="O37" s="1436"/>
      <c r="P37" s="1436"/>
      <c r="Q37" s="1437"/>
    </row>
    <row r="38" spans="1:31" ht="12" customHeight="1">
      <c r="A38" s="1435"/>
      <c r="B38" s="1436"/>
      <c r="C38" s="1436"/>
      <c r="D38" s="1436"/>
      <c r="E38" s="1436"/>
      <c r="F38" s="1436"/>
      <c r="G38" s="1436"/>
      <c r="H38" s="1436"/>
      <c r="I38" s="1436"/>
      <c r="J38" s="1436"/>
      <c r="K38" s="1436"/>
      <c r="L38" s="1436"/>
      <c r="M38" s="1436"/>
      <c r="N38" s="1436"/>
      <c r="O38" s="1436"/>
      <c r="P38" s="1436"/>
      <c r="Q38" s="1437"/>
    </row>
    <row r="39" spans="1:31" ht="12" customHeight="1">
      <c r="A39" s="1451"/>
      <c r="B39" s="1452"/>
      <c r="C39" s="1452"/>
      <c r="D39" s="1452"/>
      <c r="E39" s="1452"/>
      <c r="F39" s="1452"/>
      <c r="G39" s="1452"/>
      <c r="H39" s="1452"/>
      <c r="I39" s="1452"/>
      <c r="J39" s="1452"/>
      <c r="K39" s="1452"/>
      <c r="L39" s="1452"/>
      <c r="M39" s="1452"/>
      <c r="N39" s="1452"/>
      <c r="O39" s="1452"/>
      <c r="P39" s="1452"/>
      <c r="Q39" s="1453"/>
    </row>
    <row r="40" spans="1:31" ht="3" customHeight="1">
      <c r="B40" s="1177"/>
      <c r="C40" s="1164"/>
      <c r="D40" s="1164"/>
      <c r="E40" s="1164"/>
      <c r="F40" s="1164"/>
      <c r="G40" s="1164"/>
      <c r="H40" s="1164"/>
      <c r="I40" s="1164"/>
      <c r="J40" s="1164"/>
      <c r="K40" s="1164"/>
      <c r="L40" s="1164"/>
      <c r="M40" s="1164"/>
      <c r="N40" s="1164"/>
      <c r="O40" s="1164"/>
      <c r="P40" s="1164"/>
      <c r="Q40" s="1159"/>
    </row>
    <row r="41" spans="1:31" ht="13.9" customHeight="1">
      <c r="A41" s="1168">
        <v>2</v>
      </c>
      <c r="B41" s="5" t="s">
        <v>2954</v>
      </c>
      <c r="C41" s="5"/>
      <c r="D41" s="5"/>
      <c r="E41" s="1164"/>
      <c r="F41" s="1164"/>
      <c r="G41" s="1164"/>
      <c r="H41" s="1164"/>
      <c r="K41" s="1164"/>
      <c r="L41" s="1164"/>
      <c r="M41" s="1164"/>
      <c r="O41" s="157" t="s">
        <v>1997</v>
      </c>
      <c r="P41" s="1415"/>
      <c r="Q41" s="1416"/>
    </row>
    <row r="42" spans="1:31" ht="3" customHeight="1">
      <c r="K42" s="1164"/>
      <c r="L42" s="1164"/>
    </row>
    <row r="43" spans="1:31" ht="12.75" customHeight="1">
      <c r="A43" s="1474" t="s">
        <v>3129</v>
      </c>
      <c r="B43" s="1474"/>
      <c r="C43" s="1474"/>
      <c r="D43" s="1474"/>
      <c r="E43" s="1474"/>
      <c r="F43" s="2202" t="s">
        <v>2961</v>
      </c>
      <c r="G43" s="2203"/>
      <c r="H43" s="2203"/>
      <c r="I43" s="2204"/>
      <c r="K43" s="2202" t="s">
        <v>2963</v>
      </c>
      <c r="L43" s="2203"/>
      <c r="M43" s="2203"/>
      <c r="N43" s="2204"/>
      <c r="P43" s="721" t="s">
        <v>3006</v>
      </c>
      <c r="Q43" s="2195" t="s">
        <v>3701</v>
      </c>
    </row>
    <row r="44" spans="1:31" ht="12.75" customHeight="1">
      <c r="A44" s="1474"/>
      <c r="B44" s="1474"/>
      <c r="C44" s="1474"/>
      <c r="D44" s="1474"/>
      <c r="E44" s="1474"/>
      <c r="F44" s="2205" t="s">
        <v>2962</v>
      </c>
      <c r="G44" s="2206"/>
      <c r="H44" s="2206"/>
      <c r="I44" s="2207"/>
      <c r="K44" s="2205" t="s">
        <v>2964</v>
      </c>
      <c r="L44" s="2206"/>
      <c r="M44" s="2206"/>
      <c r="N44" s="2207"/>
    </row>
    <row r="45" spans="1:31" ht="10.5" customHeight="1">
      <c r="A45" s="1474"/>
      <c r="B45" s="1474"/>
      <c r="C45" s="1474"/>
      <c r="D45" s="1474"/>
      <c r="E45" s="1474"/>
      <c r="F45" s="1440" t="s">
        <v>2958</v>
      </c>
      <c r="G45" s="1441"/>
      <c r="H45" s="1441"/>
      <c r="I45" s="1442"/>
      <c r="K45" s="2208" t="s">
        <v>2960</v>
      </c>
      <c r="L45" s="2209"/>
      <c r="M45" s="2209"/>
      <c r="N45" s="2210"/>
      <c r="P45" s="1443" t="s">
        <v>3214</v>
      </c>
      <c r="Q45" s="1443"/>
    </row>
    <row r="46" spans="1:31" ht="22.5" customHeight="1">
      <c r="A46" s="1474"/>
      <c r="B46" s="1474"/>
      <c r="C46" s="1474"/>
      <c r="D46" s="1474"/>
      <c r="E46" s="1474"/>
      <c r="F46" s="2211" t="s">
        <v>2974</v>
      </c>
      <c r="G46" s="166"/>
      <c r="I46" s="1433" t="s">
        <v>2973</v>
      </c>
      <c r="K46" s="2211" t="s">
        <v>2974</v>
      </c>
      <c r="M46" s="1164"/>
      <c r="N46" s="1433" t="s">
        <v>2973</v>
      </c>
      <c r="O46" s="1164"/>
      <c r="P46" s="1443"/>
      <c r="Q46" s="1443"/>
    </row>
    <row r="47" spans="1:31" ht="12.75" customHeight="1">
      <c r="A47" s="165"/>
      <c r="D47" s="2212" t="s">
        <v>2957</v>
      </c>
      <c r="F47" s="2213"/>
      <c r="G47" s="2214" t="s">
        <v>2959</v>
      </c>
      <c r="I47" s="1434"/>
      <c r="K47" s="2213"/>
      <c r="L47" s="2214" t="s">
        <v>2959</v>
      </c>
      <c r="N47" s="1434"/>
      <c r="O47" s="1164"/>
      <c r="P47" s="1438">
        <f>IF(AND('Part I-Project Information'!I160="Yes",'Part I-Project Information'!O160&gt;1),'Part I-Project Information'!O160, IF(AND('Part IV-Uses of Funds'!$T$163="Yes",'Part IX A-Scoring Criteria'!$O$241&gt;0),I53+N53,I53))</f>
        <v>11526845</v>
      </c>
      <c r="Q47" s="1439"/>
    </row>
    <row r="48" spans="1:31" ht="11.45" customHeight="1">
      <c r="A48" s="165"/>
      <c r="D48" s="2215" t="s">
        <v>601</v>
      </c>
      <c r="F48" s="720">
        <f>'Part VI-Revenues &amp; Expenses'!H62-'Part VI-Revenues &amp; Expenses'!H82</f>
        <v>0</v>
      </c>
      <c r="G48" s="2216">
        <f>'DCA Underwriting Assumptions'!$J$12</f>
        <v>110481</v>
      </c>
      <c r="H48" s="534" t="str">
        <f>CONCATENATE("x ", F48," units = ")</f>
        <v xml:space="preserve">x 0 units = </v>
      </c>
      <c r="I48" s="614">
        <f>F48*G48</f>
        <v>0</v>
      </c>
      <c r="K48" s="720">
        <f>IF(AND('Part IV-Uses of Funds'!$T$163 = "Yes", 'Part IX A-Scoring Criteria'!$O$241 &gt; 0),'Part VI-Revenues &amp; Expenses'!H$82,0)</f>
        <v>0</v>
      </c>
      <c r="L48" s="2216">
        <f>'DCA Underwriting Assumptions'!$J$13</f>
        <v>121529</v>
      </c>
      <c r="M48" s="534" t="str">
        <f>CONCATENATE("x ", K48," units = ")</f>
        <v xml:space="preserve">x 0 units = </v>
      </c>
      <c r="N48" s="614">
        <f>K48*L48</f>
        <v>0</v>
      </c>
      <c r="O48" s="1164"/>
      <c r="P48" s="1477" t="s">
        <v>3000</v>
      </c>
      <c r="Q48" s="1477"/>
    </row>
    <row r="49" spans="1:31" ht="11.45" customHeight="1">
      <c r="A49" s="165"/>
      <c r="D49" s="2215" t="s">
        <v>2955</v>
      </c>
      <c r="F49" s="720">
        <f>'Part VI-Revenues &amp; Expenses'!I62-'Part VI-Revenues &amp; Expenses'!I82</f>
        <v>24</v>
      </c>
      <c r="G49" s="2216">
        <f>'DCA Underwriting Assumptions'!$K$12</f>
        <v>126647</v>
      </c>
      <c r="H49" s="534" t="str">
        <f>CONCATENATE("x ", F49," units = ")</f>
        <v xml:space="preserve">x 24 units = </v>
      </c>
      <c r="I49" s="614">
        <f>F49*G49</f>
        <v>3039528</v>
      </c>
      <c r="K49" s="720">
        <f>IF(AND('Part IV-Uses of Funds'!$T$163 = "Yes", 'Part IX A-Scoring Criteria'!$O$241 &gt; 0),'Part VI-Revenues &amp; Expenses'!I$82,0)</f>
        <v>0</v>
      </c>
      <c r="L49" s="2216">
        <f>'DCA Underwriting Assumptions'!$K$13</f>
        <v>139312</v>
      </c>
      <c r="M49" s="534" t="str">
        <f>CONCATENATE("x ", K49," units = ")</f>
        <v xml:space="preserve">x 0 units = </v>
      </c>
      <c r="N49" s="614">
        <f>K49*L49</f>
        <v>0</v>
      </c>
      <c r="O49" s="1164"/>
      <c r="P49" s="1478"/>
      <c r="Q49" s="1478"/>
    </row>
    <row r="50" spans="1:31" ht="11.45" customHeight="1">
      <c r="A50" s="165"/>
      <c r="D50" s="2215" t="s">
        <v>2956</v>
      </c>
      <c r="F50" s="720">
        <f>'Part VI-Revenues &amp; Expenses'!J62-'Part VI-Revenues &amp; Expenses'!J82</f>
        <v>37</v>
      </c>
      <c r="G50" s="2216">
        <f>'DCA Underwriting Assumptions'!$L$12</f>
        <v>154003</v>
      </c>
      <c r="H50" s="534" t="str">
        <f>CONCATENATE("x ", F50," units = ")</f>
        <v xml:space="preserve">x 37 units = </v>
      </c>
      <c r="I50" s="614">
        <f>F50*G50</f>
        <v>5698111</v>
      </c>
      <c r="K50" s="720">
        <f>IF(AND('Part IV-Uses of Funds'!$T$163 = "Yes", 'Part IX A-Scoring Criteria'!$O$241 &gt; 0),'Part VI-Revenues &amp; Expenses'!J$82,0)</f>
        <v>0</v>
      </c>
      <c r="L50" s="2216">
        <f>'DCA Underwriting Assumptions'!$L$13</f>
        <v>169403</v>
      </c>
      <c r="M50" s="534" t="str">
        <f>CONCATENATE("x ", K50," units = ")</f>
        <v xml:space="preserve">x 0 units = </v>
      </c>
      <c r="N50" s="614">
        <f>K50*L50</f>
        <v>0</v>
      </c>
      <c r="O50" s="1164"/>
      <c r="P50" s="1478"/>
      <c r="Q50" s="1478"/>
    </row>
    <row r="51" spans="1:31" ht="11.45" customHeight="1">
      <c r="A51" s="165"/>
      <c r="D51" s="2215" t="s">
        <v>2965</v>
      </c>
      <c r="F51" s="720">
        <f>'Part VI-Revenues &amp; Expenses'!K62-'Part VI-Revenues &amp; Expenses'!K82</f>
        <v>12</v>
      </c>
      <c r="G51" s="2216">
        <f>'DCA Underwriting Assumptions'!$M$12</f>
        <v>199229</v>
      </c>
      <c r="H51" s="534" t="str">
        <f>CONCATENATE("x ", F51," units = ")</f>
        <v xml:space="preserve">x 12 units = </v>
      </c>
      <c r="I51" s="614">
        <f>F51*G51</f>
        <v>2390748</v>
      </c>
      <c r="K51" s="720">
        <f>IF(AND('Part IV-Uses of Funds'!$T$163 = "Yes", 'Part IX A-Scoring Criteria'!$O$241 &gt; 0),'Part VI-Revenues &amp; Expenses'!K$82,0)</f>
        <v>0</v>
      </c>
      <c r="L51" s="2216">
        <f>'DCA Underwriting Assumptions'!$M$13</f>
        <v>219152</v>
      </c>
      <c r="M51" s="534" t="str">
        <f>CONCATENATE("x ", K51," units = ")</f>
        <v xml:space="preserve">x 0 units = </v>
      </c>
      <c r="N51" s="614">
        <f>K51*L51</f>
        <v>0</v>
      </c>
      <c r="O51" s="1164"/>
      <c r="P51" s="1478"/>
      <c r="Q51" s="1478"/>
    </row>
    <row r="52" spans="1:31" ht="11.45" customHeight="1">
      <c r="A52" s="165"/>
      <c r="D52" s="2217" t="s">
        <v>2966</v>
      </c>
      <c r="F52" s="720">
        <f>'Part VI-Revenues &amp; Expenses'!L62-'Part VI-Revenues &amp; Expenses'!L82</f>
        <v>2</v>
      </c>
      <c r="G52" s="2216">
        <f>'DCA Underwriting Assumptions'!$N$12</f>
        <v>199229</v>
      </c>
      <c r="H52" s="534" t="str">
        <f>CONCATENATE("x ", F52," units = ")</f>
        <v xml:space="preserve">x 2 units = </v>
      </c>
      <c r="I52" s="614">
        <f>F52*G52</f>
        <v>398458</v>
      </c>
      <c r="K52" s="720">
        <f>IF(AND('Part IV-Uses of Funds'!$T$163 = "Yes", 'Part IX A-Scoring Criteria'!$O$241 &gt; 0),'Part VI-Revenues &amp; Expenses'!L$82,0)</f>
        <v>0</v>
      </c>
      <c r="L52" s="2216">
        <f>'DCA Underwriting Assumptions'!$N$13</f>
        <v>219152</v>
      </c>
      <c r="M52" s="534" t="str">
        <f>CONCATENATE("x ", K52," units = ")</f>
        <v xml:space="preserve">x 0 units = </v>
      </c>
      <c r="N52" s="614">
        <f>K52*L52</f>
        <v>0</v>
      </c>
      <c r="O52" s="1164"/>
      <c r="P52" s="1478"/>
      <c r="Q52" s="1478"/>
    </row>
    <row r="53" spans="1:31" ht="11.45" customHeight="1">
      <c r="A53" s="165"/>
      <c r="C53" s="166"/>
      <c r="D53" s="612" t="s">
        <v>2967</v>
      </c>
      <c r="F53" s="611">
        <f>SUM(F48:F52)</f>
        <v>75</v>
      </c>
      <c r="G53" s="2218"/>
      <c r="H53" s="720"/>
      <c r="I53" s="613">
        <f>SUM(I48:I52)</f>
        <v>11526845</v>
      </c>
      <c r="K53" s="611">
        <f>SUM(K48:K52)</f>
        <v>0</v>
      </c>
      <c r="M53" s="720"/>
      <c r="N53" s="613">
        <f>SUM(N48:N52)</f>
        <v>0</v>
      </c>
      <c r="O53" s="1164"/>
      <c r="P53" s="1444" t="str">
        <f>IF('Part IV-Uses of Funds'!$G$130&gt;P47,"CHECK TDC !!!","")</f>
        <v/>
      </c>
      <c r="Q53" s="1444"/>
    </row>
    <row r="54" spans="1:31" ht="3.75" customHeight="1">
      <c r="A54" s="165"/>
      <c r="C54" s="166"/>
      <c r="E54" s="65"/>
      <c r="F54" s="2218"/>
      <c r="G54" s="65"/>
      <c r="I54" s="65"/>
      <c r="J54" s="65"/>
      <c r="K54" s="1164"/>
      <c r="L54" s="2219"/>
      <c r="M54" s="1164"/>
      <c r="N54" s="1164"/>
      <c r="O54" s="1164"/>
      <c r="P54" s="1164"/>
      <c r="Q54" s="1164"/>
    </row>
    <row r="55" spans="1:31" ht="11.25" customHeight="1">
      <c r="B55" s="112" t="s">
        <v>1995</v>
      </c>
      <c r="D55" s="112"/>
      <c r="E55" s="112"/>
      <c r="F55" s="112"/>
      <c r="G55" s="112"/>
      <c r="H55" s="48"/>
      <c r="I55" s="1177"/>
      <c r="J55" s="1177"/>
      <c r="K55" s="163" t="s">
        <v>1996</v>
      </c>
      <c r="L55" s="1159"/>
      <c r="M55" s="1159"/>
      <c r="N55" s="1159"/>
      <c r="O55" s="1159"/>
      <c r="P55" s="1159"/>
      <c r="Q55" s="60"/>
    </row>
    <row r="56" spans="1:31" ht="11.45" customHeight="1">
      <c r="A56" s="2199"/>
      <c r="B56" s="2200"/>
      <c r="C56" s="2200"/>
      <c r="D56" s="2200"/>
      <c r="E56" s="2200"/>
      <c r="F56" s="2200"/>
      <c r="G56" s="2200"/>
      <c r="H56" s="2200"/>
      <c r="I56" s="2200"/>
      <c r="J56" s="2201"/>
      <c r="K56" s="1417"/>
      <c r="L56" s="1418"/>
      <c r="M56" s="1418"/>
      <c r="N56" s="1418"/>
      <c r="O56" s="1418"/>
      <c r="P56" s="1418"/>
      <c r="Q56" s="1419"/>
      <c r="U56" s="162"/>
      <c r="V56" s="162"/>
      <c r="W56" s="162"/>
      <c r="X56" s="162"/>
      <c r="Y56" s="162"/>
      <c r="Z56" s="162"/>
      <c r="AA56" s="162"/>
      <c r="AB56" s="162"/>
      <c r="AC56" s="162"/>
      <c r="AD56" s="162"/>
      <c r="AE56" s="596"/>
    </row>
    <row r="57" spans="1:31" ht="3" customHeight="1">
      <c r="B57" s="1177"/>
      <c r="C57" s="1164"/>
      <c r="D57" s="1164"/>
      <c r="E57" s="1164"/>
      <c r="F57" s="1164"/>
      <c r="G57" s="1164"/>
      <c r="H57" s="1164"/>
      <c r="I57" s="1164"/>
      <c r="J57" s="1164"/>
      <c r="K57" s="1164"/>
      <c r="L57" s="1164"/>
      <c r="M57" s="1164"/>
      <c r="N57" s="1164"/>
      <c r="O57" s="1164"/>
      <c r="P57" s="1164"/>
      <c r="Q57" s="1159"/>
    </row>
    <row r="58" spans="1:31" ht="13.9" customHeight="1">
      <c r="A58" s="1168">
        <v>3</v>
      </c>
      <c r="B58" s="5" t="s">
        <v>1262</v>
      </c>
      <c r="C58" s="5"/>
      <c r="D58" s="5"/>
      <c r="E58" s="1164"/>
      <c r="F58" s="1164"/>
      <c r="G58" s="1164"/>
      <c r="H58" s="1164"/>
      <c r="M58" s="1164"/>
      <c r="O58" s="157" t="s">
        <v>1997</v>
      </c>
      <c r="P58" s="1415"/>
      <c r="Q58" s="1416"/>
    </row>
    <row r="59" spans="1:31" ht="3" customHeight="1"/>
    <row r="60" spans="1:31" ht="11.45" customHeight="1">
      <c r="A60" s="165"/>
      <c r="C60" s="166" t="s">
        <v>102</v>
      </c>
      <c r="D60" s="166"/>
      <c r="E60" s="166"/>
      <c r="F60" s="166"/>
      <c r="G60" s="166"/>
      <c r="H60" s="166"/>
      <c r="K60" s="2220" t="str">
        <f>'Part I-Project Information'!$H$66</f>
        <v>Family</v>
      </c>
      <c r="L60" s="2221"/>
      <c r="M60" s="2222"/>
      <c r="N60" s="1164"/>
    </row>
    <row r="61" spans="1:31" ht="11.25" customHeight="1">
      <c r="B61" s="112" t="s">
        <v>1995</v>
      </c>
      <c r="D61" s="112"/>
      <c r="E61" s="112"/>
      <c r="F61" s="112"/>
      <c r="G61" s="112"/>
      <c r="H61" s="48"/>
      <c r="I61" s="1177"/>
      <c r="J61" s="1177"/>
      <c r="K61" s="163" t="s">
        <v>1996</v>
      </c>
      <c r="L61" s="1159"/>
      <c r="M61" s="1159"/>
      <c r="N61" s="1159"/>
      <c r="O61" s="1159"/>
      <c r="P61" s="1159"/>
      <c r="Q61" s="60"/>
    </row>
    <row r="62" spans="1:31" ht="11.45" customHeight="1">
      <c r="A62" s="2199"/>
      <c r="B62" s="2200"/>
      <c r="C62" s="2200"/>
      <c r="D62" s="2200"/>
      <c r="E62" s="2200"/>
      <c r="F62" s="2200"/>
      <c r="G62" s="2200"/>
      <c r="H62" s="2200"/>
      <c r="I62" s="2200"/>
      <c r="J62" s="2201"/>
      <c r="K62" s="1417"/>
      <c r="L62" s="1418"/>
      <c r="M62" s="1418"/>
      <c r="N62" s="1418"/>
      <c r="O62" s="1418"/>
      <c r="P62" s="1418"/>
      <c r="Q62" s="1419"/>
      <c r="U62" s="162"/>
      <c r="V62" s="162"/>
      <c r="W62" s="162"/>
      <c r="X62" s="162"/>
      <c r="Y62" s="162"/>
      <c r="Z62" s="162"/>
      <c r="AA62" s="162"/>
      <c r="AB62" s="162"/>
      <c r="AC62" s="162"/>
      <c r="AD62" s="162"/>
      <c r="AE62" s="596"/>
    </row>
    <row r="63" spans="1:31" ht="3" customHeight="1">
      <c r="A63" s="1159"/>
      <c r="B63" s="1177"/>
      <c r="C63" s="1164"/>
      <c r="D63" s="1164"/>
      <c r="E63" s="1164"/>
      <c r="F63" s="1164"/>
      <c r="G63" s="1164"/>
      <c r="H63" s="1164"/>
      <c r="I63" s="1164"/>
      <c r="J63" s="1164"/>
      <c r="K63" s="1164"/>
      <c r="L63" s="1164"/>
      <c r="M63" s="1164"/>
      <c r="N63" s="1164"/>
      <c r="O63" s="1164"/>
      <c r="P63" s="1164"/>
      <c r="Q63" s="1159"/>
    </row>
    <row r="64" spans="1:31" ht="13.9" customHeight="1">
      <c r="A64" s="1168">
        <v>4</v>
      </c>
      <c r="B64" s="1168" t="s">
        <v>2849</v>
      </c>
      <c r="C64" s="132"/>
      <c r="D64" s="1164"/>
      <c r="E64" s="1164"/>
      <c r="F64" s="1164"/>
      <c r="G64" s="1164"/>
      <c r="H64" s="1164"/>
      <c r="I64" s="1164"/>
      <c r="J64" s="1164"/>
      <c r="K64" s="1164"/>
      <c r="L64" s="1164"/>
      <c r="M64" s="1164"/>
      <c r="O64" s="157" t="s">
        <v>1997</v>
      </c>
      <c r="P64" s="1415"/>
      <c r="Q64" s="1416"/>
    </row>
    <row r="65" spans="1:31" ht="3" customHeight="1"/>
    <row r="66" spans="1:31" ht="12.6" customHeight="1">
      <c r="B66" s="168" t="s">
        <v>2118</v>
      </c>
      <c r="C66" s="1460" t="s">
        <v>322</v>
      </c>
      <c r="D66" s="1461"/>
      <c r="E66" s="1461"/>
      <c r="F66" s="1461"/>
      <c r="G66" s="1461"/>
      <c r="H66" s="1461"/>
      <c r="I66" s="1461"/>
      <c r="J66" s="1461"/>
      <c r="K66" s="1461"/>
      <c r="L66" s="1461"/>
      <c r="M66" s="1461"/>
      <c r="O66" s="169"/>
      <c r="P66" s="2195" t="s">
        <v>3729</v>
      </c>
    </row>
    <row r="67" spans="1:31" ht="12" customHeight="1">
      <c r="B67" s="55" t="s">
        <v>2121</v>
      </c>
      <c r="C67" s="38" t="s">
        <v>2975</v>
      </c>
      <c r="D67" s="38"/>
      <c r="E67" s="38"/>
      <c r="F67" s="38"/>
      <c r="G67" s="38"/>
      <c r="H67" s="38"/>
      <c r="I67" s="38"/>
      <c r="J67" s="38"/>
      <c r="K67" s="38"/>
      <c r="L67" s="38"/>
      <c r="M67" s="38"/>
      <c r="O67" s="38"/>
      <c r="P67" s="38"/>
      <c r="Q67" s="38"/>
    </row>
    <row r="68" spans="1:31" ht="10.9" customHeight="1">
      <c r="A68" s="170"/>
      <c r="B68" s="50"/>
      <c r="C68" s="78" t="s">
        <v>1859</v>
      </c>
      <c r="D68" s="38" t="s">
        <v>611</v>
      </c>
      <c r="E68" s="1158"/>
      <c r="F68" s="1158"/>
      <c r="G68" s="1158"/>
      <c r="H68" s="40"/>
      <c r="I68" s="50"/>
      <c r="J68" s="44" t="s">
        <v>2945</v>
      </c>
      <c r="K68" s="2223" t="s">
        <v>3793</v>
      </c>
      <c r="L68" s="2224"/>
      <c r="M68" s="2224"/>
      <c r="N68" s="2224"/>
      <c r="O68" s="2224"/>
      <c r="P68" s="2224"/>
      <c r="Q68" s="2225"/>
    </row>
    <row r="69" spans="1:31" ht="10.9" customHeight="1">
      <c r="A69" s="170"/>
      <c r="B69" s="50"/>
      <c r="C69" s="78" t="s">
        <v>1860</v>
      </c>
      <c r="D69" s="38" t="s">
        <v>1935</v>
      </c>
      <c r="E69" s="1158"/>
      <c r="F69" s="1158"/>
      <c r="G69" s="1158"/>
      <c r="H69" s="40"/>
      <c r="I69" s="50"/>
      <c r="J69" s="44" t="s">
        <v>2945</v>
      </c>
      <c r="K69" s="2226"/>
      <c r="L69" s="2227"/>
      <c r="M69" s="2227"/>
      <c r="N69" s="2227"/>
      <c r="O69" s="2227"/>
      <c r="P69" s="2227"/>
      <c r="Q69" s="2228"/>
    </row>
    <row r="70" spans="1:31" ht="10.9" customHeight="1">
      <c r="A70" s="170"/>
      <c r="B70" s="50"/>
      <c r="C70" s="78" t="s">
        <v>1861</v>
      </c>
      <c r="D70" s="38" t="s">
        <v>323</v>
      </c>
      <c r="E70" s="1158"/>
      <c r="J70" s="44" t="s">
        <v>2945</v>
      </c>
      <c r="K70" s="2229"/>
      <c r="L70" s="2230"/>
      <c r="M70" s="2230"/>
      <c r="N70" s="2230"/>
      <c r="O70" s="2230"/>
      <c r="P70" s="2230"/>
      <c r="Q70" s="2231"/>
    </row>
    <row r="71" spans="1:31" ht="11.25" customHeight="1">
      <c r="B71" s="112" t="s">
        <v>1995</v>
      </c>
      <c r="D71" s="112"/>
      <c r="E71" s="112"/>
      <c r="F71" s="112"/>
      <c r="G71" s="112"/>
      <c r="H71" s="48"/>
      <c r="I71" s="1177"/>
      <c r="J71" s="1177"/>
      <c r="K71" s="1177"/>
      <c r="L71" s="1159"/>
      <c r="M71" s="1159"/>
      <c r="N71" s="1159"/>
      <c r="O71" s="1159"/>
      <c r="P71" s="1159"/>
      <c r="Q71" s="60"/>
    </row>
    <row r="72" spans="1:31" ht="12" customHeight="1">
      <c r="A72" s="2199" t="s">
        <v>3794</v>
      </c>
      <c r="B72" s="2200"/>
      <c r="C72" s="2200"/>
      <c r="D72" s="2200"/>
      <c r="E72" s="2200"/>
      <c r="F72" s="2200"/>
      <c r="G72" s="2200"/>
      <c r="H72" s="2200"/>
      <c r="I72" s="2200"/>
      <c r="J72" s="2200"/>
      <c r="K72" s="2200"/>
      <c r="L72" s="2200"/>
      <c r="M72" s="2200"/>
      <c r="N72" s="2200"/>
      <c r="O72" s="2200"/>
      <c r="P72" s="2200"/>
      <c r="Q72" s="2201"/>
      <c r="U72" s="162"/>
      <c r="V72" s="162"/>
      <c r="W72" s="162"/>
      <c r="X72" s="162"/>
      <c r="Y72" s="162"/>
      <c r="Z72" s="162"/>
      <c r="AA72" s="162"/>
      <c r="AB72" s="162"/>
      <c r="AC72" s="162"/>
      <c r="AD72" s="162"/>
      <c r="AE72" s="596"/>
    </row>
    <row r="73" spans="1:31" ht="11.25" customHeight="1">
      <c r="B73" s="163" t="s">
        <v>1996</v>
      </c>
      <c r="C73" s="164"/>
      <c r="D73" s="1164"/>
      <c r="E73" s="1164"/>
      <c r="F73" s="1164"/>
      <c r="G73" s="1164"/>
      <c r="H73" s="1164"/>
      <c r="I73" s="1164"/>
      <c r="J73" s="1164"/>
      <c r="K73" s="1164"/>
      <c r="L73" s="1164"/>
      <c r="M73" s="1164"/>
      <c r="N73" s="1164"/>
      <c r="O73" s="1164"/>
      <c r="P73" s="1164"/>
      <c r="Q73" s="1164"/>
    </row>
    <row r="74" spans="1:31" ht="12" customHeight="1">
      <c r="A74" s="1417"/>
      <c r="B74" s="1418"/>
      <c r="C74" s="1418"/>
      <c r="D74" s="1418"/>
      <c r="E74" s="1418"/>
      <c r="F74" s="1418"/>
      <c r="G74" s="1418"/>
      <c r="H74" s="1418"/>
      <c r="I74" s="1418"/>
      <c r="J74" s="1418"/>
      <c r="K74" s="1418"/>
      <c r="L74" s="1418"/>
      <c r="M74" s="1418"/>
      <c r="N74" s="1418"/>
      <c r="O74" s="1418"/>
      <c r="P74" s="1418"/>
      <c r="Q74" s="1419"/>
    </row>
    <row r="75" spans="1:31" ht="4.9000000000000004" customHeight="1">
      <c r="A75" s="1159"/>
      <c r="B75" s="1177"/>
      <c r="C75" s="1164"/>
      <c r="D75" s="1164"/>
      <c r="E75" s="1164"/>
      <c r="F75" s="1164"/>
      <c r="G75" s="1164"/>
      <c r="H75" s="1164"/>
      <c r="I75" s="1164"/>
      <c r="J75" s="1164"/>
      <c r="K75" s="1164"/>
      <c r="L75" s="1164"/>
      <c r="M75" s="1164"/>
      <c r="N75" s="1164"/>
      <c r="O75" s="1164"/>
      <c r="P75" s="1164"/>
      <c r="Q75" s="1159"/>
    </row>
    <row r="76" spans="1:31" ht="13.9" customHeight="1">
      <c r="A76" s="1168">
        <v>5</v>
      </c>
      <c r="B76" s="1168" t="s">
        <v>2850</v>
      </c>
      <c r="C76" s="1168"/>
      <c r="D76" s="1164"/>
      <c r="E76" s="1164"/>
      <c r="F76" s="1164"/>
      <c r="G76" s="1164"/>
      <c r="H76" s="1164"/>
      <c r="I76" s="1164"/>
      <c r="J76" s="1164"/>
      <c r="K76" s="1164"/>
      <c r="O76" s="157" t="s">
        <v>1997</v>
      </c>
      <c r="P76" s="1415"/>
      <c r="Q76" s="1416"/>
    </row>
    <row r="77" spans="1:31" ht="3" customHeight="1"/>
    <row r="78" spans="1:31" ht="12" customHeight="1">
      <c r="B78" s="55" t="s">
        <v>2118</v>
      </c>
      <c r="C78" s="171" t="s">
        <v>2626</v>
      </c>
      <c r="D78" s="159"/>
      <c r="E78" s="159"/>
      <c r="F78" s="159"/>
      <c r="G78" s="159"/>
      <c r="H78" s="159"/>
      <c r="I78" s="50"/>
      <c r="J78" s="50"/>
      <c r="K78" s="50"/>
      <c r="L78" s="594" t="s">
        <v>2118</v>
      </c>
      <c r="M78" s="2223" t="s">
        <v>3795</v>
      </c>
      <c r="N78" s="2224"/>
      <c r="O78" s="2224"/>
      <c r="P78" s="2232"/>
      <c r="Q78" s="794"/>
    </row>
    <row r="79" spans="1:31" ht="12" customHeight="1">
      <c r="B79" s="55" t="s">
        <v>2121</v>
      </c>
      <c r="C79" s="62" t="s">
        <v>2173</v>
      </c>
      <c r="D79" s="159"/>
      <c r="E79" s="159"/>
      <c r="F79" s="159"/>
      <c r="L79" s="594" t="s">
        <v>2121</v>
      </c>
      <c r="M79" s="2226" t="s">
        <v>3814</v>
      </c>
      <c r="N79" s="2227"/>
      <c r="O79" s="2227"/>
      <c r="P79" s="2233"/>
      <c r="Q79" s="794"/>
    </row>
    <row r="80" spans="1:31" ht="12" customHeight="1">
      <c r="B80" s="55" t="s">
        <v>799</v>
      </c>
      <c r="C80" s="62" t="s">
        <v>3520</v>
      </c>
      <c r="D80" s="159"/>
      <c r="E80" s="159"/>
      <c r="F80" s="159"/>
      <c r="L80" s="594" t="s">
        <v>799</v>
      </c>
      <c r="M80" s="2234">
        <v>0.98699999999999999</v>
      </c>
      <c r="N80" s="2235"/>
      <c r="O80" s="2235"/>
      <c r="P80" s="2236"/>
      <c r="Q80" s="813"/>
    </row>
    <row r="81" spans="1:31" ht="12" customHeight="1">
      <c r="B81" s="55" t="s">
        <v>2253</v>
      </c>
      <c r="C81" s="62" t="s">
        <v>2627</v>
      </c>
      <c r="D81" s="159"/>
      <c r="E81" s="159"/>
      <c r="F81" s="159"/>
      <c r="L81" s="594" t="s">
        <v>2253</v>
      </c>
      <c r="M81" s="2237">
        <v>1.2999999999999999E-2</v>
      </c>
      <c r="N81" s="2238"/>
      <c r="O81" s="2238"/>
      <c r="P81" s="2239"/>
      <c r="Q81" s="794"/>
    </row>
    <row r="82" spans="1:31" ht="12" customHeight="1">
      <c r="B82" s="168" t="s">
        <v>1857</v>
      </c>
      <c r="C82" s="1413" t="s">
        <v>3521</v>
      </c>
      <c r="D82" s="1413"/>
      <c r="E82" s="1413"/>
      <c r="F82" s="1413"/>
      <c r="G82" s="1413"/>
      <c r="H82" s="1413"/>
      <c r="I82" s="1413"/>
      <c r="J82" s="1413"/>
      <c r="K82" s="1413"/>
      <c r="L82" s="1413"/>
      <c r="M82" s="1413"/>
      <c r="N82" s="1413"/>
      <c r="O82" s="1413"/>
      <c r="P82" s="1413"/>
      <c r="Q82" s="1413"/>
    </row>
    <row r="83" spans="1:31" ht="12" customHeight="1">
      <c r="B83" s="55"/>
      <c r="C83" s="62"/>
      <c r="D83" s="1169" t="s">
        <v>2534</v>
      </c>
      <c r="E83" s="38" t="s">
        <v>658</v>
      </c>
      <c r="F83" s="38"/>
      <c r="H83" s="62"/>
      <c r="I83" s="1169" t="s">
        <v>2534</v>
      </c>
      <c r="J83" s="38" t="s">
        <v>658</v>
      </c>
      <c r="K83" s="38"/>
      <c r="M83" s="62"/>
      <c r="N83" s="1169" t="s">
        <v>2534</v>
      </c>
      <c r="O83" s="38" t="s">
        <v>658</v>
      </c>
      <c r="P83" s="38"/>
      <c r="Q83" s="594"/>
    </row>
    <row r="84" spans="1:31" ht="12" customHeight="1">
      <c r="B84" s="55"/>
      <c r="C84" s="62">
        <v>1</v>
      </c>
      <c r="D84" s="2240" t="s">
        <v>1029</v>
      </c>
      <c r="E84" s="2241"/>
      <c r="F84" s="2241"/>
      <c r="G84" s="2241"/>
      <c r="H84" s="62">
        <v>3</v>
      </c>
      <c r="I84" s="2240" t="s">
        <v>1029</v>
      </c>
      <c r="J84" s="2241"/>
      <c r="K84" s="2241"/>
      <c r="L84" s="2241"/>
      <c r="M84" s="62">
        <v>5</v>
      </c>
      <c r="N84" s="2240" t="s">
        <v>1029</v>
      </c>
      <c r="O84" s="2241"/>
      <c r="P84" s="2241"/>
      <c r="Q84" s="2241"/>
    </row>
    <row r="85" spans="1:31" ht="12" customHeight="1">
      <c r="B85" s="55"/>
      <c r="C85" s="62">
        <v>2</v>
      </c>
      <c r="D85" s="2242" t="s">
        <v>1029</v>
      </c>
      <c r="E85" s="2243"/>
      <c r="F85" s="2243"/>
      <c r="G85" s="2243"/>
      <c r="H85" s="62">
        <v>4</v>
      </c>
      <c r="I85" s="2242" t="s">
        <v>1029</v>
      </c>
      <c r="J85" s="2243"/>
      <c r="K85" s="2243"/>
      <c r="L85" s="2243"/>
      <c r="M85" s="62">
        <v>6</v>
      </c>
      <c r="N85" s="2242" t="s">
        <v>1029</v>
      </c>
      <c r="O85" s="2243"/>
      <c r="P85" s="2243"/>
      <c r="Q85" s="2243"/>
    </row>
    <row r="86" spans="1:31" ht="12" customHeight="1">
      <c r="B86" s="55" t="s">
        <v>1858</v>
      </c>
      <c r="C86" s="62" t="s">
        <v>0</v>
      </c>
      <c r="D86" s="159"/>
      <c r="E86" s="159"/>
      <c r="F86" s="159"/>
      <c r="G86" s="159"/>
      <c r="H86" s="159"/>
      <c r="I86" s="50"/>
      <c r="J86" s="50"/>
      <c r="K86" s="159"/>
      <c r="L86" s="1158"/>
      <c r="M86" s="1158"/>
      <c r="O86" s="594" t="s">
        <v>1858</v>
      </c>
      <c r="P86" s="2244" t="s">
        <v>3701</v>
      </c>
      <c r="Q86" s="813"/>
    </row>
    <row r="87" spans="1:31" ht="11.25" customHeight="1">
      <c r="B87" s="167" t="s">
        <v>1995</v>
      </c>
      <c r="D87" s="167"/>
      <c r="E87" s="167"/>
      <c r="F87" s="167"/>
      <c r="G87" s="167"/>
      <c r="H87" s="48"/>
      <c r="I87" s="1177"/>
      <c r="J87" s="1177"/>
      <c r="K87" s="1177"/>
      <c r="L87" s="1159"/>
      <c r="M87" s="1159"/>
      <c r="N87" s="1159"/>
      <c r="O87" s="1159"/>
      <c r="P87" s="1159"/>
      <c r="Q87" s="60"/>
    </row>
    <row r="88" spans="1:31" ht="39.75" customHeight="1">
      <c r="A88" s="2199" t="s">
        <v>3815</v>
      </c>
      <c r="B88" s="2200"/>
      <c r="C88" s="2200"/>
      <c r="D88" s="2200"/>
      <c r="E88" s="2200"/>
      <c r="F88" s="2200"/>
      <c r="G88" s="2200"/>
      <c r="H88" s="2200"/>
      <c r="I88" s="2200"/>
      <c r="J88" s="2200"/>
      <c r="K88" s="2200"/>
      <c r="L88" s="2200"/>
      <c r="M88" s="2200"/>
      <c r="N88" s="2200"/>
      <c r="O88" s="2200"/>
      <c r="P88" s="2200"/>
      <c r="Q88" s="2201"/>
      <c r="U88" s="162"/>
      <c r="V88" s="162"/>
      <c r="W88" s="162"/>
      <c r="X88" s="162"/>
      <c r="Y88" s="162"/>
      <c r="Z88" s="162"/>
      <c r="AA88" s="162"/>
      <c r="AB88" s="162"/>
      <c r="AC88" s="162"/>
      <c r="AD88" s="162"/>
      <c r="AE88" s="596"/>
    </row>
    <row r="89" spans="1:31" ht="11.25" customHeight="1">
      <c r="B89" s="163" t="s">
        <v>1996</v>
      </c>
      <c r="C89" s="164"/>
      <c r="D89" s="1164"/>
      <c r="E89" s="1164"/>
      <c r="F89" s="1164"/>
      <c r="G89" s="1164"/>
      <c r="H89" s="1164"/>
      <c r="I89" s="1164"/>
      <c r="J89" s="1164"/>
      <c r="K89" s="1164"/>
      <c r="L89" s="1164"/>
      <c r="M89" s="1164"/>
      <c r="N89" s="1164"/>
      <c r="O89" s="1164"/>
      <c r="P89" s="1164"/>
      <c r="Q89" s="1164"/>
    </row>
    <row r="90" spans="1:31" ht="22.9" customHeight="1">
      <c r="A90" s="1417"/>
      <c r="B90" s="1418"/>
      <c r="C90" s="1418"/>
      <c r="D90" s="1418"/>
      <c r="E90" s="1418"/>
      <c r="F90" s="1418"/>
      <c r="G90" s="1418"/>
      <c r="H90" s="1418"/>
      <c r="I90" s="1418"/>
      <c r="J90" s="1418"/>
      <c r="K90" s="1418"/>
      <c r="L90" s="1418"/>
      <c r="M90" s="1418"/>
      <c r="N90" s="1418"/>
      <c r="O90" s="1418"/>
      <c r="P90" s="1418"/>
      <c r="Q90" s="1419"/>
    </row>
    <row r="91" spans="1:31" ht="13.9" customHeight="1">
      <c r="A91" s="1168">
        <v>6</v>
      </c>
      <c r="B91" s="1168" t="s">
        <v>2851</v>
      </c>
      <c r="C91" s="1168"/>
      <c r="D91" s="1164"/>
      <c r="E91" s="1164"/>
      <c r="F91" s="1164"/>
      <c r="G91" s="1164"/>
      <c r="H91" s="1164"/>
      <c r="I91" s="1164"/>
      <c r="J91" s="1164"/>
      <c r="K91" s="1164"/>
      <c r="L91" s="1164"/>
      <c r="M91" s="1164"/>
      <c r="O91" s="157" t="s">
        <v>1997</v>
      </c>
      <c r="P91" s="1415"/>
      <c r="Q91" s="1416"/>
    </row>
    <row r="92" spans="1:31" ht="3" customHeight="1"/>
    <row r="93" spans="1:31" ht="12" customHeight="1">
      <c r="B93" s="55" t="s">
        <v>2118</v>
      </c>
      <c r="C93" s="62" t="s">
        <v>525</v>
      </c>
      <c r="D93" s="62"/>
      <c r="E93" s="62"/>
      <c r="F93" s="62"/>
      <c r="G93" s="62"/>
      <c r="H93" s="62"/>
      <c r="I93" s="62"/>
      <c r="J93" s="62"/>
      <c r="K93" s="62"/>
      <c r="L93" s="62"/>
      <c r="M93" s="62"/>
      <c r="O93" s="594" t="s">
        <v>2118</v>
      </c>
      <c r="P93" s="2195" t="s">
        <v>3701</v>
      </c>
      <c r="Q93" s="794"/>
    </row>
    <row r="94" spans="1:31" ht="12" customHeight="1">
      <c r="B94" s="55" t="s">
        <v>2121</v>
      </c>
      <c r="C94" s="62" t="s">
        <v>1390</v>
      </c>
      <c r="D94" s="62"/>
      <c r="E94" s="62"/>
      <c r="F94" s="62"/>
      <c r="G94" s="62"/>
      <c r="H94" s="62"/>
      <c r="I94" s="62"/>
      <c r="J94" s="62"/>
      <c r="K94" s="62"/>
      <c r="L94" s="38"/>
      <c r="M94" s="38"/>
      <c r="O94" s="594" t="s">
        <v>2121</v>
      </c>
      <c r="P94" s="2195" t="s">
        <v>3701</v>
      </c>
      <c r="Q94" s="794"/>
    </row>
    <row r="95" spans="1:31" ht="12" customHeight="1">
      <c r="A95" s="158"/>
      <c r="B95" s="44"/>
      <c r="D95" s="47" t="s">
        <v>587</v>
      </c>
      <c r="E95" s="50"/>
      <c r="F95" s="50"/>
      <c r="G95" s="50"/>
      <c r="H95" s="50"/>
      <c r="I95" s="50"/>
      <c r="L95" s="78" t="s">
        <v>588</v>
      </c>
      <c r="M95" s="2245" t="s">
        <v>3798</v>
      </c>
      <c r="N95" s="2246"/>
      <c r="O95" s="2246"/>
      <c r="P95" s="2247"/>
      <c r="Q95" s="794"/>
    </row>
    <row r="96" spans="1:31" ht="22.9" customHeight="1">
      <c r="A96" s="170"/>
      <c r="B96" s="1177"/>
      <c r="C96" s="177" t="s">
        <v>1859</v>
      </c>
      <c r="D96" s="1401" t="s">
        <v>488</v>
      </c>
      <c r="E96" s="2248"/>
      <c r="F96" s="2248"/>
      <c r="G96" s="2248"/>
      <c r="H96" s="2248"/>
      <c r="I96" s="2248"/>
      <c r="J96" s="2248"/>
      <c r="K96" s="2248"/>
      <c r="L96" s="2248"/>
      <c r="M96" s="2248"/>
      <c r="N96" s="2248"/>
      <c r="O96" s="177" t="s">
        <v>1859</v>
      </c>
      <c r="P96" s="2195" t="s">
        <v>3702</v>
      </c>
      <c r="Q96" s="794"/>
    </row>
    <row r="97" spans="1:32" ht="12" customHeight="1">
      <c r="A97" s="170"/>
      <c r="B97" s="1177"/>
      <c r="C97" s="78" t="s">
        <v>1860</v>
      </c>
      <c r="D97" s="62" t="s">
        <v>3523</v>
      </c>
      <c r="E97" s="62"/>
      <c r="F97" s="62"/>
      <c r="G97" s="62"/>
      <c r="H97" s="62"/>
      <c r="I97" s="62"/>
      <c r="J97" s="62"/>
      <c r="K97" s="62"/>
      <c r="L97" s="62"/>
      <c r="M97" s="62"/>
      <c r="O97" s="78" t="s">
        <v>1860</v>
      </c>
      <c r="P97" s="2195" t="s">
        <v>3701</v>
      </c>
      <c r="Q97" s="794"/>
    </row>
    <row r="98" spans="1:32" ht="12" customHeight="1">
      <c r="A98" s="170"/>
      <c r="B98" s="1177"/>
      <c r="C98" s="177" t="s">
        <v>1861</v>
      </c>
      <c r="D98" s="62" t="s">
        <v>3522</v>
      </c>
      <c r="E98" s="62"/>
      <c r="F98" s="62"/>
      <c r="G98" s="62"/>
      <c r="H98" s="62"/>
      <c r="I98" s="62"/>
      <c r="J98" s="62"/>
      <c r="K98" s="62"/>
      <c r="L98" s="62"/>
      <c r="M98" s="62"/>
      <c r="O98" s="177" t="s">
        <v>1861</v>
      </c>
      <c r="P98" s="2249" t="s">
        <v>3701</v>
      </c>
      <c r="Q98" s="795"/>
    </row>
    <row r="99" spans="1:32" s="158" customFormat="1" ht="24.75" customHeight="1">
      <c r="A99" s="170"/>
      <c r="B99" s="547"/>
      <c r="C99" s="193" t="s">
        <v>2519</v>
      </c>
      <c r="D99" s="1413" t="s">
        <v>2916</v>
      </c>
      <c r="E99" s="1413"/>
      <c r="F99" s="1413"/>
      <c r="G99" s="1413"/>
      <c r="H99" s="1413"/>
      <c r="I99" s="1413"/>
      <c r="J99" s="1413"/>
      <c r="K99" s="1413"/>
      <c r="L99" s="1413"/>
      <c r="M99" s="1413"/>
      <c r="N99" s="1413"/>
      <c r="O99" s="193" t="s">
        <v>2519</v>
      </c>
      <c r="P99" s="2250"/>
      <c r="Q99" s="814"/>
      <c r="AE99" s="597"/>
      <c r="AF99" s="597"/>
    </row>
    <row r="100" spans="1:32" ht="12" customHeight="1">
      <c r="B100" s="55" t="s">
        <v>799</v>
      </c>
      <c r="C100" s="62" t="s">
        <v>149</v>
      </c>
      <c r="D100" s="62"/>
      <c r="E100" s="62"/>
      <c r="F100" s="62"/>
      <c r="G100" s="62"/>
      <c r="H100" s="62"/>
      <c r="I100" s="62"/>
      <c r="J100" s="62"/>
      <c r="K100" s="62"/>
      <c r="L100" s="62"/>
      <c r="M100" s="62"/>
      <c r="O100" s="594" t="s">
        <v>799</v>
      </c>
      <c r="P100" s="2195" t="s">
        <v>3701</v>
      </c>
      <c r="Q100" s="794"/>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2195" t="s">
        <v>3702</v>
      </c>
      <c r="Q102" s="794"/>
    </row>
    <row r="103" spans="1:32" ht="12" customHeight="1">
      <c r="B103" s="55"/>
      <c r="C103" s="78" t="s">
        <v>1860</v>
      </c>
      <c r="D103" s="62" t="s">
        <v>1524</v>
      </c>
      <c r="E103" s="62"/>
      <c r="F103" s="62"/>
      <c r="G103" s="62"/>
      <c r="H103" s="62"/>
      <c r="I103" s="62"/>
      <c r="J103" s="62"/>
      <c r="K103" s="62"/>
      <c r="L103" s="38"/>
      <c r="M103" s="38"/>
      <c r="O103" s="78" t="s">
        <v>1860</v>
      </c>
      <c r="P103" s="2195" t="s">
        <v>3702</v>
      </c>
      <c r="Q103" s="794"/>
    </row>
    <row r="104" spans="1:32" ht="12" customHeight="1">
      <c r="B104" s="55"/>
      <c r="C104" s="78" t="s">
        <v>1861</v>
      </c>
      <c r="D104" s="62" t="s">
        <v>1525</v>
      </c>
      <c r="E104" s="62"/>
      <c r="F104" s="62"/>
      <c r="G104" s="62"/>
      <c r="H104" s="62"/>
      <c r="I104" s="62"/>
      <c r="J104" s="62"/>
      <c r="K104" s="62"/>
      <c r="L104" s="38"/>
      <c r="M104" s="38"/>
      <c r="O104" s="78" t="s">
        <v>1861</v>
      </c>
      <c r="P104" s="2195" t="s">
        <v>3702</v>
      </c>
      <c r="Q104" s="794"/>
    </row>
    <row r="105" spans="1:32" ht="11.25" customHeight="1">
      <c r="B105" s="167" t="s">
        <v>1995</v>
      </c>
      <c r="D105" s="167"/>
      <c r="E105" s="167"/>
      <c r="F105" s="167"/>
      <c r="G105" s="167"/>
      <c r="H105" s="48"/>
      <c r="I105" s="1177"/>
      <c r="J105" s="1177"/>
      <c r="K105" s="1177"/>
      <c r="L105" s="1159"/>
      <c r="M105" s="1159"/>
      <c r="N105" s="1159"/>
      <c r="O105" s="1159"/>
      <c r="P105" s="1159"/>
      <c r="Q105" s="60"/>
    </row>
    <row r="106" spans="1:32" ht="13.15" customHeight="1">
      <c r="A106" s="2199" t="s">
        <v>3816</v>
      </c>
      <c r="B106" s="2200"/>
      <c r="C106" s="2200"/>
      <c r="D106" s="2200"/>
      <c r="E106" s="2200"/>
      <c r="F106" s="2200"/>
      <c r="G106" s="2200"/>
      <c r="H106" s="2200"/>
      <c r="I106" s="2200"/>
      <c r="J106" s="2200"/>
      <c r="K106" s="2200"/>
      <c r="L106" s="2200"/>
      <c r="M106" s="2200"/>
      <c r="N106" s="2200"/>
      <c r="O106" s="2200"/>
      <c r="P106" s="2200"/>
      <c r="Q106" s="2201"/>
      <c r="U106" s="162"/>
      <c r="V106" s="162"/>
      <c r="W106" s="162"/>
      <c r="X106" s="162"/>
      <c r="Y106" s="162"/>
      <c r="Z106" s="162"/>
      <c r="AA106" s="162"/>
      <c r="AB106" s="162"/>
      <c r="AC106" s="162"/>
      <c r="AD106" s="162"/>
      <c r="AE106" s="596"/>
    </row>
    <row r="107" spans="1:32" ht="11.25" customHeight="1">
      <c r="B107" s="163" t="s">
        <v>1996</v>
      </c>
      <c r="C107" s="164"/>
      <c r="D107" s="1164"/>
      <c r="E107" s="1164"/>
      <c r="F107" s="1164"/>
      <c r="G107" s="1164"/>
      <c r="H107" s="1164"/>
      <c r="I107" s="1164"/>
      <c r="J107" s="1164"/>
      <c r="K107" s="1164"/>
      <c r="L107" s="1164"/>
      <c r="M107" s="1164"/>
      <c r="N107" s="1164"/>
      <c r="O107" s="1164"/>
      <c r="P107" s="1164"/>
      <c r="Q107" s="1164"/>
    </row>
    <row r="108" spans="1:32" ht="13.15" customHeight="1">
      <c r="A108" s="1417"/>
      <c r="B108" s="1418"/>
      <c r="C108" s="1418"/>
      <c r="D108" s="1418"/>
      <c r="E108" s="1418"/>
      <c r="F108" s="1418"/>
      <c r="G108" s="1418"/>
      <c r="H108" s="1418"/>
      <c r="I108" s="1418"/>
      <c r="J108" s="1418"/>
      <c r="K108" s="1418"/>
      <c r="L108" s="1418"/>
      <c r="M108" s="1418"/>
      <c r="N108" s="1418"/>
      <c r="O108" s="1418"/>
      <c r="P108" s="1418"/>
      <c r="Q108" s="1419"/>
    </row>
    <row r="109" spans="1:32" ht="4.9000000000000004" customHeight="1">
      <c r="A109" s="1159"/>
      <c r="B109" s="1177"/>
      <c r="C109" s="1164"/>
      <c r="D109" s="1164"/>
      <c r="E109" s="1164"/>
      <c r="F109" s="1164"/>
      <c r="G109" s="1164"/>
      <c r="H109" s="1164"/>
      <c r="I109" s="1164"/>
      <c r="J109" s="1164"/>
      <c r="K109" s="1164"/>
      <c r="L109" s="1164"/>
      <c r="M109" s="1164"/>
      <c r="N109" s="1164"/>
      <c r="O109" s="1164"/>
      <c r="P109" s="1164"/>
      <c r="Q109" s="1159"/>
    </row>
    <row r="110" spans="1:32" ht="13.9" customHeight="1">
      <c r="A110" s="1168">
        <v>7</v>
      </c>
      <c r="B110" s="1168" t="s">
        <v>2852</v>
      </c>
      <c r="C110" s="48"/>
      <c r="D110" s="1164"/>
      <c r="E110" s="1164"/>
      <c r="F110" s="1164"/>
      <c r="G110" s="1164"/>
      <c r="H110" s="1164"/>
      <c r="I110" s="1164"/>
      <c r="J110" s="1164"/>
      <c r="K110" s="1164"/>
      <c r="L110" s="1164"/>
      <c r="M110" s="1164"/>
      <c r="O110" s="157" t="s">
        <v>1997</v>
      </c>
      <c r="P110" s="1415"/>
      <c r="Q110" s="1416"/>
    </row>
    <row r="111" spans="1:32" ht="6.6" customHeight="1"/>
    <row r="112" spans="1:32" ht="12" customHeight="1">
      <c r="B112" s="55" t="s">
        <v>2118</v>
      </c>
      <c r="C112" s="62" t="s">
        <v>2914</v>
      </c>
      <c r="D112" s="159"/>
      <c r="E112" s="159"/>
      <c r="F112" s="159"/>
      <c r="G112" s="159"/>
      <c r="H112" s="159"/>
      <c r="I112" s="50"/>
      <c r="J112" s="50"/>
      <c r="K112" s="50"/>
      <c r="L112" s="594" t="s">
        <v>2118</v>
      </c>
      <c r="M112" s="2251" t="s">
        <v>3799</v>
      </c>
      <c r="N112" s="2252"/>
      <c r="O112" s="2252"/>
      <c r="P112" s="2253"/>
      <c r="Q112" s="794"/>
    </row>
    <row r="113" spans="2:17" ht="12" customHeight="1">
      <c r="B113" s="55" t="s">
        <v>2121</v>
      </c>
      <c r="C113" s="62" t="s">
        <v>1645</v>
      </c>
      <c r="D113" s="159"/>
      <c r="E113" s="159"/>
      <c r="F113" s="159"/>
      <c r="G113" s="159"/>
      <c r="H113" s="159"/>
      <c r="I113" s="50"/>
      <c r="J113" s="50"/>
      <c r="K113" s="159"/>
      <c r="L113" s="159"/>
      <c r="M113" s="1158"/>
      <c r="O113" s="594" t="s">
        <v>2121</v>
      </c>
      <c r="P113" s="2195" t="s">
        <v>3702</v>
      </c>
      <c r="Q113" s="813"/>
    </row>
    <row r="114" spans="2:17" ht="12" customHeight="1">
      <c r="B114" s="55" t="s">
        <v>799</v>
      </c>
      <c r="C114" s="62" t="s">
        <v>157</v>
      </c>
      <c r="D114" s="159"/>
      <c r="E114" s="159"/>
      <c r="F114" s="159"/>
      <c r="G114" s="159"/>
      <c r="H114" s="159"/>
      <c r="I114" s="50"/>
      <c r="J114" s="50"/>
      <c r="K114" s="159"/>
      <c r="L114" s="1158"/>
      <c r="M114" s="1158"/>
      <c r="O114" s="594" t="s">
        <v>799</v>
      </c>
      <c r="P114" s="2195" t="s">
        <v>3701</v>
      </c>
      <c r="Q114" s="794"/>
    </row>
    <row r="115" spans="2:17" ht="12" customHeight="1">
      <c r="B115" s="55"/>
      <c r="C115" s="77" t="s">
        <v>1859</v>
      </c>
      <c r="D115" s="62" t="s">
        <v>2915</v>
      </c>
      <c r="E115" s="159"/>
      <c r="F115" s="159"/>
      <c r="G115" s="159"/>
      <c r="H115" s="159"/>
      <c r="I115" s="50"/>
      <c r="J115" s="50"/>
      <c r="K115" s="159"/>
      <c r="L115" s="78" t="s">
        <v>1859</v>
      </c>
      <c r="M115" s="2251" t="s">
        <v>3800</v>
      </c>
      <c r="N115" s="2252"/>
      <c r="O115" s="2252"/>
      <c r="P115" s="2253"/>
      <c r="Q115" s="813"/>
    </row>
    <row r="116" spans="2:17" ht="12" customHeight="1">
      <c r="B116" s="165"/>
      <c r="C116" s="78" t="s">
        <v>1860</v>
      </c>
      <c r="D116" s="44" t="s">
        <v>2786</v>
      </c>
      <c r="E116" s="50"/>
      <c r="F116" s="50"/>
      <c r="G116" s="50"/>
      <c r="H116" s="62"/>
      <c r="I116" s="50"/>
      <c r="J116" s="50"/>
      <c r="K116" s="159"/>
      <c r="L116" s="1158"/>
      <c r="M116" s="1158"/>
      <c r="O116" s="594" t="s">
        <v>1860</v>
      </c>
      <c r="P116" s="2244">
        <v>61.68</v>
      </c>
      <c r="Q116" s="813"/>
    </row>
    <row r="117" spans="2:17" ht="12" customHeight="1">
      <c r="B117" s="165"/>
      <c r="C117" s="594" t="s">
        <v>1861</v>
      </c>
      <c r="D117" s="62" t="s">
        <v>1471</v>
      </c>
      <c r="E117" s="50"/>
      <c r="F117" s="50"/>
      <c r="G117" s="50"/>
      <c r="H117" s="62"/>
      <c r="I117" s="50"/>
      <c r="J117" s="50"/>
      <c r="K117" s="159"/>
      <c r="L117" s="1158"/>
      <c r="M117" s="1158"/>
      <c r="N117" s="1158"/>
      <c r="O117" s="1158"/>
    </row>
    <row r="118" spans="2:17" ht="11.45" customHeight="1">
      <c r="B118" s="1159"/>
      <c r="C118" s="78"/>
      <c r="D118" s="2254" t="s">
        <v>3801</v>
      </c>
      <c r="E118" s="2255"/>
      <c r="F118" s="2255"/>
      <c r="G118" s="2255"/>
      <c r="H118" s="2255"/>
      <c r="I118" s="2255"/>
      <c r="J118" s="2255"/>
      <c r="K118" s="2255"/>
      <c r="L118" s="2255"/>
      <c r="M118" s="2255"/>
      <c r="N118" s="2255"/>
      <c r="O118" s="2255"/>
      <c r="P118" s="2255"/>
      <c r="Q118" s="2256"/>
    </row>
    <row r="119" spans="2:17" ht="12" customHeight="1">
      <c r="B119" s="55" t="s">
        <v>2253</v>
      </c>
      <c r="C119" s="62" t="s">
        <v>1340</v>
      </c>
      <c r="D119" s="159"/>
      <c r="E119" s="159"/>
      <c r="F119" s="159"/>
      <c r="G119" s="159"/>
      <c r="H119" s="159"/>
      <c r="I119" s="50"/>
      <c r="J119" s="50"/>
      <c r="K119" s="159"/>
      <c r="L119" s="1158"/>
      <c r="M119" s="1158"/>
      <c r="N119" s="1158"/>
      <c r="O119" s="594" t="s">
        <v>2253</v>
      </c>
    </row>
    <row r="120" spans="2:17" ht="12" customHeight="1">
      <c r="B120" s="55"/>
      <c r="C120" s="78" t="s">
        <v>1859</v>
      </c>
      <c r="D120" s="62" t="s">
        <v>155</v>
      </c>
      <c r="E120" s="159"/>
      <c r="F120" s="159"/>
      <c r="G120" s="159"/>
      <c r="H120" s="159"/>
      <c r="I120" s="50"/>
      <c r="J120" s="50"/>
      <c r="K120" s="159"/>
      <c r="L120" s="1158"/>
      <c r="M120" s="1158"/>
      <c r="O120" s="78" t="s">
        <v>1859</v>
      </c>
      <c r="P120" s="2195" t="s">
        <v>3702</v>
      </c>
      <c r="Q120" s="794"/>
    </row>
    <row r="121" spans="2:17" ht="12" customHeight="1">
      <c r="B121" s="55"/>
      <c r="C121" s="78" t="s">
        <v>1860</v>
      </c>
      <c r="D121" s="62" t="s">
        <v>1341</v>
      </c>
      <c r="E121" s="159"/>
      <c r="F121" s="159"/>
      <c r="G121" s="159"/>
      <c r="H121" s="50"/>
      <c r="I121" s="50"/>
      <c r="J121" s="50"/>
      <c r="K121" s="159"/>
      <c r="L121" s="1158"/>
      <c r="M121" s="1158"/>
      <c r="O121" s="78" t="s">
        <v>1860</v>
      </c>
      <c r="P121" s="2244" t="s">
        <v>3701</v>
      </c>
      <c r="Q121" s="813"/>
    </row>
    <row r="122" spans="2:17" ht="12" customHeight="1">
      <c r="B122" s="55"/>
      <c r="C122" s="78"/>
      <c r="D122" s="62" t="s">
        <v>2827</v>
      </c>
      <c r="E122" s="558" t="s">
        <v>2599</v>
      </c>
      <c r="F122" s="62" t="s">
        <v>2828</v>
      </c>
      <c r="G122" s="50"/>
      <c r="H122" s="62"/>
      <c r="I122" s="50"/>
      <c r="J122" s="50"/>
      <c r="K122" s="159"/>
      <c r="L122" s="1158"/>
      <c r="M122" s="1158"/>
      <c r="O122" s="558" t="s">
        <v>2599</v>
      </c>
      <c r="P122" s="2257">
        <v>6.6600000000000006E-2</v>
      </c>
      <c r="Q122" s="815"/>
    </row>
    <row r="123" spans="2:17" ht="12" customHeight="1">
      <c r="B123" s="55"/>
      <c r="C123" s="78"/>
      <c r="E123" s="558" t="s">
        <v>2600</v>
      </c>
      <c r="F123" s="62" t="s">
        <v>2829</v>
      </c>
      <c r="G123" s="50"/>
      <c r="H123" s="62"/>
      <c r="I123" s="50"/>
      <c r="J123" s="50"/>
      <c r="K123" s="159"/>
      <c r="L123" s="1158"/>
      <c r="M123" s="1158"/>
      <c r="O123" s="558" t="s">
        <v>2600</v>
      </c>
      <c r="P123" s="2244" t="s">
        <v>3701</v>
      </c>
      <c r="Q123" s="813"/>
    </row>
    <row r="124" spans="2:17" ht="12" customHeight="1">
      <c r="B124" s="55"/>
      <c r="C124" s="78"/>
      <c r="E124" s="558" t="s">
        <v>2601</v>
      </c>
      <c r="F124" s="62" t="s">
        <v>2830</v>
      </c>
      <c r="G124" s="50"/>
      <c r="H124" s="62"/>
      <c r="I124" s="50"/>
      <c r="J124" s="50"/>
      <c r="K124" s="159"/>
      <c r="L124" s="1158"/>
      <c r="M124" s="1158"/>
      <c r="O124" s="558" t="s">
        <v>2601</v>
      </c>
      <c r="P124" s="2244" t="s">
        <v>3701</v>
      </c>
      <c r="Q124" s="813"/>
    </row>
    <row r="125" spans="2:17" ht="12" customHeight="1">
      <c r="B125" s="55"/>
      <c r="C125" s="78" t="s">
        <v>1861</v>
      </c>
      <c r="D125" s="62" t="s">
        <v>1342</v>
      </c>
      <c r="E125" s="159"/>
      <c r="F125" s="159"/>
      <c r="G125" s="159"/>
      <c r="H125" s="62"/>
      <c r="I125" s="50"/>
      <c r="J125" s="50"/>
      <c r="K125" s="159"/>
      <c r="L125" s="1158"/>
      <c r="M125" s="1158"/>
      <c r="O125" s="78" t="s">
        <v>1861</v>
      </c>
      <c r="P125" s="2195" t="s">
        <v>3701</v>
      </c>
      <c r="Q125" s="794"/>
    </row>
    <row r="126" spans="2:17" ht="12" customHeight="1">
      <c r="B126" s="55"/>
      <c r="C126" s="78"/>
      <c r="D126" s="62" t="s">
        <v>2827</v>
      </c>
      <c r="E126" s="558" t="s">
        <v>2599</v>
      </c>
      <c r="F126" s="62" t="s">
        <v>2831</v>
      </c>
      <c r="G126" s="50"/>
      <c r="H126" s="62"/>
      <c r="I126" s="50"/>
      <c r="J126" s="50"/>
      <c r="K126" s="159"/>
      <c r="L126" s="1158"/>
      <c r="O126" s="558" t="s">
        <v>2599</v>
      </c>
      <c r="P126" s="2257">
        <v>5.3999999999999999E-2</v>
      </c>
      <c r="Q126" s="816"/>
    </row>
    <row r="127" spans="2:17" ht="12" customHeight="1">
      <c r="B127" s="55"/>
      <c r="C127" s="78"/>
      <c r="E127" s="558" t="s">
        <v>2600</v>
      </c>
      <c r="F127" s="62" t="s">
        <v>2832</v>
      </c>
      <c r="G127" s="50"/>
      <c r="H127" s="62"/>
      <c r="I127" s="50"/>
      <c r="J127" s="50"/>
      <c r="O127" s="558" t="s">
        <v>2600</v>
      </c>
      <c r="P127" s="2244" t="s">
        <v>3702</v>
      </c>
      <c r="Q127" s="813"/>
    </row>
    <row r="128" spans="2:17" ht="12" customHeight="1">
      <c r="B128" s="55"/>
      <c r="C128" s="78"/>
      <c r="E128" s="558" t="s">
        <v>2601</v>
      </c>
      <c r="F128" s="62" t="s">
        <v>2830</v>
      </c>
      <c r="G128" s="50"/>
      <c r="H128" s="62"/>
      <c r="I128" s="50"/>
      <c r="J128" s="50"/>
      <c r="O128" s="558" t="s">
        <v>2601</v>
      </c>
      <c r="P128" s="2244" t="s">
        <v>3701</v>
      </c>
      <c r="Q128" s="813"/>
    </row>
    <row r="129" spans="1:31" ht="12" customHeight="1">
      <c r="B129" s="44"/>
      <c r="C129" s="78" t="s">
        <v>2519</v>
      </c>
      <c r="D129" s="62" t="s">
        <v>2833</v>
      </c>
      <c r="E129" s="159"/>
      <c r="F129" s="159"/>
      <c r="G129" s="159"/>
      <c r="H129" s="159"/>
      <c r="I129" s="50"/>
      <c r="J129" s="50"/>
      <c r="O129" s="78" t="s">
        <v>2519</v>
      </c>
      <c r="P129" s="2195" t="s">
        <v>3702</v>
      </c>
      <c r="Q129" s="794"/>
    </row>
    <row r="130" spans="1:31" ht="12" customHeight="1">
      <c r="B130" s="55" t="s">
        <v>1857</v>
      </c>
      <c r="C130" s="172" t="s">
        <v>2577</v>
      </c>
      <c r="D130" s="159"/>
      <c r="E130" s="159"/>
      <c r="F130" s="159"/>
      <c r="G130" s="159"/>
      <c r="H130" s="159"/>
      <c r="I130" s="50"/>
      <c r="J130" s="50"/>
      <c r="K130" s="159"/>
      <c r="L130" s="1158"/>
      <c r="M130" s="1158"/>
      <c r="N130" s="1158"/>
      <c r="O130" s="1158"/>
      <c r="P130" s="1158"/>
      <c r="Q130" s="1158"/>
    </row>
    <row r="131" spans="1:31" ht="12" customHeight="1">
      <c r="C131" s="78" t="s">
        <v>1859</v>
      </c>
      <c r="D131" s="62" t="s">
        <v>2663</v>
      </c>
      <c r="E131" s="159"/>
      <c r="F131" s="2258" t="s">
        <v>3701</v>
      </c>
      <c r="G131" s="797"/>
      <c r="H131" s="78" t="s">
        <v>1657</v>
      </c>
      <c r="I131" s="65" t="s">
        <v>2835</v>
      </c>
      <c r="L131" s="2258" t="s">
        <v>3702</v>
      </c>
      <c r="M131" s="797"/>
      <c r="N131" s="594" t="s">
        <v>545</v>
      </c>
      <c r="O131" s="62" t="s">
        <v>1660</v>
      </c>
      <c r="P131" s="2258" t="s">
        <v>3702</v>
      </c>
      <c r="Q131" s="797"/>
    </row>
    <row r="132" spans="1:31" ht="12" customHeight="1">
      <c r="B132" s="44"/>
      <c r="C132" s="78" t="s">
        <v>1860</v>
      </c>
      <c r="D132" s="62" t="s">
        <v>3261</v>
      </c>
      <c r="E132" s="159"/>
      <c r="F132" s="2259" t="s">
        <v>3701</v>
      </c>
      <c r="G132" s="798"/>
      <c r="H132" s="78" t="s">
        <v>1658</v>
      </c>
      <c r="I132" s="65" t="s">
        <v>2836</v>
      </c>
      <c r="L132" s="2259" t="s">
        <v>3702</v>
      </c>
      <c r="M132" s="798"/>
      <c r="N132" s="594" t="s">
        <v>546</v>
      </c>
      <c r="O132" s="62" t="s">
        <v>1659</v>
      </c>
      <c r="P132" s="2259" t="s">
        <v>3702</v>
      </c>
      <c r="Q132" s="798"/>
    </row>
    <row r="133" spans="1:31" ht="12" customHeight="1">
      <c r="B133" s="44"/>
      <c r="C133" s="78" t="s">
        <v>1861</v>
      </c>
      <c r="D133" s="62" t="s">
        <v>2834</v>
      </c>
      <c r="E133" s="159"/>
      <c r="F133" s="2259" t="s">
        <v>3702</v>
      </c>
      <c r="G133" s="798"/>
      <c r="H133" s="594" t="s">
        <v>101</v>
      </c>
      <c r="I133" s="65" t="s">
        <v>3262</v>
      </c>
      <c r="L133" s="2259" t="s">
        <v>3702</v>
      </c>
      <c r="M133" s="798"/>
      <c r="N133" s="594" t="s">
        <v>3264</v>
      </c>
      <c r="O133" s="62" t="s">
        <v>1661</v>
      </c>
      <c r="P133" s="2260" t="s">
        <v>3701</v>
      </c>
      <c r="Q133" s="799"/>
    </row>
    <row r="134" spans="1:31" ht="12" customHeight="1">
      <c r="B134" s="44"/>
      <c r="C134" s="78" t="s">
        <v>2519</v>
      </c>
      <c r="D134" s="62" t="s">
        <v>3265</v>
      </c>
      <c r="E134" s="159"/>
      <c r="F134" s="2260" t="s">
        <v>3702</v>
      </c>
      <c r="G134" s="799"/>
      <c r="H134" s="594" t="s">
        <v>544</v>
      </c>
      <c r="I134" s="62" t="s">
        <v>3260</v>
      </c>
      <c r="L134" s="2260" t="s">
        <v>3701</v>
      </c>
      <c r="M134" s="799"/>
      <c r="O134" s="78"/>
    </row>
    <row r="135" spans="1:31" ht="12" customHeight="1">
      <c r="B135" s="44"/>
      <c r="C135" s="594" t="s">
        <v>3559</v>
      </c>
      <c r="D135" s="62" t="s">
        <v>3263</v>
      </c>
      <c r="E135" s="159"/>
      <c r="F135" s="159"/>
      <c r="G135" s="159"/>
      <c r="H135" s="159"/>
      <c r="I135" s="159"/>
      <c r="J135" s="159"/>
      <c r="K135" s="159"/>
      <c r="L135" s="159"/>
      <c r="M135" s="62"/>
      <c r="O135" s="78"/>
      <c r="P135" s="78"/>
    </row>
    <row r="136" spans="1:31" ht="12" customHeight="1">
      <c r="B136" s="44"/>
      <c r="D136" s="2245"/>
      <c r="E136" s="2246"/>
      <c r="F136" s="2246"/>
      <c r="G136" s="2246"/>
      <c r="H136" s="2246"/>
      <c r="I136" s="2246"/>
      <c r="J136" s="2246"/>
      <c r="K136" s="2246"/>
      <c r="L136" s="2246"/>
      <c r="M136" s="2246"/>
      <c r="N136" s="2246"/>
      <c r="O136" s="2246"/>
      <c r="P136" s="2261"/>
      <c r="Q136" s="794"/>
    </row>
    <row r="137" spans="1:31" ht="12" customHeight="1">
      <c r="B137" s="55" t="s">
        <v>1858</v>
      </c>
      <c r="C137" s="62" t="s">
        <v>1370</v>
      </c>
      <c r="D137" s="159"/>
      <c r="E137" s="159"/>
      <c r="F137" s="159"/>
      <c r="G137" s="159"/>
      <c r="H137" s="159"/>
      <c r="I137" s="50"/>
      <c r="J137" s="50"/>
      <c r="K137" s="159"/>
      <c r="L137" s="159"/>
      <c r="M137" s="1158"/>
      <c r="O137" s="594" t="s">
        <v>1858</v>
      </c>
      <c r="P137" s="2244" t="s">
        <v>1029</v>
      </c>
      <c r="Q137" s="794"/>
    </row>
    <row r="138" spans="1:31" ht="12" customHeight="1">
      <c r="A138" s="170"/>
      <c r="B138" s="50"/>
      <c r="C138" s="78" t="s">
        <v>1859</v>
      </c>
      <c r="D138" s="62" t="s">
        <v>3266</v>
      </c>
      <c r="E138" s="159"/>
      <c r="F138" s="159"/>
      <c r="G138" s="159"/>
      <c r="H138" s="159"/>
      <c r="O138" s="78" t="s">
        <v>1859</v>
      </c>
      <c r="P138" s="2195" t="s">
        <v>3701</v>
      </c>
      <c r="Q138" s="794"/>
    </row>
    <row r="139" spans="1:31" ht="12" customHeight="1">
      <c r="A139" s="170"/>
      <c r="B139" s="1177"/>
      <c r="C139" s="78" t="s">
        <v>1860</v>
      </c>
      <c r="D139" s="62" t="s">
        <v>522</v>
      </c>
      <c r="E139" s="62"/>
      <c r="F139" s="62"/>
      <c r="G139" s="62"/>
      <c r="H139" s="62"/>
      <c r="I139" s="50"/>
      <c r="J139" s="50"/>
      <c r="K139" s="62"/>
      <c r="L139" s="62"/>
      <c r="M139" s="62"/>
      <c r="O139" s="78" t="s">
        <v>1860</v>
      </c>
      <c r="P139" s="2195" t="s">
        <v>3701</v>
      </c>
      <c r="Q139" s="794"/>
    </row>
    <row r="140" spans="1:31" ht="12" customHeight="1">
      <c r="A140" s="170"/>
      <c r="B140" s="1177"/>
      <c r="C140" s="78" t="s">
        <v>1861</v>
      </c>
      <c r="D140" s="62" t="s">
        <v>727</v>
      </c>
      <c r="E140" s="62"/>
      <c r="F140" s="62"/>
      <c r="G140" s="62"/>
      <c r="H140" s="62"/>
      <c r="I140" s="50"/>
      <c r="J140" s="50"/>
      <c r="K140" s="62"/>
      <c r="L140" s="62"/>
      <c r="M140" s="62"/>
      <c r="O140" s="78" t="s">
        <v>1861</v>
      </c>
      <c r="P140" s="2195" t="s">
        <v>3701</v>
      </c>
      <c r="Q140" s="794"/>
    </row>
    <row r="141" spans="1:31" ht="12" customHeight="1">
      <c r="B141" s="55" t="s">
        <v>2081</v>
      </c>
      <c r="C141" s="62" t="s">
        <v>1876</v>
      </c>
      <c r="D141" s="159"/>
      <c r="E141" s="159"/>
      <c r="F141" s="159"/>
      <c r="G141" s="159"/>
      <c r="H141" s="159"/>
      <c r="I141" s="50"/>
      <c r="J141" s="50"/>
      <c r="K141" s="159"/>
      <c r="L141" s="159"/>
      <c r="M141" s="1158"/>
      <c r="O141" s="594" t="s">
        <v>2081</v>
      </c>
      <c r="P141" s="2195" t="s">
        <v>1029</v>
      </c>
      <c r="Q141" s="794"/>
    </row>
    <row r="142" spans="1:31" ht="4.9000000000000004" customHeight="1"/>
    <row r="143" spans="1:31" ht="11.25" customHeight="1">
      <c r="B143" s="167" t="s">
        <v>1995</v>
      </c>
      <c r="D143" s="167"/>
      <c r="E143" s="167"/>
      <c r="F143" s="167"/>
      <c r="G143" s="167"/>
      <c r="H143" s="48"/>
      <c r="I143" s="1177"/>
      <c r="J143" s="1177"/>
      <c r="K143" s="1177"/>
      <c r="L143" s="1159"/>
      <c r="M143" s="1159"/>
      <c r="N143" s="1159"/>
      <c r="O143" s="1159"/>
      <c r="P143" s="1159"/>
      <c r="Q143" s="60"/>
    </row>
    <row r="144" spans="1:31" ht="12" customHeight="1">
      <c r="A144" s="2199" t="s">
        <v>3817</v>
      </c>
      <c r="B144" s="2200"/>
      <c r="C144" s="2200"/>
      <c r="D144" s="2200"/>
      <c r="E144" s="2200"/>
      <c r="F144" s="2200"/>
      <c r="G144" s="2200"/>
      <c r="H144" s="2200"/>
      <c r="I144" s="2200"/>
      <c r="J144" s="2200"/>
      <c r="K144" s="2200"/>
      <c r="L144" s="2200"/>
      <c r="M144" s="2200"/>
      <c r="N144" s="2200"/>
      <c r="O144" s="2200"/>
      <c r="P144" s="2200"/>
      <c r="Q144" s="2201"/>
      <c r="R144" s="563" t="s">
        <v>1332</v>
      </c>
      <c r="S144" s="564"/>
      <c r="U144" s="162"/>
      <c r="V144" s="162"/>
      <c r="W144" s="162"/>
      <c r="X144" s="162"/>
      <c r="Y144" s="162"/>
      <c r="Z144" s="162"/>
      <c r="AA144" s="162"/>
      <c r="AB144" s="162"/>
      <c r="AC144" s="162"/>
      <c r="AD144" s="162"/>
      <c r="AE144" s="596"/>
    </row>
    <row r="145" spans="1:31" ht="11.25" customHeight="1">
      <c r="B145" s="163" t="s">
        <v>1996</v>
      </c>
      <c r="C145" s="164"/>
      <c r="D145" s="1164"/>
      <c r="E145" s="1164"/>
      <c r="F145" s="1164"/>
      <c r="G145" s="1164"/>
      <c r="H145" s="1164"/>
      <c r="I145" s="1164"/>
      <c r="J145" s="1164"/>
      <c r="K145" s="1164"/>
      <c r="L145" s="1164"/>
      <c r="M145" s="1164"/>
      <c r="N145" s="1164"/>
      <c r="O145" s="1164"/>
      <c r="P145" s="1164"/>
      <c r="Q145" s="1164"/>
    </row>
    <row r="146" spans="1:31" ht="12" customHeight="1">
      <c r="A146" s="1417"/>
      <c r="B146" s="1418"/>
      <c r="C146" s="1418"/>
      <c r="D146" s="1418"/>
      <c r="E146" s="1418"/>
      <c r="F146" s="1418"/>
      <c r="G146" s="1418"/>
      <c r="H146" s="1418"/>
      <c r="I146" s="1418"/>
      <c r="J146" s="1418"/>
      <c r="K146" s="1418"/>
      <c r="L146" s="1418"/>
      <c r="M146" s="1418"/>
      <c r="N146" s="1418"/>
      <c r="O146" s="1418"/>
      <c r="P146" s="1418"/>
      <c r="Q146" s="1419"/>
      <c r="R146" s="563" t="s">
        <v>1332</v>
      </c>
      <c r="S146" s="564"/>
    </row>
    <row r="147" spans="1:31" ht="8.4499999999999993" customHeight="1">
      <c r="A147" s="1159"/>
      <c r="B147" s="1177"/>
      <c r="C147" s="1164"/>
      <c r="D147" s="1164"/>
      <c r="E147" s="1164"/>
      <c r="F147" s="1164"/>
      <c r="G147" s="1164"/>
      <c r="H147" s="1164"/>
      <c r="I147" s="1164"/>
      <c r="J147" s="1164"/>
      <c r="K147" s="1164"/>
      <c r="L147" s="1164"/>
      <c r="M147" s="1164"/>
      <c r="N147" s="1164"/>
      <c r="O147" s="1164"/>
      <c r="P147" s="1164"/>
      <c r="Q147" s="1159"/>
    </row>
    <row r="148" spans="1:31" ht="13.9" customHeight="1">
      <c r="A148" s="1168">
        <v>8</v>
      </c>
      <c r="B148" s="1168" t="s">
        <v>2853</v>
      </c>
      <c r="C148" s="1168"/>
      <c r="D148" s="1164"/>
      <c r="E148" s="1164"/>
      <c r="F148" s="1164"/>
      <c r="G148" s="1164"/>
      <c r="H148" s="1164"/>
      <c r="I148" s="1164"/>
      <c r="J148" s="1164"/>
      <c r="K148" s="1164"/>
      <c r="O148" s="157" t="s">
        <v>1997</v>
      </c>
      <c r="P148" s="1415"/>
      <c r="Q148" s="1416"/>
    </row>
    <row r="149" spans="1:31" ht="12" customHeight="1">
      <c r="B149" s="55" t="s">
        <v>2118</v>
      </c>
      <c r="C149" s="62" t="s">
        <v>3259</v>
      </c>
      <c r="D149" s="62"/>
      <c r="E149" s="62"/>
      <c r="F149" s="62"/>
      <c r="G149" s="62"/>
      <c r="I149" s="62" t="s">
        <v>2948</v>
      </c>
      <c r="K149" s="2262" t="s">
        <v>3811</v>
      </c>
      <c r="L149" s="2263"/>
      <c r="N149" s="62"/>
      <c r="O149" s="594" t="s">
        <v>2118</v>
      </c>
      <c r="P149" s="2195" t="s">
        <v>3701</v>
      </c>
      <c r="Q149" s="794"/>
    </row>
    <row r="150" spans="1:31" ht="12" customHeight="1">
      <c r="A150" s="165"/>
      <c r="B150" s="55" t="s">
        <v>2121</v>
      </c>
      <c r="C150" s="166" t="s">
        <v>156</v>
      </c>
      <c r="D150" s="166"/>
      <c r="E150" s="166"/>
      <c r="F150" s="166"/>
      <c r="G150" s="166"/>
      <c r="H150" s="166"/>
      <c r="M150" s="594" t="s">
        <v>2121</v>
      </c>
      <c r="N150" s="2264" t="s">
        <v>3802</v>
      </c>
      <c r="O150" s="2265"/>
      <c r="P150" s="1447"/>
      <c r="Q150" s="1448"/>
    </row>
    <row r="151" spans="1:31" ht="12" customHeight="1">
      <c r="A151" s="165"/>
      <c r="B151" s="55" t="s">
        <v>799</v>
      </c>
      <c r="C151" s="166" t="s">
        <v>728</v>
      </c>
      <c r="D151" s="166"/>
      <c r="E151" s="166"/>
      <c r="F151" s="166"/>
      <c r="G151" s="166"/>
      <c r="H151" s="166"/>
      <c r="J151" s="594" t="s">
        <v>799</v>
      </c>
      <c r="K151" s="2245" t="s">
        <v>3751</v>
      </c>
      <c r="L151" s="2246"/>
      <c r="M151" s="2246"/>
      <c r="N151" s="2246"/>
      <c r="O151" s="2246"/>
      <c r="P151" s="2261"/>
      <c r="Q151" s="794"/>
    </row>
    <row r="152" spans="1:31" ht="12" customHeight="1">
      <c r="A152" s="165"/>
      <c r="B152" s="55" t="s">
        <v>2253</v>
      </c>
      <c r="C152" s="166" t="s">
        <v>3540</v>
      </c>
      <c r="D152" s="166"/>
      <c r="E152" s="166"/>
      <c r="F152" s="166"/>
      <c r="G152" s="166"/>
      <c r="H152" s="166"/>
      <c r="J152" s="594"/>
      <c r="K152" s="594"/>
      <c r="L152" s="594"/>
      <c r="M152" s="594"/>
      <c r="N152" s="594"/>
      <c r="O152" s="594" t="s">
        <v>2253</v>
      </c>
      <c r="P152" s="2195" t="s">
        <v>3701</v>
      </c>
      <c r="Q152" s="794"/>
    </row>
    <row r="153" spans="1:31" ht="12" customHeight="1">
      <c r="B153" s="167" t="s">
        <v>1995</v>
      </c>
      <c r="D153" s="167"/>
      <c r="E153" s="167"/>
      <c r="F153" s="167"/>
      <c r="G153" s="167"/>
      <c r="H153" s="48"/>
      <c r="I153" s="1177"/>
      <c r="J153" s="1177"/>
      <c r="K153" s="1177"/>
      <c r="L153" s="1159"/>
      <c r="M153" s="1159"/>
      <c r="N153" s="1159"/>
      <c r="O153" s="1159"/>
      <c r="P153" s="1159"/>
      <c r="Q153" s="60"/>
    </row>
    <row r="154" spans="1:31" ht="11.45" customHeight="1">
      <c r="A154" s="2199" t="s">
        <v>3803</v>
      </c>
      <c r="B154" s="2200"/>
      <c r="C154" s="2200"/>
      <c r="D154" s="2200"/>
      <c r="E154" s="2200"/>
      <c r="F154" s="2200"/>
      <c r="G154" s="2200"/>
      <c r="H154" s="2200"/>
      <c r="I154" s="2200"/>
      <c r="J154" s="2200"/>
      <c r="K154" s="2200"/>
      <c r="L154" s="2200"/>
      <c r="M154" s="2200"/>
      <c r="N154" s="2200"/>
      <c r="O154" s="2200"/>
      <c r="P154" s="2200"/>
      <c r="Q154" s="2201"/>
      <c r="U154" s="162"/>
      <c r="V154" s="162"/>
      <c r="W154" s="162"/>
      <c r="X154" s="162"/>
      <c r="Y154" s="162"/>
      <c r="Z154" s="162"/>
      <c r="AA154" s="162"/>
      <c r="AB154" s="162"/>
      <c r="AC154" s="162"/>
      <c r="AD154" s="162"/>
      <c r="AE154" s="596"/>
    </row>
    <row r="155" spans="1:31" ht="12" customHeight="1">
      <c r="B155" s="163" t="s">
        <v>1996</v>
      </c>
      <c r="C155" s="164"/>
      <c r="D155" s="1164"/>
      <c r="E155" s="1164"/>
      <c r="F155" s="1164"/>
      <c r="G155" s="1164"/>
      <c r="H155" s="1164"/>
      <c r="I155" s="1164"/>
      <c r="J155" s="1164"/>
      <c r="K155" s="1164"/>
      <c r="L155" s="1164"/>
      <c r="M155" s="1164"/>
      <c r="N155" s="1164"/>
      <c r="O155" s="1164"/>
      <c r="P155" s="1164"/>
      <c r="Q155" s="1164"/>
    </row>
    <row r="156" spans="1:31" ht="11.45" customHeight="1">
      <c r="A156" s="1417"/>
      <c r="B156" s="1418"/>
      <c r="C156" s="1418"/>
      <c r="D156" s="1418"/>
      <c r="E156" s="1418"/>
      <c r="F156" s="1418"/>
      <c r="G156" s="1418"/>
      <c r="H156" s="1418"/>
      <c r="I156" s="1418"/>
      <c r="J156" s="1418"/>
      <c r="K156" s="1418"/>
      <c r="L156" s="1418"/>
      <c r="M156" s="1418"/>
      <c r="N156" s="1418"/>
      <c r="O156" s="1418"/>
      <c r="P156" s="1418"/>
      <c r="Q156" s="1419"/>
    </row>
    <row r="157" spans="1:31" ht="3" customHeight="1">
      <c r="A157" s="1159"/>
      <c r="B157" s="1177"/>
      <c r="C157" s="1164"/>
      <c r="D157" s="1164"/>
      <c r="E157" s="1164"/>
      <c r="F157" s="1164"/>
      <c r="G157" s="1164"/>
      <c r="H157" s="1164"/>
      <c r="I157" s="1164"/>
      <c r="J157" s="1164"/>
      <c r="K157" s="1164"/>
      <c r="L157" s="1164"/>
      <c r="M157" s="1164"/>
      <c r="Q157" s="1159"/>
    </row>
    <row r="158" spans="1:31" ht="13.9" customHeight="1">
      <c r="A158" s="1168">
        <v>9</v>
      </c>
      <c r="B158" s="1168" t="s">
        <v>2854</v>
      </c>
      <c r="C158" s="1168"/>
      <c r="D158" s="1164"/>
      <c r="E158" s="1164"/>
      <c r="F158" s="1164"/>
      <c r="G158" s="1164"/>
      <c r="H158" s="1164"/>
      <c r="I158" s="1164"/>
      <c r="J158" s="1164"/>
      <c r="K158" s="1164"/>
      <c r="L158" s="1164"/>
      <c r="M158" s="1164"/>
      <c r="O158" s="157" t="s">
        <v>1997</v>
      </c>
      <c r="P158" s="1415"/>
      <c r="Q158" s="1416"/>
    </row>
    <row r="159" spans="1:31" ht="21.75" customHeight="1">
      <c r="B159" s="168" t="s">
        <v>2118</v>
      </c>
      <c r="C159" s="1413" t="s">
        <v>3524</v>
      </c>
      <c r="D159" s="1413"/>
      <c r="E159" s="1413"/>
      <c r="F159" s="1413"/>
      <c r="G159" s="1413"/>
      <c r="H159" s="1413"/>
      <c r="I159" s="1413"/>
      <c r="J159" s="1413"/>
      <c r="K159" s="1413"/>
      <c r="L159" s="1413"/>
      <c r="M159" s="1413"/>
      <c r="N159" s="1413"/>
      <c r="O159" s="193" t="s">
        <v>2118</v>
      </c>
      <c r="P159" s="2195" t="s">
        <v>3701</v>
      </c>
      <c r="Q159" s="794"/>
    </row>
    <row r="160" spans="1:31" ht="22.15" customHeight="1">
      <c r="B160" s="168" t="s">
        <v>2121</v>
      </c>
      <c r="C160" s="1413" t="s">
        <v>2678</v>
      </c>
      <c r="D160" s="1413"/>
      <c r="E160" s="1413"/>
      <c r="F160" s="1413"/>
      <c r="G160" s="1413"/>
      <c r="H160" s="1413"/>
      <c r="I160" s="1413"/>
      <c r="J160" s="1413"/>
      <c r="K160" s="1413"/>
      <c r="L160" s="1413"/>
      <c r="M160" s="1413"/>
      <c r="N160" s="1413"/>
      <c r="O160" s="193" t="s">
        <v>2121</v>
      </c>
      <c r="P160" s="2195"/>
      <c r="Q160" s="794"/>
    </row>
    <row r="161" spans="1:32" ht="21.75" customHeight="1">
      <c r="B161" s="168" t="s">
        <v>799</v>
      </c>
      <c r="C161" s="1413" t="s">
        <v>2837</v>
      </c>
      <c r="D161" s="1413"/>
      <c r="E161" s="1413"/>
      <c r="F161" s="1413"/>
      <c r="G161" s="1413"/>
      <c r="H161" s="1413"/>
      <c r="I161" s="1413"/>
      <c r="J161" s="1413"/>
      <c r="K161" s="1413"/>
      <c r="L161" s="1413"/>
      <c r="M161" s="1413"/>
      <c r="N161" s="1413"/>
      <c r="O161" s="193" t="s">
        <v>799</v>
      </c>
      <c r="P161" s="2195"/>
      <c r="Q161" s="794"/>
    </row>
    <row r="162" spans="1:32" ht="12" customHeight="1">
      <c r="B162" s="167" t="s">
        <v>1995</v>
      </c>
      <c r="D162" s="167"/>
      <c r="E162" s="167"/>
      <c r="F162" s="167"/>
      <c r="G162" s="167"/>
      <c r="H162" s="48"/>
      <c r="I162" s="1177"/>
      <c r="J162" s="1177"/>
      <c r="K162" s="1177"/>
      <c r="L162" s="1159"/>
      <c r="M162" s="1159"/>
      <c r="N162" s="1159"/>
      <c r="O162" s="1159"/>
      <c r="P162" s="1159"/>
      <c r="Q162" s="60"/>
    </row>
    <row r="163" spans="1:32" ht="11.45" customHeight="1">
      <c r="A163" s="2199"/>
      <c r="B163" s="2200"/>
      <c r="C163" s="2200"/>
      <c r="D163" s="2200"/>
      <c r="E163" s="2200"/>
      <c r="F163" s="2200"/>
      <c r="G163" s="2200"/>
      <c r="H163" s="2200"/>
      <c r="I163" s="2200"/>
      <c r="J163" s="2200"/>
      <c r="K163" s="2200"/>
      <c r="L163" s="2200"/>
      <c r="M163" s="2200"/>
      <c r="N163" s="2200"/>
      <c r="O163" s="2200"/>
      <c r="P163" s="2200"/>
      <c r="Q163" s="2201"/>
      <c r="U163" s="162"/>
      <c r="V163" s="162"/>
      <c r="W163" s="162"/>
      <c r="X163" s="162"/>
      <c r="Y163" s="162"/>
      <c r="Z163" s="162"/>
      <c r="AA163" s="162"/>
      <c r="AB163" s="162"/>
      <c r="AC163" s="162"/>
      <c r="AD163" s="162"/>
      <c r="AE163" s="596"/>
    </row>
    <row r="164" spans="1:32" ht="12" customHeight="1">
      <c r="B164" s="163" t="s">
        <v>1996</v>
      </c>
      <c r="C164" s="164"/>
      <c r="D164" s="1164"/>
      <c r="E164" s="1164"/>
      <c r="F164" s="1164"/>
      <c r="G164" s="1164"/>
      <c r="H164" s="1164"/>
      <c r="I164" s="1164"/>
      <c r="J164" s="1164"/>
      <c r="K164" s="1164"/>
      <c r="L164" s="1164"/>
      <c r="M164" s="1164"/>
      <c r="N164" s="1164"/>
      <c r="O164" s="1164"/>
      <c r="P164" s="1164"/>
      <c r="Q164" s="1164"/>
    </row>
    <row r="165" spans="1:32" ht="11.45" customHeight="1">
      <c r="A165" s="1417"/>
      <c r="B165" s="1418"/>
      <c r="C165" s="1418"/>
      <c r="D165" s="1418"/>
      <c r="E165" s="1418"/>
      <c r="F165" s="1418"/>
      <c r="G165" s="1418"/>
      <c r="H165" s="1418"/>
      <c r="I165" s="1418"/>
      <c r="J165" s="1418"/>
      <c r="K165" s="1418"/>
      <c r="L165" s="1418"/>
      <c r="M165" s="1418"/>
      <c r="N165" s="1418"/>
      <c r="O165" s="1418"/>
      <c r="P165" s="1418"/>
      <c r="Q165" s="1419"/>
    </row>
    <row r="166" spans="1:32" ht="3" customHeight="1">
      <c r="B166" s="1177"/>
      <c r="C166" s="1164"/>
      <c r="D166" s="1164"/>
      <c r="E166" s="1164"/>
      <c r="F166" s="1164"/>
      <c r="G166" s="1164"/>
      <c r="H166" s="1164"/>
      <c r="I166" s="1164"/>
      <c r="J166" s="1164"/>
      <c r="K166" s="1164"/>
      <c r="L166" s="1164"/>
      <c r="M166" s="1164"/>
      <c r="N166" s="1164"/>
      <c r="O166" s="1164"/>
      <c r="P166" s="1164"/>
      <c r="Q166" s="1159"/>
    </row>
    <row r="167" spans="1:32" ht="13.9" customHeight="1">
      <c r="A167" s="1147">
        <v>10</v>
      </c>
      <c r="B167" s="1462" t="s">
        <v>2855</v>
      </c>
      <c r="C167" s="1462"/>
      <c r="D167" s="1462"/>
      <c r="O167" s="157" t="s">
        <v>1997</v>
      </c>
      <c r="P167" s="1415"/>
      <c r="Q167" s="1416"/>
    </row>
    <row r="168" spans="1:32" ht="12" customHeight="1">
      <c r="B168" s="168" t="s">
        <v>2118</v>
      </c>
      <c r="C168" s="173" t="s">
        <v>497</v>
      </c>
      <c r="D168" s="173"/>
      <c r="E168" s="173"/>
      <c r="F168" s="173"/>
      <c r="G168" s="173"/>
      <c r="H168" s="173"/>
      <c r="I168" s="173"/>
      <c r="J168" s="173"/>
      <c r="K168" s="173"/>
      <c r="L168" s="173"/>
      <c r="M168" s="173"/>
      <c r="O168" s="193" t="s">
        <v>2118</v>
      </c>
      <c r="P168" s="2195" t="s">
        <v>3701</v>
      </c>
      <c r="Q168" s="794"/>
    </row>
    <row r="169" spans="1:32" ht="12" customHeight="1">
      <c r="B169" s="168" t="s">
        <v>2121</v>
      </c>
      <c r="C169" s="173" t="s">
        <v>2838</v>
      </c>
      <c r="D169" s="173"/>
      <c r="E169" s="173"/>
      <c r="F169" s="173"/>
      <c r="G169" s="173"/>
      <c r="H169" s="173"/>
      <c r="I169" s="173"/>
      <c r="J169" s="173"/>
      <c r="K169" s="173"/>
      <c r="L169" s="173"/>
      <c r="M169" s="173"/>
      <c r="O169" s="193" t="s">
        <v>2121</v>
      </c>
      <c r="P169" s="2195" t="s">
        <v>3701</v>
      </c>
      <c r="Q169" s="794"/>
    </row>
    <row r="170" spans="1:32" ht="12" customHeight="1">
      <c r="B170" s="168" t="s">
        <v>799</v>
      </c>
      <c r="C170" s="173" t="s">
        <v>2839</v>
      </c>
      <c r="D170" s="173"/>
      <c r="E170" s="173"/>
      <c r="F170" s="173"/>
      <c r="G170" s="173"/>
      <c r="H170" s="173"/>
      <c r="I170" s="173"/>
      <c r="J170" s="173"/>
      <c r="K170" s="173"/>
      <c r="L170" s="173"/>
      <c r="M170" s="173"/>
      <c r="O170" s="193" t="s">
        <v>799</v>
      </c>
      <c r="P170" s="2195" t="s">
        <v>3701</v>
      </c>
      <c r="Q170" s="794"/>
    </row>
    <row r="171" spans="1:32" ht="12" customHeight="1">
      <c r="B171" s="168"/>
      <c r="C171" s="173" t="s">
        <v>2827</v>
      </c>
      <c r="D171" s="173"/>
      <c r="E171" s="558" t="s">
        <v>1859</v>
      </c>
      <c r="F171" s="173" t="s">
        <v>2840</v>
      </c>
      <c r="G171" s="173"/>
      <c r="H171" s="173"/>
      <c r="I171" s="173"/>
      <c r="J171" s="173"/>
      <c r="K171" s="173"/>
      <c r="L171" s="173"/>
      <c r="M171" s="173"/>
      <c r="O171" s="558" t="s">
        <v>1859</v>
      </c>
      <c r="P171" s="2195" t="s">
        <v>3701</v>
      </c>
      <c r="Q171" s="794"/>
    </row>
    <row r="172" spans="1:32" ht="12" customHeight="1">
      <c r="B172" s="168"/>
      <c r="C172" s="173"/>
      <c r="D172" s="173"/>
      <c r="E172" s="558" t="s">
        <v>1860</v>
      </c>
      <c r="F172" s="173" t="s">
        <v>2841</v>
      </c>
      <c r="G172" s="173"/>
      <c r="H172" s="173"/>
      <c r="I172" s="173"/>
      <c r="J172" s="173"/>
      <c r="K172" s="173"/>
      <c r="L172" s="173"/>
      <c r="M172" s="173"/>
      <c r="O172" s="558" t="s">
        <v>1860</v>
      </c>
      <c r="P172" s="2195" t="s">
        <v>3701</v>
      </c>
      <c r="Q172" s="794"/>
    </row>
    <row r="173" spans="1:32" s="158" customFormat="1" ht="21.75" customHeight="1">
      <c r="B173" s="168"/>
      <c r="C173" s="173"/>
      <c r="D173" s="173"/>
      <c r="E173" s="193" t="s">
        <v>1861</v>
      </c>
      <c r="F173" s="1413" t="s">
        <v>2842</v>
      </c>
      <c r="G173" s="1413"/>
      <c r="H173" s="1413"/>
      <c r="I173" s="1413"/>
      <c r="J173" s="1413"/>
      <c r="K173" s="1413"/>
      <c r="L173" s="1413"/>
      <c r="M173" s="1413"/>
      <c r="N173" s="1413"/>
      <c r="O173" s="193" t="s">
        <v>1861</v>
      </c>
      <c r="P173" s="2250" t="s">
        <v>3701</v>
      </c>
      <c r="Q173" s="814"/>
      <c r="AE173" s="597"/>
      <c r="AF173" s="597"/>
    </row>
    <row r="174" spans="1:32" ht="12" customHeight="1">
      <c r="B174" s="168"/>
      <c r="C174" s="173"/>
      <c r="D174" s="173"/>
      <c r="E174" s="558" t="s">
        <v>2519</v>
      </c>
      <c r="F174" s="173" t="s">
        <v>2843</v>
      </c>
      <c r="G174" s="173"/>
      <c r="H174" s="173"/>
      <c r="I174" s="173"/>
      <c r="J174" s="173"/>
      <c r="K174" s="173"/>
      <c r="L174" s="173"/>
      <c r="M174" s="173"/>
      <c r="O174" s="558" t="s">
        <v>2519</v>
      </c>
      <c r="P174" s="2195" t="s">
        <v>3701</v>
      </c>
      <c r="Q174" s="794"/>
    </row>
    <row r="175" spans="1:32" s="158" customFormat="1" ht="21.75" customHeight="1">
      <c r="B175" s="168"/>
      <c r="C175" s="173"/>
      <c r="D175" s="173"/>
      <c r="E175" s="193" t="s">
        <v>1657</v>
      </c>
      <c r="F175" s="1413" t="s">
        <v>2844</v>
      </c>
      <c r="G175" s="1413"/>
      <c r="H175" s="1413"/>
      <c r="I175" s="1413"/>
      <c r="J175" s="1413"/>
      <c r="K175" s="1413"/>
      <c r="L175" s="1413"/>
      <c r="M175" s="1413"/>
      <c r="N175" s="1413"/>
      <c r="O175" s="193" t="s">
        <v>1657</v>
      </c>
      <c r="P175" s="2250" t="s">
        <v>3702</v>
      </c>
      <c r="Q175" s="814"/>
      <c r="AE175" s="597"/>
      <c r="AF175" s="597"/>
    </row>
    <row r="176" spans="1:32" ht="21.75" customHeight="1">
      <c r="B176" s="168" t="s">
        <v>2253</v>
      </c>
      <c r="C176" s="1413" t="s">
        <v>2845</v>
      </c>
      <c r="D176" s="1413"/>
      <c r="E176" s="1413"/>
      <c r="F176" s="1413"/>
      <c r="G176" s="1413"/>
      <c r="H176" s="1413"/>
      <c r="I176" s="1413"/>
      <c r="J176" s="1413"/>
      <c r="K176" s="1413"/>
      <c r="L176" s="1413"/>
      <c r="M176" s="1413"/>
      <c r="N176" s="1413"/>
      <c r="O176" s="193" t="s">
        <v>2253</v>
      </c>
      <c r="P176" s="2195" t="s">
        <v>3701</v>
      </c>
      <c r="Q176" s="794"/>
    </row>
    <row r="177" spans="1:31" ht="12" customHeight="1">
      <c r="B177" s="168" t="s">
        <v>1857</v>
      </c>
      <c r="C177" s="173" t="s">
        <v>2535</v>
      </c>
      <c r="D177" s="173"/>
      <c r="E177" s="173"/>
      <c r="F177" s="173"/>
      <c r="G177" s="173"/>
      <c r="H177" s="173"/>
      <c r="I177" s="173"/>
      <c r="J177" s="173"/>
      <c r="K177" s="173"/>
      <c r="L177" s="173"/>
      <c r="M177" s="173"/>
      <c r="O177" s="193" t="s">
        <v>1857</v>
      </c>
      <c r="P177" s="2195" t="s">
        <v>3701</v>
      </c>
      <c r="Q177" s="794"/>
    </row>
    <row r="178" spans="1:31" ht="12" customHeight="1">
      <c r="B178" s="167" t="s">
        <v>1995</v>
      </c>
      <c r="D178" s="167"/>
      <c r="E178" s="167"/>
      <c r="F178" s="167"/>
      <c r="G178" s="167"/>
      <c r="H178" s="48"/>
      <c r="I178" s="1177"/>
      <c r="J178" s="1177"/>
      <c r="K178" s="1177"/>
      <c r="L178" s="1159"/>
      <c r="M178" s="1159"/>
      <c r="N178" s="1159"/>
      <c r="O178" s="1159"/>
      <c r="P178" s="1159"/>
      <c r="Q178" s="60"/>
    </row>
    <row r="179" spans="1:31" ht="11.45" customHeight="1">
      <c r="A179" s="2199"/>
      <c r="B179" s="2200"/>
      <c r="C179" s="2200"/>
      <c r="D179" s="2200"/>
      <c r="E179" s="2200"/>
      <c r="F179" s="2200"/>
      <c r="G179" s="2200"/>
      <c r="H179" s="2200"/>
      <c r="I179" s="2200"/>
      <c r="J179" s="2200"/>
      <c r="K179" s="2200"/>
      <c r="L179" s="2200"/>
      <c r="M179" s="2200"/>
      <c r="N179" s="2200"/>
      <c r="O179" s="2200"/>
      <c r="P179" s="2200"/>
      <c r="Q179" s="2201"/>
      <c r="U179" s="162"/>
      <c r="V179" s="162"/>
      <c r="W179" s="162"/>
      <c r="X179" s="162"/>
      <c r="Y179" s="162"/>
      <c r="Z179" s="162"/>
      <c r="AA179" s="162"/>
      <c r="AB179" s="162"/>
      <c r="AC179" s="162"/>
      <c r="AD179" s="162"/>
      <c r="AE179" s="596"/>
    </row>
    <row r="180" spans="1:31" ht="12" customHeight="1">
      <c r="B180" s="163" t="s">
        <v>1996</v>
      </c>
      <c r="C180" s="164"/>
      <c r="D180" s="1164"/>
      <c r="E180" s="1164"/>
      <c r="F180" s="1164"/>
      <c r="G180" s="1164"/>
      <c r="H180" s="1164"/>
      <c r="I180" s="1164"/>
      <c r="J180" s="1164"/>
      <c r="K180" s="1164"/>
      <c r="L180" s="1164"/>
      <c r="M180" s="1164"/>
      <c r="N180" s="1164"/>
      <c r="O180" s="1164"/>
      <c r="P180" s="1164"/>
      <c r="Q180" s="1164"/>
    </row>
    <row r="181" spans="1:31" ht="11.45" customHeight="1">
      <c r="A181" s="1417"/>
      <c r="B181" s="1418"/>
      <c r="C181" s="1418"/>
      <c r="D181" s="1418"/>
      <c r="E181" s="1418"/>
      <c r="F181" s="1418"/>
      <c r="G181" s="1418"/>
      <c r="H181" s="1418"/>
      <c r="I181" s="1418"/>
      <c r="J181" s="1418"/>
      <c r="K181" s="1418"/>
      <c r="L181" s="1418"/>
      <c r="M181" s="1418"/>
      <c r="N181" s="1418"/>
      <c r="O181" s="1418"/>
      <c r="P181" s="1418"/>
      <c r="Q181" s="1419"/>
    </row>
    <row r="182" spans="1:31" ht="3" customHeight="1">
      <c r="A182" s="1159"/>
      <c r="B182" s="1177"/>
      <c r="C182" s="1164"/>
      <c r="D182" s="1164"/>
      <c r="E182" s="1164"/>
      <c r="F182" s="1164"/>
      <c r="G182" s="1164"/>
      <c r="H182" s="1164"/>
      <c r="I182" s="1164"/>
      <c r="J182" s="1164"/>
      <c r="K182" s="1164"/>
      <c r="L182" s="1164"/>
      <c r="M182" s="1164"/>
      <c r="N182" s="1164"/>
      <c r="O182" s="1164"/>
      <c r="P182" s="1164"/>
      <c r="Q182" s="1159"/>
    </row>
    <row r="183" spans="1:31" ht="13.9" customHeight="1">
      <c r="A183" s="1168">
        <v>11</v>
      </c>
      <c r="B183" s="1168" t="s">
        <v>2856</v>
      </c>
      <c r="C183" s="1168"/>
      <c r="D183" s="1164"/>
      <c r="E183" s="174"/>
      <c r="F183" s="174"/>
      <c r="G183" s="1164"/>
      <c r="J183" s="557"/>
      <c r="K183" s="642"/>
      <c r="L183" s="642"/>
      <c r="M183" s="642"/>
      <c r="N183" s="642"/>
      <c r="O183" s="157" t="s">
        <v>1997</v>
      </c>
      <c r="P183" s="1415"/>
      <c r="Q183" s="1416"/>
    </row>
    <row r="184" spans="1:31" ht="12" customHeight="1">
      <c r="A184" s="165"/>
      <c r="B184" s="55" t="s">
        <v>2118</v>
      </c>
      <c r="C184" s="1413" t="s">
        <v>100</v>
      </c>
      <c r="D184" s="1413"/>
      <c r="E184" s="1413"/>
      <c r="F184" s="1413"/>
      <c r="G184" s="1413"/>
      <c r="H184" s="78" t="s">
        <v>1859</v>
      </c>
      <c r="I184" s="62" t="s">
        <v>158</v>
      </c>
      <c r="K184" s="2223" t="s">
        <v>1029</v>
      </c>
      <c r="L184" s="2224"/>
      <c r="M184" s="2224"/>
      <c r="N184" s="2225"/>
      <c r="O184" s="78" t="s">
        <v>1859</v>
      </c>
      <c r="P184" s="2195" t="s">
        <v>3702</v>
      </c>
      <c r="Q184" s="794"/>
    </row>
    <row r="185" spans="1:31" ht="12" customHeight="1">
      <c r="A185" s="165"/>
      <c r="B185" s="1177"/>
      <c r="C185" s="121"/>
      <c r="D185" s="121"/>
      <c r="E185" s="121"/>
      <c r="F185" s="121"/>
      <c r="H185" s="78" t="s">
        <v>1860</v>
      </c>
      <c r="I185" s="62" t="s">
        <v>1704</v>
      </c>
      <c r="K185" s="2229" t="s">
        <v>3804</v>
      </c>
      <c r="L185" s="2230"/>
      <c r="M185" s="2230"/>
      <c r="N185" s="2231"/>
      <c r="O185" s="78" t="s">
        <v>1860</v>
      </c>
      <c r="P185" s="2195" t="s">
        <v>3701</v>
      </c>
      <c r="Q185" s="794"/>
    </row>
    <row r="186" spans="1:31" ht="12" customHeight="1">
      <c r="B186" s="167" t="s">
        <v>1995</v>
      </c>
      <c r="D186" s="167"/>
      <c r="E186" s="167"/>
      <c r="F186" s="167"/>
      <c r="G186" s="167"/>
      <c r="J186" s="1177"/>
      <c r="K186" s="1177"/>
      <c r="L186" s="1159"/>
      <c r="M186" s="1159"/>
      <c r="N186" s="1159"/>
      <c r="O186" s="1159"/>
      <c r="P186" s="1159"/>
      <c r="Q186" s="60"/>
    </row>
    <row r="187" spans="1:31" ht="11.45" customHeight="1">
      <c r="A187" s="2199"/>
      <c r="B187" s="2200"/>
      <c r="C187" s="2200"/>
      <c r="D187" s="2200"/>
      <c r="E187" s="2200"/>
      <c r="F187" s="2200"/>
      <c r="G187" s="2200"/>
      <c r="H187" s="2200"/>
      <c r="I187" s="2200"/>
      <c r="J187" s="2200"/>
      <c r="K187" s="2200"/>
      <c r="L187" s="2200"/>
      <c r="M187" s="2200"/>
      <c r="N187" s="2200"/>
      <c r="O187" s="2200"/>
      <c r="P187" s="2200"/>
      <c r="Q187" s="2201"/>
      <c r="U187" s="162"/>
      <c r="V187" s="162"/>
      <c r="W187" s="162"/>
      <c r="X187" s="162"/>
      <c r="Y187" s="162"/>
      <c r="Z187" s="162"/>
      <c r="AA187" s="162"/>
      <c r="AB187" s="162"/>
      <c r="AC187" s="162"/>
      <c r="AD187" s="162"/>
      <c r="AE187" s="596"/>
    </row>
    <row r="188" spans="1:31" ht="12" customHeight="1">
      <c r="B188" s="163" t="s">
        <v>1996</v>
      </c>
      <c r="C188" s="164"/>
      <c r="D188" s="1164"/>
      <c r="E188" s="1164"/>
      <c r="F188" s="1164"/>
      <c r="G188" s="1164"/>
      <c r="H188" s="1164"/>
      <c r="I188" s="1164"/>
      <c r="J188" s="1164"/>
      <c r="K188" s="1164"/>
      <c r="L188" s="1164"/>
      <c r="M188" s="1164"/>
      <c r="N188" s="1164"/>
      <c r="O188" s="1164"/>
      <c r="P188" s="1164"/>
      <c r="Q188" s="1164"/>
    </row>
    <row r="189" spans="1:31" ht="11.45" customHeight="1">
      <c r="A189" s="1417"/>
      <c r="B189" s="1418"/>
      <c r="C189" s="1418"/>
      <c r="D189" s="1418"/>
      <c r="E189" s="1418"/>
      <c r="F189" s="1418"/>
      <c r="G189" s="1418"/>
      <c r="H189" s="1418"/>
      <c r="I189" s="1418"/>
      <c r="J189" s="1418"/>
      <c r="K189" s="1418"/>
      <c r="L189" s="1418"/>
      <c r="M189" s="1418"/>
      <c r="N189" s="1418"/>
      <c r="O189" s="1418"/>
      <c r="P189" s="1418"/>
      <c r="Q189" s="1419"/>
    </row>
    <row r="190" spans="1:31" ht="4.1500000000000004" customHeight="1">
      <c r="B190" s="1177"/>
      <c r="C190" s="1164"/>
      <c r="D190" s="1164"/>
      <c r="E190" s="1164"/>
      <c r="F190" s="1164"/>
      <c r="G190" s="1164"/>
      <c r="H190" s="1164"/>
      <c r="I190" s="1164"/>
      <c r="J190" s="1164"/>
      <c r="K190" s="1164"/>
      <c r="L190" s="1164"/>
      <c r="M190" s="1164"/>
      <c r="Q190" s="60"/>
    </row>
    <row r="191" spans="1:31" ht="13.9" customHeight="1">
      <c r="A191" s="1168">
        <v>12</v>
      </c>
      <c r="B191" s="5" t="s">
        <v>2857</v>
      </c>
      <c r="C191" s="5"/>
      <c r="D191" s="101"/>
      <c r="E191" s="101"/>
      <c r="F191" s="101"/>
      <c r="G191" s="1164"/>
      <c r="H191" s="1164"/>
      <c r="I191" s="1164"/>
      <c r="J191" s="1164"/>
      <c r="K191" s="1164"/>
      <c r="L191" s="1164"/>
      <c r="M191" s="1164"/>
      <c r="O191" s="157" t="s">
        <v>1997</v>
      </c>
      <c r="P191" s="1415"/>
      <c r="Q191" s="1416"/>
    </row>
    <row r="192" spans="1:31" ht="4.1500000000000004" customHeight="1"/>
    <row r="193" spans="1:31" ht="11.45" customHeight="1">
      <c r="B193" s="168" t="s">
        <v>2118</v>
      </c>
      <c r="C193" s="720" t="s">
        <v>1859</v>
      </c>
      <c r="D193" s="499" t="s">
        <v>547</v>
      </c>
      <c r="E193" s="499"/>
      <c r="F193" s="499"/>
      <c r="G193" s="499"/>
      <c r="H193" s="499"/>
      <c r="I193" s="499"/>
      <c r="J193" s="499"/>
      <c r="K193" s="499"/>
      <c r="L193" s="499"/>
      <c r="M193" s="499"/>
      <c r="N193" s="499"/>
      <c r="O193" s="193" t="s">
        <v>1588</v>
      </c>
      <c r="P193" s="2195" t="s">
        <v>3702</v>
      </c>
      <c r="Q193" s="794"/>
    </row>
    <row r="194" spans="1:31" ht="11.45" customHeight="1">
      <c r="B194" s="168"/>
      <c r="C194" s="720" t="s">
        <v>1860</v>
      </c>
      <c r="D194" s="499" t="s">
        <v>1565</v>
      </c>
      <c r="E194" s="499"/>
      <c r="F194" s="499"/>
      <c r="G194" s="499"/>
      <c r="H194" s="499"/>
      <c r="I194" s="499"/>
      <c r="J194" s="499"/>
      <c r="K194" s="499"/>
      <c r="L194" s="499"/>
      <c r="M194" s="499"/>
      <c r="N194" s="499"/>
      <c r="O194" s="193" t="s">
        <v>1860</v>
      </c>
      <c r="P194" s="2195" t="s">
        <v>3702</v>
      </c>
      <c r="Q194" s="794"/>
    </row>
    <row r="195" spans="1:31" ht="11.45" customHeight="1">
      <c r="A195" s="165"/>
      <c r="B195" s="168" t="s">
        <v>2121</v>
      </c>
      <c r="C195" s="1413" t="s">
        <v>1978</v>
      </c>
      <c r="D195" s="1413"/>
      <c r="E195" s="1413"/>
      <c r="F195" s="1413"/>
      <c r="G195" s="1413"/>
      <c r="H195" s="78" t="s">
        <v>1859</v>
      </c>
      <c r="I195" s="62" t="s">
        <v>676</v>
      </c>
      <c r="K195" s="2223" t="s">
        <v>3805</v>
      </c>
      <c r="L195" s="2224"/>
      <c r="M195" s="2224"/>
      <c r="N195" s="2225"/>
      <c r="O195" s="78" t="s">
        <v>1542</v>
      </c>
      <c r="P195" s="2195" t="s">
        <v>3701</v>
      </c>
      <c r="Q195" s="794"/>
    </row>
    <row r="196" spans="1:31" ht="11.45" customHeight="1">
      <c r="A196" s="165"/>
      <c r="B196" s="1174"/>
      <c r="C196" s="1413"/>
      <c r="D196" s="1413"/>
      <c r="E196" s="1413"/>
      <c r="F196" s="1413"/>
      <c r="G196" s="1413"/>
      <c r="H196" s="78" t="s">
        <v>1860</v>
      </c>
      <c r="I196" s="62" t="s">
        <v>119</v>
      </c>
      <c r="K196" s="2229" t="s">
        <v>3805</v>
      </c>
      <c r="L196" s="2230"/>
      <c r="M196" s="2230"/>
      <c r="N196" s="2231"/>
      <c r="O196" s="78" t="s">
        <v>1860</v>
      </c>
      <c r="P196" s="2195" t="s">
        <v>3701</v>
      </c>
      <c r="Q196" s="794"/>
    </row>
    <row r="197" spans="1:31" ht="11.25" customHeight="1">
      <c r="B197" s="167" t="s">
        <v>1995</v>
      </c>
      <c r="D197" s="167"/>
      <c r="E197" s="167"/>
      <c r="F197" s="167"/>
      <c r="G197" s="167"/>
      <c r="H197" s="48"/>
      <c r="I197" s="1177"/>
      <c r="J197" s="1177"/>
      <c r="K197" s="1177"/>
      <c r="L197" s="1159"/>
      <c r="M197" s="1159"/>
      <c r="N197" s="1159"/>
      <c r="O197" s="1159"/>
      <c r="P197" s="1159"/>
      <c r="Q197" s="60"/>
    </row>
    <row r="198" spans="1:31" ht="11.45" customHeight="1">
      <c r="A198" s="2199"/>
      <c r="B198" s="2200"/>
      <c r="C198" s="2200"/>
      <c r="D198" s="2200"/>
      <c r="E198" s="2200"/>
      <c r="F198" s="2200"/>
      <c r="G198" s="2200"/>
      <c r="H198" s="2200"/>
      <c r="I198" s="2200"/>
      <c r="J198" s="2200"/>
      <c r="K198" s="2200"/>
      <c r="L198" s="2200"/>
      <c r="M198" s="2200"/>
      <c r="N198" s="2200"/>
      <c r="O198" s="2200"/>
      <c r="P198" s="2200"/>
      <c r="Q198" s="2201"/>
      <c r="U198" s="162"/>
      <c r="V198" s="162"/>
      <c r="W198" s="162"/>
      <c r="X198" s="162"/>
      <c r="Y198" s="162"/>
      <c r="Z198" s="162"/>
      <c r="AA198" s="162"/>
      <c r="AB198" s="162"/>
      <c r="AC198" s="162"/>
      <c r="AD198" s="162"/>
      <c r="AE198" s="596"/>
    </row>
    <row r="199" spans="1:31" ht="11.25" customHeight="1">
      <c r="B199" s="163" t="s">
        <v>1996</v>
      </c>
      <c r="C199" s="164"/>
      <c r="D199" s="1164"/>
      <c r="E199" s="1164"/>
      <c r="F199" s="1164"/>
      <c r="G199" s="1164"/>
      <c r="H199" s="1164"/>
      <c r="I199" s="1164"/>
      <c r="J199" s="1164"/>
      <c r="K199" s="1164"/>
      <c r="L199" s="1164"/>
      <c r="M199" s="1164"/>
      <c r="N199" s="1164"/>
      <c r="O199" s="1164"/>
      <c r="P199" s="1164"/>
      <c r="Q199" s="1164"/>
    </row>
    <row r="200" spans="1:31" ht="11.45" customHeight="1">
      <c r="A200" s="1417"/>
      <c r="B200" s="1418"/>
      <c r="C200" s="1418"/>
      <c r="D200" s="1418"/>
      <c r="E200" s="1418"/>
      <c r="F200" s="1418"/>
      <c r="G200" s="1418"/>
      <c r="H200" s="1418"/>
      <c r="I200" s="1418"/>
      <c r="J200" s="1418"/>
      <c r="K200" s="1418"/>
      <c r="L200" s="1418"/>
      <c r="M200" s="1418"/>
      <c r="N200" s="1418"/>
      <c r="O200" s="1418"/>
      <c r="P200" s="1418"/>
      <c r="Q200" s="1419"/>
    </row>
    <row r="201" spans="1:31" ht="3" customHeight="1">
      <c r="A201" s="1159"/>
      <c r="B201" s="1177"/>
      <c r="C201" s="1164"/>
      <c r="D201" s="1164"/>
      <c r="E201" s="1164"/>
      <c r="F201" s="1164"/>
      <c r="G201" s="1164"/>
      <c r="H201" s="1164"/>
      <c r="I201" s="1164"/>
      <c r="J201" s="1164"/>
      <c r="K201" s="1164"/>
      <c r="L201" s="1164"/>
      <c r="M201" s="1164"/>
      <c r="Q201" s="1159"/>
    </row>
    <row r="202" spans="1:31" ht="13.9" customHeight="1">
      <c r="A202" s="1168">
        <v>13</v>
      </c>
      <c r="B202" s="5" t="s">
        <v>2858</v>
      </c>
      <c r="C202" s="5"/>
      <c r="D202" s="101"/>
      <c r="E202" s="101"/>
      <c r="F202" s="101"/>
      <c r="G202" s="101"/>
      <c r="H202" s="1164"/>
      <c r="I202" s="1164"/>
      <c r="J202" s="1164"/>
      <c r="K202" s="1164"/>
      <c r="L202" s="1164"/>
      <c r="M202" s="1164"/>
      <c r="O202" s="157" t="s">
        <v>1997</v>
      </c>
      <c r="P202" s="1415"/>
      <c r="Q202" s="1416"/>
    </row>
    <row r="203" spans="1:31" ht="10.9" customHeight="1">
      <c r="B203" s="171" t="s">
        <v>150</v>
      </c>
    </row>
    <row r="204" spans="1:31" ht="11.45" customHeight="1">
      <c r="B204" s="55" t="s">
        <v>2118</v>
      </c>
      <c r="C204" s="62" t="s">
        <v>3267</v>
      </c>
      <c r="D204" s="50"/>
      <c r="E204" s="62"/>
      <c r="F204" s="62"/>
      <c r="G204" s="62"/>
      <c r="H204" s="62"/>
      <c r="I204" s="50"/>
      <c r="J204" s="50"/>
      <c r="K204" s="50"/>
      <c r="L204" s="173"/>
      <c r="M204" s="173"/>
      <c r="O204" s="193" t="s">
        <v>2118</v>
      </c>
      <c r="P204" s="2195" t="s">
        <v>3701</v>
      </c>
      <c r="Q204" s="794"/>
    </row>
    <row r="205" spans="1:31" ht="11.45" customHeight="1">
      <c r="B205" s="55"/>
      <c r="C205" s="62"/>
      <c r="D205" s="44" t="s">
        <v>3579</v>
      </c>
      <c r="E205" s="62"/>
      <c r="F205" s="62"/>
      <c r="G205" s="2266">
        <v>41761</v>
      </c>
      <c r="H205" s="62"/>
      <c r="I205" s="44" t="s">
        <v>3580</v>
      </c>
      <c r="J205" s="50"/>
      <c r="K205" s="2266">
        <v>41771</v>
      </c>
      <c r="M205" s="173"/>
    </row>
    <row r="206" spans="1:31" ht="11.45" customHeight="1">
      <c r="B206" s="55"/>
      <c r="C206" s="62"/>
      <c r="D206" s="65" t="s">
        <v>3581</v>
      </c>
      <c r="E206" s="62"/>
      <c r="F206" s="62"/>
      <c r="G206" s="2245" t="s">
        <v>3806</v>
      </c>
      <c r="H206" s="2246"/>
      <c r="I206" s="2246"/>
      <c r="J206" s="2246"/>
      <c r="K206" s="2261"/>
      <c r="L206" s="62"/>
      <c r="M206" s="62"/>
      <c r="N206" s="62"/>
      <c r="O206" s="62"/>
      <c r="P206" s="62"/>
    </row>
    <row r="207" spans="1:31" ht="11.45" customHeight="1">
      <c r="B207" s="55" t="s">
        <v>2121</v>
      </c>
      <c r="C207" s="62" t="s">
        <v>3268</v>
      </c>
      <c r="D207" s="62"/>
      <c r="E207" s="62"/>
      <c r="F207" s="62"/>
      <c r="G207" s="62"/>
      <c r="H207" s="62"/>
      <c r="I207" s="50"/>
      <c r="J207" s="50"/>
      <c r="K207" s="50"/>
      <c r="L207" s="166"/>
      <c r="M207" s="166"/>
      <c r="O207" s="193" t="s">
        <v>2121</v>
      </c>
      <c r="P207" s="2195" t="s">
        <v>3701</v>
      </c>
      <c r="Q207" s="794"/>
    </row>
    <row r="208" spans="1:31" ht="11.45" customHeight="1">
      <c r="B208" s="55" t="s">
        <v>799</v>
      </c>
      <c r="C208" s="62" t="s">
        <v>3269</v>
      </c>
      <c r="D208" s="62"/>
      <c r="E208" s="62"/>
      <c r="F208" s="62"/>
      <c r="G208" s="62"/>
      <c r="H208" s="62"/>
      <c r="I208" s="50"/>
      <c r="J208" s="50"/>
      <c r="K208" s="50"/>
      <c r="L208" s="166"/>
      <c r="M208" s="166"/>
      <c r="O208" s="193" t="s">
        <v>799</v>
      </c>
      <c r="P208" s="2195" t="s">
        <v>3701</v>
      </c>
      <c r="Q208" s="794"/>
    </row>
    <row r="209" spans="1:32" s="175" customFormat="1" ht="11.45" customHeight="1">
      <c r="B209" s="55" t="s">
        <v>2253</v>
      </c>
      <c r="C209" s="62" t="s">
        <v>3576</v>
      </c>
      <c r="D209" s="62"/>
      <c r="E209" s="62"/>
      <c r="F209" s="62"/>
      <c r="G209" s="62"/>
      <c r="H209" s="62"/>
      <c r="I209" s="111"/>
      <c r="J209" s="111"/>
      <c r="K209" s="111"/>
      <c r="L209" s="173"/>
      <c r="M209" s="173"/>
      <c r="N209" s="43"/>
      <c r="O209" s="594" t="s">
        <v>2253</v>
      </c>
      <c r="P209" s="2195" t="s">
        <v>3702</v>
      </c>
      <c r="Q209" s="794"/>
      <c r="AE209" s="598"/>
      <c r="AF209" s="598"/>
    </row>
    <row r="210" spans="1:32" s="175" customFormat="1" ht="11.45" customHeight="1">
      <c r="B210" s="55" t="s">
        <v>1857</v>
      </c>
      <c r="C210" s="62" t="s">
        <v>151</v>
      </c>
      <c r="D210" s="62"/>
      <c r="E210" s="62"/>
      <c r="F210" s="62"/>
      <c r="G210" s="62"/>
      <c r="H210" s="62"/>
      <c r="I210" s="111"/>
      <c r="J210" s="111"/>
      <c r="K210" s="111"/>
      <c r="L210" s="111"/>
      <c r="M210" s="111"/>
      <c r="O210" s="594" t="s">
        <v>1857</v>
      </c>
      <c r="P210" s="2195" t="s">
        <v>3702</v>
      </c>
      <c r="Q210" s="794"/>
      <c r="AE210" s="598"/>
      <c r="AF210" s="598"/>
    </row>
    <row r="211" spans="1:32" ht="11.25" customHeight="1">
      <c r="B211" s="167" t="s">
        <v>1995</v>
      </c>
      <c r="D211" s="167"/>
      <c r="E211" s="167"/>
      <c r="F211" s="167"/>
      <c r="G211" s="167"/>
      <c r="H211" s="48"/>
      <c r="I211" s="1177"/>
      <c r="J211" s="1177"/>
      <c r="K211" s="1177"/>
      <c r="L211" s="1159"/>
      <c r="M211" s="1159"/>
      <c r="N211" s="1159"/>
      <c r="O211" s="1159"/>
      <c r="P211" s="1159"/>
      <c r="Q211" s="60"/>
    </row>
    <row r="212" spans="1:32" ht="13.15" customHeight="1">
      <c r="A212" s="2199"/>
      <c r="B212" s="2200"/>
      <c r="C212" s="2200"/>
      <c r="D212" s="2200"/>
      <c r="E212" s="2200"/>
      <c r="F212" s="2200"/>
      <c r="G212" s="2200"/>
      <c r="H212" s="2200"/>
      <c r="I212" s="2200"/>
      <c r="J212" s="2200"/>
      <c r="K212" s="2200"/>
      <c r="L212" s="2200"/>
      <c r="M212" s="2200"/>
      <c r="N212" s="2200"/>
      <c r="O212" s="2200"/>
      <c r="P212" s="2200"/>
      <c r="Q212" s="2201"/>
      <c r="R212" s="564" t="s">
        <v>1332</v>
      </c>
      <c r="S212" s="564"/>
      <c r="U212" s="162"/>
      <c r="V212" s="162"/>
      <c r="W212" s="162"/>
      <c r="X212" s="162"/>
      <c r="Y212" s="162"/>
      <c r="Z212" s="162"/>
      <c r="AA212" s="162"/>
      <c r="AB212" s="162"/>
      <c r="AC212" s="162"/>
      <c r="AD212" s="162"/>
      <c r="AE212" s="596"/>
    </row>
    <row r="213" spans="1:32" s="31" customFormat="1" ht="3" customHeight="1">
      <c r="C213" s="137"/>
      <c r="D213" s="137"/>
      <c r="R213" s="564"/>
      <c r="S213" s="564"/>
      <c r="AE213" s="137"/>
      <c r="AF213" s="137"/>
    </row>
    <row r="214" spans="1:32" ht="11.25" customHeight="1">
      <c r="B214" s="163" t="s">
        <v>1996</v>
      </c>
      <c r="C214" s="164"/>
      <c r="D214" s="1164"/>
      <c r="E214" s="1164"/>
      <c r="F214" s="1164"/>
      <c r="G214" s="1164"/>
      <c r="H214" s="1164"/>
      <c r="I214" s="1164"/>
      <c r="J214" s="1164"/>
      <c r="K214" s="1164"/>
      <c r="L214" s="1164"/>
      <c r="M214" s="1164"/>
      <c r="N214" s="1164"/>
      <c r="O214" s="1164"/>
      <c r="P214" s="1164"/>
      <c r="Q214" s="1164"/>
    </row>
    <row r="215" spans="1:32" ht="13.15" customHeight="1">
      <c r="A215" s="1417"/>
      <c r="B215" s="1418"/>
      <c r="C215" s="1418"/>
      <c r="D215" s="1418"/>
      <c r="E215" s="1418"/>
      <c r="F215" s="1418"/>
      <c r="G215" s="1418"/>
      <c r="H215" s="1418"/>
      <c r="I215" s="1418"/>
      <c r="J215" s="1418"/>
      <c r="K215" s="1418"/>
      <c r="L215" s="1418"/>
      <c r="M215" s="1418"/>
      <c r="N215" s="1418"/>
      <c r="O215" s="1418"/>
      <c r="P215" s="1418"/>
      <c r="Q215" s="1419"/>
    </row>
    <row r="216" spans="1:32" ht="3" customHeight="1">
      <c r="A216" s="1159"/>
      <c r="B216" s="1177"/>
      <c r="C216" s="1164"/>
      <c r="D216" s="1164"/>
      <c r="E216" s="1164"/>
      <c r="F216" s="1164"/>
      <c r="G216" s="1164"/>
      <c r="H216" s="1164"/>
      <c r="I216" s="1164"/>
      <c r="J216" s="1164"/>
      <c r="K216" s="1164"/>
      <c r="L216" s="1164"/>
      <c r="M216" s="1164"/>
      <c r="Q216" s="1159"/>
    </row>
    <row r="217" spans="1:32" ht="13.9" customHeight="1">
      <c r="A217" s="1168">
        <v>14</v>
      </c>
      <c r="B217" s="1168" t="s">
        <v>2859</v>
      </c>
      <c r="C217" s="132"/>
      <c r="D217" s="1164"/>
      <c r="E217" s="1164"/>
      <c r="F217" s="1164"/>
      <c r="G217" s="1164"/>
      <c r="H217" s="1164"/>
      <c r="I217" s="1164"/>
      <c r="J217" s="1164"/>
      <c r="K217" s="1164"/>
      <c r="L217" s="1164"/>
      <c r="M217" s="1164"/>
      <c r="O217" s="157" t="s">
        <v>1997</v>
      </c>
      <c r="P217" s="1415"/>
      <c r="Q217" s="1416"/>
    </row>
    <row r="218" spans="1:32" s="31" customFormat="1" ht="11.45" customHeight="1">
      <c r="B218" s="171" t="s">
        <v>1264</v>
      </c>
      <c r="N218" s="143"/>
      <c r="P218" s="2195" t="s">
        <v>3702</v>
      </c>
      <c r="Q218" s="794"/>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245" t="s">
        <v>565</v>
      </c>
      <c r="M220" s="2261"/>
      <c r="Q220" s="794"/>
    </row>
    <row r="221" spans="1:32" ht="11.45" customHeight="1">
      <c r="B221" s="55"/>
      <c r="C221" s="78" t="s">
        <v>1860</v>
      </c>
      <c r="D221" s="38" t="s">
        <v>2978</v>
      </c>
      <c r="E221" s="38"/>
      <c r="F221" s="38"/>
      <c r="G221" s="38"/>
      <c r="H221" s="38"/>
      <c r="I221" s="50"/>
      <c r="K221" s="78" t="s">
        <v>1589</v>
      </c>
      <c r="L221" s="2267" t="s">
        <v>3781</v>
      </c>
      <c r="M221" s="2268"/>
      <c r="N221" s="2269" t="s">
        <v>2979</v>
      </c>
      <c r="O221" s="2270"/>
      <c r="P221" s="2271"/>
      <c r="Q221" s="794"/>
    </row>
    <row r="222" spans="1:32" ht="11.45" customHeight="1">
      <c r="B222" s="55"/>
      <c r="C222" s="78" t="s">
        <v>1861</v>
      </c>
      <c r="D222" s="38" t="s">
        <v>591</v>
      </c>
      <c r="E222" s="38"/>
      <c r="F222" s="38"/>
      <c r="G222" s="38"/>
      <c r="H222" s="38"/>
      <c r="I222" s="50"/>
      <c r="K222" s="78" t="s">
        <v>1590</v>
      </c>
      <c r="L222" s="2245" t="s">
        <v>3782</v>
      </c>
      <c r="M222" s="2246"/>
      <c r="N222" s="2272"/>
      <c r="Q222" s="794"/>
      <c r="R222" s="50"/>
    </row>
    <row r="223" spans="1:32" ht="3" customHeight="1">
      <c r="B223" s="55"/>
      <c r="C223" s="78"/>
      <c r="D223" s="62"/>
      <c r="E223" s="62"/>
      <c r="F223" s="62"/>
      <c r="G223" s="62"/>
      <c r="H223" s="62"/>
      <c r="I223" s="50"/>
      <c r="J223" s="40"/>
      <c r="K223" s="50"/>
      <c r="L223" s="40"/>
      <c r="M223" s="40"/>
    </row>
    <row r="224" spans="1:32" ht="12" customHeight="1">
      <c r="B224" s="55" t="s">
        <v>2121</v>
      </c>
      <c r="C224" s="262" t="s">
        <v>2680</v>
      </c>
      <c r="D224" s="62"/>
      <c r="E224" s="62"/>
      <c r="F224" s="62"/>
      <c r="G224" s="62"/>
      <c r="H224" s="62"/>
      <c r="I224" s="62"/>
      <c r="J224" s="62"/>
      <c r="K224" s="50"/>
      <c r="L224" s="50"/>
      <c r="M224" s="50"/>
      <c r="N224" s="50"/>
      <c r="O224" s="594" t="s">
        <v>2121</v>
      </c>
      <c r="P224" s="2195" t="s">
        <v>3729</v>
      </c>
      <c r="Q224" s="794"/>
    </row>
    <row r="225" spans="1:32" ht="10.9" customHeight="1">
      <c r="B225" s="55"/>
      <c r="C225" s="62" t="s">
        <v>2679</v>
      </c>
      <c r="D225" s="62"/>
      <c r="E225" s="62"/>
      <c r="F225" s="62"/>
      <c r="G225" s="62"/>
      <c r="H225" s="62"/>
      <c r="I225" s="62"/>
      <c r="J225" s="62"/>
      <c r="K225" s="50"/>
      <c r="L225" s="50"/>
      <c r="M225" s="50"/>
      <c r="N225" s="50"/>
      <c r="O225" s="50"/>
      <c r="P225" s="1414" t="s">
        <v>3</v>
      </c>
      <c r="Q225" s="1414"/>
    </row>
    <row r="226" spans="1:32" ht="10.9" customHeight="1">
      <c r="B226" s="55"/>
      <c r="D226" s="62" t="s">
        <v>2</v>
      </c>
      <c r="E226" s="62"/>
      <c r="F226" s="62"/>
      <c r="G226" s="62"/>
      <c r="I226" s="361" t="s">
        <v>825</v>
      </c>
      <c r="J226" s="362" t="s">
        <v>826</v>
      </c>
      <c r="L226" s="62" t="s">
        <v>2980</v>
      </c>
      <c r="M226" s="50"/>
      <c r="N226" s="50"/>
      <c r="O226" s="361"/>
      <c r="P226" s="363" t="s">
        <v>825</v>
      </c>
      <c r="Q226" s="362" t="s">
        <v>826</v>
      </c>
    </row>
    <row r="227" spans="1:32" s="51" customFormat="1" ht="11.45" customHeight="1">
      <c r="A227" s="111"/>
      <c r="B227" s="61"/>
      <c r="C227" s="78" t="s">
        <v>1859</v>
      </c>
      <c r="D227" s="2273" t="s">
        <v>3783</v>
      </c>
      <c r="E227" s="2274"/>
      <c r="F227" s="2274"/>
      <c r="G227" s="2274"/>
      <c r="H227" s="2275"/>
      <c r="I227" s="817"/>
      <c r="J227" s="818"/>
      <c r="K227" s="78" t="s">
        <v>1861</v>
      </c>
      <c r="L227" s="2273"/>
      <c r="M227" s="2274"/>
      <c r="N227" s="2274"/>
      <c r="O227" s="2275"/>
      <c r="P227" s="797"/>
      <c r="Q227" s="818"/>
      <c r="AE227" s="64"/>
      <c r="AF227" s="64"/>
    </row>
    <row r="228" spans="1:32" s="51" customFormat="1" ht="11.45" customHeight="1">
      <c r="A228" s="111"/>
      <c r="B228" s="61"/>
      <c r="C228" s="78" t="s">
        <v>1860</v>
      </c>
      <c r="D228" s="2276" t="s">
        <v>3784</v>
      </c>
      <c r="E228" s="2277"/>
      <c r="F228" s="2277"/>
      <c r="G228" s="2277"/>
      <c r="H228" s="2278"/>
      <c r="I228" s="819"/>
      <c r="J228" s="820"/>
      <c r="K228" s="78" t="s">
        <v>2519</v>
      </c>
      <c r="L228" s="2276"/>
      <c r="M228" s="2277"/>
      <c r="N228" s="2277"/>
      <c r="O228" s="2278"/>
      <c r="P228" s="799"/>
      <c r="Q228" s="820"/>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2" t="s">
        <v>1469</v>
      </c>
      <c r="D230" s="62"/>
      <c r="E230" s="62"/>
      <c r="F230" s="62"/>
      <c r="G230" s="62"/>
      <c r="H230" s="62"/>
      <c r="I230" s="62"/>
      <c r="J230" s="62"/>
      <c r="K230" s="50"/>
      <c r="L230" s="62"/>
      <c r="M230" s="62"/>
      <c r="O230" s="594" t="s">
        <v>799</v>
      </c>
      <c r="P230" s="2195" t="s">
        <v>3729</v>
      </c>
      <c r="Q230" s="794"/>
    </row>
    <row r="231" spans="1:32" ht="11.45" customHeight="1">
      <c r="B231" s="55"/>
      <c r="C231" s="78" t="s">
        <v>1859</v>
      </c>
      <c r="D231" s="62" t="s">
        <v>159</v>
      </c>
      <c r="E231" s="62"/>
      <c r="F231" s="62"/>
      <c r="G231" s="62"/>
      <c r="H231" s="62"/>
      <c r="I231" s="50"/>
      <c r="J231" s="40"/>
      <c r="K231" s="50"/>
      <c r="L231" s="40"/>
      <c r="M231" s="40"/>
      <c r="O231" s="78" t="s">
        <v>1859</v>
      </c>
      <c r="P231" s="2195" t="s">
        <v>3701</v>
      </c>
      <c r="Q231" s="794"/>
    </row>
    <row r="232" spans="1:32" ht="11.45" customHeight="1">
      <c r="C232" s="78" t="s">
        <v>1860</v>
      </c>
      <c r="D232" s="38" t="s">
        <v>3270</v>
      </c>
      <c r="E232" s="38"/>
      <c r="F232" s="38"/>
      <c r="G232" s="38"/>
      <c r="H232" s="38"/>
      <c r="I232" s="50"/>
      <c r="J232" s="40"/>
      <c r="K232" s="50"/>
      <c r="L232" s="40"/>
      <c r="M232" s="40"/>
      <c r="O232" s="78" t="s">
        <v>1860</v>
      </c>
      <c r="P232" s="2195" t="s">
        <v>3701</v>
      </c>
      <c r="Q232" s="794"/>
    </row>
    <row r="233" spans="1:32" ht="11.45" customHeight="1">
      <c r="C233" s="78" t="s">
        <v>1861</v>
      </c>
      <c r="D233" s="38" t="s">
        <v>3271</v>
      </c>
      <c r="E233" s="38"/>
      <c r="F233" s="38"/>
      <c r="G233" s="38"/>
      <c r="H233" s="38"/>
      <c r="I233" s="50"/>
      <c r="J233" s="40"/>
      <c r="K233" s="50"/>
      <c r="L233" s="40"/>
      <c r="M233" s="40"/>
      <c r="O233" s="78" t="s">
        <v>1861</v>
      </c>
      <c r="P233" s="2195" t="s">
        <v>3701</v>
      </c>
      <c r="Q233" s="794"/>
    </row>
    <row r="234" spans="1:32" ht="11.45" customHeight="1">
      <c r="B234" s="55"/>
      <c r="C234" s="78" t="s">
        <v>2519</v>
      </c>
      <c r="D234" s="38" t="s">
        <v>3272</v>
      </c>
      <c r="E234" s="38"/>
      <c r="F234" s="38"/>
      <c r="G234" s="38"/>
      <c r="H234" s="38"/>
      <c r="I234" s="50"/>
      <c r="J234" s="40"/>
      <c r="K234" s="50"/>
      <c r="L234" s="40"/>
      <c r="M234" s="40"/>
      <c r="O234" s="78" t="s">
        <v>2519</v>
      </c>
      <c r="P234" s="2195" t="s">
        <v>3701</v>
      </c>
      <c r="Q234" s="794"/>
    </row>
    <row r="235" spans="1:32" ht="11.45" customHeight="1">
      <c r="B235" s="55"/>
      <c r="C235" s="78" t="s">
        <v>1657</v>
      </c>
      <c r="D235" s="38" t="s">
        <v>3273</v>
      </c>
      <c r="E235" s="38"/>
      <c r="F235" s="38"/>
      <c r="G235" s="38"/>
      <c r="H235" s="38"/>
      <c r="I235" s="50"/>
      <c r="J235" s="40"/>
      <c r="K235" s="50"/>
      <c r="L235" s="40"/>
      <c r="M235" s="40"/>
      <c r="O235" s="78" t="s">
        <v>1657</v>
      </c>
      <c r="P235" s="2195" t="s">
        <v>3701</v>
      </c>
      <c r="Q235" s="794"/>
    </row>
    <row r="236" spans="1:32" ht="11.45" customHeight="1">
      <c r="B236" s="55"/>
      <c r="C236" s="594" t="s">
        <v>1658</v>
      </c>
      <c r="D236" s="62" t="s">
        <v>827</v>
      </c>
      <c r="E236" s="62"/>
      <c r="F236" s="62"/>
      <c r="G236" s="62"/>
      <c r="H236" s="62"/>
      <c r="I236" s="50"/>
      <c r="J236" s="40"/>
      <c r="K236" s="50"/>
      <c r="L236" s="40"/>
      <c r="M236" s="40"/>
      <c r="O236" s="594" t="s">
        <v>3256</v>
      </c>
      <c r="P236" s="2195" t="s">
        <v>3701</v>
      </c>
      <c r="Q236" s="794"/>
    </row>
    <row r="237" spans="1:32" ht="11.45" customHeight="1">
      <c r="B237" s="55"/>
      <c r="C237" s="78"/>
      <c r="D237" s="62" t="s">
        <v>1591</v>
      </c>
      <c r="E237" s="62"/>
      <c r="F237" s="62"/>
      <c r="G237" s="62"/>
      <c r="H237" s="62"/>
      <c r="I237" s="50"/>
      <c r="J237" s="40"/>
      <c r="K237" s="50"/>
      <c r="L237" s="40"/>
      <c r="M237" s="40"/>
      <c r="O237" s="594" t="s">
        <v>3257</v>
      </c>
      <c r="P237" s="2195" t="s">
        <v>3702</v>
      </c>
      <c r="Q237" s="794"/>
    </row>
    <row r="238" spans="1:32" ht="3" customHeight="1">
      <c r="B238" s="55"/>
      <c r="C238" s="78"/>
      <c r="D238" s="62"/>
      <c r="E238" s="62"/>
      <c r="F238" s="62"/>
      <c r="G238" s="62"/>
      <c r="H238" s="62"/>
      <c r="I238" s="50"/>
      <c r="J238" s="40"/>
      <c r="K238" s="50"/>
      <c r="L238" s="40"/>
      <c r="M238" s="40"/>
    </row>
    <row r="239" spans="1:32" ht="12" customHeight="1">
      <c r="B239" s="55" t="s">
        <v>2253</v>
      </c>
      <c r="C239" s="262" t="s">
        <v>2893</v>
      </c>
      <c r="D239" s="62"/>
      <c r="E239" s="62"/>
      <c r="F239" s="62"/>
      <c r="G239" s="62"/>
      <c r="H239" s="62"/>
      <c r="I239" s="62"/>
      <c r="J239" s="62"/>
      <c r="K239" s="50"/>
      <c r="L239" s="62"/>
      <c r="M239" s="62"/>
      <c r="O239" s="594" t="s">
        <v>2253</v>
      </c>
      <c r="P239" s="2195"/>
      <c r="Q239" s="794"/>
    </row>
    <row r="240" spans="1:32" ht="11.45" customHeight="1">
      <c r="B240" s="55"/>
      <c r="C240" s="78" t="s">
        <v>1859</v>
      </c>
      <c r="D240" s="47" t="s">
        <v>1333</v>
      </c>
      <c r="E240" s="50"/>
      <c r="F240" s="50"/>
      <c r="G240" s="47"/>
      <c r="H240" s="38"/>
      <c r="I240" s="50"/>
      <c r="J240" s="38"/>
      <c r="K240" s="50"/>
      <c r="L240" s="38"/>
      <c r="M240" s="38"/>
      <c r="O240" s="78" t="s">
        <v>1859</v>
      </c>
      <c r="P240" s="2195"/>
      <c r="Q240" s="794"/>
    </row>
    <row r="241" spans="1:32" ht="11.45" customHeight="1">
      <c r="B241" s="55"/>
      <c r="C241" s="78" t="s">
        <v>1860</v>
      </c>
      <c r="D241" s="47" t="s">
        <v>152</v>
      </c>
      <c r="E241" s="50"/>
      <c r="F241" s="50"/>
      <c r="G241" s="38"/>
      <c r="H241" s="38"/>
      <c r="I241" s="50"/>
      <c r="J241" s="38"/>
      <c r="K241" s="50"/>
      <c r="L241" s="38"/>
      <c r="M241" s="38"/>
      <c r="O241" s="78" t="s">
        <v>1860</v>
      </c>
      <c r="P241" s="2195"/>
      <c r="Q241" s="794"/>
    </row>
    <row r="242" spans="1:32" ht="11.45" customHeight="1">
      <c r="B242" s="55"/>
      <c r="C242" s="78" t="s">
        <v>1861</v>
      </c>
      <c r="D242" s="38" t="s">
        <v>1753</v>
      </c>
      <c r="E242" s="50"/>
      <c r="F242" s="50"/>
      <c r="G242" s="38"/>
      <c r="H242" s="38"/>
      <c r="I242" s="50"/>
      <c r="J242" s="38"/>
      <c r="K242" s="50"/>
      <c r="L242" s="38"/>
      <c r="M242" s="38"/>
      <c r="O242" s="78" t="s">
        <v>2525</v>
      </c>
      <c r="P242" s="2195"/>
      <c r="Q242" s="794"/>
    </row>
    <row r="243" spans="1:32" ht="11.45" customHeight="1">
      <c r="B243" s="44"/>
      <c r="C243" s="50"/>
      <c r="D243" s="38" t="s">
        <v>1371</v>
      </c>
      <c r="E243" s="50"/>
      <c r="F243" s="50"/>
      <c r="G243" s="38"/>
      <c r="H243" s="38"/>
      <c r="I243" s="50"/>
      <c r="J243" s="38"/>
      <c r="K243" s="50"/>
      <c r="L243" s="38"/>
      <c r="M243" s="38"/>
      <c r="O243" s="78" t="s">
        <v>2526</v>
      </c>
      <c r="P243" s="2195"/>
      <c r="Q243" s="794"/>
    </row>
    <row r="244" spans="1:32" ht="11.25" customHeight="1">
      <c r="B244" s="167" t="s">
        <v>1995</v>
      </c>
      <c r="D244" s="167"/>
      <c r="E244" s="167"/>
      <c r="F244" s="167"/>
      <c r="G244" s="167"/>
      <c r="H244" s="48"/>
      <c r="I244" s="1177"/>
      <c r="J244" s="1177"/>
      <c r="K244" s="1177"/>
      <c r="L244" s="1159"/>
      <c r="M244" s="1159"/>
      <c r="N244" s="1159"/>
      <c r="O244" s="1159"/>
      <c r="P244" s="1159"/>
      <c r="Q244" s="60"/>
    </row>
    <row r="245" spans="1:32" ht="11.45" customHeight="1">
      <c r="A245" s="2199"/>
      <c r="B245" s="2200"/>
      <c r="C245" s="2200"/>
      <c r="D245" s="2200"/>
      <c r="E245" s="2200"/>
      <c r="F245" s="2200"/>
      <c r="G245" s="2200"/>
      <c r="H245" s="2200"/>
      <c r="I245" s="2200"/>
      <c r="J245" s="2200"/>
      <c r="K245" s="2200"/>
      <c r="L245" s="2200"/>
      <c r="M245" s="2200"/>
      <c r="N245" s="2200"/>
      <c r="O245" s="2200"/>
      <c r="P245" s="2200"/>
      <c r="Q245" s="2201"/>
      <c r="R245" s="563" t="s">
        <v>1332</v>
      </c>
      <c r="S245" s="564"/>
      <c r="U245" s="162"/>
      <c r="V245" s="162"/>
      <c r="W245" s="162"/>
      <c r="X245" s="162"/>
      <c r="Y245" s="162"/>
      <c r="Z245" s="162"/>
      <c r="AA245" s="162"/>
      <c r="AB245" s="162"/>
      <c r="AC245" s="162"/>
      <c r="AD245" s="162"/>
      <c r="AE245" s="596"/>
    </row>
    <row r="246" spans="1:32" ht="11.25" customHeight="1">
      <c r="B246" s="163" t="s">
        <v>1996</v>
      </c>
      <c r="C246" s="164"/>
      <c r="D246" s="1164"/>
      <c r="E246" s="1164"/>
      <c r="F246" s="1164"/>
      <c r="G246" s="1164"/>
      <c r="H246" s="1164"/>
      <c r="I246" s="1164"/>
      <c r="J246" s="1164"/>
      <c r="K246" s="1164"/>
      <c r="L246" s="1164"/>
      <c r="M246" s="1164"/>
      <c r="N246" s="1164"/>
      <c r="O246" s="1164"/>
      <c r="P246" s="1164"/>
      <c r="Q246" s="1164"/>
    </row>
    <row r="247" spans="1:32" ht="13.15" customHeight="1">
      <c r="A247" s="1417"/>
      <c r="B247" s="1418"/>
      <c r="C247" s="1418"/>
      <c r="D247" s="1418"/>
      <c r="E247" s="1418"/>
      <c r="F247" s="1418"/>
      <c r="G247" s="1418"/>
      <c r="H247" s="1418"/>
      <c r="I247" s="1418"/>
      <c r="J247" s="1418"/>
      <c r="K247" s="1418"/>
      <c r="L247" s="1418"/>
      <c r="M247" s="1418"/>
      <c r="N247" s="1418"/>
      <c r="O247" s="1418"/>
      <c r="P247" s="1418"/>
      <c r="Q247" s="1419"/>
    </row>
    <row r="248" spans="1:32" ht="3" customHeight="1">
      <c r="A248" s="1159"/>
      <c r="B248" s="1177"/>
      <c r="C248" s="1164"/>
      <c r="D248" s="1164"/>
      <c r="E248" s="1164"/>
      <c r="F248" s="1164"/>
      <c r="G248" s="1164"/>
      <c r="H248" s="1164"/>
      <c r="I248" s="1164"/>
      <c r="J248" s="1164"/>
      <c r="K248" s="1164"/>
      <c r="L248" s="1164"/>
      <c r="M248" s="1164"/>
      <c r="Q248" s="1159"/>
    </row>
    <row r="249" spans="1:32" ht="13.9" customHeight="1">
      <c r="A249" s="1168">
        <v>15</v>
      </c>
      <c r="B249" s="5" t="s">
        <v>2860</v>
      </c>
      <c r="C249" s="5"/>
      <c r="D249" s="101"/>
      <c r="E249" s="101"/>
      <c r="F249" s="101"/>
      <c r="G249" s="101"/>
      <c r="H249" s="1164"/>
      <c r="I249" s="1164"/>
      <c r="J249" s="1164"/>
      <c r="K249" s="1164"/>
      <c r="L249" s="1164"/>
      <c r="M249" s="1164"/>
      <c r="O249" s="157" t="s">
        <v>1997</v>
      </c>
      <c r="P249" s="1415"/>
      <c r="Q249" s="1416"/>
    </row>
    <row r="250" spans="1:32" ht="4.9000000000000004" customHeight="1"/>
    <row r="251" spans="1:32" ht="11.45" customHeight="1">
      <c r="B251" s="55" t="s">
        <v>2118</v>
      </c>
      <c r="C251" s="62" t="s">
        <v>1348</v>
      </c>
      <c r="D251" s="50"/>
      <c r="E251" s="62"/>
      <c r="F251" s="62"/>
      <c r="G251" s="62"/>
      <c r="H251" s="62"/>
      <c r="I251" s="50"/>
      <c r="J251" s="50"/>
      <c r="K251" s="50"/>
      <c r="L251" s="594" t="s">
        <v>2118</v>
      </c>
      <c r="M251" s="2251" t="s">
        <v>3807</v>
      </c>
      <c r="N251" s="2252"/>
      <c r="O251" s="2253"/>
      <c r="P251" s="1449" t="s">
        <v>1895</v>
      </c>
      <c r="Q251" s="1450"/>
    </row>
    <row r="252" spans="1:32" ht="11.45" customHeight="1">
      <c r="B252" s="55" t="s">
        <v>2121</v>
      </c>
      <c r="C252" s="62" t="s">
        <v>3274</v>
      </c>
      <c r="D252" s="62"/>
      <c r="E252" s="62"/>
      <c r="F252" s="62"/>
      <c r="G252" s="62"/>
      <c r="H252" s="62"/>
      <c r="I252" s="50"/>
      <c r="J252" s="50"/>
      <c r="K252" s="50"/>
      <c r="L252" s="594" t="s">
        <v>2121</v>
      </c>
      <c r="M252" s="2279">
        <v>41745</v>
      </c>
      <c r="N252" s="2280"/>
      <c r="O252" s="2281"/>
      <c r="P252" s="1466"/>
      <c r="Q252" s="1467"/>
    </row>
    <row r="253" spans="1:32" s="175" customFormat="1" ht="11.45" customHeight="1">
      <c r="B253" s="55" t="s">
        <v>799</v>
      </c>
      <c r="C253" s="62" t="s">
        <v>2079</v>
      </c>
      <c r="D253" s="62"/>
      <c r="E253" s="62"/>
      <c r="F253" s="62"/>
      <c r="G253" s="62"/>
      <c r="H253" s="62"/>
      <c r="I253" s="111"/>
      <c r="J253" s="111"/>
      <c r="K253" s="111"/>
      <c r="L253" s="594" t="s">
        <v>799</v>
      </c>
      <c r="M253" s="2251" t="s">
        <v>3808</v>
      </c>
      <c r="N253" s="2252"/>
      <c r="O253" s="2253"/>
      <c r="P253" s="1449"/>
      <c r="Q253" s="1450"/>
      <c r="AE253" s="598"/>
      <c r="AF253" s="598"/>
    </row>
    <row r="254" spans="1:32" s="175" customFormat="1" ht="11.45" customHeight="1">
      <c r="B254" s="55" t="s">
        <v>2253</v>
      </c>
      <c r="C254" s="62" t="s">
        <v>2725</v>
      </c>
      <c r="D254" s="62"/>
      <c r="E254" s="62"/>
      <c r="F254" s="62"/>
      <c r="G254" s="62"/>
      <c r="H254" s="62"/>
      <c r="I254" s="111"/>
      <c r="J254" s="111"/>
      <c r="K254" s="111"/>
      <c r="L254" s="111"/>
      <c r="M254" s="111"/>
      <c r="O254" s="594" t="s">
        <v>2253</v>
      </c>
      <c r="P254" s="2195" t="s">
        <v>3701</v>
      </c>
      <c r="Q254" s="794"/>
      <c r="AE254" s="598"/>
      <c r="AF254" s="598"/>
    </row>
    <row r="255" spans="1:32" s="175" customFormat="1" ht="22.15" customHeight="1">
      <c r="B255" s="168" t="s">
        <v>1857</v>
      </c>
      <c r="C255" s="1413" t="s">
        <v>3015</v>
      </c>
      <c r="D255" s="1413"/>
      <c r="E255" s="1413"/>
      <c r="F255" s="1413"/>
      <c r="G255" s="1413"/>
      <c r="H255" s="1413"/>
      <c r="I255" s="1413"/>
      <c r="J255" s="1413"/>
      <c r="K255" s="1413"/>
      <c r="L255" s="1413"/>
      <c r="M255" s="1413"/>
      <c r="N255" s="1413"/>
      <c r="O255" s="193" t="s">
        <v>1857</v>
      </c>
      <c r="P255" s="2195" t="s">
        <v>3729</v>
      </c>
      <c r="Q255" s="794"/>
      <c r="AE255" s="598"/>
      <c r="AF255" s="598"/>
    </row>
    <row r="256" spans="1:32" ht="11.25" customHeight="1">
      <c r="B256" s="167" t="s">
        <v>1995</v>
      </c>
      <c r="D256" s="167"/>
      <c r="E256" s="167"/>
      <c r="F256" s="167"/>
      <c r="G256" s="167"/>
      <c r="H256" s="48"/>
      <c r="I256" s="1177"/>
      <c r="J256" s="1177"/>
      <c r="K256" s="1177"/>
      <c r="L256" s="1159"/>
      <c r="M256" s="1159"/>
      <c r="N256" s="1159"/>
      <c r="O256" s="1159"/>
      <c r="P256" s="1159"/>
      <c r="Q256" s="60"/>
    </row>
    <row r="257" spans="1:32" ht="13.15" customHeight="1">
      <c r="A257" s="2199"/>
      <c r="B257" s="2200"/>
      <c r="C257" s="2200"/>
      <c r="D257" s="2200"/>
      <c r="E257" s="2200"/>
      <c r="F257" s="2200"/>
      <c r="G257" s="2200"/>
      <c r="H257" s="2200"/>
      <c r="I257" s="2200"/>
      <c r="J257" s="2200"/>
      <c r="K257" s="2200"/>
      <c r="L257" s="2200"/>
      <c r="M257" s="2200"/>
      <c r="N257" s="2200"/>
      <c r="O257" s="2200"/>
      <c r="P257" s="2200"/>
      <c r="Q257" s="2201"/>
      <c r="R257" s="563" t="s">
        <v>1332</v>
      </c>
      <c r="S257" s="564"/>
      <c r="U257" s="162"/>
      <c r="V257" s="162"/>
      <c r="W257" s="162"/>
      <c r="X257" s="162"/>
      <c r="Y257" s="162"/>
      <c r="Z257" s="162"/>
      <c r="AA257" s="162"/>
      <c r="AB257" s="162"/>
      <c r="AC257" s="162"/>
      <c r="AD257" s="162"/>
      <c r="AE257" s="596"/>
    </row>
    <row r="258" spans="1:32" ht="10.9" customHeight="1">
      <c r="B258" s="163" t="s">
        <v>1996</v>
      </c>
      <c r="C258" s="164"/>
      <c r="D258" s="1164"/>
      <c r="E258" s="1164"/>
      <c r="F258" s="1164"/>
      <c r="G258" s="1164"/>
      <c r="H258" s="1164"/>
      <c r="I258" s="1164"/>
      <c r="J258" s="1164"/>
      <c r="K258" s="1164"/>
      <c r="L258" s="1164"/>
      <c r="M258" s="1164"/>
      <c r="N258" s="1164"/>
      <c r="O258" s="1164"/>
      <c r="P258" s="1164"/>
      <c r="Q258" s="1164"/>
    </row>
    <row r="259" spans="1:32" ht="13.15" customHeight="1">
      <c r="A259" s="1417"/>
      <c r="B259" s="1418"/>
      <c r="C259" s="1418"/>
      <c r="D259" s="1418"/>
      <c r="E259" s="1418"/>
      <c r="F259" s="1418"/>
      <c r="G259" s="1418"/>
      <c r="H259" s="1418"/>
      <c r="I259" s="1418"/>
      <c r="J259" s="1418"/>
      <c r="K259" s="1418"/>
      <c r="L259" s="1418"/>
      <c r="M259" s="1418"/>
      <c r="N259" s="1418"/>
      <c r="O259" s="1418"/>
      <c r="P259" s="1418"/>
      <c r="Q259" s="1419"/>
    </row>
    <row r="260" spans="1:32" ht="3" customHeight="1">
      <c r="A260" s="1159"/>
      <c r="B260" s="1177"/>
      <c r="C260" s="1164"/>
      <c r="D260" s="1164"/>
      <c r="E260" s="1164"/>
      <c r="F260" s="1164"/>
      <c r="G260" s="1164"/>
      <c r="H260" s="1164"/>
      <c r="I260" s="1164"/>
      <c r="J260" s="1164"/>
      <c r="K260" s="1164"/>
      <c r="L260" s="1164"/>
      <c r="M260" s="1164"/>
      <c r="Q260" s="1159"/>
    </row>
    <row r="261" spans="1:32" ht="13.9" customHeight="1">
      <c r="A261" s="1168">
        <v>16</v>
      </c>
      <c r="B261" s="5" t="s">
        <v>2861</v>
      </c>
      <c r="C261" s="5"/>
      <c r="D261" s="101"/>
      <c r="E261" s="101"/>
      <c r="F261" s="101"/>
      <c r="G261" s="101"/>
      <c r="H261" s="1164"/>
      <c r="I261" s="1164"/>
      <c r="J261" s="1164"/>
      <c r="K261" s="1164"/>
      <c r="L261" s="1164"/>
      <c r="M261" s="1164"/>
      <c r="O261" s="157" t="s">
        <v>1997</v>
      </c>
      <c r="P261" s="1415"/>
      <c r="Q261" s="1416"/>
    </row>
    <row r="262" spans="1:32" ht="3" customHeight="1"/>
    <row r="263" spans="1:32" s="510" customFormat="1" ht="23.25" customHeight="1">
      <c r="B263" s="168" t="s">
        <v>2118</v>
      </c>
      <c r="C263" s="1413" t="s">
        <v>3275</v>
      </c>
      <c r="D263" s="1413"/>
      <c r="E263" s="1413"/>
      <c r="F263" s="1413"/>
      <c r="G263" s="1413"/>
      <c r="H263" s="1413"/>
      <c r="I263" s="1413"/>
      <c r="J263" s="1413"/>
      <c r="K263" s="1413"/>
      <c r="L263" s="1413"/>
      <c r="M263" s="1413"/>
      <c r="N263" s="1413"/>
      <c r="O263" s="193" t="s">
        <v>2118</v>
      </c>
      <c r="P263" s="2250" t="s">
        <v>3701</v>
      </c>
      <c r="Q263" s="814"/>
      <c r="AE263" s="599"/>
      <c r="AF263" s="599"/>
    </row>
    <row r="264" spans="1:32" s="175" customFormat="1" ht="11.45" customHeight="1">
      <c r="B264" s="55" t="s">
        <v>2121</v>
      </c>
      <c r="C264" s="62" t="s">
        <v>1495</v>
      </c>
      <c r="D264" s="62"/>
      <c r="E264" s="62"/>
      <c r="F264" s="62"/>
      <c r="G264" s="62"/>
      <c r="H264" s="62"/>
      <c r="I264" s="62"/>
      <c r="J264" s="62"/>
      <c r="K264" s="62"/>
      <c r="L264" s="62"/>
      <c r="M264" s="62"/>
      <c r="O264" s="594" t="s">
        <v>2121</v>
      </c>
      <c r="P264" s="2195" t="s">
        <v>3701</v>
      </c>
      <c r="Q264" s="794"/>
      <c r="AE264" s="598"/>
      <c r="AF264" s="598"/>
    </row>
    <row r="265" spans="1:32" ht="11.25" customHeight="1">
      <c r="B265" s="167" t="s">
        <v>1995</v>
      </c>
      <c r="D265" s="167"/>
      <c r="E265" s="167"/>
      <c r="F265" s="167"/>
      <c r="G265" s="167"/>
      <c r="H265" s="48"/>
      <c r="I265" s="1177"/>
      <c r="J265" s="1177"/>
      <c r="K265" s="1177"/>
      <c r="L265" s="1159"/>
      <c r="M265" s="1159"/>
      <c r="N265" s="1159"/>
      <c r="O265" s="1159"/>
      <c r="P265" s="1159"/>
      <c r="Q265" s="60"/>
    </row>
    <row r="266" spans="1:32" ht="13.15" customHeight="1">
      <c r="A266" s="2199"/>
      <c r="B266" s="2200"/>
      <c r="C266" s="2200"/>
      <c r="D266" s="2200"/>
      <c r="E266" s="2200"/>
      <c r="F266" s="2200"/>
      <c r="G266" s="2200"/>
      <c r="H266" s="2200"/>
      <c r="I266" s="2200"/>
      <c r="J266" s="2200"/>
      <c r="K266" s="2200"/>
      <c r="L266" s="2200"/>
      <c r="M266" s="2200"/>
      <c r="N266" s="2200"/>
      <c r="O266" s="2200"/>
      <c r="P266" s="2200"/>
      <c r="Q266" s="2201"/>
      <c r="R266" s="563" t="s">
        <v>1332</v>
      </c>
      <c r="S266" s="564"/>
      <c r="U266" s="162"/>
      <c r="V266" s="162"/>
      <c r="W266" s="162"/>
      <c r="X266" s="162"/>
      <c r="Y266" s="162"/>
      <c r="Z266" s="162"/>
      <c r="AA266" s="162"/>
      <c r="AB266" s="162"/>
      <c r="AC266" s="162"/>
      <c r="AD266" s="162"/>
      <c r="AE266" s="596"/>
    </row>
    <row r="267" spans="1:32" ht="11.25" customHeight="1">
      <c r="B267" s="163" t="s">
        <v>1996</v>
      </c>
      <c r="C267" s="164"/>
      <c r="D267" s="1164"/>
      <c r="E267" s="1164"/>
      <c r="F267" s="1164"/>
      <c r="G267" s="1164"/>
      <c r="H267" s="1164"/>
      <c r="I267" s="1164"/>
      <c r="J267" s="1164"/>
      <c r="K267" s="1164"/>
      <c r="L267" s="1164"/>
      <c r="M267" s="1164"/>
      <c r="N267" s="1164"/>
      <c r="O267" s="1164"/>
      <c r="P267" s="1164"/>
      <c r="Q267" s="1164"/>
    </row>
    <row r="268" spans="1:32" ht="13.15" customHeight="1">
      <c r="A268" s="1417"/>
      <c r="B268" s="1418"/>
      <c r="C268" s="1418"/>
      <c r="D268" s="1418"/>
      <c r="E268" s="1418"/>
      <c r="F268" s="1418"/>
      <c r="G268" s="1418"/>
      <c r="H268" s="1418"/>
      <c r="I268" s="1418"/>
      <c r="J268" s="1418"/>
      <c r="K268" s="1418"/>
      <c r="L268" s="1418"/>
      <c r="M268" s="1418"/>
      <c r="N268" s="1418"/>
      <c r="O268" s="1418"/>
      <c r="P268" s="1418"/>
      <c r="Q268" s="1419"/>
    </row>
    <row r="269" spans="1:32" ht="3" customHeight="1">
      <c r="A269" s="1159"/>
      <c r="B269" s="1177"/>
      <c r="C269" s="1164"/>
      <c r="D269" s="1164"/>
      <c r="E269" s="1164"/>
      <c r="F269" s="1164"/>
      <c r="G269" s="1164"/>
      <c r="H269" s="1164"/>
      <c r="I269" s="1164"/>
      <c r="J269" s="1164"/>
      <c r="K269" s="1164"/>
      <c r="L269" s="1164"/>
      <c r="M269" s="1164"/>
      <c r="N269" s="1164"/>
      <c r="O269" s="1164"/>
      <c r="P269" s="157"/>
      <c r="Q269" s="60"/>
    </row>
    <row r="270" spans="1:32" ht="13.9" customHeight="1">
      <c r="A270" s="1168">
        <v>17</v>
      </c>
      <c r="B270" s="1168" t="s">
        <v>2862</v>
      </c>
      <c r="C270" s="1168"/>
      <c r="D270" s="1164"/>
      <c r="E270" s="1164"/>
      <c r="F270" s="1164"/>
      <c r="G270" s="1164"/>
      <c r="H270" s="1164"/>
      <c r="I270" s="1164"/>
      <c r="J270" s="1164"/>
      <c r="K270" s="1164"/>
      <c r="L270" s="1164"/>
      <c r="M270" s="1164"/>
      <c r="O270" s="157" t="s">
        <v>1997</v>
      </c>
      <c r="P270" s="1415"/>
      <c r="Q270" s="1416"/>
    </row>
    <row r="271" spans="1:32" ht="3" customHeight="1"/>
    <row r="272" spans="1:32" s="510" customFormat="1" ht="24" customHeight="1">
      <c r="B272" s="168" t="s">
        <v>2118</v>
      </c>
      <c r="C272" s="1464" t="s">
        <v>3276</v>
      </c>
      <c r="D272" s="1302"/>
      <c r="E272" s="1302"/>
      <c r="F272" s="1302"/>
      <c r="G272" s="1302"/>
      <c r="H272" s="1302"/>
      <c r="I272" s="1302"/>
      <c r="J272" s="1302"/>
      <c r="K272" s="1302"/>
      <c r="L272" s="1302"/>
      <c r="M272" s="1302"/>
      <c r="N272" s="1302"/>
      <c r="O272" s="193" t="s">
        <v>2118</v>
      </c>
      <c r="P272" s="2195" t="s">
        <v>3729</v>
      </c>
      <c r="Q272" s="794"/>
      <c r="AE272" s="599"/>
      <c r="AF272" s="599"/>
    </row>
    <row r="273" spans="1:32" s="510" customFormat="1" ht="24" customHeight="1">
      <c r="B273" s="168" t="s">
        <v>2121</v>
      </c>
      <c r="C273" s="1464" t="s">
        <v>3277</v>
      </c>
      <c r="D273" s="1302"/>
      <c r="E273" s="1302"/>
      <c r="F273" s="1302"/>
      <c r="G273" s="1302"/>
      <c r="H273" s="1302"/>
      <c r="I273" s="1302"/>
      <c r="J273" s="1302"/>
      <c r="K273" s="1302"/>
      <c r="L273" s="1302"/>
      <c r="M273" s="1302"/>
      <c r="N273" s="1302"/>
      <c r="O273" s="193" t="s">
        <v>2121</v>
      </c>
      <c r="P273" s="2195" t="s">
        <v>3729</v>
      </c>
      <c r="Q273" s="794"/>
      <c r="AE273" s="599"/>
      <c r="AF273" s="599"/>
    </row>
    <row r="274" spans="1:32" ht="11.25" customHeight="1">
      <c r="B274" s="167" t="s">
        <v>1995</v>
      </c>
      <c r="D274" s="167"/>
      <c r="E274" s="167"/>
      <c r="F274" s="167"/>
      <c r="G274" s="167"/>
      <c r="H274" s="48"/>
      <c r="I274" s="1177"/>
      <c r="J274" s="1177"/>
      <c r="K274" s="1177"/>
      <c r="L274" s="1159"/>
      <c r="M274" s="1159"/>
      <c r="N274" s="1159"/>
      <c r="O274" s="1159"/>
      <c r="P274" s="1159"/>
      <c r="Q274" s="60"/>
    </row>
    <row r="275" spans="1:32" ht="13.15" customHeight="1">
      <c r="A275" s="2199"/>
      <c r="B275" s="2200"/>
      <c r="C275" s="2200"/>
      <c r="D275" s="2200"/>
      <c r="E275" s="2200"/>
      <c r="F275" s="2200"/>
      <c r="G275" s="2200"/>
      <c r="H275" s="2200"/>
      <c r="I275" s="2200"/>
      <c r="J275" s="2200"/>
      <c r="K275" s="2200"/>
      <c r="L275" s="2200"/>
      <c r="M275" s="2200"/>
      <c r="N275" s="2200"/>
      <c r="O275" s="2200"/>
      <c r="P275" s="2200"/>
      <c r="Q275" s="2201"/>
      <c r="R275" s="563" t="s">
        <v>1332</v>
      </c>
      <c r="S275" s="564"/>
      <c r="U275" s="162"/>
      <c r="V275" s="162"/>
      <c r="W275" s="162"/>
      <c r="X275" s="162"/>
      <c r="Y275" s="162"/>
      <c r="Z275" s="162"/>
      <c r="AA275" s="162"/>
      <c r="AB275" s="162"/>
      <c r="AC275" s="162"/>
      <c r="AD275" s="162"/>
      <c r="AE275" s="596"/>
    </row>
    <row r="276" spans="1:32" ht="11.25" customHeight="1">
      <c r="B276" s="163" t="s">
        <v>1996</v>
      </c>
      <c r="C276" s="164"/>
      <c r="D276" s="1164"/>
      <c r="E276" s="1164"/>
      <c r="F276" s="1164"/>
      <c r="G276" s="1164"/>
      <c r="H276" s="1164"/>
      <c r="I276" s="1164"/>
      <c r="J276" s="1164"/>
      <c r="K276" s="1164"/>
      <c r="L276" s="1164"/>
      <c r="M276" s="1164"/>
      <c r="N276" s="1164"/>
      <c r="O276" s="1164"/>
      <c r="P276" s="1164"/>
      <c r="Q276" s="1164"/>
    </row>
    <row r="277" spans="1:32" ht="13.15" customHeight="1">
      <c r="A277" s="1417"/>
      <c r="B277" s="1418"/>
      <c r="C277" s="1418"/>
      <c r="D277" s="1418"/>
      <c r="E277" s="1418"/>
      <c r="F277" s="1418"/>
      <c r="G277" s="1418"/>
      <c r="H277" s="1418"/>
      <c r="I277" s="1418"/>
      <c r="J277" s="1418"/>
      <c r="K277" s="1418"/>
      <c r="L277" s="1418"/>
      <c r="M277" s="1418"/>
      <c r="N277" s="1418"/>
      <c r="O277" s="1418"/>
      <c r="P277" s="1418"/>
      <c r="Q277" s="1419"/>
    </row>
    <row r="278" spans="1:32" ht="5.45" customHeight="1">
      <c r="A278" s="1159"/>
      <c r="B278" s="1177"/>
      <c r="C278" s="1164"/>
      <c r="D278" s="1164"/>
      <c r="E278" s="1164"/>
      <c r="F278" s="1164"/>
      <c r="G278" s="1164"/>
      <c r="H278" s="1164"/>
      <c r="I278" s="1164"/>
      <c r="J278" s="1164"/>
      <c r="K278" s="1164"/>
      <c r="L278" s="1164"/>
      <c r="M278" s="1164"/>
      <c r="Q278" s="1159"/>
    </row>
    <row r="279" spans="1:32" ht="13.9" customHeight="1">
      <c r="A279" s="1168">
        <v>18</v>
      </c>
      <c r="B279" s="1168" t="s">
        <v>2863</v>
      </c>
      <c r="C279" s="176"/>
      <c r="D279" s="1167"/>
      <c r="E279" s="1164"/>
      <c r="F279" s="1164"/>
      <c r="G279" s="1164"/>
      <c r="H279" s="1164"/>
      <c r="I279" s="1164"/>
      <c r="J279" s="1164"/>
      <c r="K279" s="1164"/>
      <c r="L279" s="1164"/>
      <c r="M279" s="1164"/>
      <c r="O279" s="157" t="s">
        <v>1997</v>
      </c>
      <c r="P279" s="1415"/>
      <c r="Q279" s="1416"/>
    </row>
    <row r="280" spans="1:32" s="175" customFormat="1" ht="46.5" customHeight="1">
      <c r="B280" s="168" t="s">
        <v>2118</v>
      </c>
      <c r="C280" s="177" t="s">
        <v>1859</v>
      </c>
      <c r="D280" s="1464" t="s">
        <v>3278</v>
      </c>
      <c r="E280" s="1464"/>
      <c r="F280" s="1464"/>
      <c r="G280" s="1464"/>
      <c r="H280" s="1464"/>
      <c r="I280" s="1464"/>
      <c r="J280" s="1464"/>
      <c r="K280" s="1464"/>
      <c r="L280" s="1464"/>
      <c r="M280" s="1464"/>
      <c r="N280" s="1464"/>
      <c r="O280" s="193" t="s">
        <v>2983</v>
      </c>
      <c r="P280" s="2250" t="s">
        <v>3701</v>
      </c>
      <c r="Q280" s="794"/>
      <c r="AE280" s="598"/>
      <c r="AF280" s="598"/>
    </row>
    <row r="281" spans="1:32" s="111" customFormat="1" ht="12.75" customHeight="1">
      <c r="B281" s="55"/>
      <c r="C281" s="78" t="s">
        <v>1860</v>
      </c>
      <c r="D281" s="1465" t="s">
        <v>3279</v>
      </c>
      <c r="E281" s="1465"/>
      <c r="F281" s="1465"/>
      <c r="G281" s="1465"/>
      <c r="H281" s="1465"/>
      <c r="I281" s="1465"/>
      <c r="J281" s="1465"/>
      <c r="K281" s="1465"/>
      <c r="L281" s="1465"/>
      <c r="M281" s="1465"/>
      <c r="N281" s="1465"/>
      <c r="O281" s="78" t="s">
        <v>1860</v>
      </c>
      <c r="P281" s="2195" t="s">
        <v>3701</v>
      </c>
      <c r="Q281" s="794"/>
      <c r="AE281" s="600"/>
      <c r="AF281" s="600"/>
    </row>
    <row r="282" spans="1:32" s="111" customFormat="1" ht="22.5" customHeight="1">
      <c r="B282" s="168" t="s">
        <v>2121</v>
      </c>
      <c r="C282" s="177" t="s">
        <v>1859</v>
      </c>
      <c r="D282" s="1464" t="s">
        <v>2981</v>
      </c>
      <c r="E282" s="1464"/>
      <c r="F282" s="1464"/>
      <c r="G282" s="1464"/>
      <c r="H282" s="1464"/>
      <c r="I282" s="1464"/>
      <c r="J282" s="1464"/>
      <c r="K282" s="1464"/>
      <c r="L282" s="1464"/>
      <c r="M282" s="1464"/>
      <c r="N282" s="1464"/>
      <c r="O282" s="594" t="s">
        <v>2984</v>
      </c>
      <c r="P282" s="2195" t="s">
        <v>3701</v>
      </c>
      <c r="Q282" s="794"/>
      <c r="AE282" s="600"/>
      <c r="AF282" s="600"/>
    </row>
    <row r="283" spans="1:32" s="111" customFormat="1" ht="12" customHeight="1">
      <c r="B283" s="168"/>
      <c r="C283" s="177" t="s">
        <v>1860</v>
      </c>
      <c r="D283" s="1464" t="s">
        <v>2982</v>
      </c>
      <c r="E283" s="1464"/>
      <c r="F283" s="1464"/>
      <c r="G283" s="1464"/>
      <c r="H283" s="1464"/>
      <c r="I283" s="1464"/>
      <c r="J283" s="1464"/>
      <c r="K283" s="1464"/>
      <c r="L283" s="1464"/>
      <c r="M283" s="1464"/>
      <c r="N283" s="1464"/>
      <c r="O283" s="594" t="s">
        <v>3280</v>
      </c>
      <c r="P283" s="2249" t="s">
        <v>3701</v>
      </c>
      <c r="Q283" s="795"/>
      <c r="AE283" s="600"/>
      <c r="AF283" s="600"/>
    </row>
    <row r="284" spans="1:32" s="510" customFormat="1" ht="36" customHeight="1">
      <c r="B284" s="168" t="s">
        <v>799</v>
      </c>
      <c r="C284" s="177"/>
      <c r="D284" s="1464" t="s">
        <v>3395</v>
      </c>
      <c r="E284" s="1464"/>
      <c r="F284" s="1464"/>
      <c r="G284" s="1464"/>
      <c r="H284" s="1464"/>
      <c r="I284" s="1464"/>
      <c r="J284" s="1464"/>
      <c r="K284" s="1464"/>
      <c r="L284" s="1464"/>
      <c r="M284" s="1464"/>
      <c r="N284" s="1464"/>
      <c r="O284" s="193" t="s">
        <v>799</v>
      </c>
      <c r="P284" s="2250" t="s">
        <v>3701</v>
      </c>
      <c r="Q284" s="814"/>
      <c r="AE284" s="599"/>
      <c r="AF284" s="599"/>
    </row>
    <row r="285" spans="1:32" ht="11.25" customHeight="1">
      <c r="B285" s="167" t="s">
        <v>1995</v>
      </c>
      <c r="D285" s="167"/>
      <c r="E285" s="167"/>
      <c r="F285" s="167"/>
      <c r="G285" s="167"/>
      <c r="H285" s="48"/>
      <c r="I285" s="1177"/>
      <c r="J285" s="1177"/>
      <c r="K285" s="1177"/>
      <c r="L285" s="1159"/>
      <c r="M285" s="1159"/>
      <c r="N285" s="1159"/>
      <c r="O285" s="1159"/>
      <c r="P285" s="1159"/>
      <c r="Q285" s="60"/>
    </row>
    <row r="286" spans="1:32" ht="11.45" customHeight="1">
      <c r="A286" s="2199"/>
      <c r="B286" s="2200"/>
      <c r="C286" s="2200"/>
      <c r="D286" s="2200"/>
      <c r="E286" s="2200"/>
      <c r="F286" s="2200"/>
      <c r="G286" s="2200"/>
      <c r="H286" s="2200"/>
      <c r="I286" s="2200"/>
      <c r="J286" s="2200"/>
      <c r="K286" s="2200"/>
      <c r="L286" s="2200"/>
      <c r="M286" s="2200"/>
      <c r="N286" s="2200"/>
      <c r="O286" s="2200"/>
      <c r="P286" s="2200"/>
      <c r="Q286" s="2201"/>
      <c r="R286" s="563" t="s">
        <v>1332</v>
      </c>
      <c r="S286" s="564"/>
      <c r="U286" s="162"/>
      <c r="V286" s="162"/>
      <c r="W286" s="162"/>
      <c r="X286" s="162"/>
      <c r="Y286" s="162"/>
      <c r="Z286" s="162"/>
      <c r="AA286" s="162"/>
      <c r="AB286" s="162"/>
      <c r="AC286" s="162"/>
      <c r="AD286" s="162"/>
      <c r="AE286" s="596"/>
    </row>
    <row r="287" spans="1:32" ht="11.25" customHeight="1">
      <c r="B287" s="163" t="s">
        <v>1996</v>
      </c>
      <c r="C287" s="164"/>
      <c r="D287" s="1164"/>
      <c r="E287" s="1164"/>
      <c r="F287" s="1164"/>
      <c r="G287" s="1164"/>
      <c r="H287" s="1164"/>
      <c r="I287" s="1164"/>
      <c r="J287" s="1164"/>
      <c r="K287" s="1164"/>
      <c r="L287" s="1164"/>
      <c r="M287" s="1164"/>
      <c r="N287" s="1164"/>
      <c r="O287" s="1164"/>
      <c r="P287" s="1164"/>
      <c r="Q287" s="1164"/>
    </row>
    <row r="288" spans="1:32" ht="11.45" customHeight="1">
      <c r="A288" s="1468"/>
      <c r="B288" s="1469"/>
      <c r="C288" s="1469"/>
      <c r="D288" s="1469"/>
      <c r="E288" s="1469"/>
      <c r="F288" s="1469"/>
      <c r="G288" s="1469"/>
      <c r="H288" s="1469"/>
      <c r="I288" s="1469"/>
      <c r="J288" s="1469"/>
      <c r="K288" s="1469"/>
      <c r="L288" s="1469"/>
      <c r="M288" s="1469"/>
      <c r="N288" s="1469"/>
      <c r="O288" s="1469"/>
      <c r="P288" s="1469"/>
      <c r="Q288" s="1470"/>
    </row>
    <row r="289" spans="1:256 1523:1523" ht="13.9" customHeight="1">
      <c r="A289" s="1168">
        <v>19</v>
      </c>
      <c r="B289" s="11" t="s">
        <v>2864</v>
      </c>
      <c r="C289" s="11"/>
      <c r="D289" s="11"/>
      <c r="E289" s="11"/>
      <c r="F289" s="11"/>
      <c r="G289" s="11"/>
      <c r="H289" s="1164"/>
      <c r="I289" s="1164"/>
      <c r="J289" s="1164"/>
      <c r="K289" s="1164"/>
      <c r="L289" s="1164"/>
      <c r="M289" s="1164"/>
      <c r="O289" s="157" t="s">
        <v>1997</v>
      </c>
      <c r="P289" s="1471"/>
      <c r="Q289" s="1472"/>
    </row>
    <row r="290" spans="1:256 1523:1523" ht="11.45" customHeight="1">
      <c r="B290" s="171" t="s">
        <v>2400</v>
      </c>
      <c r="P290" s="2195" t="s">
        <v>3701</v>
      </c>
      <c r="Q290" s="794"/>
    </row>
    <row r="291" spans="1:256 1523:1523" ht="12" customHeight="1">
      <c r="B291" s="173" t="s">
        <v>2354</v>
      </c>
      <c r="C291" s="173"/>
      <c r="D291" s="173"/>
      <c r="E291" s="173"/>
      <c r="F291" s="173"/>
      <c r="G291" s="173"/>
      <c r="H291" s="173"/>
      <c r="I291" s="173"/>
      <c r="J291" s="173"/>
      <c r="K291" s="173"/>
      <c r="L291" s="173"/>
      <c r="P291" s="2195" t="s">
        <v>3701</v>
      </c>
      <c r="Q291" s="794"/>
    </row>
    <row r="292" spans="1:256 1523:1523" ht="11.45" customHeight="1">
      <c r="B292" s="168" t="s">
        <v>2118</v>
      </c>
      <c r="C292" s="227" t="s">
        <v>483</v>
      </c>
      <c r="D292" s="38"/>
      <c r="E292" s="38"/>
      <c r="F292" s="38"/>
      <c r="G292" s="38"/>
      <c r="H292" s="38"/>
      <c r="I292" s="38"/>
      <c r="J292" s="38"/>
      <c r="K292" s="38"/>
      <c r="L292" s="38"/>
      <c r="M292" s="38"/>
      <c r="N292" s="193"/>
    </row>
    <row r="293" spans="1:256 1523:1523" ht="22.5" customHeight="1">
      <c r="A293" s="170"/>
      <c r="C293" s="1464" t="s">
        <v>3525</v>
      </c>
      <c r="D293" s="1464"/>
      <c r="E293" s="1464"/>
      <c r="F293" s="1464"/>
      <c r="G293" s="1464"/>
      <c r="H293" s="1464"/>
      <c r="I293" s="1464"/>
      <c r="J293" s="1464"/>
      <c r="K293" s="1464"/>
      <c r="L293" s="1464"/>
      <c r="M293" s="1464"/>
      <c r="N293" s="1464"/>
      <c r="O293" s="193" t="s">
        <v>2118</v>
      </c>
      <c r="P293" s="2250" t="s">
        <v>3701</v>
      </c>
      <c r="Q293" s="814"/>
    </row>
    <row r="294" spans="1:256 1523:1523" ht="12.6" customHeight="1">
      <c r="B294" s="168" t="s">
        <v>2121</v>
      </c>
      <c r="C294" s="1482" t="s">
        <v>484</v>
      </c>
      <c r="D294" s="1482"/>
      <c r="E294" s="1482"/>
      <c r="F294" s="1482"/>
      <c r="G294" s="1482"/>
      <c r="H294" s="1482"/>
      <c r="I294" s="1482"/>
      <c r="J294" s="1482"/>
      <c r="K294" s="1482"/>
      <c r="L294" s="1482"/>
      <c r="M294" s="1482"/>
      <c r="O294" s="193" t="s">
        <v>2121</v>
      </c>
      <c r="P294" s="1159"/>
      <c r="Q294" s="60"/>
    </row>
    <row r="295" spans="1:256 1523:1523" ht="23.25" customHeight="1">
      <c r="A295" s="170"/>
      <c r="C295" s="260" t="s">
        <v>1859</v>
      </c>
      <c r="D295" s="261" t="s">
        <v>1197</v>
      </c>
      <c r="E295" s="158"/>
      <c r="F295" s="158"/>
      <c r="G295" s="2282" t="s">
        <v>1199</v>
      </c>
      <c r="H295" s="2283"/>
      <c r="I295" s="2283"/>
      <c r="J295" s="2283"/>
      <c r="K295" s="2283"/>
      <c r="L295" s="2283"/>
      <c r="M295" s="2283"/>
      <c r="N295" s="2284"/>
      <c r="O295" s="264" t="s">
        <v>1859</v>
      </c>
      <c r="P295" s="2250" t="s">
        <v>3701</v>
      </c>
      <c r="Q295" s="814"/>
      <c r="BFO295" s="175" t="s">
        <v>2985</v>
      </c>
    </row>
    <row r="296" spans="1:256 1523:1523" ht="23.25" customHeight="1">
      <c r="A296" s="170"/>
      <c r="C296" s="260" t="s">
        <v>1860</v>
      </c>
      <c r="D296" s="1413" t="s">
        <v>1198</v>
      </c>
      <c r="E296" s="1483"/>
      <c r="F296" s="1484"/>
      <c r="G296" s="2276" t="s">
        <v>2847</v>
      </c>
      <c r="H296" s="2285"/>
      <c r="I296" s="2285"/>
      <c r="J296" s="2285"/>
      <c r="K296" s="2285"/>
      <c r="L296" s="2285"/>
      <c r="M296" s="2285"/>
      <c r="N296" s="2286"/>
      <c r="O296" s="264" t="s">
        <v>1860</v>
      </c>
      <c r="P296" s="2250" t="s">
        <v>3701</v>
      </c>
      <c r="Q296" s="814"/>
    </row>
    <row r="297" spans="1:256 1523:1523" ht="3" customHeight="1">
      <c r="A297" s="1159"/>
      <c r="B297" s="1159"/>
      <c r="C297" s="1159"/>
      <c r="D297" s="1159"/>
      <c r="E297" s="1159"/>
      <c r="F297" s="1159"/>
      <c r="G297" s="1159"/>
      <c r="H297" s="1159"/>
      <c r="I297" s="1159"/>
      <c r="J297" s="1159"/>
      <c r="K297" s="1159"/>
      <c r="L297" s="1159"/>
      <c r="M297" s="1159"/>
      <c r="N297" s="1159"/>
      <c r="O297" s="1159"/>
      <c r="P297" s="1159"/>
      <c r="Q297" s="1159"/>
      <c r="R297" s="1159"/>
      <c r="S297" s="1159"/>
      <c r="T297" s="1159"/>
      <c r="U297" s="1159"/>
      <c r="V297" s="1159"/>
      <c r="W297" s="1159"/>
      <c r="X297" s="1159"/>
      <c r="Y297" s="1159"/>
      <c r="Z297" s="1159"/>
      <c r="AA297" s="1159"/>
      <c r="AB297" s="1159"/>
      <c r="AC297" s="1159"/>
      <c r="AD297" s="1159"/>
      <c r="AE297" s="60"/>
      <c r="AF297" s="60"/>
      <c r="AG297" s="1159"/>
      <c r="AH297" s="1159"/>
      <c r="AI297" s="1159"/>
      <c r="AJ297" s="1159"/>
      <c r="AK297" s="1159"/>
      <c r="AL297" s="1159"/>
      <c r="AM297" s="1159"/>
      <c r="AN297" s="1159"/>
      <c r="AO297" s="1159"/>
      <c r="AP297" s="1159"/>
      <c r="AQ297" s="1159"/>
      <c r="AR297" s="1159"/>
      <c r="AS297" s="1159"/>
      <c r="AT297" s="1159"/>
      <c r="AU297" s="1159"/>
      <c r="AV297" s="1159"/>
      <c r="AW297" s="1159"/>
      <c r="AX297" s="1159"/>
      <c r="AY297" s="1159"/>
      <c r="AZ297" s="1159"/>
      <c r="BA297" s="1159"/>
      <c r="BB297" s="1159"/>
      <c r="BC297" s="1159"/>
      <c r="BD297" s="1159"/>
      <c r="BE297" s="1159"/>
      <c r="BF297" s="1159"/>
      <c r="BG297" s="1159"/>
      <c r="BH297" s="1159"/>
      <c r="BI297" s="1159"/>
      <c r="BJ297" s="1159"/>
      <c r="BK297" s="1159"/>
      <c r="BL297" s="1159"/>
      <c r="BM297" s="1159"/>
      <c r="BN297" s="1159"/>
      <c r="BO297" s="1159"/>
      <c r="BP297" s="1159"/>
      <c r="BQ297" s="1159"/>
      <c r="BR297" s="1159"/>
      <c r="BS297" s="1159"/>
      <c r="BT297" s="1159"/>
      <c r="BU297" s="1159"/>
      <c r="BV297" s="1159"/>
      <c r="BW297" s="1159"/>
      <c r="BX297" s="1159"/>
      <c r="BY297" s="1159"/>
      <c r="BZ297" s="1159"/>
      <c r="CA297" s="1159"/>
      <c r="CB297" s="1159"/>
      <c r="CC297" s="1159"/>
      <c r="CD297" s="1159"/>
      <c r="CE297" s="1159"/>
      <c r="CF297" s="1159"/>
      <c r="CG297" s="1159"/>
      <c r="CH297" s="1159"/>
      <c r="CI297" s="1159"/>
      <c r="CJ297" s="1159"/>
      <c r="CK297" s="1159"/>
      <c r="CL297" s="1159"/>
      <c r="CM297" s="1159"/>
      <c r="CN297" s="1159"/>
      <c r="CO297" s="1159"/>
      <c r="CP297" s="1159"/>
      <c r="CQ297" s="1159"/>
      <c r="CR297" s="1159"/>
      <c r="CS297" s="1159"/>
      <c r="CT297" s="1159"/>
      <c r="CU297" s="1159"/>
      <c r="CV297" s="1159"/>
      <c r="CW297" s="1159"/>
      <c r="CX297" s="1159"/>
      <c r="CY297" s="1159"/>
      <c r="CZ297" s="1159"/>
      <c r="DA297" s="1159"/>
      <c r="DB297" s="1159"/>
      <c r="DC297" s="1159"/>
      <c r="DD297" s="1159"/>
      <c r="DE297" s="1159"/>
      <c r="DF297" s="1159"/>
      <c r="DG297" s="1159"/>
      <c r="DH297" s="1159"/>
      <c r="DI297" s="1159"/>
      <c r="DJ297" s="1159"/>
      <c r="DK297" s="1159"/>
      <c r="DL297" s="1159"/>
      <c r="DM297" s="1159"/>
      <c r="DN297" s="1159"/>
      <c r="DO297" s="1159"/>
      <c r="DP297" s="1159"/>
      <c r="DQ297" s="1159"/>
      <c r="DR297" s="1159"/>
      <c r="DS297" s="1159"/>
      <c r="DT297" s="1159"/>
      <c r="DU297" s="1159"/>
      <c r="DV297" s="1159"/>
      <c r="DW297" s="1159"/>
      <c r="DX297" s="1159"/>
      <c r="DY297" s="1159"/>
      <c r="DZ297" s="1159"/>
      <c r="EA297" s="1159"/>
      <c r="EB297" s="1159"/>
      <c r="EC297" s="1159"/>
      <c r="ED297" s="1159"/>
      <c r="EE297" s="1159"/>
      <c r="EF297" s="1159"/>
      <c r="EG297" s="1159"/>
      <c r="EH297" s="1159"/>
      <c r="EI297" s="1159"/>
      <c r="EJ297" s="1159"/>
      <c r="EK297" s="1159"/>
      <c r="EL297" s="1159"/>
      <c r="EM297" s="1159"/>
      <c r="EN297" s="1159"/>
      <c r="EO297" s="1159"/>
      <c r="EP297" s="1159"/>
      <c r="EQ297" s="1159"/>
      <c r="ER297" s="1159"/>
      <c r="ES297" s="1159"/>
      <c r="ET297" s="1159"/>
      <c r="EU297" s="1159"/>
      <c r="EV297" s="1159"/>
      <c r="EW297" s="1159"/>
      <c r="EX297" s="1159"/>
      <c r="EY297" s="1159"/>
      <c r="EZ297" s="1159"/>
      <c r="FA297" s="1159"/>
      <c r="FB297" s="1159"/>
      <c r="FC297" s="1159"/>
      <c r="FD297" s="1159"/>
      <c r="FE297" s="1159"/>
      <c r="FF297" s="1159"/>
      <c r="FG297" s="1159"/>
      <c r="FH297" s="1159"/>
      <c r="FI297" s="1159"/>
      <c r="FJ297" s="1159"/>
      <c r="FK297" s="1159"/>
      <c r="FL297" s="1159"/>
      <c r="FM297" s="1159"/>
      <c r="FN297" s="1159"/>
      <c r="FO297" s="1159"/>
      <c r="FP297" s="1159"/>
      <c r="FQ297" s="1159"/>
      <c r="FR297" s="1159"/>
      <c r="FS297" s="1159"/>
      <c r="FT297" s="1159"/>
      <c r="FU297" s="1159"/>
      <c r="FV297" s="1159"/>
      <c r="FW297" s="1159"/>
      <c r="FX297" s="1159"/>
      <c r="FY297" s="1159"/>
      <c r="FZ297" s="1159"/>
      <c r="GA297" s="1159"/>
      <c r="GB297" s="1159"/>
      <c r="GC297" s="1159"/>
      <c r="GD297" s="1159"/>
      <c r="GE297" s="1159"/>
      <c r="GF297" s="1159"/>
      <c r="GG297" s="1159"/>
      <c r="GH297" s="1159"/>
      <c r="GI297" s="1159"/>
      <c r="GJ297" s="1159"/>
      <c r="GK297" s="1159"/>
      <c r="GL297" s="1159"/>
      <c r="GM297" s="1159"/>
      <c r="GN297" s="1159"/>
      <c r="GO297" s="1159"/>
      <c r="GP297" s="1159"/>
      <c r="GQ297" s="1159"/>
      <c r="GR297" s="1159"/>
      <c r="GS297" s="1159"/>
      <c r="GT297" s="1159"/>
      <c r="GU297" s="1159"/>
      <c r="GV297" s="1159"/>
      <c r="GW297" s="1159"/>
      <c r="GX297" s="1159"/>
      <c r="GY297" s="1159"/>
      <c r="GZ297" s="1159"/>
      <c r="HA297" s="1159"/>
      <c r="HB297" s="1159"/>
      <c r="HC297" s="1159"/>
      <c r="HD297" s="1159"/>
      <c r="HE297" s="1159"/>
      <c r="HF297" s="1159"/>
      <c r="HG297" s="1159"/>
      <c r="HH297" s="1159"/>
      <c r="HI297" s="1159"/>
      <c r="HJ297" s="1159"/>
      <c r="HK297" s="1159"/>
      <c r="HL297" s="1159"/>
      <c r="HM297" s="1159"/>
      <c r="HN297" s="1159"/>
      <c r="HO297" s="1159"/>
      <c r="HP297" s="1159"/>
      <c r="HQ297" s="1159"/>
      <c r="HR297" s="1159"/>
      <c r="HS297" s="1159"/>
      <c r="HT297" s="1159"/>
      <c r="HU297" s="1159"/>
      <c r="HV297" s="1159"/>
      <c r="HW297" s="1159"/>
      <c r="HX297" s="1159"/>
      <c r="HY297" s="1159"/>
      <c r="HZ297" s="1159"/>
      <c r="IA297" s="1159"/>
      <c r="IB297" s="1159"/>
      <c r="IC297" s="1159"/>
      <c r="ID297" s="1159"/>
      <c r="IE297" s="1159"/>
      <c r="IF297" s="1159"/>
      <c r="IG297" s="1159"/>
      <c r="IH297" s="1159"/>
      <c r="II297" s="1159"/>
      <c r="IJ297" s="1159"/>
      <c r="IK297" s="1159"/>
      <c r="IL297" s="1159"/>
      <c r="IM297" s="1159"/>
      <c r="IN297" s="1159"/>
      <c r="IO297" s="1159"/>
      <c r="IP297" s="1159"/>
      <c r="IQ297" s="1159"/>
      <c r="IR297" s="1159"/>
      <c r="IS297" s="1159"/>
      <c r="IT297" s="1159"/>
      <c r="IU297" s="1159"/>
      <c r="IV297" s="1159"/>
    </row>
    <row r="298" spans="1:256 1523:1523" s="158" customFormat="1" ht="22.5" customHeight="1">
      <c r="B298" s="168" t="s">
        <v>799</v>
      </c>
      <c r="C298" s="1473" t="s">
        <v>2872</v>
      </c>
      <c r="D298" s="1473"/>
      <c r="E298" s="1473"/>
      <c r="F298" s="1473"/>
      <c r="G298" s="1473"/>
      <c r="H298" s="1473"/>
      <c r="I298" s="1473"/>
      <c r="J298" s="1473"/>
      <c r="K298" s="1473"/>
      <c r="L298" s="1473"/>
      <c r="M298" s="1473"/>
      <c r="N298" s="1473"/>
      <c r="O298" s="558" t="s">
        <v>799</v>
      </c>
      <c r="P298" s="1159"/>
      <c r="Q298" s="60"/>
      <c r="AE298" s="597"/>
      <c r="AF298" s="597"/>
    </row>
    <row r="299" spans="1:256 1523:1523" s="158" customFormat="1" ht="11.25" customHeight="1">
      <c r="A299" s="170"/>
      <c r="C299" s="260" t="s">
        <v>1859</v>
      </c>
      <c r="D299" s="2273"/>
      <c r="E299" s="2274"/>
      <c r="F299" s="2274"/>
      <c r="G299" s="2274"/>
      <c r="H299" s="2274"/>
      <c r="I299" s="2274"/>
      <c r="J299" s="2274"/>
      <c r="K299" s="2274"/>
      <c r="L299" s="2274"/>
      <c r="M299" s="2274"/>
      <c r="N299" s="2275"/>
      <c r="O299" s="264" t="s">
        <v>1859</v>
      </c>
      <c r="P299" s="2250"/>
      <c r="Q299" s="814"/>
      <c r="AE299" s="597"/>
      <c r="AF299" s="597"/>
    </row>
    <row r="300" spans="1:256 1523:1523" s="158" customFormat="1" ht="11.25" customHeight="1">
      <c r="A300" s="170"/>
      <c r="C300" s="260" t="s">
        <v>1860</v>
      </c>
      <c r="D300" s="2276"/>
      <c r="E300" s="2277"/>
      <c r="F300" s="2277"/>
      <c r="G300" s="2277"/>
      <c r="H300" s="2277"/>
      <c r="I300" s="2277"/>
      <c r="J300" s="2277"/>
      <c r="K300" s="2277"/>
      <c r="L300" s="2277"/>
      <c r="M300" s="2277"/>
      <c r="N300" s="2278"/>
      <c r="O300" s="264" t="s">
        <v>1860</v>
      </c>
      <c r="P300" s="2250"/>
      <c r="Q300" s="814"/>
      <c r="AE300" s="597"/>
      <c r="AF300" s="597"/>
    </row>
    <row r="301" spans="1:256 1523:1523" ht="3" customHeight="1">
      <c r="A301" s="1159"/>
      <c r="B301" s="1159"/>
      <c r="C301" s="1159"/>
      <c r="D301" s="1159"/>
      <c r="E301" s="1159"/>
      <c r="F301" s="1159"/>
      <c r="G301" s="1159"/>
      <c r="H301" s="1159"/>
      <c r="I301" s="1159"/>
      <c r="J301" s="1159"/>
      <c r="K301" s="1159"/>
      <c r="L301" s="1159"/>
      <c r="M301" s="1159"/>
      <c r="N301" s="1159"/>
      <c r="O301" s="1159"/>
      <c r="P301" s="1159"/>
      <c r="Q301" s="1159"/>
      <c r="R301" s="1159"/>
      <c r="S301" s="1159"/>
      <c r="T301" s="1159"/>
      <c r="U301" s="1159"/>
      <c r="V301" s="1159"/>
      <c r="W301" s="1159"/>
      <c r="X301" s="1159"/>
      <c r="Y301" s="1159"/>
      <c r="Z301" s="1159"/>
      <c r="AA301" s="1159"/>
      <c r="AB301" s="1159"/>
      <c r="AC301" s="1159"/>
      <c r="AD301" s="1159"/>
      <c r="AE301" s="60"/>
      <c r="AF301" s="60"/>
      <c r="AG301" s="1159"/>
      <c r="AH301" s="1159"/>
      <c r="AI301" s="1159"/>
      <c r="AJ301" s="1159"/>
      <c r="AK301" s="1159"/>
      <c r="AL301" s="1159"/>
      <c r="AM301" s="1159"/>
      <c r="AN301" s="1159"/>
      <c r="AO301" s="1159"/>
      <c r="AP301" s="1159"/>
      <c r="AQ301" s="1159"/>
      <c r="AR301" s="1159"/>
      <c r="AS301" s="1159"/>
      <c r="AT301" s="1159"/>
      <c r="AU301" s="1159"/>
      <c r="AV301" s="1159"/>
      <c r="AW301" s="1159"/>
      <c r="AX301" s="1159"/>
      <c r="AY301" s="1159"/>
      <c r="AZ301" s="1159"/>
      <c r="BA301" s="1159"/>
      <c r="BB301" s="1159"/>
      <c r="BC301" s="1159"/>
      <c r="BD301" s="1159"/>
      <c r="BE301" s="1159"/>
      <c r="BF301" s="1159"/>
      <c r="BG301" s="1159"/>
      <c r="BH301" s="1159"/>
      <c r="BI301" s="1159"/>
      <c r="BJ301" s="1159"/>
      <c r="BK301" s="1159"/>
      <c r="BL301" s="1159"/>
      <c r="BM301" s="1159"/>
      <c r="BN301" s="1159"/>
      <c r="BO301" s="1159"/>
      <c r="BP301" s="1159"/>
      <c r="BQ301" s="1159"/>
      <c r="BR301" s="1159"/>
      <c r="BS301" s="1159"/>
      <c r="BT301" s="1159"/>
      <c r="BU301" s="1159"/>
      <c r="BV301" s="1159"/>
      <c r="BW301" s="1159"/>
      <c r="BX301" s="1159"/>
      <c r="BY301" s="1159"/>
      <c r="BZ301" s="1159"/>
      <c r="CA301" s="1159"/>
      <c r="CB301" s="1159"/>
      <c r="CC301" s="1159"/>
      <c r="CD301" s="1159"/>
      <c r="CE301" s="1159"/>
      <c r="CF301" s="1159"/>
      <c r="CG301" s="1159"/>
      <c r="CH301" s="1159"/>
      <c r="CI301" s="1159"/>
      <c r="CJ301" s="1159"/>
      <c r="CK301" s="1159"/>
      <c r="CL301" s="1159"/>
      <c r="CM301" s="1159"/>
      <c r="CN301" s="1159"/>
      <c r="CO301" s="1159"/>
      <c r="CP301" s="1159"/>
      <c r="CQ301" s="1159"/>
      <c r="CR301" s="1159"/>
      <c r="CS301" s="1159"/>
      <c r="CT301" s="1159"/>
      <c r="CU301" s="1159"/>
      <c r="CV301" s="1159"/>
      <c r="CW301" s="1159"/>
      <c r="CX301" s="1159"/>
      <c r="CY301" s="1159"/>
      <c r="CZ301" s="1159"/>
      <c r="DA301" s="1159"/>
      <c r="DB301" s="1159"/>
      <c r="DC301" s="1159"/>
      <c r="DD301" s="1159"/>
      <c r="DE301" s="1159"/>
      <c r="DF301" s="1159"/>
      <c r="DG301" s="1159"/>
      <c r="DH301" s="1159"/>
      <c r="DI301" s="1159"/>
      <c r="DJ301" s="1159"/>
      <c r="DK301" s="1159"/>
      <c r="DL301" s="1159"/>
      <c r="DM301" s="1159"/>
      <c r="DN301" s="1159"/>
      <c r="DO301" s="1159"/>
      <c r="DP301" s="1159"/>
      <c r="DQ301" s="1159"/>
      <c r="DR301" s="1159"/>
      <c r="DS301" s="1159"/>
      <c r="DT301" s="1159"/>
      <c r="DU301" s="1159"/>
      <c r="DV301" s="1159"/>
      <c r="DW301" s="1159"/>
      <c r="DX301" s="1159"/>
      <c r="DY301" s="1159"/>
      <c r="DZ301" s="1159"/>
      <c r="EA301" s="1159"/>
      <c r="EB301" s="1159"/>
      <c r="EC301" s="1159"/>
      <c r="ED301" s="1159"/>
      <c r="EE301" s="1159"/>
      <c r="EF301" s="1159"/>
      <c r="EG301" s="1159"/>
      <c r="EH301" s="1159"/>
      <c r="EI301" s="1159"/>
      <c r="EJ301" s="1159"/>
      <c r="EK301" s="1159"/>
      <c r="EL301" s="1159"/>
      <c r="EM301" s="1159"/>
      <c r="EN301" s="1159"/>
      <c r="EO301" s="1159"/>
      <c r="EP301" s="1159"/>
      <c r="EQ301" s="1159"/>
      <c r="ER301" s="1159"/>
      <c r="ES301" s="1159"/>
      <c r="ET301" s="1159"/>
      <c r="EU301" s="1159"/>
      <c r="EV301" s="1159"/>
      <c r="EW301" s="1159"/>
      <c r="EX301" s="1159"/>
      <c r="EY301" s="1159"/>
      <c r="EZ301" s="1159"/>
      <c r="FA301" s="1159"/>
      <c r="FB301" s="1159"/>
      <c r="FC301" s="1159"/>
      <c r="FD301" s="1159"/>
      <c r="FE301" s="1159"/>
      <c r="FF301" s="1159"/>
      <c r="FG301" s="1159"/>
      <c r="FH301" s="1159"/>
      <c r="FI301" s="1159"/>
      <c r="FJ301" s="1159"/>
      <c r="FK301" s="1159"/>
      <c r="FL301" s="1159"/>
      <c r="FM301" s="1159"/>
      <c r="FN301" s="1159"/>
      <c r="FO301" s="1159"/>
      <c r="FP301" s="1159"/>
      <c r="FQ301" s="1159"/>
      <c r="FR301" s="1159"/>
      <c r="FS301" s="1159"/>
      <c r="FT301" s="1159"/>
      <c r="FU301" s="1159"/>
      <c r="FV301" s="1159"/>
      <c r="FW301" s="1159"/>
      <c r="FX301" s="1159"/>
      <c r="FY301" s="1159"/>
      <c r="FZ301" s="1159"/>
      <c r="GA301" s="1159"/>
      <c r="GB301" s="1159"/>
      <c r="GC301" s="1159"/>
      <c r="GD301" s="1159"/>
      <c r="GE301" s="1159"/>
      <c r="GF301" s="1159"/>
      <c r="GG301" s="1159"/>
      <c r="GH301" s="1159"/>
      <c r="GI301" s="1159"/>
      <c r="GJ301" s="1159"/>
      <c r="GK301" s="1159"/>
      <c r="GL301" s="1159"/>
      <c r="GM301" s="1159"/>
      <c r="GN301" s="1159"/>
      <c r="GO301" s="1159"/>
      <c r="GP301" s="1159"/>
      <c r="GQ301" s="1159"/>
      <c r="GR301" s="1159"/>
      <c r="GS301" s="1159"/>
      <c r="GT301" s="1159"/>
      <c r="GU301" s="1159"/>
      <c r="GV301" s="1159"/>
      <c r="GW301" s="1159"/>
      <c r="GX301" s="1159"/>
      <c r="GY301" s="1159"/>
      <c r="GZ301" s="1159"/>
      <c r="HA301" s="1159"/>
      <c r="HB301" s="1159"/>
      <c r="HC301" s="1159"/>
      <c r="HD301" s="1159"/>
      <c r="HE301" s="1159"/>
      <c r="HF301" s="1159"/>
      <c r="HG301" s="1159"/>
      <c r="HH301" s="1159"/>
      <c r="HI301" s="1159"/>
      <c r="HJ301" s="1159"/>
      <c r="HK301" s="1159"/>
      <c r="HL301" s="1159"/>
      <c r="HM301" s="1159"/>
      <c r="HN301" s="1159"/>
      <c r="HO301" s="1159"/>
      <c r="HP301" s="1159"/>
      <c r="HQ301" s="1159"/>
      <c r="HR301" s="1159"/>
      <c r="HS301" s="1159"/>
      <c r="HT301" s="1159"/>
      <c r="HU301" s="1159"/>
      <c r="HV301" s="1159"/>
      <c r="HW301" s="1159"/>
      <c r="HX301" s="1159"/>
      <c r="HY301" s="1159"/>
      <c r="HZ301" s="1159"/>
      <c r="IA301" s="1159"/>
      <c r="IB301" s="1159"/>
      <c r="IC301" s="1159"/>
      <c r="ID301" s="1159"/>
      <c r="IE301" s="1159"/>
      <c r="IF301" s="1159"/>
      <c r="IG301" s="1159"/>
      <c r="IH301" s="1159"/>
      <c r="II301" s="1159"/>
      <c r="IJ301" s="1159"/>
      <c r="IK301" s="1159"/>
      <c r="IL301" s="1159"/>
      <c r="IM301" s="1159"/>
      <c r="IN301" s="1159"/>
      <c r="IO301" s="1159"/>
      <c r="IP301" s="1159"/>
      <c r="IQ301" s="1159"/>
      <c r="IR301" s="1159"/>
      <c r="IS301" s="1159"/>
      <c r="IT301" s="1159"/>
      <c r="IU301" s="1159"/>
      <c r="IV301" s="1159"/>
    </row>
    <row r="302" spans="1:256 1523:1523" ht="11.25" customHeight="1">
      <c r="B302" s="167" t="s">
        <v>1995</v>
      </c>
      <c r="D302" s="167"/>
      <c r="E302" s="167"/>
      <c r="F302" s="167"/>
      <c r="G302" s="167"/>
      <c r="H302" s="48"/>
      <c r="I302" s="1177"/>
      <c r="J302" s="1177"/>
      <c r="K302" s="1177"/>
      <c r="L302" s="1159"/>
      <c r="M302" s="1159"/>
      <c r="N302" s="1159"/>
      <c r="O302" s="1159"/>
      <c r="P302" s="1159"/>
      <c r="Q302" s="60"/>
    </row>
    <row r="303" spans="1:256 1523:1523" ht="11.45" customHeight="1">
      <c r="A303" s="2199"/>
      <c r="B303" s="2200"/>
      <c r="C303" s="2200"/>
      <c r="D303" s="2200"/>
      <c r="E303" s="2200"/>
      <c r="F303" s="2200"/>
      <c r="G303" s="2200"/>
      <c r="H303" s="2200"/>
      <c r="I303" s="2200"/>
      <c r="J303" s="2200"/>
      <c r="K303" s="2200"/>
      <c r="L303" s="2200"/>
      <c r="M303" s="2200"/>
      <c r="N303" s="2200"/>
      <c r="O303" s="2200"/>
      <c r="P303" s="2200"/>
      <c r="Q303" s="2201"/>
      <c r="R303" s="595" t="s">
        <v>1332</v>
      </c>
      <c r="S303" s="145"/>
      <c r="U303" s="162"/>
      <c r="V303" s="162"/>
      <c r="W303" s="162"/>
      <c r="X303" s="162"/>
      <c r="Y303" s="162"/>
      <c r="Z303" s="162"/>
      <c r="AA303" s="162"/>
      <c r="AB303" s="162"/>
      <c r="AC303" s="162"/>
      <c r="AD303" s="162"/>
      <c r="AE303" s="596"/>
    </row>
    <row r="304" spans="1:256 1523:1523" ht="11.25" customHeight="1">
      <c r="B304" s="163" t="s">
        <v>1996</v>
      </c>
      <c r="C304" s="164"/>
      <c r="D304" s="1164"/>
      <c r="E304" s="1164"/>
      <c r="F304" s="1164"/>
      <c r="G304" s="1164"/>
      <c r="H304" s="1164"/>
      <c r="I304" s="1164"/>
      <c r="J304" s="1164"/>
      <c r="K304" s="1164"/>
      <c r="L304" s="1164"/>
      <c r="M304" s="1164"/>
      <c r="N304" s="1164"/>
      <c r="O304" s="1164"/>
      <c r="P304" s="1164"/>
      <c r="Q304" s="1164"/>
    </row>
    <row r="305" spans="1:31" ht="11.45" customHeight="1">
      <c r="A305" s="1417"/>
      <c r="B305" s="1418"/>
      <c r="C305" s="1418"/>
      <c r="D305" s="1418"/>
      <c r="E305" s="1418"/>
      <c r="F305" s="1418"/>
      <c r="G305" s="1418"/>
      <c r="H305" s="1418"/>
      <c r="I305" s="1418"/>
      <c r="J305" s="1418"/>
      <c r="K305" s="1418"/>
      <c r="L305" s="1418"/>
      <c r="M305" s="1418"/>
      <c r="N305" s="1418"/>
      <c r="O305" s="1418"/>
      <c r="P305" s="1418"/>
      <c r="Q305" s="1419"/>
    </row>
    <row r="306" spans="1:31" ht="3" customHeight="1">
      <c r="A306" s="1159"/>
      <c r="B306" s="1177"/>
      <c r="C306" s="1164"/>
      <c r="D306" s="1164"/>
      <c r="E306" s="1164"/>
      <c r="F306" s="1164"/>
      <c r="G306" s="1164"/>
      <c r="H306" s="1164"/>
      <c r="I306" s="1164"/>
      <c r="J306" s="1164"/>
      <c r="K306" s="1164"/>
      <c r="L306" s="1164"/>
      <c r="M306" s="1164"/>
      <c r="N306" s="1164"/>
      <c r="O306" s="1164"/>
      <c r="P306" s="1164"/>
      <c r="Q306" s="1159"/>
    </row>
    <row r="307" spans="1:31" ht="13.9" customHeight="1">
      <c r="A307" s="1168">
        <v>20</v>
      </c>
      <c r="B307" s="1168" t="s">
        <v>3546</v>
      </c>
      <c r="C307" s="1168"/>
      <c r="D307" s="1164"/>
      <c r="E307" s="1164"/>
      <c r="F307" s="1164"/>
      <c r="G307" s="1164"/>
      <c r="H307" s="1164"/>
      <c r="O307" s="157" t="s">
        <v>1997</v>
      </c>
      <c r="P307" s="1415"/>
      <c r="Q307" s="1416"/>
    </row>
    <row r="308" spans="1:31" ht="11.45" customHeight="1">
      <c r="B308" s="65" t="s">
        <v>3547</v>
      </c>
      <c r="P308" s="2195" t="s">
        <v>3701</v>
      </c>
      <c r="Q308" s="794"/>
    </row>
    <row r="309" spans="1:31" ht="11.45" customHeight="1">
      <c r="B309" s="171" t="s">
        <v>2501</v>
      </c>
      <c r="P309" s="2195" t="s">
        <v>3702</v>
      </c>
      <c r="Q309" s="794"/>
    </row>
    <row r="310" spans="1:31" ht="11.45" customHeight="1">
      <c r="B310" s="65" t="s">
        <v>3548</v>
      </c>
      <c r="M310" s="2287" t="s">
        <v>3552</v>
      </c>
      <c r="N310" s="2288"/>
      <c r="O310" s="2289"/>
    </row>
    <row r="311" spans="1:31" ht="11.45" customHeight="1">
      <c r="B311" s="504" t="s">
        <v>2502</v>
      </c>
      <c r="M311" s="1485" t="s">
        <v>3550</v>
      </c>
      <c r="N311" s="1486"/>
      <c r="O311" s="1487"/>
    </row>
    <row r="312" spans="1:31" ht="11.25" customHeight="1">
      <c r="B312" s="167" t="s">
        <v>1995</v>
      </c>
      <c r="D312" s="167"/>
      <c r="E312" s="167"/>
      <c r="F312" s="167"/>
      <c r="G312" s="167"/>
      <c r="H312" s="48"/>
      <c r="I312" s="1177"/>
      <c r="J312" s="1177"/>
      <c r="K312" s="1177"/>
      <c r="L312" s="1159"/>
      <c r="M312" s="1159"/>
      <c r="N312" s="1159"/>
      <c r="O312" s="1159"/>
      <c r="P312" s="1159"/>
      <c r="Q312" s="60"/>
    </row>
    <row r="313" spans="1:31" ht="13.15" customHeight="1">
      <c r="A313" s="2199"/>
      <c r="B313" s="2200"/>
      <c r="C313" s="2200"/>
      <c r="D313" s="2200"/>
      <c r="E313" s="2200"/>
      <c r="F313" s="2200"/>
      <c r="G313" s="2200"/>
      <c r="H313" s="2200"/>
      <c r="I313" s="2200"/>
      <c r="J313" s="2200"/>
      <c r="K313" s="2200"/>
      <c r="L313" s="2200"/>
      <c r="M313" s="2200"/>
      <c r="N313" s="2200"/>
      <c r="O313" s="2200"/>
      <c r="P313" s="2200"/>
      <c r="Q313" s="2201"/>
      <c r="R313" s="563" t="s">
        <v>1332</v>
      </c>
      <c r="S313" s="564"/>
      <c r="U313" s="162"/>
      <c r="V313" s="162"/>
      <c r="W313" s="162"/>
      <c r="X313" s="162"/>
      <c r="Y313" s="162"/>
      <c r="Z313" s="162"/>
      <c r="AA313" s="162"/>
      <c r="AB313" s="162"/>
      <c r="AC313" s="162"/>
      <c r="AD313" s="162"/>
      <c r="AE313" s="596"/>
    </row>
    <row r="314" spans="1:31" ht="11.25" customHeight="1">
      <c r="B314" s="163" t="s">
        <v>1996</v>
      </c>
      <c r="C314" s="164"/>
      <c r="D314" s="1164"/>
      <c r="E314" s="1164"/>
      <c r="F314" s="1164"/>
      <c r="G314" s="1164"/>
      <c r="H314" s="1164"/>
      <c r="I314" s="1164"/>
      <c r="J314" s="1164"/>
      <c r="K314" s="1164"/>
      <c r="L314" s="1164"/>
      <c r="M314" s="1164"/>
      <c r="N314" s="1164"/>
      <c r="O314" s="1164"/>
      <c r="P314" s="1164"/>
      <c r="Q314" s="1164"/>
    </row>
    <row r="315" spans="1:31" ht="13.15" customHeight="1">
      <c r="A315" s="1417"/>
      <c r="B315" s="1418"/>
      <c r="C315" s="1418"/>
      <c r="D315" s="1418"/>
      <c r="E315" s="1418"/>
      <c r="F315" s="1418"/>
      <c r="G315" s="1418"/>
      <c r="H315" s="1418"/>
      <c r="I315" s="1418"/>
      <c r="J315" s="1418"/>
      <c r="K315" s="1418"/>
      <c r="L315" s="1418"/>
      <c r="M315" s="1418"/>
      <c r="N315" s="1418"/>
      <c r="O315" s="1418"/>
      <c r="P315" s="1418"/>
      <c r="Q315" s="1419"/>
    </row>
    <row r="316" spans="1:31" ht="4.1500000000000004" customHeight="1">
      <c r="B316" s="1177"/>
      <c r="C316" s="1164"/>
      <c r="D316" s="1164"/>
      <c r="E316" s="1164"/>
      <c r="F316" s="1164"/>
      <c r="G316" s="1164"/>
      <c r="H316" s="1164"/>
      <c r="I316" s="1164"/>
      <c r="J316" s="1164"/>
      <c r="K316" s="1164"/>
      <c r="L316" s="1164"/>
      <c r="M316" s="1164"/>
      <c r="Q316" s="60"/>
    </row>
    <row r="317" spans="1:31" ht="13.9" customHeight="1">
      <c r="A317" s="1168">
        <v>21</v>
      </c>
      <c r="B317" s="5" t="s">
        <v>2865</v>
      </c>
      <c r="C317" s="5"/>
      <c r="D317" s="101"/>
      <c r="E317" s="1164"/>
      <c r="F317" s="1164"/>
      <c r="G317" s="1164"/>
      <c r="H317" s="1164"/>
      <c r="I317" s="1164"/>
      <c r="J317" s="1164"/>
      <c r="K317" s="1164"/>
      <c r="L317" s="1164"/>
      <c r="M317" s="1164"/>
      <c r="O317" s="157" t="s">
        <v>1997</v>
      </c>
      <c r="P317" s="1415"/>
      <c r="Q317" s="1416"/>
    </row>
    <row r="318" spans="1:31" ht="22.15" customHeight="1">
      <c r="B318" s="168" t="s">
        <v>2118</v>
      </c>
      <c r="C318" s="1413" t="s">
        <v>3549</v>
      </c>
      <c r="D318" s="1413"/>
      <c r="E318" s="1413"/>
      <c r="F318" s="1413"/>
      <c r="G318" s="1413"/>
      <c r="H318" s="1413"/>
      <c r="I318" s="1413"/>
      <c r="J318" s="1413"/>
      <c r="K318" s="1413"/>
      <c r="L318" s="1413"/>
      <c r="M318" s="1413"/>
      <c r="N318" s="1413"/>
      <c r="O318" s="193" t="s">
        <v>2118</v>
      </c>
      <c r="P318" s="2195"/>
      <c r="Q318" s="794"/>
    </row>
    <row r="319" spans="1:31" ht="12" customHeight="1">
      <c r="B319" s="168" t="s">
        <v>2121</v>
      </c>
      <c r="C319" s="1413" t="s">
        <v>3586</v>
      </c>
      <c r="D319" s="1413"/>
      <c r="E319" s="1413"/>
      <c r="F319" s="1413"/>
      <c r="G319" s="1413"/>
      <c r="H319" s="1413"/>
      <c r="I319" s="1413"/>
      <c r="J319" s="1413"/>
      <c r="K319" s="1413"/>
      <c r="L319" s="1413"/>
      <c r="M319" s="1413"/>
      <c r="N319" s="1413"/>
      <c r="O319" s="193" t="s">
        <v>2121</v>
      </c>
      <c r="P319" s="2195"/>
      <c r="Q319" s="794"/>
    </row>
    <row r="320" spans="1:31" ht="12" customHeight="1">
      <c r="B320" s="168" t="s">
        <v>799</v>
      </c>
      <c r="C320" s="173" t="s">
        <v>3281</v>
      </c>
      <c r="D320" s="173"/>
      <c r="E320" s="173"/>
      <c r="F320" s="173"/>
      <c r="G320" s="173"/>
      <c r="H320" s="173"/>
      <c r="I320" s="173"/>
      <c r="J320" s="173"/>
      <c r="K320" s="173"/>
      <c r="L320" s="173"/>
      <c r="M320" s="173"/>
      <c r="O320" s="193" t="s">
        <v>799</v>
      </c>
      <c r="P320" s="2195"/>
      <c r="Q320" s="794"/>
    </row>
    <row r="321" spans="1:32" ht="12" customHeight="1">
      <c r="B321" s="168" t="s">
        <v>2253</v>
      </c>
      <c r="C321" s="1413" t="s">
        <v>3152</v>
      </c>
      <c r="D321" s="1413"/>
      <c r="E321" s="1413"/>
      <c r="F321" s="1413"/>
      <c r="G321" s="1413"/>
      <c r="H321" s="1413"/>
      <c r="I321" s="1413"/>
      <c r="J321" s="1413"/>
      <c r="K321" s="1413"/>
      <c r="L321" s="1413"/>
      <c r="M321" s="1413"/>
      <c r="N321" s="1413"/>
      <c r="O321" s="193" t="s">
        <v>2253</v>
      </c>
      <c r="P321" s="2195"/>
      <c r="Q321" s="794"/>
    </row>
    <row r="322" spans="1:32" ht="12" customHeight="1">
      <c r="B322" s="168" t="s">
        <v>1857</v>
      </c>
      <c r="C322" s="1413" t="s">
        <v>3282</v>
      </c>
      <c r="D322" s="1413"/>
      <c r="E322" s="1413"/>
      <c r="F322" s="1413"/>
      <c r="G322" s="1413"/>
      <c r="H322" s="1413"/>
      <c r="I322" s="1413"/>
      <c r="J322" s="1413"/>
      <c r="K322" s="1413"/>
      <c r="L322" s="1413"/>
      <c r="M322" s="1413"/>
      <c r="N322" s="1413"/>
      <c r="O322" s="193" t="s">
        <v>1857</v>
      </c>
      <c r="P322" s="2195"/>
      <c r="Q322" s="794"/>
    </row>
    <row r="323" spans="1:32" ht="11.25" customHeight="1">
      <c r="B323" s="167" t="s">
        <v>1995</v>
      </c>
      <c r="D323" s="167"/>
      <c r="E323" s="167"/>
      <c r="F323" s="167"/>
      <c r="G323" s="167"/>
      <c r="H323" s="48"/>
      <c r="I323" s="1177"/>
      <c r="J323" s="1177"/>
      <c r="K323" s="1177"/>
      <c r="L323" s="1159"/>
      <c r="M323" s="1159"/>
      <c r="N323" s="1159"/>
      <c r="O323" s="1159"/>
      <c r="P323" s="1159"/>
      <c r="Q323" s="60"/>
    </row>
    <row r="324" spans="1:32" ht="11.45" customHeight="1">
      <c r="A324" s="2199" t="s">
        <v>3812</v>
      </c>
      <c r="B324" s="2200"/>
      <c r="C324" s="2200"/>
      <c r="D324" s="2200"/>
      <c r="E324" s="2200"/>
      <c r="F324" s="2200"/>
      <c r="G324" s="2200"/>
      <c r="H324" s="2200"/>
      <c r="I324" s="2200"/>
      <c r="J324" s="2200"/>
      <c r="K324" s="2200"/>
      <c r="L324" s="2200"/>
      <c r="M324" s="2200"/>
      <c r="N324" s="2200"/>
      <c r="O324" s="2200"/>
      <c r="P324" s="2200"/>
      <c r="Q324" s="2201"/>
      <c r="U324" s="162"/>
      <c r="V324" s="162"/>
      <c r="W324" s="162"/>
      <c r="X324" s="162"/>
      <c r="Y324" s="162"/>
      <c r="Z324" s="162"/>
      <c r="AA324" s="162"/>
      <c r="AB324" s="162"/>
      <c r="AC324" s="162"/>
      <c r="AD324" s="162"/>
      <c r="AE324" s="596"/>
    </row>
    <row r="325" spans="1:32" ht="11.25" customHeight="1">
      <c r="B325" s="163" t="s">
        <v>1996</v>
      </c>
      <c r="C325" s="164"/>
      <c r="D325" s="1164"/>
      <c r="E325" s="1164"/>
      <c r="F325" s="1164"/>
      <c r="G325" s="1164"/>
      <c r="H325" s="1164"/>
      <c r="I325" s="1164"/>
      <c r="J325" s="1164"/>
      <c r="K325" s="1164"/>
      <c r="L325" s="1164"/>
      <c r="M325" s="1164"/>
      <c r="N325" s="1164"/>
      <c r="O325" s="1164"/>
      <c r="P325" s="1164"/>
      <c r="Q325" s="1164"/>
    </row>
    <row r="326" spans="1:32" ht="11.45" customHeight="1">
      <c r="A326" s="1417"/>
      <c r="B326" s="1418"/>
      <c r="C326" s="1418"/>
      <c r="D326" s="1418"/>
      <c r="E326" s="1418"/>
      <c r="F326" s="1418"/>
      <c r="G326" s="1418"/>
      <c r="H326" s="1418"/>
      <c r="I326" s="1418"/>
      <c r="J326" s="1418"/>
      <c r="K326" s="1418"/>
      <c r="L326" s="1418"/>
      <c r="M326" s="1418"/>
      <c r="N326" s="1418"/>
      <c r="O326" s="1418"/>
      <c r="P326" s="1418"/>
      <c r="Q326" s="1419"/>
    </row>
    <row r="327" spans="1:32" ht="2.25" customHeight="1">
      <c r="A327" s="1159"/>
      <c r="B327" s="1177"/>
      <c r="C327" s="1164"/>
      <c r="D327" s="1164"/>
      <c r="E327" s="1164"/>
      <c r="F327" s="1164"/>
      <c r="G327" s="1164"/>
      <c r="H327" s="1164"/>
      <c r="I327" s="1164"/>
      <c r="J327" s="1164"/>
      <c r="K327" s="1164"/>
      <c r="L327" s="1164"/>
      <c r="M327" s="1164"/>
      <c r="N327" s="1164"/>
      <c r="O327" s="1164"/>
      <c r="P327" s="1164"/>
      <c r="Q327" s="60"/>
      <c r="R327" s="9"/>
      <c r="S327" s="9"/>
    </row>
    <row r="328" spans="1:32" ht="13.9" customHeight="1">
      <c r="A328" s="1168">
        <v>22</v>
      </c>
      <c r="B328" s="5" t="s">
        <v>2899</v>
      </c>
      <c r="C328" s="5"/>
      <c r="D328" s="5"/>
      <c r="E328" s="5"/>
      <c r="F328" s="5"/>
      <c r="G328" s="5"/>
      <c r="H328" s="1164"/>
      <c r="I328" s="1164"/>
      <c r="J328" s="1164"/>
      <c r="K328" s="1164"/>
      <c r="L328" s="1164"/>
      <c r="M328" s="1164"/>
      <c r="O328" s="157" t="s">
        <v>1997</v>
      </c>
      <c r="P328" s="1415"/>
      <c r="Q328" s="1416"/>
    </row>
    <row r="329" spans="1:32" ht="12" customHeight="1">
      <c r="B329" s="55" t="s">
        <v>2118</v>
      </c>
      <c r="C329" s="138" t="s">
        <v>2895</v>
      </c>
      <c r="D329" s="1174"/>
      <c r="E329" s="1174"/>
      <c r="F329" s="1174"/>
      <c r="G329" s="1174"/>
      <c r="H329" s="1174"/>
      <c r="I329" s="50"/>
      <c r="J329" s="594" t="s">
        <v>2118</v>
      </c>
      <c r="K329" s="2245"/>
      <c r="L329" s="2246"/>
      <c r="M329" s="2246"/>
      <c r="N329" s="2246"/>
      <c r="O329" s="2246"/>
      <c r="P329" s="2261"/>
      <c r="Q329" s="794"/>
    </row>
    <row r="330" spans="1:32" ht="22.5" customHeight="1">
      <c r="B330" s="168" t="s">
        <v>2121</v>
      </c>
      <c r="C330" s="1401" t="s">
        <v>2894</v>
      </c>
      <c r="D330" s="1401"/>
      <c r="E330" s="1401"/>
      <c r="F330" s="1401"/>
      <c r="G330" s="1401"/>
      <c r="H330" s="1401"/>
      <c r="I330" s="1401"/>
      <c r="J330" s="1401"/>
      <c r="K330" s="1401"/>
      <c r="L330" s="1401"/>
      <c r="M330" s="1401"/>
      <c r="N330" s="1401"/>
      <c r="O330" s="193" t="s">
        <v>2121</v>
      </c>
      <c r="P330" s="2250" t="s">
        <v>3702</v>
      </c>
      <c r="Q330" s="794"/>
    </row>
    <row r="331" spans="1:32" ht="11.45" customHeight="1">
      <c r="B331" s="55" t="s">
        <v>799</v>
      </c>
      <c r="C331" s="62" t="s">
        <v>2896</v>
      </c>
      <c r="D331" s="62"/>
      <c r="E331" s="62"/>
      <c r="F331" s="62"/>
      <c r="G331" s="62"/>
      <c r="H331" s="62"/>
      <c r="I331" s="62"/>
      <c r="J331" s="62"/>
      <c r="K331" s="62"/>
      <c r="L331" s="38"/>
      <c r="M331" s="38"/>
      <c r="O331" s="594" t="s">
        <v>799</v>
      </c>
      <c r="P331" s="2195"/>
      <c r="Q331" s="794"/>
    </row>
    <row r="332" spans="1:32" ht="11.45" customHeight="1">
      <c r="B332" s="55" t="s">
        <v>2253</v>
      </c>
      <c r="C332" s="62" t="s">
        <v>2897</v>
      </c>
      <c r="D332" s="62"/>
      <c r="E332" s="62"/>
      <c r="F332" s="62"/>
      <c r="G332" s="62"/>
      <c r="H332" s="62"/>
      <c r="I332" s="62"/>
      <c r="J332" s="62"/>
      <c r="K332" s="62"/>
      <c r="L332" s="62"/>
      <c r="M332" s="62"/>
      <c r="O332" s="594" t="s">
        <v>2253</v>
      </c>
      <c r="P332" s="2195"/>
      <c r="Q332" s="794"/>
    </row>
    <row r="333" spans="1:32" s="158" customFormat="1" ht="11.45" customHeight="1">
      <c r="B333" s="168" t="s">
        <v>1857</v>
      </c>
      <c r="C333" s="1413" t="s">
        <v>2901</v>
      </c>
      <c r="D333" s="1413"/>
      <c r="E333" s="1413"/>
      <c r="F333" s="1413"/>
      <c r="G333" s="1413"/>
      <c r="H333" s="1413"/>
      <c r="I333" s="1413"/>
      <c r="J333" s="1413"/>
      <c r="K333" s="1413"/>
      <c r="L333" s="1413"/>
      <c r="M333" s="1413"/>
      <c r="N333" s="1413"/>
      <c r="O333" s="193" t="s">
        <v>1857</v>
      </c>
      <c r="P333" s="2250"/>
      <c r="Q333" s="814"/>
      <c r="AE333" s="597"/>
      <c r="AF333" s="597"/>
    </row>
    <row r="334" spans="1:32" s="158" customFormat="1" ht="11.45" customHeight="1">
      <c r="B334" s="168" t="s">
        <v>1858</v>
      </c>
      <c r="C334" s="1413" t="s">
        <v>2904</v>
      </c>
      <c r="D334" s="1413"/>
      <c r="E334" s="1413"/>
      <c r="F334" s="1413"/>
      <c r="G334" s="1413"/>
      <c r="H334" s="1413"/>
      <c r="I334" s="1413"/>
      <c r="J334" s="1413"/>
      <c r="K334" s="1413"/>
      <c r="L334" s="1413"/>
      <c r="M334" s="1413"/>
      <c r="N334" s="1413"/>
      <c r="O334" s="193" t="s">
        <v>1858</v>
      </c>
      <c r="P334" s="2250"/>
      <c r="Q334" s="814"/>
      <c r="AE334" s="597"/>
      <c r="AF334" s="597"/>
    </row>
    <row r="335" spans="1:32" ht="11.45" customHeight="1">
      <c r="B335" s="55" t="s">
        <v>2081</v>
      </c>
      <c r="C335" s="62" t="s">
        <v>2898</v>
      </c>
      <c r="D335" s="62"/>
      <c r="E335" s="62"/>
      <c r="F335" s="62"/>
      <c r="G335" s="62"/>
      <c r="H335" s="62"/>
      <c r="I335" s="62"/>
      <c r="J335" s="62"/>
      <c r="K335" s="62"/>
      <c r="L335" s="62"/>
      <c r="M335" s="62"/>
      <c r="O335" s="594" t="s">
        <v>2081</v>
      </c>
      <c r="P335" s="2195"/>
      <c r="Q335" s="794"/>
    </row>
    <row r="336" spans="1:32" ht="11.25" customHeight="1">
      <c r="B336" s="167" t="s">
        <v>1995</v>
      </c>
      <c r="D336" s="167"/>
      <c r="E336" s="167"/>
      <c r="F336" s="167"/>
      <c r="G336" s="167"/>
      <c r="H336" s="48"/>
      <c r="I336" s="1177"/>
      <c r="J336" s="1177"/>
      <c r="K336" s="1177"/>
      <c r="L336" s="1159"/>
      <c r="M336" s="1159"/>
      <c r="N336" s="1159"/>
      <c r="O336" s="1159"/>
      <c r="P336" s="1159"/>
      <c r="Q336" s="60"/>
    </row>
    <row r="337" spans="1:32" ht="11.45" customHeight="1">
      <c r="A337" s="2199"/>
      <c r="B337" s="2200"/>
      <c r="C337" s="2200"/>
      <c r="D337" s="2200"/>
      <c r="E337" s="2200"/>
      <c r="F337" s="2200"/>
      <c r="G337" s="2200"/>
      <c r="H337" s="2200"/>
      <c r="I337" s="2200"/>
      <c r="J337" s="2200"/>
      <c r="K337" s="2200"/>
      <c r="L337" s="2200"/>
      <c r="M337" s="2200"/>
      <c r="N337" s="2200"/>
      <c r="O337" s="2200"/>
      <c r="P337" s="2200"/>
      <c r="Q337" s="2201"/>
      <c r="U337" s="162"/>
      <c r="V337" s="162"/>
      <c r="W337" s="162"/>
      <c r="X337" s="162"/>
      <c r="Y337" s="162"/>
      <c r="Z337" s="162"/>
      <c r="AA337" s="162"/>
      <c r="AB337" s="162"/>
      <c r="AC337" s="162"/>
      <c r="AD337" s="162"/>
      <c r="AE337" s="596"/>
    </row>
    <row r="338" spans="1:32" ht="11.25" customHeight="1">
      <c r="B338" s="163" t="s">
        <v>1996</v>
      </c>
      <c r="C338" s="164"/>
      <c r="D338" s="1164"/>
      <c r="E338" s="1164"/>
      <c r="F338" s="1164"/>
      <c r="G338" s="1164"/>
      <c r="H338" s="1164"/>
      <c r="I338" s="1164"/>
      <c r="J338" s="1164"/>
      <c r="K338" s="1164"/>
      <c r="L338" s="1164"/>
      <c r="M338" s="1164"/>
      <c r="N338" s="1164"/>
      <c r="O338" s="1164"/>
      <c r="P338" s="1164"/>
      <c r="Q338" s="1164"/>
    </row>
    <row r="339" spans="1:32" ht="11.45" customHeight="1">
      <c r="A339" s="1417"/>
      <c r="B339" s="1418"/>
      <c r="C339" s="1418"/>
      <c r="D339" s="1418"/>
      <c r="E339" s="1418"/>
      <c r="F339" s="1418"/>
      <c r="G339" s="1418"/>
      <c r="H339" s="1418"/>
      <c r="I339" s="1418"/>
      <c r="J339" s="1418"/>
      <c r="K339" s="1418"/>
      <c r="L339" s="1418"/>
      <c r="M339" s="1418"/>
      <c r="N339" s="1418"/>
      <c r="O339" s="1418"/>
      <c r="P339" s="1418"/>
      <c r="Q339" s="1419"/>
    </row>
    <row r="340" spans="1:32" ht="3" customHeight="1">
      <c r="A340" s="1159"/>
      <c r="B340" s="1177"/>
      <c r="C340" s="1164"/>
      <c r="D340" s="1164"/>
      <c r="E340" s="1164"/>
      <c r="F340" s="1164"/>
      <c r="G340" s="1164"/>
      <c r="H340" s="1164"/>
      <c r="I340" s="1164"/>
      <c r="J340" s="1164"/>
      <c r="K340" s="1164"/>
      <c r="L340" s="1164"/>
      <c r="M340" s="1164"/>
      <c r="Q340" s="60"/>
    </row>
    <row r="341" spans="1:32" ht="13.9" customHeight="1">
      <c r="A341" s="1168">
        <v>23</v>
      </c>
      <c r="B341" s="5" t="s">
        <v>2905</v>
      </c>
      <c r="C341" s="5"/>
      <c r="D341" s="5"/>
      <c r="E341" s="5"/>
      <c r="F341" s="5"/>
      <c r="G341" s="5"/>
      <c r="H341" s="1164"/>
      <c r="I341" s="1164"/>
      <c r="J341" s="1164"/>
      <c r="O341" s="157" t="s">
        <v>1997</v>
      </c>
      <c r="P341" s="1415"/>
      <c r="Q341" s="1416"/>
    </row>
    <row r="342" spans="1:32" ht="11.45" customHeight="1">
      <c r="B342" s="55" t="s">
        <v>2118</v>
      </c>
      <c r="C342" s="138" t="s">
        <v>1096</v>
      </c>
      <c r="E342" s="2251"/>
      <c r="F342" s="2252"/>
      <c r="G342" s="2252"/>
      <c r="H342" s="2252"/>
      <c r="I342" s="2253"/>
      <c r="J342" s="1479" t="s">
        <v>2871</v>
      </c>
      <c r="K342" s="1480"/>
      <c r="L342" s="1481"/>
      <c r="M342" s="2251"/>
      <c r="N342" s="2252"/>
      <c r="O342" s="2252"/>
      <c r="P342" s="2252"/>
      <c r="Q342" s="2253"/>
    </row>
    <row r="343" spans="1:32" ht="11.45" customHeight="1">
      <c r="B343" s="55" t="s">
        <v>2121</v>
      </c>
      <c r="C343" s="62" t="s">
        <v>1862</v>
      </c>
      <c r="D343" s="62"/>
      <c r="E343" s="62"/>
      <c r="F343" s="62"/>
      <c r="G343" s="62"/>
      <c r="H343" s="62"/>
      <c r="I343" s="62"/>
      <c r="J343" s="62"/>
      <c r="K343" s="62"/>
      <c r="L343" s="38"/>
      <c r="M343" s="38"/>
      <c r="O343" s="594" t="s">
        <v>2121</v>
      </c>
      <c r="P343" s="2195" t="s">
        <v>3702</v>
      </c>
      <c r="Q343" s="794"/>
    </row>
    <row r="344" spans="1:32" ht="22.5" customHeight="1">
      <c r="B344" s="168" t="s">
        <v>799</v>
      </c>
      <c r="C344" s="1401" t="s">
        <v>2987</v>
      </c>
      <c r="D344" s="1401"/>
      <c r="E344" s="1401"/>
      <c r="F344" s="1401"/>
      <c r="G344" s="1401"/>
      <c r="H344" s="1401"/>
      <c r="I344" s="1401"/>
      <c r="J344" s="1401"/>
      <c r="K344" s="1401"/>
      <c r="L344" s="1401"/>
      <c r="M344" s="1401"/>
      <c r="N344" s="1401"/>
      <c r="O344" s="594" t="s">
        <v>799</v>
      </c>
      <c r="P344" s="2195"/>
      <c r="Q344" s="794"/>
    </row>
    <row r="345" spans="1:32" ht="11.25" customHeight="1">
      <c r="B345" s="167" t="s">
        <v>1995</v>
      </c>
      <c r="D345" s="167"/>
      <c r="E345" s="167"/>
      <c r="F345" s="167"/>
      <c r="G345" s="167"/>
      <c r="H345" s="48"/>
      <c r="I345" s="1177"/>
      <c r="J345" s="1177"/>
      <c r="K345" s="1177"/>
      <c r="L345" s="1159"/>
      <c r="M345" s="1159"/>
      <c r="N345" s="1159"/>
      <c r="O345" s="1159"/>
      <c r="P345" s="1159"/>
      <c r="Q345" s="60"/>
    </row>
    <row r="346" spans="1:32" ht="11.45" customHeight="1">
      <c r="A346" s="2199"/>
      <c r="B346" s="2200"/>
      <c r="C346" s="2200"/>
      <c r="D346" s="2200"/>
      <c r="E346" s="2200"/>
      <c r="F346" s="2200"/>
      <c r="G346" s="2200"/>
      <c r="H346" s="2200"/>
      <c r="I346" s="2200"/>
      <c r="J346" s="2200"/>
      <c r="K346" s="2200"/>
      <c r="L346" s="2200"/>
      <c r="M346" s="2200"/>
      <c r="N346" s="2200"/>
      <c r="O346" s="2200"/>
      <c r="P346" s="2200"/>
      <c r="Q346" s="2201"/>
      <c r="U346" s="162"/>
      <c r="V346" s="162"/>
      <c r="W346" s="162"/>
      <c r="X346" s="162"/>
      <c r="Y346" s="162"/>
      <c r="Z346" s="162"/>
      <c r="AA346" s="162"/>
      <c r="AB346" s="162"/>
      <c r="AC346" s="162"/>
      <c r="AD346" s="162"/>
      <c r="AE346" s="596"/>
    </row>
    <row r="347" spans="1:32" ht="11.25" customHeight="1">
      <c r="B347" s="163" t="s">
        <v>1996</v>
      </c>
      <c r="C347" s="164"/>
      <c r="D347" s="1164"/>
      <c r="E347" s="1164"/>
      <c r="F347" s="1164"/>
      <c r="G347" s="1164"/>
      <c r="H347" s="1164"/>
      <c r="I347" s="1164"/>
      <c r="J347" s="1164"/>
      <c r="K347" s="1164"/>
      <c r="L347" s="1164"/>
      <c r="M347" s="1164"/>
      <c r="N347" s="1164"/>
      <c r="O347" s="1164"/>
      <c r="P347" s="1164"/>
      <c r="Q347" s="1164"/>
    </row>
    <row r="348" spans="1:32" ht="11.45" customHeight="1">
      <c r="A348" s="1417"/>
      <c r="B348" s="1418"/>
      <c r="C348" s="1418"/>
      <c r="D348" s="1418"/>
      <c r="E348" s="1418"/>
      <c r="F348" s="1418"/>
      <c r="G348" s="1418"/>
      <c r="H348" s="1418"/>
      <c r="I348" s="1418"/>
      <c r="J348" s="1418"/>
      <c r="K348" s="1418"/>
      <c r="L348" s="1418"/>
      <c r="M348" s="1418"/>
      <c r="N348" s="1418"/>
      <c r="O348" s="1418"/>
      <c r="P348" s="1418"/>
      <c r="Q348" s="1419"/>
    </row>
    <row r="349" spans="1:32" ht="3.6" customHeight="1">
      <c r="A349" s="1159"/>
      <c r="B349" s="1177"/>
      <c r="C349" s="1164"/>
      <c r="D349" s="1164"/>
      <c r="E349" s="1164"/>
      <c r="F349" s="1164"/>
      <c r="G349" s="1164"/>
      <c r="H349" s="1164"/>
      <c r="I349" s="1164"/>
      <c r="J349" s="1164"/>
      <c r="K349" s="1164"/>
      <c r="L349" s="1164"/>
      <c r="M349" s="1164"/>
      <c r="Q349" s="60"/>
    </row>
    <row r="350" spans="1:32" ht="13.9" customHeight="1">
      <c r="A350" s="1168">
        <v>24</v>
      </c>
      <c r="B350" s="5" t="s">
        <v>2869</v>
      </c>
      <c r="C350" s="5"/>
      <c r="D350" s="101"/>
      <c r="E350" s="1164"/>
      <c r="F350" s="1164"/>
      <c r="G350" s="1164"/>
      <c r="H350" s="1164"/>
      <c r="I350" s="1164"/>
      <c r="J350" s="1164"/>
      <c r="K350" s="1164"/>
      <c r="L350" s="1164"/>
      <c r="M350" s="1164"/>
      <c r="O350" s="157" t="s">
        <v>1997</v>
      </c>
      <c r="P350" s="1415"/>
      <c r="Q350" s="1416"/>
    </row>
    <row r="351" spans="1:32" s="1" customFormat="1" ht="23.45" customHeight="1">
      <c r="B351" s="168" t="s">
        <v>2118</v>
      </c>
      <c r="C351" s="1413" t="s">
        <v>154</v>
      </c>
      <c r="D351" s="1413"/>
      <c r="E351" s="1413"/>
      <c r="F351" s="1413"/>
      <c r="G351" s="1413"/>
      <c r="H351" s="1413"/>
      <c r="I351" s="1413"/>
      <c r="J351" s="1413"/>
      <c r="K351" s="1413"/>
      <c r="L351" s="1413"/>
      <c r="M351" s="193" t="s">
        <v>2118</v>
      </c>
      <c r="N351" s="2290" t="s">
        <v>3809</v>
      </c>
      <c r="O351" s="2291"/>
      <c r="P351" s="1475" t="s">
        <v>1895</v>
      </c>
      <c r="Q351" s="1476"/>
      <c r="AE351" s="6"/>
      <c r="AF351" s="6"/>
    </row>
    <row r="352" spans="1:32" s="1" customFormat="1" ht="12" customHeight="1">
      <c r="B352" s="55" t="s">
        <v>2121</v>
      </c>
      <c r="C352" s="135" t="s">
        <v>1</v>
      </c>
      <c r="D352" s="179"/>
      <c r="E352" s="179"/>
      <c r="G352" s="594" t="s">
        <v>2121</v>
      </c>
      <c r="H352" s="2254" t="s">
        <v>3810</v>
      </c>
      <c r="I352" s="2255"/>
      <c r="J352" s="2255"/>
      <c r="K352" s="2255"/>
      <c r="L352" s="2255"/>
      <c r="M352" s="2255"/>
      <c r="N352" s="2255"/>
      <c r="O352" s="2255"/>
      <c r="P352" s="2256"/>
      <c r="Q352" s="794"/>
      <c r="AE352" s="6"/>
      <c r="AF352" s="6"/>
    </row>
    <row r="353" spans="1:32" s="1" customFormat="1" ht="12" customHeight="1">
      <c r="B353" s="55" t="s">
        <v>799</v>
      </c>
      <c r="C353" s="38" t="s">
        <v>1507</v>
      </c>
      <c r="D353" s="12"/>
      <c r="E353" s="12"/>
      <c r="F353" s="12"/>
      <c r="G353" s="8"/>
      <c r="H353" s="8"/>
      <c r="I353" s="38"/>
      <c r="K353" s="8"/>
      <c r="L353" s="8"/>
      <c r="M353" s="8"/>
      <c r="O353" s="594" t="s">
        <v>799</v>
      </c>
      <c r="P353" s="2195" t="s">
        <v>3701</v>
      </c>
      <c r="Q353" s="794"/>
      <c r="AE353" s="6"/>
      <c r="AF353" s="6"/>
    </row>
    <row r="354" spans="1:32" ht="11.25" customHeight="1">
      <c r="B354" s="167" t="s">
        <v>1995</v>
      </c>
      <c r="D354" s="167"/>
      <c r="E354" s="167"/>
      <c r="F354" s="167"/>
      <c r="G354" s="167"/>
      <c r="H354" s="48"/>
      <c r="I354" s="1177"/>
      <c r="J354" s="1177"/>
      <c r="K354" s="1177"/>
      <c r="L354" s="1159"/>
      <c r="M354" s="1159"/>
      <c r="N354" s="1159"/>
      <c r="O354" s="1159"/>
      <c r="P354" s="1159"/>
      <c r="Q354" s="60"/>
    </row>
    <row r="355" spans="1:32" ht="11.45" customHeight="1">
      <c r="A355" s="2199"/>
      <c r="B355" s="2200"/>
      <c r="C355" s="2200"/>
      <c r="D355" s="2200"/>
      <c r="E355" s="2200"/>
      <c r="F355" s="2200"/>
      <c r="G355" s="2200"/>
      <c r="H355" s="2200"/>
      <c r="I355" s="2200"/>
      <c r="J355" s="2200"/>
      <c r="K355" s="2200"/>
      <c r="L355" s="2200"/>
      <c r="M355" s="2200"/>
      <c r="N355" s="2200"/>
      <c r="O355" s="2200"/>
      <c r="P355" s="2200"/>
      <c r="Q355" s="2201"/>
      <c r="R355" s="564" t="s">
        <v>1332</v>
      </c>
      <c r="S355" s="564"/>
      <c r="U355" s="162"/>
      <c r="V355" s="162"/>
      <c r="W355" s="162"/>
      <c r="X355" s="162"/>
      <c r="Y355" s="162"/>
      <c r="Z355" s="162"/>
      <c r="AA355" s="162"/>
      <c r="AB355" s="162"/>
      <c r="AC355" s="162"/>
      <c r="AD355" s="162"/>
      <c r="AE355" s="596"/>
    </row>
    <row r="356" spans="1:32" s="31" customFormat="1" ht="3" customHeight="1">
      <c r="C356" s="137"/>
      <c r="D356" s="137"/>
      <c r="R356" s="564"/>
      <c r="S356" s="564"/>
      <c r="AE356" s="137"/>
      <c r="AF356" s="137"/>
    </row>
    <row r="357" spans="1:32" ht="11.25" customHeight="1">
      <c r="B357" s="163" t="s">
        <v>1996</v>
      </c>
      <c r="C357" s="164"/>
      <c r="D357" s="1164"/>
      <c r="E357" s="1164"/>
      <c r="F357" s="1164"/>
      <c r="G357" s="1164"/>
      <c r="H357" s="1164"/>
      <c r="I357" s="1164"/>
      <c r="J357" s="1164"/>
      <c r="K357" s="1164"/>
      <c r="L357" s="1164"/>
      <c r="M357" s="1164"/>
      <c r="N357" s="1164"/>
      <c r="O357" s="1164"/>
      <c r="P357" s="1164"/>
      <c r="Q357" s="1164"/>
    </row>
    <row r="358" spans="1:32" ht="11.45" customHeight="1">
      <c r="A358" s="1417"/>
      <c r="B358" s="1418"/>
      <c r="C358" s="1418"/>
      <c r="D358" s="1418"/>
      <c r="E358" s="1418"/>
      <c r="F358" s="1418"/>
      <c r="G358" s="1418"/>
      <c r="H358" s="1418"/>
      <c r="I358" s="1418"/>
      <c r="J358" s="1418"/>
      <c r="K358" s="1418"/>
      <c r="L358" s="1418"/>
      <c r="M358" s="1418"/>
      <c r="N358" s="1418"/>
      <c r="O358" s="1418"/>
      <c r="P358" s="1418"/>
      <c r="Q358" s="1419"/>
    </row>
    <row r="359" spans="1:32" ht="3" customHeight="1">
      <c r="A359" s="1159"/>
      <c r="B359" s="1177"/>
      <c r="C359" s="1164"/>
      <c r="D359" s="1164"/>
      <c r="E359" s="1164"/>
      <c r="F359" s="1164"/>
      <c r="G359" s="1164"/>
      <c r="H359" s="1164"/>
      <c r="I359" s="1164"/>
      <c r="J359" s="1164"/>
      <c r="K359" s="1164"/>
      <c r="L359" s="1164"/>
      <c r="M359" s="1164"/>
      <c r="N359" s="1164"/>
      <c r="O359" s="1164"/>
      <c r="P359" s="1164"/>
      <c r="Q359" s="1159"/>
    </row>
    <row r="360" spans="1:32" ht="13.9" customHeight="1">
      <c r="A360" s="1168">
        <v>25</v>
      </c>
      <c r="B360" s="5" t="s">
        <v>2866</v>
      </c>
      <c r="C360" s="5"/>
      <c r="D360" s="5"/>
      <c r="E360" s="1164"/>
      <c r="G360" s="166" t="s">
        <v>749</v>
      </c>
      <c r="H360" s="1164"/>
      <c r="I360" s="1164"/>
      <c r="J360" s="1164"/>
      <c r="K360" s="1164"/>
      <c r="L360" s="1164"/>
      <c r="M360" s="1164"/>
      <c r="O360" s="157" t="s">
        <v>1997</v>
      </c>
      <c r="P360" s="1415"/>
      <c r="Q360" s="1445"/>
    </row>
    <row r="361" spans="1:32" ht="12" customHeight="1">
      <c r="A361" s="170"/>
      <c r="B361" s="55" t="s">
        <v>2118</v>
      </c>
      <c r="C361" s="62" t="s">
        <v>2873</v>
      </c>
      <c r="D361" s="557"/>
      <c r="E361" s="557"/>
      <c r="H361" s="166"/>
      <c r="O361" s="594" t="s">
        <v>2118</v>
      </c>
      <c r="P361" s="2195" t="s">
        <v>3701</v>
      </c>
      <c r="Q361" s="794"/>
    </row>
    <row r="362" spans="1:32" ht="12" customHeight="1">
      <c r="A362" s="170"/>
      <c r="B362" s="55" t="s">
        <v>2121</v>
      </c>
      <c r="C362" s="62" t="s">
        <v>2874</v>
      </c>
      <c r="D362" s="557"/>
      <c r="E362" s="557"/>
      <c r="O362" s="594" t="s">
        <v>2121</v>
      </c>
      <c r="P362" s="2195" t="s">
        <v>3702</v>
      </c>
      <c r="Q362" s="794"/>
    </row>
    <row r="363" spans="1:32" ht="12" customHeight="1">
      <c r="A363" s="170"/>
      <c r="B363" s="55" t="s">
        <v>799</v>
      </c>
      <c r="C363" s="62" t="s">
        <v>2906</v>
      </c>
      <c r="D363" s="557"/>
      <c r="E363" s="557"/>
      <c r="O363" s="594" t="s">
        <v>799</v>
      </c>
      <c r="P363" s="2195" t="s">
        <v>3702</v>
      </c>
      <c r="Q363" s="794"/>
    </row>
    <row r="364" spans="1:32" ht="12" customHeight="1">
      <c r="A364" s="170"/>
      <c r="B364" s="55" t="s">
        <v>2253</v>
      </c>
      <c r="C364" s="62" t="s">
        <v>2870</v>
      </c>
      <c r="E364" s="166"/>
      <c r="O364" s="594" t="s">
        <v>2253</v>
      </c>
      <c r="P364" s="2195" t="s">
        <v>3702</v>
      </c>
      <c r="Q364" s="794"/>
    </row>
    <row r="365" spans="1:32" ht="12" customHeight="1">
      <c r="B365" s="55" t="s">
        <v>1857</v>
      </c>
      <c r="C365" s="62" t="s">
        <v>2217</v>
      </c>
      <c r="E365" s="166"/>
      <c r="G365" s="594" t="s">
        <v>1857</v>
      </c>
      <c r="H365" s="2292"/>
      <c r="I365" s="2293"/>
      <c r="J365" s="2293"/>
      <c r="K365" s="2293"/>
      <c r="L365" s="2293"/>
      <c r="M365" s="2293"/>
      <c r="N365" s="2293"/>
      <c r="O365" s="2294"/>
      <c r="P365" s="2195" t="s">
        <v>3702</v>
      </c>
      <c r="Q365" s="794"/>
    </row>
    <row r="366" spans="1:32" ht="11.25" customHeight="1">
      <c r="B366" s="167" t="s">
        <v>1995</v>
      </c>
      <c r="D366" s="167"/>
      <c r="E366" s="167"/>
      <c r="F366" s="167"/>
      <c r="G366" s="167"/>
      <c r="H366" s="48"/>
      <c r="I366" s="1177"/>
      <c r="J366" s="1177"/>
      <c r="K366" s="1177"/>
      <c r="L366" s="1159"/>
      <c r="M366" s="1159"/>
      <c r="N366" s="1159"/>
      <c r="O366" s="1159"/>
      <c r="P366" s="1159"/>
      <c r="Q366" s="60"/>
    </row>
    <row r="367" spans="1:32" ht="11.45" customHeight="1">
      <c r="A367" s="2199"/>
      <c r="B367" s="2200"/>
      <c r="C367" s="2200"/>
      <c r="D367" s="2200"/>
      <c r="E367" s="2200"/>
      <c r="F367" s="2200"/>
      <c r="G367" s="2200"/>
      <c r="H367" s="2200"/>
      <c r="I367" s="2200"/>
      <c r="J367" s="2200"/>
      <c r="K367" s="2200"/>
      <c r="L367" s="2200"/>
      <c r="M367" s="2200"/>
      <c r="N367" s="2200"/>
      <c r="O367" s="2200"/>
      <c r="P367" s="2200"/>
      <c r="Q367" s="2201"/>
      <c r="U367" s="162"/>
      <c r="V367" s="162"/>
      <c r="W367" s="162"/>
      <c r="X367" s="162"/>
      <c r="Y367" s="162"/>
      <c r="Z367" s="162"/>
      <c r="AA367" s="162"/>
      <c r="AB367" s="162"/>
      <c r="AC367" s="162"/>
      <c r="AD367" s="162"/>
      <c r="AE367" s="596"/>
    </row>
    <row r="368" spans="1:32" ht="11.25" customHeight="1">
      <c r="B368" s="163" t="s">
        <v>1996</v>
      </c>
      <c r="C368" s="164"/>
      <c r="D368" s="1164"/>
      <c r="E368" s="1164"/>
      <c r="F368" s="1164"/>
      <c r="G368" s="1164"/>
      <c r="H368" s="1164"/>
      <c r="I368" s="1164"/>
      <c r="J368" s="1164"/>
      <c r="K368" s="1164"/>
      <c r="L368" s="1164"/>
      <c r="M368" s="1164"/>
      <c r="N368" s="1164"/>
      <c r="O368" s="1164"/>
      <c r="P368" s="1164"/>
      <c r="Q368" s="1164"/>
    </row>
    <row r="369" spans="1:17" ht="11.45" customHeight="1">
      <c r="A369" s="1417"/>
      <c r="B369" s="1418"/>
      <c r="C369" s="1418"/>
      <c r="D369" s="1418"/>
      <c r="E369" s="1418"/>
      <c r="F369" s="1418"/>
      <c r="G369" s="1418"/>
      <c r="H369" s="1418"/>
      <c r="I369" s="1418"/>
      <c r="J369" s="1418"/>
      <c r="K369" s="1418"/>
      <c r="L369" s="1418"/>
      <c r="M369" s="1418"/>
      <c r="N369" s="1418"/>
      <c r="O369" s="1418"/>
      <c r="P369" s="1418"/>
      <c r="Q369" s="1419"/>
    </row>
    <row r="370" spans="1:17" ht="3" customHeight="1">
      <c r="A370" s="1159"/>
      <c r="B370" s="1177"/>
      <c r="C370" s="1164"/>
      <c r="D370" s="1164"/>
      <c r="E370" s="1164"/>
      <c r="F370" s="1164"/>
      <c r="G370" s="1164"/>
      <c r="H370" s="1164"/>
      <c r="I370" s="1164"/>
      <c r="J370" s="1164"/>
      <c r="K370" s="1164"/>
      <c r="L370" s="1164"/>
      <c r="M370" s="1164"/>
      <c r="N370" s="1164"/>
      <c r="O370" s="1164"/>
      <c r="P370" s="1164"/>
      <c r="Q370" s="1159"/>
    </row>
    <row r="371" spans="1:17" ht="13.9" customHeight="1">
      <c r="A371" s="1168">
        <v>26</v>
      </c>
      <c r="B371" s="5" t="s">
        <v>2867</v>
      </c>
      <c r="C371" s="5"/>
      <c r="D371" s="5"/>
      <c r="E371" s="5"/>
      <c r="F371" s="5"/>
      <c r="G371" s="5"/>
      <c r="H371" s="1164"/>
      <c r="I371" s="1164"/>
      <c r="J371" s="1164"/>
      <c r="K371" s="1164"/>
      <c r="L371" s="1164"/>
      <c r="M371" s="1164"/>
      <c r="O371" s="157" t="s">
        <v>1997</v>
      </c>
      <c r="P371" s="1415"/>
      <c r="Q371" s="1445"/>
    </row>
    <row r="372" spans="1:17" ht="12" customHeight="1">
      <c r="A372" s="50"/>
      <c r="B372" s="55" t="s">
        <v>2118</v>
      </c>
      <c r="C372" s="47" t="s">
        <v>802</v>
      </c>
      <c r="D372" s="50"/>
      <c r="E372" s="50"/>
      <c r="F372" s="50"/>
      <c r="G372" s="50"/>
      <c r="H372" s="50"/>
      <c r="I372" s="50"/>
      <c r="J372" s="50"/>
      <c r="K372" s="50"/>
      <c r="L372" s="50"/>
      <c r="M372" s="50"/>
      <c r="N372" s="50"/>
      <c r="O372" s="594" t="s">
        <v>2118</v>
      </c>
      <c r="P372" s="2195" t="s">
        <v>3701</v>
      </c>
      <c r="Q372" s="794"/>
    </row>
    <row r="373" spans="1:17" ht="12" customHeight="1">
      <c r="A373" s="50"/>
      <c r="B373" s="55" t="s">
        <v>2121</v>
      </c>
      <c r="C373" s="47" t="s">
        <v>2343</v>
      </c>
      <c r="D373" s="50"/>
      <c r="E373" s="50"/>
      <c r="F373" s="50"/>
      <c r="G373" s="50"/>
      <c r="H373" s="50"/>
      <c r="I373" s="50"/>
      <c r="J373" s="50"/>
      <c r="K373" s="50"/>
      <c r="L373" s="50"/>
      <c r="M373" s="50"/>
      <c r="N373" s="50"/>
      <c r="O373" s="594" t="s">
        <v>1542</v>
      </c>
      <c r="P373" s="2195" t="s">
        <v>3701</v>
      </c>
      <c r="Q373" s="794"/>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2344</v>
      </c>
      <c r="D375" s="62"/>
      <c r="E375" s="62"/>
      <c r="F375" s="62"/>
      <c r="G375" s="62"/>
      <c r="H375" s="62"/>
      <c r="I375" s="62"/>
      <c r="J375" s="62"/>
      <c r="K375" s="62"/>
      <c r="L375" s="62"/>
      <c r="M375" s="62"/>
      <c r="N375" s="50"/>
      <c r="O375" s="594" t="s">
        <v>1860</v>
      </c>
      <c r="P375" s="2195" t="s">
        <v>3701</v>
      </c>
      <c r="Q375" s="794"/>
    </row>
    <row r="376" spans="1:17" ht="12" customHeight="1">
      <c r="A376" s="50"/>
      <c r="B376" s="55" t="s">
        <v>799</v>
      </c>
      <c r="C376" s="1401" t="s">
        <v>2342</v>
      </c>
      <c r="D376" s="1401"/>
      <c r="E376" s="1401"/>
      <c r="F376" s="1401"/>
      <c r="G376" s="1401"/>
      <c r="H376" s="1401"/>
      <c r="I376" s="1401"/>
      <c r="J376" s="1401"/>
      <c r="K376" s="1401"/>
      <c r="L376" s="1401"/>
      <c r="M376" s="1401"/>
      <c r="N376" s="1401"/>
      <c r="O376" s="594" t="s">
        <v>799</v>
      </c>
      <c r="P376" s="2195" t="s">
        <v>3701</v>
      </c>
      <c r="Q376" s="794"/>
    </row>
    <row r="377" spans="1:17" ht="12" customHeight="1">
      <c r="A377" s="50"/>
      <c r="B377" s="55" t="s">
        <v>2253</v>
      </c>
      <c r="C377" s="38" t="s">
        <v>3283</v>
      </c>
      <c r="D377" s="38"/>
      <c r="E377" s="38"/>
      <c r="F377" s="38"/>
      <c r="G377" s="38"/>
      <c r="H377" s="38"/>
      <c r="I377" s="38"/>
      <c r="J377" s="38"/>
      <c r="K377" s="38"/>
      <c r="L377" s="38"/>
      <c r="M377" s="38"/>
      <c r="N377" s="50"/>
      <c r="O377" s="594"/>
      <c r="P377" s="50"/>
      <c r="Q377" s="50"/>
    </row>
    <row r="378" spans="1:17" ht="12" customHeight="1">
      <c r="A378" s="50"/>
      <c r="B378" s="55"/>
      <c r="C378" s="160" t="s">
        <v>2345</v>
      </c>
      <c r="D378" s="44"/>
      <c r="E378" s="50"/>
      <c r="F378" s="38"/>
      <c r="G378" s="1745" t="s">
        <v>1855</v>
      </c>
      <c r="H378" s="821" t="s">
        <v>256</v>
      </c>
      <c r="J378" s="160" t="s">
        <v>2348</v>
      </c>
      <c r="K378" s="38"/>
      <c r="N378" s="1745" t="s">
        <v>1855</v>
      </c>
      <c r="O378" s="821" t="s">
        <v>256</v>
      </c>
    </row>
    <row r="379" spans="1:17" ht="12" customHeight="1">
      <c r="A379" s="50"/>
      <c r="B379" s="55"/>
      <c r="C379" s="160" t="s">
        <v>2346</v>
      </c>
      <c r="D379" s="44"/>
      <c r="E379" s="50"/>
      <c r="F379" s="38"/>
      <c r="G379" s="1753" t="s">
        <v>1855</v>
      </c>
      <c r="H379" s="822"/>
      <c r="J379" s="160" t="s">
        <v>2349</v>
      </c>
      <c r="K379" s="38"/>
      <c r="N379" s="1761" t="s">
        <v>1855</v>
      </c>
      <c r="O379" s="823"/>
    </row>
    <row r="380" spans="1:17" ht="12" customHeight="1">
      <c r="A380" s="50"/>
      <c r="B380" s="55"/>
      <c r="C380" s="160" t="s">
        <v>2347</v>
      </c>
      <c r="D380" s="44"/>
      <c r="E380" s="50"/>
      <c r="F380" s="38"/>
      <c r="G380" s="1761">
        <v>1</v>
      </c>
      <c r="H380" s="823" t="s">
        <v>256</v>
      </c>
      <c r="K380" s="38"/>
      <c r="L380" s="38"/>
      <c r="M380" s="38"/>
      <c r="N380" s="50"/>
      <c r="O380" s="594"/>
    </row>
    <row r="381" spans="1:17" ht="12" customHeight="1">
      <c r="A381" s="50"/>
      <c r="B381" s="55" t="s">
        <v>1857</v>
      </c>
      <c r="C381" s="38" t="s">
        <v>2541</v>
      </c>
      <c r="D381" s="38"/>
      <c r="E381" s="38"/>
      <c r="F381" s="38"/>
      <c r="G381" s="38"/>
      <c r="J381" s="50"/>
      <c r="K381" s="38"/>
      <c r="L381" s="38"/>
      <c r="M381" s="38"/>
      <c r="N381" s="50"/>
      <c r="O381" s="594"/>
      <c r="P381" s="594"/>
      <c r="Q381" s="594"/>
    </row>
    <row r="382" spans="1:17" ht="12" customHeight="1">
      <c r="A382" s="50"/>
      <c r="B382" s="55"/>
      <c r="C382" s="537" t="s">
        <v>2350</v>
      </c>
      <c r="D382" s="38"/>
      <c r="E382" s="38"/>
      <c r="F382" s="38"/>
      <c r="G382" s="2258" t="s">
        <v>3701</v>
      </c>
      <c r="H382" s="797"/>
      <c r="J382" s="537" t="s">
        <v>1253</v>
      </c>
      <c r="K382" s="38"/>
      <c r="N382" s="2249" t="s">
        <v>3701</v>
      </c>
      <c r="O382" s="795"/>
    </row>
    <row r="383" spans="1:17" ht="12" customHeight="1">
      <c r="A383" s="50"/>
      <c r="B383" s="55"/>
      <c r="C383" s="537" t="s">
        <v>1252</v>
      </c>
      <c r="D383" s="38"/>
      <c r="E383" s="38"/>
      <c r="F383" s="38"/>
      <c r="G383" s="2260" t="s">
        <v>3701</v>
      </c>
      <c r="H383" s="799"/>
      <c r="J383" s="537" t="s">
        <v>2401</v>
      </c>
      <c r="N383" s="2295" t="s">
        <v>3818</v>
      </c>
      <c r="O383" s="2296"/>
      <c r="P383" s="2296"/>
      <c r="Q383" s="2297"/>
    </row>
    <row r="384" spans="1:17" ht="12" customHeight="1">
      <c r="B384" s="167" t="s">
        <v>1995</v>
      </c>
      <c r="D384" s="167"/>
      <c r="E384" s="167"/>
      <c r="F384" s="167"/>
      <c r="G384" s="167"/>
      <c r="H384" s="48"/>
      <c r="I384" s="1177"/>
      <c r="J384" s="1177"/>
      <c r="K384" s="1177"/>
      <c r="P384" s="1159"/>
      <c r="Q384" s="60"/>
    </row>
    <row r="385" spans="1:32" ht="12" customHeight="1">
      <c r="A385" s="2199"/>
      <c r="B385" s="2200"/>
      <c r="C385" s="2200"/>
      <c r="D385" s="2200"/>
      <c r="E385" s="2200"/>
      <c r="F385" s="2200"/>
      <c r="G385" s="2200"/>
      <c r="H385" s="2200"/>
      <c r="I385" s="2200"/>
      <c r="J385" s="2200"/>
      <c r="K385" s="2200"/>
      <c r="L385" s="2200"/>
      <c r="M385" s="2200"/>
      <c r="N385" s="2200"/>
      <c r="O385" s="2200"/>
      <c r="P385" s="2200"/>
      <c r="Q385" s="2201"/>
      <c r="U385" s="162"/>
      <c r="V385" s="162"/>
      <c r="W385" s="162"/>
      <c r="X385" s="162"/>
      <c r="Y385" s="162"/>
      <c r="Z385" s="162"/>
      <c r="AA385" s="162"/>
      <c r="AB385" s="162"/>
      <c r="AC385" s="162"/>
      <c r="AD385" s="162"/>
      <c r="AE385" s="596"/>
    </row>
    <row r="386" spans="1:32" ht="12" customHeight="1">
      <c r="B386" s="163" t="s">
        <v>1996</v>
      </c>
      <c r="C386" s="164"/>
      <c r="D386" s="1164"/>
      <c r="E386" s="1164"/>
      <c r="F386" s="1164"/>
      <c r="G386" s="1164"/>
      <c r="H386" s="1164"/>
      <c r="I386" s="1164"/>
      <c r="J386" s="1164"/>
      <c r="K386" s="1164"/>
      <c r="L386" s="1164"/>
      <c r="M386" s="1164"/>
      <c r="N386" s="1164"/>
      <c r="O386" s="1164"/>
      <c r="P386" s="1164"/>
      <c r="Q386" s="1164"/>
    </row>
    <row r="387" spans="1:32" ht="12" customHeight="1">
      <c r="A387" s="1417"/>
      <c r="B387" s="1418"/>
      <c r="C387" s="1418"/>
      <c r="D387" s="1418"/>
      <c r="E387" s="1418"/>
      <c r="F387" s="1418"/>
      <c r="G387" s="1418"/>
      <c r="H387" s="1418"/>
      <c r="I387" s="1418"/>
      <c r="J387" s="1418"/>
      <c r="K387" s="1418"/>
      <c r="L387" s="1418"/>
      <c r="M387" s="1418"/>
      <c r="N387" s="1418"/>
      <c r="O387" s="1418"/>
      <c r="P387" s="1418"/>
      <c r="Q387" s="1419"/>
    </row>
    <row r="388" spans="1:32" ht="3" customHeight="1">
      <c r="A388" s="1159"/>
      <c r="B388" s="1177"/>
      <c r="C388" s="1164"/>
      <c r="D388" s="1164"/>
      <c r="E388" s="1164"/>
      <c r="F388" s="1164"/>
      <c r="G388" s="1164"/>
      <c r="H388" s="1164"/>
      <c r="I388" s="1164"/>
      <c r="J388" s="1164"/>
      <c r="K388" s="1164"/>
      <c r="L388" s="1164"/>
      <c r="M388" s="1164"/>
      <c r="Q388" s="60"/>
    </row>
    <row r="389" spans="1:32" ht="13.9" customHeight="1">
      <c r="A389" s="1168">
        <v>27</v>
      </c>
      <c r="B389" s="5" t="s">
        <v>3284</v>
      </c>
      <c r="C389" s="5"/>
      <c r="D389" s="101"/>
      <c r="E389" s="1164"/>
      <c r="F389" s="1164"/>
      <c r="G389" s="1164"/>
      <c r="H389" s="1164"/>
      <c r="O389" s="157" t="s">
        <v>1997</v>
      </c>
      <c r="P389" s="1415"/>
      <c r="Q389" s="1416"/>
    </row>
    <row r="390" spans="1:32" s="158" customFormat="1" ht="21.75" customHeight="1">
      <c r="B390" s="168" t="s">
        <v>2118</v>
      </c>
      <c r="C390" s="1463" t="s">
        <v>3285</v>
      </c>
      <c r="D390" s="1463"/>
      <c r="E390" s="1463"/>
      <c r="F390" s="1463"/>
      <c r="G390" s="1463"/>
      <c r="H390" s="1463"/>
      <c r="I390" s="1463"/>
      <c r="J390" s="1463"/>
      <c r="K390" s="1463"/>
      <c r="L390" s="1463"/>
      <c r="M390" s="1463"/>
      <c r="N390" s="1463"/>
      <c r="O390" s="193" t="s">
        <v>2118</v>
      </c>
      <c r="P390" s="2250" t="s">
        <v>3729</v>
      </c>
      <c r="Q390" s="814"/>
      <c r="AE390" s="597"/>
      <c r="AF390" s="597"/>
    </row>
    <row r="391" spans="1:32" s="158" customFormat="1" ht="21.75" customHeight="1">
      <c r="B391" s="168" t="s">
        <v>2121</v>
      </c>
      <c r="C391" s="1463" t="s">
        <v>3286</v>
      </c>
      <c r="D391" s="1463"/>
      <c r="E391" s="1463"/>
      <c r="F391" s="1463"/>
      <c r="G391" s="1463"/>
      <c r="H391" s="1463"/>
      <c r="I391" s="1463"/>
      <c r="J391" s="1463"/>
      <c r="K391" s="1463"/>
      <c r="L391" s="1463"/>
      <c r="M391" s="1463"/>
      <c r="N391" s="1463"/>
      <c r="O391" s="193" t="s">
        <v>2121</v>
      </c>
      <c r="P391" s="2250" t="s">
        <v>3729</v>
      </c>
      <c r="Q391" s="814"/>
      <c r="AE391" s="597"/>
      <c r="AF391" s="597"/>
    </row>
    <row r="392" spans="1:32" s="158" customFormat="1" ht="21.75" customHeight="1">
      <c r="B392" s="168" t="s">
        <v>799</v>
      </c>
      <c r="C392" s="1463" t="s">
        <v>3287</v>
      </c>
      <c r="D392" s="1463"/>
      <c r="E392" s="1463"/>
      <c r="F392" s="1463"/>
      <c r="G392" s="1463"/>
      <c r="H392" s="1463"/>
      <c r="I392" s="1463"/>
      <c r="J392" s="1463"/>
      <c r="K392" s="1463"/>
      <c r="L392" s="1463"/>
      <c r="M392" s="1463"/>
      <c r="N392" s="1463"/>
      <c r="O392" s="193" t="s">
        <v>799</v>
      </c>
      <c r="P392" s="2250" t="s">
        <v>3729</v>
      </c>
      <c r="Q392" s="814"/>
      <c r="AE392" s="597"/>
      <c r="AF392" s="597"/>
    </row>
    <row r="393" spans="1:32" s="158" customFormat="1" ht="33.75" customHeight="1">
      <c r="B393" s="168" t="s">
        <v>2253</v>
      </c>
      <c r="C393" s="1463" t="s">
        <v>3288</v>
      </c>
      <c r="D393" s="1463"/>
      <c r="E393" s="1463"/>
      <c r="F393" s="1463"/>
      <c r="G393" s="1463"/>
      <c r="H393" s="1463"/>
      <c r="I393" s="1463"/>
      <c r="J393" s="1463"/>
      <c r="K393" s="1463"/>
      <c r="L393" s="1463"/>
      <c r="M393" s="1463"/>
      <c r="N393" s="1463"/>
      <c r="O393" s="193" t="s">
        <v>2253</v>
      </c>
      <c r="P393" s="2250" t="s">
        <v>3729</v>
      </c>
      <c r="Q393" s="814"/>
      <c r="AE393" s="597"/>
      <c r="AF393" s="597"/>
    </row>
    <row r="394" spans="1:32" s="158" customFormat="1" ht="21.75" customHeight="1">
      <c r="B394" s="168" t="s">
        <v>1857</v>
      </c>
      <c r="C394" s="1463" t="s">
        <v>3289</v>
      </c>
      <c r="D394" s="1463"/>
      <c r="E394" s="1463"/>
      <c r="F394" s="1463"/>
      <c r="G394" s="1463"/>
      <c r="H394" s="1463"/>
      <c r="I394" s="1463"/>
      <c r="J394" s="1463"/>
      <c r="K394" s="1463"/>
      <c r="L394" s="1463"/>
      <c r="M394" s="1463"/>
      <c r="N394" s="1463"/>
      <c r="O394" s="193" t="s">
        <v>1857</v>
      </c>
      <c r="P394" s="2250" t="s">
        <v>3729</v>
      </c>
      <c r="Q394" s="814"/>
      <c r="AE394" s="597"/>
      <c r="AF394" s="597"/>
    </row>
    <row r="395" spans="1:32" s="158" customFormat="1" ht="21.75" customHeight="1">
      <c r="B395" s="168" t="s">
        <v>1858</v>
      </c>
      <c r="C395" s="1463" t="s">
        <v>3290</v>
      </c>
      <c r="D395" s="1463"/>
      <c r="E395" s="1463"/>
      <c r="F395" s="1463"/>
      <c r="G395" s="1463"/>
      <c r="H395" s="1463"/>
      <c r="I395" s="1463"/>
      <c r="J395" s="1463"/>
      <c r="K395" s="1463"/>
      <c r="L395" s="1463"/>
      <c r="M395" s="1463"/>
      <c r="N395" s="1463"/>
      <c r="O395" s="193" t="s">
        <v>1858</v>
      </c>
      <c r="P395" s="2250" t="s">
        <v>3729</v>
      </c>
      <c r="Q395" s="814"/>
      <c r="AE395" s="597"/>
      <c r="AF395" s="597"/>
    </row>
    <row r="396" spans="1:32" s="158" customFormat="1" ht="21.75" customHeight="1">
      <c r="B396" s="168" t="s">
        <v>2081</v>
      </c>
      <c r="C396" s="1463" t="s">
        <v>2902</v>
      </c>
      <c r="D396" s="1463"/>
      <c r="E396" s="1463"/>
      <c r="F396" s="1463"/>
      <c r="G396" s="1463"/>
      <c r="H396" s="1463"/>
      <c r="I396" s="1463"/>
      <c r="J396" s="1463"/>
      <c r="K396" s="1463"/>
      <c r="L396" s="1463"/>
      <c r="M396" s="1463"/>
      <c r="N396" s="1463"/>
      <c r="O396" s="193" t="s">
        <v>2081</v>
      </c>
      <c r="P396" s="2250" t="s">
        <v>3729</v>
      </c>
      <c r="Q396" s="814"/>
      <c r="AE396" s="597"/>
      <c r="AF396" s="597"/>
    </row>
    <row r="397" spans="1:32" ht="11.25" customHeight="1">
      <c r="B397" s="167" t="s">
        <v>1995</v>
      </c>
      <c r="D397" s="167"/>
      <c r="E397" s="167"/>
      <c r="F397" s="167"/>
      <c r="G397" s="167"/>
      <c r="H397" s="48"/>
      <c r="I397" s="1177"/>
      <c r="J397" s="1177"/>
      <c r="K397" s="1177"/>
      <c r="L397" s="1159"/>
      <c r="M397" s="1159"/>
      <c r="N397" s="1159"/>
      <c r="O397" s="1159"/>
      <c r="P397" s="1159"/>
      <c r="Q397" s="60"/>
    </row>
    <row r="398" spans="1:32" ht="11.45" customHeight="1">
      <c r="A398" s="2199"/>
      <c r="B398" s="2200"/>
      <c r="C398" s="2200"/>
      <c r="D398" s="2200"/>
      <c r="E398" s="2200"/>
      <c r="F398" s="2200"/>
      <c r="G398" s="2200"/>
      <c r="H398" s="2200"/>
      <c r="I398" s="2200"/>
      <c r="J398" s="2200"/>
      <c r="K398" s="2200"/>
      <c r="L398" s="2200"/>
      <c r="M398" s="2200"/>
      <c r="N398" s="2200"/>
      <c r="O398" s="2200"/>
      <c r="P398" s="2200"/>
      <c r="Q398" s="2201"/>
      <c r="R398" s="563" t="s">
        <v>1332</v>
      </c>
      <c r="S398" s="564"/>
      <c r="U398" s="162"/>
      <c r="V398" s="162"/>
      <c r="W398" s="162"/>
      <c r="X398" s="162"/>
      <c r="Y398" s="162"/>
      <c r="Z398" s="162"/>
      <c r="AA398" s="162"/>
      <c r="AB398" s="162"/>
      <c r="AC398" s="162"/>
      <c r="AD398" s="162"/>
      <c r="AE398" s="596"/>
    </row>
    <row r="399" spans="1:32" ht="11.25" customHeight="1">
      <c r="B399" s="163" t="s">
        <v>1996</v>
      </c>
      <c r="C399" s="164"/>
      <c r="D399" s="1164"/>
      <c r="E399" s="1164"/>
      <c r="F399" s="1164"/>
      <c r="G399" s="1164"/>
      <c r="H399" s="1164"/>
      <c r="I399" s="1164"/>
      <c r="J399" s="1164"/>
      <c r="K399" s="1164"/>
      <c r="L399" s="1164"/>
      <c r="M399" s="1164"/>
      <c r="N399" s="1164"/>
      <c r="O399" s="1164"/>
      <c r="P399" s="1164"/>
      <c r="Q399" s="1164"/>
    </row>
    <row r="400" spans="1:32" ht="11.45" customHeight="1">
      <c r="A400" s="1417"/>
      <c r="B400" s="1418"/>
      <c r="C400" s="1418"/>
      <c r="D400" s="1418"/>
      <c r="E400" s="1418"/>
      <c r="F400" s="1418"/>
      <c r="G400" s="1418"/>
      <c r="H400" s="1418"/>
      <c r="I400" s="1418"/>
      <c r="J400" s="1418"/>
      <c r="K400" s="1418"/>
      <c r="L400" s="1418"/>
      <c r="M400" s="1418"/>
      <c r="N400" s="1418"/>
      <c r="O400" s="1418"/>
      <c r="P400" s="1418"/>
      <c r="Q400" s="1419"/>
    </row>
    <row r="401" spans="1:32" ht="3" customHeight="1">
      <c r="A401" s="1159"/>
      <c r="B401" s="1177"/>
      <c r="C401" s="1164"/>
      <c r="D401" s="1164"/>
      <c r="E401" s="1164"/>
      <c r="F401" s="1164"/>
      <c r="G401" s="1164"/>
      <c r="H401" s="1164"/>
      <c r="I401" s="1164"/>
      <c r="J401" s="1164"/>
      <c r="K401" s="1164"/>
      <c r="L401" s="1164"/>
      <c r="M401" s="1164"/>
      <c r="Q401" s="60"/>
    </row>
    <row r="402" spans="1:32" ht="13.9" customHeight="1">
      <c r="A402" s="1168">
        <v>28</v>
      </c>
      <c r="B402" s="5" t="s">
        <v>2868</v>
      </c>
      <c r="C402" s="5"/>
      <c r="D402" s="101"/>
      <c r="E402" s="1164"/>
      <c r="F402" s="1164"/>
      <c r="G402" s="1164"/>
      <c r="H402" s="1164"/>
      <c r="I402" s="1164"/>
      <c r="J402" s="1164"/>
      <c r="K402" s="1164"/>
      <c r="L402" s="1164"/>
      <c r="M402" s="1164"/>
      <c r="O402" s="157" t="s">
        <v>1997</v>
      </c>
      <c r="P402" s="1415"/>
      <c r="Q402" s="1416"/>
    </row>
    <row r="403" spans="1:32" ht="11.25" customHeight="1">
      <c r="A403" s="1168"/>
      <c r="B403" s="167" t="s">
        <v>1995</v>
      </c>
      <c r="D403" s="167"/>
      <c r="E403" s="167"/>
      <c r="F403" s="167"/>
      <c r="G403" s="167"/>
      <c r="H403" s="48"/>
      <c r="I403" s="1177"/>
      <c r="J403" s="1177"/>
      <c r="K403" s="1177"/>
      <c r="L403" s="1159"/>
      <c r="M403" s="1159"/>
      <c r="N403" s="1159"/>
      <c r="O403" s="1159"/>
      <c r="P403" s="1159"/>
      <c r="Q403" s="60"/>
    </row>
    <row r="404" spans="1:32" ht="11.45" customHeight="1">
      <c r="A404" s="2199"/>
      <c r="B404" s="2200"/>
      <c r="C404" s="2200"/>
      <c r="D404" s="2200"/>
      <c r="E404" s="2200"/>
      <c r="F404" s="2200"/>
      <c r="G404" s="2200"/>
      <c r="H404" s="2200"/>
      <c r="I404" s="2200"/>
      <c r="J404" s="2200"/>
      <c r="K404" s="2200"/>
      <c r="L404" s="2200"/>
      <c r="M404" s="2200"/>
      <c r="N404" s="2200"/>
      <c r="O404" s="2200"/>
      <c r="P404" s="2200"/>
      <c r="Q404" s="2201"/>
      <c r="R404" s="563" t="s">
        <v>1332</v>
      </c>
      <c r="S404" s="564"/>
      <c r="U404" s="162"/>
      <c r="V404" s="162"/>
      <c r="W404" s="162"/>
      <c r="X404" s="162"/>
      <c r="Y404" s="162"/>
      <c r="Z404" s="162"/>
      <c r="AA404" s="162"/>
      <c r="AB404" s="162"/>
      <c r="AC404" s="162"/>
      <c r="AD404" s="162"/>
      <c r="AE404" s="596"/>
    </row>
    <row r="405" spans="1:32" ht="11.25" customHeight="1">
      <c r="B405" s="163" t="s">
        <v>1996</v>
      </c>
      <c r="C405" s="164"/>
      <c r="D405" s="1164"/>
      <c r="E405" s="1164"/>
      <c r="F405" s="1164"/>
      <c r="G405" s="1164"/>
      <c r="H405" s="1164"/>
      <c r="I405" s="1164"/>
      <c r="J405" s="1164"/>
      <c r="K405" s="1164"/>
      <c r="L405" s="1164"/>
      <c r="M405" s="1164"/>
      <c r="N405" s="1164"/>
      <c r="O405" s="1164"/>
      <c r="P405" s="1164"/>
      <c r="Q405" s="1164"/>
    </row>
    <row r="406" spans="1:32" ht="12" customHeight="1">
      <c r="A406" s="1417"/>
      <c r="B406" s="1418"/>
      <c r="C406" s="1418"/>
      <c r="D406" s="1418"/>
      <c r="E406" s="1418"/>
      <c r="F406" s="1418"/>
      <c r="G406" s="1418"/>
      <c r="H406" s="1418"/>
      <c r="I406" s="1418"/>
      <c r="J406" s="1418"/>
      <c r="K406" s="1418"/>
      <c r="L406" s="1418"/>
      <c r="M406" s="1418"/>
      <c r="N406" s="1418"/>
      <c r="O406" s="1418"/>
      <c r="P406" s="1418"/>
      <c r="Q406" s="1419"/>
    </row>
    <row r="407" spans="1:32" ht="3" customHeight="1">
      <c r="A407" s="1159"/>
      <c r="B407" s="1177"/>
      <c r="C407" s="1164"/>
      <c r="D407" s="1164"/>
      <c r="E407" s="1164"/>
      <c r="F407" s="1164"/>
      <c r="G407" s="1164"/>
      <c r="H407" s="1164"/>
      <c r="I407" s="1164"/>
      <c r="J407" s="1164"/>
      <c r="K407" s="1164"/>
      <c r="L407" s="1164"/>
      <c r="M407" s="1164"/>
      <c r="N407" s="1164"/>
      <c r="O407" s="1164"/>
      <c r="P407" s="1164"/>
      <c r="Q407" s="1159"/>
    </row>
    <row r="408" spans="1:32" s="175" customFormat="1" ht="8.4499999999999993" customHeight="1">
      <c r="A408" s="1159"/>
      <c r="B408" s="1177"/>
      <c r="C408" s="1164"/>
      <c r="D408" s="1164"/>
      <c r="E408" s="1164"/>
      <c r="F408" s="1164"/>
      <c r="G408" s="1164"/>
      <c r="H408" s="1164"/>
      <c r="I408" s="1164"/>
      <c r="J408" s="1164"/>
      <c r="K408" s="1164"/>
      <c r="L408" s="1164"/>
      <c r="M408" s="1164"/>
      <c r="AE408" s="598"/>
      <c r="AF408" s="598"/>
    </row>
    <row r="409" spans="1:32" s="175" customFormat="1" ht="3" customHeight="1">
      <c r="A409" s="1159"/>
      <c r="B409" s="1177"/>
      <c r="C409" s="1164"/>
      <c r="D409" s="1164"/>
      <c r="E409" s="1164"/>
      <c r="F409" s="1164"/>
      <c r="G409" s="1164"/>
      <c r="H409" s="1164"/>
      <c r="I409" s="1164"/>
      <c r="J409" s="1164"/>
      <c r="K409" s="1164"/>
      <c r="L409" s="1164"/>
      <c r="M409" s="1164"/>
      <c r="N409" s="1164"/>
      <c r="O409" s="1164"/>
      <c r="P409" s="1164"/>
      <c r="Q409" s="1159"/>
      <c r="AE409" s="598"/>
      <c r="AF409" s="598"/>
    </row>
    <row r="410" spans="1:32" s="175" customFormat="1" ht="12" customHeight="1">
      <c r="A410" s="2298"/>
      <c r="B410" s="2298"/>
      <c r="C410" s="2298"/>
      <c r="D410" s="2298"/>
      <c r="E410" s="2298"/>
      <c r="F410" s="2298"/>
      <c r="G410" s="2298"/>
      <c r="H410" s="2298"/>
      <c r="I410" s="2298"/>
      <c r="J410" s="2298"/>
      <c r="K410" s="2298"/>
      <c r="L410" s="2298"/>
      <c r="M410" s="2298"/>
      <c r="N410" s="2298"/>
      <c r="O410" s="2298"/>
      <c r="P410" s="2298"/>
      <c r="Q410" s="2298"/>
      <c r="AE410" s="598"/>
      <c r="AF410" s="598"/>
    </row>
    <row r="411" spans="1:32" s="175" customFormat="1" ht="12" customHeight="1">
      <c r="A411" s="2298"/>
      <c r="B411" s="2298"/>
      <c r="C411" s="2298"/>
      <c r="D411" s="2298"/>
      <c r="E411" s="2298"/>
      <c r="F411" s="2298"/>
      <c r="G411" s="2298"/>
      <c r="H411" s="2298"/>
      <c r="I411" s="2298"/>
      <c r="J411" s="2298"/>
      <c r="K411" s="2298"/>
      <c r="L411" s="2298"/>
      <c r="M411" s="2298"/>
      <c r="N411" s="2298"/>
      <c r="O411" s="2298"/>
      <c r="P411" s="2298"/>
      <c r="Q411" s="2298"/>
      <c r="AE411" s="598"/>
      <c r="AF411" s="598"/>
    </row>
    <row r="412" spans="1:32" s="175" customFormat="1" ht="12" customHeight="1">
      <c r="A412" s="2298"/>
      <c r="B412" s="2298"/>
      <c r="C412" s="2298"/>
      <c r="D412" s="2298"/>
      <c r="E412" s="2298"/>
      <c r="F412" s="2298"/>
      <c r="G412" s="2298"/>
      <c r="H412" s="2298"/>
      <c r="I412" s="2298"/>
      <c r="J412" s="2298"/>
      <c r="K412" s="2298"/>
      <c r="L412" s="2298"/>
      <c r="M412" s="2298"/>
      <c r="N412" s="2298"/>
      <c r="O412" s="2298"/>
      <c r="P412" s="2298"/>
      <c r="Q412" s="2298"/>
      <c r="AE412" s="598"/>
      <c r="AF412" s="598"/>
    </row>
    <row r="413" spans="1:32" s="175" customFormat="1" ht="12" customHeight="1">
      <c r="A413" s="2298"/>
      <c r="B413" s="2298"/>
      <c r="C413" s="2298"/>
      <c r="D413" s="2298"/>
      <c r="E413" s="2298"/>
      <c r="F413" s="2298"/>
      <c r="G413" s="2298"/>
      <c r="H413" s="2298"/>
      <c r="I413" s="2298"/>
      <c r="J413" s="2298"/>
      <c r="K413" s="2298"/>
      <c r="L413" s="2298"/>
      <c r="M413" s="2298"/>
      <c r="N413" s="2298"/>
      <c r="O413" s="2298"/>
      <c r="P413" s="2298"/>
      <c r="Q413" s="2298"/>
      <c r="AE413" s="598"/>
      <c r="AF413" s="598"/>
    </row>
    <row r="414" spans="1:32" s="175" customFormat="1" ht="12" customHeight="1">
      <c r="A414" s="2298"/>
      <c r="B414" s="2298"/>
      <c r="C414" s="2298"/>
      <c r="D414" s="2298"/>
      <c r="E414" s="2298"/>
      <c r="F414" s="2298"/>
      <c r="G414" s="2298"/>
      <c r="H414" s="2298"/>
      <c r="I414" s="2298"/>
      <c r="J414" s="2298"/>
      <c r="K414" s="2298"/>
      <c r="L414" s="2298"/>
      <c r="M414" s="2298"/>
      <c r="N414" s="2298"/>
      <c r="O414" s="2298"/>
      <c r="P414" s="2298"/>
      <c r="Q414" s="2298"/>
      <c r="AE414" s="598"/>
      <c r="AF414" s="598"/>
    </row>
    <row r="415" spans="1:32" s="175" customFormat="1" ht="12" customHeight="1">
      <c r="A415" s="2298"/>
      <c r="B415" s="2298"/>
      <c r="C415" s="2298"/>
      <c r="D415" s="2298"/>
      <c r="E415" s="2298"/>
      <c r="F415" s="2298"/>
      <c r="G415" s="2298"/>
      <c r="H415" s="2298"/>
      <c r="I415" s="2298"/>
      <c r="J415" s="2298"/>
      <c r="K415" s="2298"/>
      <c r="L415" s="2298"/>
      <c r="M415" s="2298"/>
      <c r="N415" s="2298"/>
      <c r="O415" s="2298"/>
      <c r="P415" s="2298"/>
      <c r="Q415" s="2298"/>
      <c r="AE415" s="598"/>
      <c r="AF415" s="598"/>
    </row>
    <row r="416" spans="1:32" s="175" customFormat="1" ht="12" customHeight="1">
      <c r="A416" s="2298"/>
      <c r="B416" s="2298"/>
      <c r="C416" s="2298"/>
      <c r="D416" s="2298"/>
      <c r="E416" s="2298"/>
      <c r="F416" s="2298"/>
      <c r="G416" s="2298"/>
      <c r="H416" s="2298"/>
      <c r="I416" s="2298"/>
      <c r="J416" s="2298"/>
      <c r="K416" s="2298"/>
      <c r="L416" s="2298"/>
      <c r="M416" s="2298"/>
      <c r="N416" s="2298"/>
      <c r="O416" s="2298"/>
      <c r="P416" s="2298"/>
      <c r="Q416" s="2298"/>
      <c r="AE416" s="598"/>
      <c r="AF416" s="598"/>
    </row>
    <row r="417" spans="1:32" s="175" customFormat="1" ht="12" customHeight="1">
      <c r="A417" s="2298"/>
      <c r="B417" s="2298"/>
      <c r="C417" s="2298"/>
      <c r="D417" s="2298"/>
      <c r="E417" s="2298"/>
      <c r="F417" s="2298"/>
      <c r="G417" s="2298"/>
      <c r="H417" s="2298"/>
      <c r="I417" s="2298"/>
      <c r="J417" s="2298"/>
      <c r="K417" s="2298"/>
      <c r="L417" s="2298"/>
      <c r="M417" s="2298"/>
      <c r="N417" s="2298"/>
      <c r="O417" s="2298"/>
      <c r="P417" s="2298"/>
      <c r="Q417" s="2298"/>
      <c r="AE417" s="598"/>
      <c r="AF417" s="598"/>
    </row>
    <row r="418" spans="1:32" s="175" customFormat="1" ht="12" customHeight="1">
      <c r="A418" s="2298"/>
      <c r="B418" s="2298"/>
      <c r="C418" s="2298"/>
      <c r="D418" s="2298"/>
      <c r="E418" s="2298"/>
      <c r="F418" s="2298"/>
      <c r="G418" s="2298"/>
      <c r="H418" s="2298"/>
      <c r="I418" s="2298"/>
      <c r="J418" s="2298"/>
      <c r="K418" s="2298"/>
      <c r="L418" s="2298"/>
      <c r="M418" s="2298"/>
      <c r="N418" s="2298"/>
      <c r="O418" s="2298"/>
      <c r="P418" s="2298"/>
      <c r="Q418" s="2298"/>
      <c r="AE418" s="598"/>
      <c r="AF418" s="598"/>
    </row>
    <row r="419" spans="1:32" s="175" customFormat="1" ht="12" customHeight="1">
      <c r="A419" s="2298"/>
      <c r="B419" s="2298"/>
      <c r="C419" s="2298"/>
      <c r="D419" s="2298"/>
      <c r="E419" s="2298"/>
      <c r="F419" s="2298"/>
      <c r="G419" s="2298"/>
      <c r="H419" s="2298"/>
      <c r="I419" s="2298"/>
      <c r="J419" s="2298"/>
      <c r="K419" s="2298"/>
      <c r="L419" s="2298"/>
      <c r="M419" s="2298"/>
      <c r="N419" s="2298"/>
      <c r="O419" s="2298"/>
      <c r="P419" s="2298"/>
      <c r="Q419" s="2298"/>
      <c r="AE419" s="598"/>
      <c r="AF419" s="598"/>
    </row>
    <row r="420" spans="1:32" s="175" customFormat="1" ht="12" customHeight="1">
      <c r="A420" s="2298"/>
      <c r="B420" s="2298"/>
      <c r="C420" s="2298"/>
      <c r="D420" s="2298"/>
      <c r="E420" s="2298"/>
      <c r="F420" s="2298"/>
      <c r="G420" s="2298"/>
      <c r="H420" s="2298"/>
      <c r="I420" s="2298"/>
      <c r="J420" s="2298"/>
      <c r="K420" s="2298"/>
      <c r="L420" s="2298"/>
      <c r="M420" s="2298"/>
      <c r="N420" s="2298"/>
      <c r="O420" s="2298"/>
      <c r="P420" s="2298"/>
      <c r="Q420" s="2298"/>
      <c r="AE420" s="598"/>
      <c r="AF420" s="598"/>
    </row>
    <row r="421" spans="1:32" s="175" customFormat="1" ht="12" customHeight="1">
      <c r="A421" s="2298"/>
      <c r="B421" s="2298"/>
      <c r="C421" s="2298"/>
      <c r="D421" s="2298"/>
      <c r="E421" s="2298"/>
      <c r="F421" s="2298"/>
      <c r="G421" s="2298"/>
      <c r="H421" s="2298"/>
      <c r="I421" s="2298"/>
      <c r="J421" s="2298"/>
      <c r="K421" s="2298"/>
      <c r="L421" s="2298"/>
      <c r="M421" s="2298"/>
      <c r="N421" s="2298"/>
      <c r="O421" s="2298"/>
      <c r="P421" s="2298"/>
      <c r="Q421" s="2298"/>
      <c r="AE421" s="598"/>
      <c r="AF421" s="598"/>
    </row>
    <row r="422" spans="1:32" s="175" customFormat="1" ht="12" customHeight="1">
      <c r="A422" s="2298"/>
      <c r="B422" s="2298"/>
      <c r="C422" s="2298"/>
      <c r="D422" s="2298"/>
      <c r="E422" s="2298"/>
      <c r="F422" s="2298"/>
      <c r="G422" s="2298"/>
      <c r="H422" s="2298"/>
      <c r="I422" s="2298"/>
      <c r="J422" s="2298"/>
      <c r="K422" s="2298"/>
      <c r="L422" s="2298"/>
      <c r="M422" s="2298"/>
      <c r="N422" s="2298"/>
      <c r="O422" s="2298"/>
      <c r="P422" s="2298"/>
      <c r="Q422" s="2298"/>
      <c r="AE422" s="598"/>
      <c r="AF422" s="598"/>
    </row>
    <row r="423" spans="1:32" s="175" customFormat="1" ht="12" customHeight="1">
      <c r="A423" s="2299"/>
      <c r="B423" s="2299"/>
      <c r="C423" s="2299"/>
      <c r="D423" s="2299"/>
      <c r="E423" s="2299"/>
      <c r="F423" s="2299"/>
      <c r="G423" s="2299"/>
      <c r="H423" s="2299"/>
      <c r="I423" s="2299"/>
      <c r="J423" s="2299"/>
      <c r="K423" s="2299"/>
      <c r="L423" s="2299"/>
      <c r="M423" s="2299"/>
      <c r="N423" s="2298"/>
      <c r="O423" s="2298"/>
      <c r="P423" s="2298"/>
      <c r="Q423" s="2298"/>
      <c r="AE423" s="598"/>
      <c r="AF423" s="598"/>
    </row>
    <row r="424" spans="1:32" s="175" customFormat="1" ht="12" customHeight="1">
      <c r="A424" s="2299"/>
      <c r="B424" s="2299"/>
      <c r="C424" s="2299"/>
      <c r="D424" s="2299"/>
      <c r="E424" s="2299"/>
      <c r="F424" s="2299"/>
      <c r="G424" s="2299"/>
      <c r="H424" s="2299"/>
      <c r="I424" s="2299"/>
      <c r="J424" s="2299"/>
      <c r="K424" s="2299"/>
      <c r="L424" s="2299"/>
      <c r="M424" s="2299"/>
      <c r="N424" s="2298"/>
      <c r="O424" s="2298"/>
      <c r="P424" s="2298"/>
      <c r="Q424" s="2298"/>
      <c r="AE424" s="598"/>
      <c r="AF424" s="598"/>
    </row>
    <row r="425" spans="1:32" s="175" customFormat="1">
      <c r="A425" s="568"/>
      <c r="B425" s="568"/>
      <c r="C425" s="568"/>
      <c r="D425" s="568"/>
      <c r="E425" s="568"/>
      <c r="F425" s="568"/>
      <c r="G425" s="568"/>
      <c r="H425" s="568"/>
      <c r="I425" s="568"/>
      <c r="J425" s="568"/>
      <c r="K425" s="568"/>
      <c r="L425" s="568"/>
      <c r="M425" s="568"/>
      <c r="AE425" s="598"/>
      <c r="AF425" s="598"/>
    </row>
    <row r="426" spans="1:32" s="190" customFormat="1">
      <c r="A426" s="622"/>
      <c r="B426" s="622"/>
      <c r="C426" s="622"/>
      <c r="D426" s="622"/>
      <c r="E426" s="622"/>
      <c r="F426" s="622"/>
      <c r="G426" s="622"/>
      <c r="H426" s="622"/>
      <c r="I426" s="622"/>
      <c r="J426" s="622"/>
      <c r="K426" s="622"/>
      <c r="L426" s="622"/>
      <c r="M426" s="622"/>
      <c r="N426" s="143"/>
      <c r="O426" s="1155"/>
      <c r="P426" s="1155"/>
      <c r="AE426" s="601"/>
      <c r="AF426" s="601"/>
    </row>
    <row r="427" spans="1:32" s="537" customFormat="1" ht="15">
      <c r="A427" s="624"/>
      <c r="B427" s="624"/>
      <c r="C427" s="625" t="s">
        <v>1762</v>
      </c>
      <c r="D427" s="625"/>
      <c r="E427" s="625"/>
      <c r="F427" s="625"/>
      <c r="G427" s="625"/>
      <c r="H427" s="625"/>
      <c r="I427" s="625"/>
      <c r="J427" s="625" t="s">
        <v>1074</v>
      </c>
      <c r="K427" s="625"/>
      <c r="L427" s="624"/>
      <c r="M427" s="624"/>
      <c r="N427" s="543"/>
      <c r="O427" s="2300" t="s">
        <v>3550</v>
      </c>
      <c r="P427" s="559"/>
      <c r="AE427" s="552"/>
      <c r="AF427" s="552"/>
    </row>
    <row r="428" spans="1:32" s="537" customFormat="1" ht="15">
      <c r="A428" s="624"/>
      <c r="B428" s="624"/>
      <c r="C428" s="624" t="s">
        <v>2227</v>
      </c>
      <c r="D428" s="624"/>
      <c r="E428" s="624"/>
      <c r="F428" s="624"/>
      <c r="G428" s="624"/>
      <c r="H428" s="624"/>
      <c r="I428" s="624"/>
      <c r="J428" s="624" t="s">
        <v>1895</v>
      </c>
      <c r="K428" s="624"/>
      <c r="L428" s="624"/>
      <c r="M428" s="624"/>
      <c r="N428" s="543"/>
      <c r="O428" s="2300" t="s">
        <v>3551</v>
      </c>
      <c r="P428" s="559"/>
      <c r="AE428" s="552"/>
      <c r="AF428" s="552"/>
    </row>
    <row r="429" spans="1:32" s="537" customFormat="1" ht="15">
      <c r="A429" s="624"/>
      <c r="B429" s="624"/>
      <c r="C429" s="625" t="s">
        <v>2726</v>
      </c>
      <c r="D429" s="625"/>
      <c r="E429" s="625"/>
      <c r="F429" s="625"/>
      <c r="G429" s="625"/>
      <c r="H429" s="625"/>
      <c r="I429" s="625"/>
      <c r="J429" s="626" t="s">
        <v>1845</v>
      </c>
      <c r="K429" s="625"/>
      <c r="L429" s="624"/>
      <c r="M429" s="624"/>
      <c r="N429" s="543"/>
      <c r="O429" s="2300" t="s">
        <v>3552</v>
      </c>
      <c r="P429" s="559"/>
      <c r="AE429" s="552"/>
      <c r="AF429" s="552"/>
    </row>
    <row r="430" spans="1:32" s="537" customFormat="1" ht="15">
      <c r="A430" s="624"/>
      <c r="B430" s="624"/>
      <c r="C430" s="625" t="s">
        <v>2228</v>
      </c>
      <c r="D430" s="625"/>
      <c r="E430" s="625"/>
      <c r="F430" s="625"/>
      <c r="G430" s="625"/>
      <c r="H430" s="625"/>
      <c r="I430" s="625"/>
      <c r="J430" s="626" t="s">
        <v>241</v>
      </c>
      <c r="K430" s="625"/>
      <c r="L430" s="624"/>
      <c r="M430" s="624"/>
      <c r="N430" s="543"/>
      <c r="O430" s="2300" t="s">
        <v>3553</v>
      </c>
      <c r="P430" s="559"/>
      <c r="AE430" s="552"/>
      <c r="AF430" s="552"/>
    </row>
    <row r="431" spans="1:32" s="537" customFormat="1" ht="15">
      <c r="A431" s="624"/>
      <c r="B431" s="624"/>
      <c r="C431" s="625" t="s">
        <v>2229</v>
      </c>
      <c r="D431" s="625"/>
      <c r="E431" s="625"/>
      <c r="F431" s="625"/>
      <c r="G431" s="625"/>
      <c r="H431" s="625"/>
      <c r="I431" s="625"/>
      <c r="J431" s="624" t="s">
        <v>1257</v>
      </c>
      <c r="K431" s="625"/>
      <c r="L431" s="624"/>
      <c r="M431" s="624"/>
      <c r="N431" s="543"/>
      <c r="O431" s="2300" t="s">
        <v>3554</v>
      </c>
      <c r="P431" s="559"/>
      <c r="AE431" s="552"/>
      <c r="AF431" s="552"/>
    </row>
    <row r="432" spans="1:32" s="537" customFormat="1" ht="15">
      <c r="A432" s="624"/>
      <c r="B432" s="624"/>
      <c r="C432" s="627" t="s">
        <v>2230</v>
      </c>
      <c r="D432" s="625"/>
      <c r="E432" s="625"/>
      <c r="F432" s="625"/>
      <c r="G432" s="625"/>
      <c r="H432" s="625"/>
      <c r="I432" s="625"/>
      <c r="J432" s="628" t="s">
        <v>2242</v>
      </c>
      <c r="K432" s="625"/>
      <c r="L432" s="624"/>
      <c r="M432" s="624"/>
      <c r="N432" s="543"/>
      <c r="O432" s="2300" t="s">
        <v>3555</v>
      </c>
      <c r="P432" s="559"/>
      <c r="AE432" s="552"/>
      <c r="AF432" s="552"/>
    </row>
    <row r="433" spans="1:32" s="537" customFormat="1" ht="15">
      <c r="A433" s="624"/>
      <c r="B433" s="624"/>
      <c r="C433" s="627" t="s">
        <v>2231</v>
      </c>
      <c r="D433" s="625"/>
      <c r="E433" s="625"/>
      <c r="F433" s="625"/>
      <c r="G433" s="625"/>
      <c r="H433" s="625"/>
      <c r="I433" s="625"/>
      <c r="J433" s="626" t="s">
        <v>1774</v>
      </c>
      <c r="K433" s="625"/>
      <c r="L433" s="624"/>
      <c r="M433" s="624"/>
      <c r="N433" s="543"/>
      <c r="O433" s="2300" t="s">
        <v>3556</v>
      </c>
      <c r="P433" s="559"/>
      <c r="AE433" s="552"/>
      <c r="AF433" s="552"/>
    </row>
    <row r="434" spans="1:32" s="537" customFormat="1" ht="15">
      <c r="A434" s="624"/>
      <c r="B434" s="624"/>
      <c r="C434" s="627"/>
      <c r="D434" s="625"/>
      <c r="E434" s="625"/>
      <c r="F434" s="625"/>
      <c r="G434" s="625"/>
      <c r="H434" s="625"/>
      <c r="I434" s="625"/>
      <c r="J434" s="626" t="s">
        <v>1265</v>
      </c>
      <c r="K434" s="625"/>
      <c r="L434" s="624"/>
      <c r="M434" s="624"/>
      <c r="N434" s="543"/>
      <c r="O434" s="2300" t="s">
        <v>3557</v>
      </c>
      <c r="P434" s="559"/>
      <c r="AE434" s="552"/>
      <c r="AF434" s="552"/>
    </row>
    <row r="435" spans="1:32" s="537" customFormat="1" ht="15">
      <c r="A435" s="624"/>
      <c r="B435" s="624"/>
      <c r="C435" s="624" t="s">
        <v>1895</v>
      </c>
      <c r="D435" s="625"/>
      <c r="E435" s="625"/>
      <c r="F435" s="625"/>
      <c r="G435" s="625"/>
      <c r="H435" s="625"/>
      <c r="I435" s="625"/>
      <c r="J435" s="626" t="s">
        <v>1771</v>
      </c>
      <c r="K435" s="625"/>
      <c r="L435" s="624"/>
      <c r="M435" s="624"/>
      <c r="N435" s="543"/>
      <c r="O435" s="2300" t="s">
        <v>3558</v>
      </c>
      <c r="P435" s="559"/>
      <c r="AE435" s="552"/>
      <c r="AF435" s="552"/>
    </row>
    <row r="436" spans="1:32" s="537" customFormat="1" ht="11.25">
      <c r="A436" s="624"/>
      <c r="B436" s="624"/>
      <c r="C436" s="629" t="s">
        <v>1480</v>
      </c>
      <c r="D436" s="625"/>
      <c r="E436" s="625"/>
      <c r="F436" s="625"/>
      <c r="G436" s="625"/>
      <c r="H436" s="625"/>
      <c r="I436" s="625"/>
      <c r="J436" s="626" t="s">
        <v>2243</v>
      </c>
      <c r="K436" s="625"/>
      <c r="L436" s="624"/>
      <c r="M436" s="624"/>
      <c r="N436" s="543"/>
      <c r="O436" s="559"/>
      <c r="P436" s="559"/>
      <c r="AE436" s="552"/>
      <c r="AF436" s="552"/>
    </row>
    <row r="437" spans="1:32" s="537" customFormat="1" ht="11.25">
      <c r="A437" s="624"/>
      <c r="B437" s="624"/>
      <c r="C437" s="629" t="s">
        <v>1481</v>
      </c>
      <c r="D437" s="625"/>
      <c r="E437" s="625"/>
      <c r="F437" s="625"/>
      <c r="G437" s="625"/>
      <c r="H437" s="625"/>
      <c r="I437" s="625"/>
      <c r="J437" s="626" t="s">
        <v>1764</v>
      </c>
      <c r="K437" s="625"/>
      <c r="L437" s="624"/>
      <c r="M437" s="624"/>
      <c r="N437" s="543"/>
      <c r="O437" s="559"/>
      <c r="P437" s="559"/>
      <c r="AE437" s="552"/>
      <c r="AF437" s="552"/>
    </row>
    <row r="438" spans="1:32" s="537" customFormat="1" ht="11.25">
      <c r="A438" s="624"/>
      <c r="B438" s="624"/>
      <c r="C438" s="630" t="s">
        <v>2271</v>
      </c>
      <c r="D438" s="625"/>
      <c r="E438" s="625"/>
      <c r="F438" s="625"/>
      <c r="G438" s="625"/>
      <c r="H438" s="625"/>
      <c r="I438" s="625"/>
      <c r="J438" s="626" t="s">
        <v>1266</v>
      </c>
      <c r="K438" s="625"/>
      <c r="L438" s="624"/>
      <c r="M438" s="624"/>
      <c r="N438" s="543"/>
      <c r="O438" s="559"/>
      <c r="P438" s="559"/>
      <c r="AE438" s="552"/>
      <c r="AF438" s="552"/>
    </row>
    <row r="439" spans="1:32" s="537" customFormat="1" ht="11.25">
      <c r="A439" s="624"/>
      <c r="B439" s="624"/>
      <c r="C439" s="630" t="s">
        <v>1477</v>
      </c>
      <c r="D439" s="625"/>
      <c r="E439" s="625"/>
      <c r="F439" s="625"/>
      <c r="G439" s="625"/>
      <c r="H439" s="625"/>
      <c r="I439" s="625"/>
      <c r="J439" s="626" t="s">
        <v>629</v>
      </c>
      <c r="K439" s="625"/>
      <c r="L439" s="624"/>
      <c r="M439" s="624"/>
      <c r="N439" s="543"/>
      <c r="O439" s="559"/>
      <c r="P439" s="559"/>
      <c r="AE439" s="552"/>
      <c r="AF439" s="552"/>
    </row>
    <row r="440" spans="1:32" s="537" customFormat="1" ht="11.25">
      <c r="A440" s="624"/>
      <c r="B440" s="624"/>
      <c r="C440" s="630" t="s">
        <v>1478</v>
      </c>
      <c r="D440" s="625"/>
      <c r="E440" s="625"/>
      <c r="F440" s="625"/>
      <c r="G440" s="625"/>
      <c r="H440" s="625"/>
      <c r="I440" s="625"/>
      <c r="J440" s="626" t="s">
        <v>1770</v>
      </c>
      <c r="K440" s="625"/>
      <c r="L440" s="624"/>
      <c r="M440" s="624"/>
      <c r="N440" s="543"/>
      <c r="O440" s="559"/>
      <c r="P440" s="559"/>
      <c r="AE440" s="552"/>
      <c r="AF440" s="552"/>
    </row>
    <row r="441" spans="1:32" s="537" customFormat="1" ht="11.25">
      <c r="A441" s="624"/>
      <c r="B441" s="624"/>
      <c r="C441" s="629" t="s">
        <v>2266</v>
      </c>
      <c r="D441" s="625"/>
      <c r="E441" s="625"/>
      <c r="F441" s="625"/>
      <c r="G441" s="625"/>
      <c r="H441" s="625"/>
      <c r="I441" s="625"/>
      <c r="J441" s="626" t="s">
        <v>1259</v>
      </c>
      <c r="K441" s="625"/>
      <c r="L441" s="624"/>
      <c r="M441" s="624"/>
      <c r="N441" s="543"/>
      <c r="O441" s="559"/>
      <c r="P441" s="559"/>
      <c r="AE441" s="552"/>
      <c r="AF441" s="552"/>
    </row>
    <row r="442" spans="1:32" s="537" customFormat="1" ht="11.25">
      <c r="A442" s="624"/>
      <c r="B442" s="624"/>
      <c r="C442" s="629" t="s">
        <v>2267</v>
      </c>
      <c r="D442" s="625"/>
      <c r="E442" s="625"/>
      <c r="F442" s="625"/>
      <c r="G442" s="625"/>
      <c r="H442" s="625"/>
      <c r="I442" s="625"/>
      <c r="J442" s="626" t="s">
        <v>1258</v>
      </c>
      <c r="K442" s="624"/>
      <c r="L442" s="624"/>
      <c r="M442" s="624"/>
      <c r="N442" s="543"/>
      <c r="O442" s="559"/>
      <c r="P442" s="559"/>
      <c r="AE442" s="552"/>
      <c r="AF442" s="552"/>
    </row>
    <row r="443" spans="1:32" s="537" customFormat="1" ht="11.25">
      <c r="A443" s="624"/>
      <c r="B443" s="624"/>
      <c r="C443" s="629" t="s">
        <v>2268</v>
      </c>
      <c r="D443" s="624"/>
      <c r="E443" s="624"/>
      <c r="F443" s="624"/>
      <c r="G443" s="624"/>
      <c r="H443" s="624"/>
      <c r="I443" s="624"/>
      <c r="J443" s="626" t="s">
        <v>1846</v>
      </c>
      <c r="K443" s="624"/>
      <c r="L443" s="624"/>
      <c r="M443" s="624"/>
      <c r="N443" s="543"/>
      <c r="O443" s="559"/>
      <c r="P443" s="559"/>
      <c r="AE443" s="552"/>
      <c r="AF443" s="552"/>
    </row>
    <row r="444" spans="1:32" s="537" customFormat="1" ht="11.25">
      <c r="A444" s="624"/>
      <c r="B444" s="624"/>
      <c r="C444" s="629" t="s">
        <v>2269</v>
      </c>
      <c r="D444" s="624"/>
      <c r="E444" s="624"/>
      <c r="F444" s="624"/>
      <c r="G444" s="624"/>
      <c r="H444" s="624"/>
      <c r="I444" s="624"/>
      <c r="J444" s="626" t="s">
        <v>1773</v>
      </c>
      <c r="K444" s="624"/>
      <c r="L444" s="624"/>
      <c r="M444" s="624"/>
      <c r="N444" s="543"/>
      <c r="O444" s="559"/>
      <c r="P444" s="559"/>
      <c r="AE444" s="552"/>
      <c r="AF444" s="552"/>
    </row>
    <row r="445" spans="1:32" s="537" customFormat="1" ht="11.25">
      <c r="A445" s="624"/>
      <c r="B445" s="624"/>
      <c r="C445" s="629" t="s">
        <v>2270</v>
      </c>
      <c r="D445" s="624"/>
      <c r="E445" s="624"/>
      <c r="F445" s="624"/>
      <c r="G445" s="624"/>
      <c r="H445" s="624"/>
      <c r="I445" s="624"/>
      <c r="J445" s="626" t="s">
        <v>1765</v>
      </c>
      <c r="K445" s="624"/>
      <c r="L445" s="624"/>
      <c r="M445" s="624"/>
      <c r="N445" s="543"/>
      <c r="O445" s="559"/>
      <c r="P445" s="559"/>
      <c r="AE445" s="552"/>
      <c r="AF445" s="552"/>
    </row>
    <row r="446" spans="1:32" s="537" customFormat="1" ht="11.25">
      <c r="A446" s="624"/>
      <c r="B446" s="624"/>
      <c r="C446" s="629" t="s">
        <v>1479</v>
      </c>
      <c r="D446" s="624"/>
      <c r="E446" s="624"/>
      <c r="F446" s="624"/>
      <c r="G446" s="624"/>
      <c r="H446" s="624"/>
      <c r="I446" s="624"/>
      <c r="J446" s="626" t="s">
        <v>2241</v>
      </c>
      <c r="K446" s="624"/>
      <c r="L446" s="624"/>
      <c r="M446" s="624"/>
      <c r="N446" s="543"/>
      <c r="O446" s="559"/>
      <c r="P446" s="559"/>
      <c r="AE446" s="552"/>
      <c r="AF446" s="552"/>
    </row>
    <row r="447" spans="1:32" s="537" customFormat="1" ht="11.25">
      <c r="A447" s="624"/>
      <c r="B447" s="624"/>
      <c r="C447" s="629" t="s">
        <v>2430</v>
      </c>
      <c r="D447" s="624"/>
      <c r="E447" s="624"/>
      <c r="F447" s="624"/>
      <c r="G447" s="624"/>
      <c r="H447" s="624"/>
      <c r="I447" s="624"/>
      <c r="J447" s="624"/>
      <c r="K447" s="624"/>
      <c r="L447" s="624"/>
      <c r="M447" s="624"/>
      <c r="N447" s="543"/>
      <c r="O447" s="559"/>
      <c r="P447" s="559"/>
      <c r="AE447" s="552"/>
      <c r="AF447" s="552"/>
    </row>
    <row r="448" spans="1:32" s="537" customFormat="1" ht="11.25">
      <c r="A448" s="624"/>
      <c r="B448" s="624"/>
      <c r="C448" s="624"/>
      <c r="D448" s="624"/>
      <c r="E448" s="624"/>
      <c r="F448" s="624"/>
      <c r="G448" s="624"/>
      <c r="H448" s="624"/>
      <c r="I448" s="624"/>
      <c r="J448" s="624"/>
      <c r="K448" s="624"/>
      <c r="L448" s="624"/>
      <c r="M448" s="624"/>
      <c r="N448" s="543"/>
      <c r="O448" s="559"/>
      <c r="P448" s="559"/>
      <c r="AE448" s="552"/>
      <c r="AF448" s="552"/>
    </row>
    <row r="449" spans="1:32" s="65" customFormat="1" ht="11.25">
      <c r="A449" s="625"/>
      <c r="B449" s="625"/>
      <c r="C449" s="631" t="s">
        <v>1697</v>
      </c>
      <c r="D449" s="625"/>
      <c r="E449" s="625"/>
      <c r="F449" s="625"/>
      <c r="G449" s="625"/>
      <c r="H449" s="625"/>
      <c r="I449" s="625"/>
      <c r="J449" s="625"/>
      <c r="K449" s="625"/>
      <c r="L449" s="625"/>
      <c r="M449" s="625"/>
      <c r="AE449" s="511"/>
      <c r="AF449" s="511"/>
    </row>
    <row r="450" spans="1:32" s="65" customFormat="1" ht="11.25">
      <c r="A450" s="625"/>
      <c r="B450" s="625"/>
      <c r="C450" s="625" t="s">
        <v>1895</v>
      </c>
      <c r="D450" s="625"/>
      <c r="E450" s="625"/>
      <c r="F450" s="625"/>
      <c r="G450" s="625"/>
      <c r="H450" s="625"/>
      <c r="I450" s="625"/>
      <c r="J450" s="625"/>
      <c r="K450" s="625"/>
      <c r="L450" s="625"/>
      <c r="M450" s="625"/>
      <c r="AE450" s="511"/>
      <c r="AF450" s="511"/>
    </row>
    <row r="451" spans="1:32" s="65" customFormat="1" ht="11.25">
      <c r="A451" s="625"/>
      <c r="B451" s="625"/>
      <c r="C451" s="625" t="s">
        <v>2227</v>
      </c>
      <c r="D451" s="625"/>
      <c r="E451" s="624"/>
      <c r="F451" s="624"/>
      <c r="G451" s="624"/>
      <c r="H451" s="624"/>
      <c r="I451" s="624"/>
      <c r="J451" s="624"/>
      <c r="K451" s="624"/>
      <c r="L451" s="624"/>
      <c r="M451" s="624"/>
      <c r="AE451" s="511"/>
      <c r="AF451" s="511"/>
    </row>
    <row r="452" spans="1:32" s="65" customFormat="1" ht="11.25">
      <c r="A452" s="625"/>
      <c r="B452" s="625"/>
      <c r="C452" s="625" t="s">
        <v>2726</v>
      </c>
      <c r="D452" s="624"/>
      <c r="E452" s="624"/>
      <c r="F452" s="624"/>
      <c r="G452" s="624"/>
      <c r="H452" s="625"/>
      <c r="I452" s="624"/>
      <c r="J452" s="624"/>
      <c r="K452" s="624"/>
      <c r="L452" s="624"/>
      <c r="M452" s="624"/>
      <c r="AE452" s="511"/>
      <c r="AF452" s="511"/>
    </row>
    <row r="453" spans="1:32" s="65" customFormat="1" ht="11.25">
      <c r="A453" s="625"/>
      <c r="B453" s="625"/>
      <c r="C453" s="625" t="s">
        <v>2228</v>
      </c>
      <c r="D453" s="624"/>
      <c r="E453" s="624"/>
      <c r="F453" s="624"/>
      <c r="G453" s="624"/>
      <c r="H453" s="624"/>
      <c r="I453" s="624"/>
      <c r="J453" s="624"/>
      <c r="K453" s="624"/>
      <c r="L453" s="624"/>
      <c r="M453" s="624"/>
      <c r="AE453" s="511"/>
      <c r="AF453" s="511"/>
    </row>
    <row r="454" spans="1:32" s="65" customFormat="1" ht="11.25">
      <c r="A454" s="625"/>
      <c r="B454" s="625"/>
      <c r="C454" s="625" t="s">
        <v>1763</v>
      </c>
      <c r="D454" s="624"/>
      <c r="E454" s="624"/>
      <c r="F454" s="624"/>
      <c r="G454" s="624"/>
      <c r="H454" s="625"/>
      <c r="I454" s="624"/>
      <c r="J454" s="624"/>
      <c r="K454" s="624"/>
      <c r="L454" s="624"/>
      <c r="M454" s="624"/>
      <c r="AE454" s="511"/>
      <c r="AF454" s="511"/>
    </row>
    <row r="455" spans="1:32" s="65" customFormat="1" ht="11.25">
      <c r="A455" s="625"/>
      <c r="B455" s="625"/>
      <c r="C455" s="627" t="s">
        <v>2147</v>
      </c>
      <c r="D455" s="624"/>
      <c r="E455" s="624"/>
      <c r="F455" s="624"/>
      <c r="G455" s="624"/>
      <c r="H455" s="625"/>
      <c r="I455" s="624"/>
      <c r="J455" s="624"/>
      <c r="K455" s="624"/>
      <c r="L455" s="624"/>
      <c r="M455" s="624"/>
      <c r="AE455" s="511"/>
      <c r="AF455" s="511"/>
    </row>
    <row r="456" spans="1:32" s="65" customFormat="1" ht="11.25">
      <c r="A456" s="625"/>
      <c r="B456" s="625"/>
      <c r="C456" s="625" t="s">
        <v>241</v>
      </c>
      <c r="D456" s="624"/>
      <c r="E456" s="624"/>
      <c r="F456" s="624"/>
      <c r="G456" s="624"/>
      <c r="H456" s="625"/>
      <c r="I456" s="624"/>
      <c r="J456" s="625"/>
      <c r="K456" s="624"/>
      <c r="L456" s="624"/>
      <c r="M456" s="624"/>
      <c r="AE456" s="511"/>
      <c r="AF456" s="511"/>
    </row>
    <row r="457" spans="1:32" s="65" customFormat="1" ht="11.25">
      <c r="A457" s="625"/>
      <c r="B457" s="625"/>
      <c r="C457" s="625" t="s">
        <v>1764</v>
      </c>
      <c r="D457" s="624"/>
      <c r="E457" s="624"/>
      <c r="F457" s="624"/>
      <c r="G457" s="624"/>
      <c r="H457" s="625"/>
      <c r="I457" s="624"/>
      <c r="J457" s="625"/>
      <c r="K457" s="624"/>
      <c r="L457" s="624"/>
      <c r="M457" s="624"/>
      <c r="AE457" s="511"/>
      <c r="AF457" s="511"/>
    </row>
    <row r="458" spans="1:32" s="65" customFormat="1" ht="11.25">
      <c r="A458" s="625"/>
      <c r="B458" s="625"/>
      <c r="C458" s="625" t="s">
        <v>1765</v>
      </c>
      <c r="D458" s="624"/>
      <c r="E458" s="624"/>
      <c r="F458" s="624"/>
      <c r="G458" s="624"/>
      <c r="H458" s="625"/>
      <c r="I458" s="624"/>
      <c r="J458" s="625"/>
      <c r="K458" s="624"/>
      <c r="L458" s="624"/>
      <c r="M458" s="624"/>
      <c r="AE458" s="511"/>
      <c r="AF458" s="511"/>
    </row>
    <row r="459" spans="1:32" s="65" customFormat="1" ht="11.25">
      <c r="A459" s="625"/>
      <c r="B459" s="625"/>
      <c r="C459" s="625" t="s">
        <v>2673</v>
      </c>
      <c r="D459" s="624"/>
      <c r="E459" s="624"/>
      <c r="F459" s="624"/>
      <c r="G459" s="624"/>
      <c r="H459" s="624"/>
      <c r="I459" s="624"/>
      <c r="J459" s="624"/>
      <c r="K459" s="624"/>
      <c r="L459" s="624"/>
      <c r="M459" s="624"/>
      <c r="AE459" s="511"/>
      <c r="AF459" s="511"/>
    </row>
    <row r="460" spans="1:32" s="65" customFormat="1" ht="11.25">
      <c r="A460" s="625"/>
      <c r="B460" s="625"/>
      <c r="C460" s="625" t="s">
        <v>1698</v>
      </c>
      <c r="D460" s="624"/>
      <c r="E460" s="624"/>
      <c r="F460" s="624"/>
      <c r="G460" s="624"/>
      <c r="H460" s="624"/>
      <c r="I460" s="624"/>
      <c r="J460" s="624"/>
      <c r="K460" s="624"/>
      <c r="L460" s="624"/>
      <c r="M460" s="624"/>
      <c r="AE460" s="511"/>
      <c r="AF460" s="511"/>
    </row>
    <row r="461" spans="1:32" s="65" customFormat="1" ht="11.25">
      <c r="A461" s="625"/>
      <c r="B461" s="625"/>
      <c r="C461" s="625" t="s">
        <v>1767</v>
      </c>
      <c r="D461" s="624"/>
      <c r="E461" s="624"/>
      <c r="F461" s="624"/>
      <c r="G461" s="624"/>
      <c r="H461" s="624"/>
      <c r="I461" s="624"/>
      <c r="J461" s="624"/>
      <c r="K461" s="624"/>
      <c r="L461" s="624"/>
      <c r="M461" s="624"/>
      <c r="AE461" s="511"/>
      <c r="AF461" s="511"/>
    </row>
    <row r="462" spans="1:32" s="65" customFormat="1" ht="11.25">
      <c r="A462" s="625"/>
      <c r="B462" s="625"/>
      <c r="C462" s="625" t="s">
        <v>2676</v>
      </c>
      <c r="D462" s="624"/>
      <c r="E462" s="624"/>
      <c r="F462" s="624"/>
      <c r="G462" s="624"/>
      <c r="H462" s="624"/>
      <c r="I462" s="624"/>
      <c r="J462" s="624"/>
      <c r="K462" s="624"/>
      <c r="L462" s="624"/>
      <c r="M462" s="624"/>
      <c r="AE462" s="511"/>
      <c r="AF462" s="511"/>
    </row>
    <row r="463" spans="1:32" s="65" customFormat="1" ht="11.25">
      <c r="A463" s="625"/>
      <c r="B463" s="625"/>
      <c r="C463" s="625" t="s">
        <v>1769</v>
      </c>
      <c r="D463" s="624"/>
      <c r="E463" s="624"/>
      <c r="F463" s="624"/>
      <c r="G463" s="624"/>
      <c r="H463" s="624"/>
      <c r="I463" s="624"/>
      <c r="J463" s="624"/>
      <c r="K463" s="624"/>
      <c r="L463" s="624"/>
      <c r="M463" s="624"/>
      <c r="N463" s="65" t="s">
        <v>2674</v>
      </c>
      <c r="AE463" s="511"/>
      <c r="AF463" s="511"/>
    </row>
    <row r="464" spans="1:32" s="65" customFormat="1" ht="11.25">
      <c r="A464" s="625"/>
      <c r="B464" s="625"/>
      <c r="C464" s="625" t="s">
        <v>1770</v>
      </c>
      <c r="D464" s="624"/>
      <c r="E464" s="624"/>
      <c r="F464" s="624"/>
      <c r="G464" s="624"/>
      <c r="H464" s="624"/>
      <c r="I464" s="624"/>
      <c r="J464" s="624"/>
      <c r="K464" s="624"/>
      <c r="L464" s="624"/>
      <c r="M464" s="624"/>
      <c r="AE464" s="511"/>
      <c r="AF464" s="511"/>
    </row>
    <row r="465" spans="1:32" s="65" customFormat="1" ht="11.25">
      <c r="A465" s="625"/>
      <c r="B465" s="625"/>
      <c r="C465" s="625" t="s">
        <v>1771</v>
      </c>
      <c r="D465" s="624"/>
      <c r="E465" s="624"/>
      <c r="F465" s="624"/>
      <c r="G465" s="624"/>
      <c r="H465" s="624"/>
      <c r="I465" s="624"/>
      <c r="J465" s="624"/>
      <c r="K465" s="624"/>
      <c r="L465" s="624"/>
      <c r="M465" s="624"/>
      <c r="AE465" s="511"/>
      <c r="AF465" s="511"/>
    </row>
    <row r="466" spans="1:32" s="65" customFormat="1" ht="11.25">
      <c r="A466" s="625"/>
      <c r="B466" s="625"/>
      <c r="C466" s="625" t="s">
        <v>629</v>
      </c>
      <c r="D466" s="624"/>
      <c r="E466" s="624"/>
      <c r="F466" s="624"/>
      <c r="G466" s="624"/>
      <c r="H466" s="624"/>
      <c r="I466" s="624"/>
      <c r="J466" s="624"/>
      <c r="K466" s="624"/>
      <c r="L466" s="624"/>
      <c r="M466" s="624"/>
      <c r="AE466" s="511"/>
      <c r="AF466" s="511"/>
    </row>
    <row r="467" spans="1:32" s="65" customFormat="1" ht="11.25">
      <c r="A467" s="625"/>
      <c r="B467" s="625"/>
      <c r="C467" s="625" t="s">
        <v>1772</v>
      </c>
      <c r="D467" s="624"/>
      <c r="E467" s="624"/>
      <c r="F467" s="624"/>
      <c r="G467" s="624"/>
      <c r="H467" s="624"/>
      <c r="I467" s="624"/>
      <c r="J467" s="624"/>
      <c r="K467" s="624"/>
      <c r="L467" s="624"/>
      <c r="M467" s="624"/>
      <c r="AE467" s="511"/>
      <c r="AF467" s="511"/>
    </row>
    <row r="468" spans="1:32" s="65" customFormat="1" ht="11.25">
      <c r="A468" s="625"/>
      <c r="B468" s="625"/>
      <c r="C468" s="625" t="s">
        <v>2008</v>
      </c>
      <c r="D468" s="624"/>
      <c r="E468" s="624"/>
      <c r="F468" s="624"/>
      <c r="G468" s="624"/>
      <c r="H468" s="624"/>
      <c r="I468" s="624"/>
      <c r="J468" s="624"/>
      <c r="K468" s="624"/>
      <c r="L468" s="624"/>
      <c r="M468" s="624"/>
      <c r="AE468" s="511"/>
      <c r="AF468" s="511"/>
    </row>
    <row r="469" spans="1:32" s="65" customFormat="1" ht="11.25">
      <c r="A469" s="625"/>
      <c r="B469" s="625"/>
      <c r="C469" s="625" t="s">
        <v>240</v>
      </c>
      <c r="D469" s="624"/>
      <c r="E469" s="624"/>
      <c r="F469" s="624"/>
      <c r="G469" s="624"/>
      <c r="H469" s="624"/>
      <c r="I469" s="624"/>
      <c r="J469" s="624"/>
      <c r="K469" s="624"/>
      <c r="L469" s="624"/>
      <c r="M469" s="624"/>
      <c r="AE469" s="511"/>
      <c r="AF469" s="511"/>
    </row>
    <row r="470" spans="1:32" s="65" customFormat="1" ht="11.25">
      <c r="A470" s="625"/>
      <c r="B470" s="625"/>
      <c r="C470" s="625"/>
      <c r="D470" s="625"/>
      <c r="E470" s="625"/>
      <c r="F470" s="625"/>
      <c r="G470" s="625"/>
      <c r="H470" s="625"/>
      <c r="I470" s="625"/>
      <c r="J470" s="625"/>
      <c r="K470" s="625"/>
      <c r="L470" s="625"/>
      <c r="M470" s="625"/>
      <c r="AE470" s="511"/>
      <c r="AF470" s="511"/>
    </row>
    <row r="471" spans="1:32" s="65" customFormat="1" ht="11.25">
      <c r="A471" s="625"/>
      <c r="B471" s="625"/>
      <c r="C471" s="631" t="s">
        <v>1913</v>
      </c>
      <c r="D471" s="625"/>
      <c r="E471" s="625"/>
      <c r="F471" s="625"/>
      <c r="G471" s="625"/>
      <c r="H471" s="625"/>
      <c r="I471" s="625"/>
      <c r="J471" s="625"/>
      <c r="K471" s="625"/>
      <c r="L471" s="625"/>
      <c r="M471" s="625"/>
      <c r="AE471" s="511"/>
      <c r="AF471" s="511"/>
    </row>
    <row r="472" spans="1:32" s="65" customFormat="1" ht="11.25">
      <c r="A472" s="625"/>
      <c r="B472" s="625"/>
      <c r="C472" s="625" t="s">
        <v>983</v>
      </c>
      <c r="D472" s="625"/>
      <c r="E472" s="625"/>
      <c r="F472" s="625"/>
      <c r="G472" s="625"/>
      <c r="H472" s="625"/>
      <c r="I472" s="625"/>
      <c r="J472" s="625"/>
      <c r="K472" s="625"/>
      <c r="L472" s="625"/>
      <c r="M472" s="625"/>
      <c r="AE472" s="511"/>
      <c r="AF472" s="511"/>
    </row>
    <row r="473" spans="1:32" s="65" customFormat="1" ht="11.25">
      <c r="A473" s="625"/>
      <c r="B473" s="625"/>
      <c r="C473" s="629" t="s">
        <v>1740</v>
      </c>
      <c r="D473" s="625"/>
      <c r="E473" s="625"/>
      <c r="F473" s="625"/>
      <c r="G473" s="625"/>
      <c r="H473" s="625"/>
      <c r="I473" s="625"/>
      <c r="J473" s="625"/>
      <c r="K473" s="625"/>
      <c r="L473" s="625"/>
      <c r="M473" s="625"/>
      <c r="AE473" s="511"/>
      <c r="AF473" s="511"/>
    </row>
    <row r="474" spans="1:32" s="65" customFormat="1" ht="11.25">
      <c r="A474" s="625"/>
      <c r="B474" s="625"/>
      <c r="C474" s="629" t="s">
        <v>769</v>
      </c>
      <c r="D474" s="625"/>
      <c r="E474" s="625"/>
      <c r="F474" s="625"/>
      <c r="G474" s="625"/>
      <c r="H474" s="625"/>
      <c r="I474" s="625"/>
      <c r="J474" s="625"/>
      <c r="K474" s="625"/>
      <c r="L474" s="629"/>
      <c r="M474" s="625"/>
      <c r="AE474" s="511"/>
      <c r="AF474" s="511"/>
    </row>
    <row r="475" spans="1:32" s="65" customFormat="1" ht="11.25">
      <c r="A475" s="625"/>
      <c r="B475" s="625"/>
      <c r="C475" s="629" t="s">
        <v>770</v>
      </c>
      <c r="D475" s="625"/>
      <c r="E475" s="625"/>
      <c r="F475" s="625"/>
      <c r="G475" s="625"/>
      <c r="H475" s="625"/>
      <c r="I475" s="625"/>
      <c r="J475" s="625"/>
      <c r="K475" s="625"/>
      <c r="L475" s="629"/>
      <c r="M475" s="625"/>
      <c r="AE475" s="511"/>
      <c r="AF475" s="511"/>
    </row>
    <row r="476" spans="1:32" s="65" customFormat="1" ht="11.25">
      <c r="A476" s="625"/>
      <c r="B476" s="625"/>
      <c r="C476" s="629" t="s">
        <v>2294</v>
      </c>
      <c r="D476" s="625"/>
      <c r="E476" s="625"/>
      <c r="F476" s="625"/>
      <c r="G476" s="625"/>
      <c r="H476" s="625"/>
      <c r="I476" s="625"/>
      <c r="J476" s="625"/>
      <c r="K476" s="625"/>
      <c r="L476" s="629"/>
      <c r="M476" s="625"/>
      <c r="AE476" s="511"/>
      <c r="AF476" s="511"/>
    </row>
    <row r="477" spans="1:32" s="65" customFormat="1" ht="11.25">
      <c r="A477" s="625"/>
      <c r="B477" s="625"/>
      <c r="C477" s="629" t="s">
        <v>129</v>
      </c>
      <c r="D477" s="625"/>
      <c r="E477" s="625"/>
      <c r="F477" s="625"/>
      <c r="G477" s="625"/>
      <c r="H477" s="625"/>
      <c r="I477" s="625"/>
      <c r="J477" s="625"/>
      <c r="K477" s="625"/>
      <c r="L477" s="629"/>
      <c r="M477" s="625"/>
      <c r="AE477" s="511"/>
      <c r="AF477" s="511"/>
    </row>
    <row r="478" spans="1:32" s="65" customFormat="1" ht="11.25">
      <c r="A478" s="625"/>
      <c r="B478" s="625"/>
      <c r="C478" s="567" t="s">
        <v>127</v>
      </c>
      <c r="D478" s="625"/>
      <c r="E478" s="625"/>
      <c r="F478" s="625"/>
      <c r="G478" s="625"/>
      <c r="H478" s="625"/>
      <c r="I478" s="625"/>
      <c r="J478" s="625"/>
      <c r="K478" s="625"/>
      <c r="L478" s="629"/>
      <c r="M478" s="625"/>
      <c r="AE478" s="511"/>
      <c r="AF478" s="511"/>
    </row>
    <row r="479" spans="1:32" s="65" customFormat="1" ht="11.25">
      <c r="A479" s="625"/>
      <c r="B479" s="625"/>
      <c r="C479" s="567" t="s">
        <v>2013</v>
      </c>
      <c r="D479" s="625"/>
      <c r="E479" s="625"/>
      <c r="F479" s="625"/>
      <c r="G479" s="625"/>
      <c r="H479" s="625"/>
      <c r="I479" s="625"/>
      <c r="J479" s="625"/>
      <c r="K479" s="625"/>
      <c r="L479" s="625"/>
      <c r="M479" s="625"/>
      <c r="AE479" s="511"/>
      <c r="AF479" s="511"/>
    </row>
    <row r="480" spans="1:32" s="65" customFormat="1" ht="11.25">
      <c r="A480" s="625"/>
      <c r="B480" s="625"/>
      <c r="C480" s="629" t="s">
        <v>1003</v>
      </c>
      <c r="D480" s="625"/>
      <c r="E480" s="625"/>
      <c r="F480" s="625"/>
      <c r="G480" s="625"/>
      <c r="H480" s="625"/>
      <c r="I480" s="625"/>
      <c r="J480" s="625"/>
      <c r="K480" s="625"/>
      <c r="L480" s="629"/>
      <c r="M480" s="625"/>
      <c r="AE480" s="511"/>
      <c r="AF480" s="511"/>
    </row>
    <row r="481" spans="1:32" s="65" customFormat="1" ht="11.25">
      <c r="A481" s="625"/>
      <c r="B481" s="625"/>
      <c r="C481" s="567" t="s">
        <v>128</v>
      </c>
      <c r="D481" s="625"/>
      <c r="E481" s="625"/>
      <c r="F481" s="625"/>
      <c r="G481" s="625"/>
      <c r="H481" s="625"/>
      <c r="I481" s="625"/>
      <c r="J481" s="625"/>
      <c r="K481" s="625"/>
      <c r="L481" s="629"/>
      <c r="M481" s="625"/>
      <c r="AE481" s="511"/>
      <c r="AF481" s="511"/>
    </row>
    <row r="482" spans="1:32" s="65" customFormat="1" ht="11.25">
      <c r="A482" s="625"/>
      <c r="B482" s="625"/>
      <c r="C482" s="567" t="s">
        <v>129</v>
      </c>
      <c r="D482" s="625"/>
      <c r="E482" s="625"/>
      <c r="F482" s="625"/>
      <c r="G482" s="625"/>
      <c r="H482" s="625"/>
      <c r="I482" s="625"/>
      <c r="J482" s="625"/>
      <c r="K482" s="625"/>
      <c r="L482" s="629"/>
      <c r="M482" s="625"/>
      <c r="AE482" s="511"/>
      <c r="AF482" s="511"/>
    </row>
    <row r="483" spans="1:32" s="65" customFormat="1" ht="11.25">
      <c r="A483" s="625"/>
      <c r="B483" s="625"/>
      <c r="C483" s="567" t="s">
        <v>130</v>
      </c>
      <c r="D483" s="625"/>
      <c r="E483" s="625"/>
      <c r="F483" s="625"/>
      <c r="G483" s="625"/>
      <c r="H483" s="625"/>
      <c r="I483" s="625"/>
      <c r="J483" s="625"/>
      <c r="K483" s="625"/>
      <c r="L483" s="629"/>
      <c r="M483" s="625"/>
      <c r="AE483" s="511"/>
      <c r="AF483" s="511"/>
    </row>
    <row r="484" spans="1:32" s="65" customFormat="1" ht="11.25">
      <c r="A484" s="625"/>
      <c r="B484" s="625"/>
      <c r="C484" s="567" t="s">
        <v>2875</v>
      </c>
      <c r="D484" s="625"/>
      <c r="E484" s="625"/>
      <c r="F484" s="625"/>
      <c r="G484" s="625"/>
      <c r="H484" s="625"/>
      <c r="I484" s="625"/>
      <c r="J484" s="625"/>
      <c r="K484" s="625"/>
      <c r="L484" s="625"/>
      <c r="M484" s="625"/>
      <c r="AE484" s="511"/>
      <c r="AF484" s="511"/>
    </row>
    <row r="485" spans="1:32" s="65" customFormat="1" ht="11.25">
      <c r="A485" s="625"/>
      <c r="B485" s="625"/>
      <c r="C485" s="629" t="s">
        <v>2146</v>
      </c>
      <c r="D485" s="625"/>
      <c r="E485" s="625"/>
      <c r="F485" s="625"/>
      <c r="G485" s="625"/>
      <c r="H485" s="625"/>
      <c r="I485" s="625"/>
      <c r="J485" s="625"/>
      <c r="K485" s="625"/>
      <c r="L485" s="629"/>
      <c r="M485" s="625"/>
      <c r="AE485" s="511"/>
      <c r="AF485" s="511"/>
    </row>
    <row r="486" spans="1:32" s="65" customFormat="1" ht="11.25">
      <c r="A486" s="625"/>
      <c r="B486" s="625"/>
      <c r="C486" s="567" t="s">
        <v>2876</v>
      </c>
      <c r="D486" s="625"/>
      <c r="E486" s="625"/>
      <c r="F486" s="625"/>
      <c r="G486" s="625"/>
      <c r="H486" s="625"/>
      <c r="I486" s="625"/>
      <c r="J486" s="625"/>
      <c r="K486" s="625"/>
      <c r="L486" s="629"/>
      <c r="M486" s="625"/>
      <c r="AE486" s="511"/>
      <c r="AF486" s="511"/>
    </row>
    <row r="487" spans="1:32" s="65" customFormat="1" ht="11.25">
      <c r="A487" s="625"/>
      <c r="B487" s="625"/>
      <c r="C487" s="567" t="s">
        <v>1470</v>
      </c>
      <c r="D487" s="625"/>
      <c r="E487" s="625"/>
      <c r="F487" s="625"/>
      <c r="G487" s="625"/>
      <c r="H487" s="625"/>
      <c r="I487" s="625"/>
      <c r="J487" s="625"/>
      <c r="K487" s="625"/>
      <c r="L487" s="629"/>
      <c r="M487" s="625"/>
      <c r="AE487" s="511"/>
      <c r="AF487" s="511"/>
    </row>
    <row r="488" spans="1:32" s="65" customFormat="1" ht="11.25">
      <c r="A488" s="625"/>
      <c r="B488" s="625"/>
      <c r="C488" s="567" t="s">
        <v>1696</v>
      </c>
      <c r="D488" s="625"/>
      <c r="E488" s="625"/>
      <c r="F488" s="625"/>
      <c r="G488" s="625"/>
      <c r="H488" s="625"/>
      <c r="I488" s="625"/>
      <c r="J488" s="625"/>
      <c r="K488" s="632" t="s">
        <v>485</v>
      </c>
      <c r="L488" s="629"/>
      <c r="M488" s="625"/>
      <c r="AE488" s="511"/>
      <c r="AF488" s="511"/>
    </row>
    <row r="489" spans="1:32" s="65" customFormat="1" ht="11.25">
      <c r="A489" s="625"/>
      <c r="B489" s="625"/>
      <c r="C489" s="567" t="s">
        <v>2877</v>
      </c>
      <c r="D489" s="625"/>
      <c r="E489" s="625"/>
      <c r="F489" s="625"/>
      <c r="G489" s="625"/>
      <c r="H489" s="625"/>
      <c r="I489" s="625"/>
      <c r="J489" s="625"/>
      <c r="K489" s="625" t="s">
        <v>1148</v>
      </c>
      <c r="L489" s="629"/>
      <c r="M489" s="625"/>
      <c r="AE489" s="511"/>
      <c r="AF489" s="511"/>
    </row>
    <row r="490" spans="1:32" s="65" customFormat="1" ht="11.25">
      <c r="A490" s="625"/>
      <c r="B490" s="625"/>
      <c r="C490" s="567" t="s">
        <v>2878</v>
      </c>
      <c r="D490" s="625"/>
      <c r="E490" s="625"/>
      <c r="F490" s="625"/>
      <c r="G490" s="625"/>
      <c r="H490" s="625"/>
      <c r="I490" s="625"/>
      <c r="J490" s="625"/>
      <c r="K490" s="625" t="s">
        <v>2846</v>
      </c>
      <c r="L490" s="625"/>
      <c r="M490" s="625"/>
      <c r="AE490" s="511"/>
      <c r="AF490" s="511"/>
    </row>
    <row r="491" spans="1:32" s="65" customFormat="1" ht="11.25">
      <c r="A491" s="625"/>
      <c r="B491" s="625"/>
      <c r="C491" s="629" t="s">
        <v>1281</v>
      </c>
      <c r="D491" s="625"/>
      <c r="E491" s="625"/>
      <c r="F491" s="625"/>
      <c r="G491" s="625"/>
      <c r="H491" s="625"/>
      <c r="I491" s="625"/>
      <c r="J491" s="625"/>
      <c r="K491" s="625" t="s">
        <v>2847</v>
      </c>
      <c r="L491" s="625"/>
      <c r="M491" s="625"/>
      <c r="AE491" s="511"/>
      <c r="AF491" s="511"/>
    </row>
    <row r="492" spans="1:32" s="65" customFormat="1" ht="11.25">
      <c r="A492" s="625"/>
      <c r="B492" s="625"/>
      <c r="C492" s="625"/>
      <c r="D492" s="625"/>
      <c r="E492" s="625"/>
      <c r="F492" s="625"/>
      <c r="G492" s="625"/>
      <c r="H492" s="625"/>
      <c r="I492" s="625"/>
      <c r="J492" s="625"/>
      <c r="K492" s="625"/>
      <c r="L492" s="625"/>
      <c r="M492" s="625"/>
      <c r="AE492" s="511"/>
      <c r="AF492" s="511"/>
    </row>
    <row r="493" spans="1:32" s="65" customFormat="1" ht="11.25">
      <c r="A493" s="625"/>
      <c r="B493" s="625"/>
      <c r="C493" s="631" t="s">
        <v>268</v>
      </c>
      <c r="D493" s="625"/>
      <c r="E493" s="625"/>
      <c r="F493" s="625"/>
      <c r="G493" s="625"/>
      <c r="H493" s="625"/>
      <c r="I493" s="625"/>
      <c r="J493" s="625"/>
      <c r="K493" s="632" t="s">
        <v>2389</v>
      </c>
      <c r="L493" s="625"/>
      <c r="M493" s="625"/>
      <c r="AE493" s="511"/>
      <c r="AF493" s="511"/>
    </row>
    <row r="494" spans="1:32" s="65" customFormat="1" ht="11.25">
      <c r="A494" s="625"/>
      <c r="B494" s="625"/>
      <c r="C494" s="625" t="s">
        <v>1149</v>
      </c>
      <c r="D494" s="625"/>
      <c r="E494" s="625"/>
      <c r="F494" s="625"/>
      <c r="G494" s="625"/>
      <c r="H494" s="625"/>
      <c r="I494" s="625"/>
      <c r="J494" s="625"/>
      <c r="K494" s="625" t="s">
        <v>2476</v>
      </c>
      <c r="L494" s="625"/>
      <c r="M494" s="625"/>
      <c r="AE494" s="511"/>
      <c r="AF494" s="511"/>
    </row>
    <row r="495" spans="1:32" s="65" customFormat="1" ht="11.25">
      <c r="A495" s="625"/>
      <c r="B495" s="625"/>
      <c r="C495" s="625" t="s">
        <v>177</v>
      </c>
      <c r="D495" s="625"/>
      <c r="E495" s="625"/>
      <c r="F495" s="625"/>
      <c r="G495" s="625"/>
      <c r="H495" s="625"/>
      <c r="I495" s="625"/>
      <c r="J495" s="625"/>
      <c r="K495" s="625" t="s">
        <v>1539</v>
      </c>
      <c r="L495" s="625"/>
      <c r="M495" s="625"/>
      <c r="AE495" s="511"/>
      <c r="AF495" s="511"/>
    </row>
    <row r="496" spans="1:32" s="65" customFormat="1" ht="11.25">
      <c r="A496" s="625"/>
      <c r="B496" s="625"/>
      <c r="C496" s="625" t="s">
        <v>1632</v>
      </c>
      <c r="D496" s="625"/>
      <c r="E496" s="625"/>
      <c r="F496" s="625"/>
      <c r="G496" s="625"/>
      <c r="H496" s="625"/>
      <c r="I496" s="625"/>
      <c r="J496" s="625"/>
      <c r="K496" s="625" t="s">
        <v>1200</v>
      </c>
      <c r="L496" s="625"/>
      <c r="M496" s="625"/>
      <c r="AE496" s="511"/>
      <c r="AF496" s="511"/>
    </row>
    <row r="497" spans="1:32" s="65" customFormat="1" ht="11.25">
      <c r="A497" s="625"/>
      <c r="B497" s="625"/>
      <c r="C497" s="625" t="s">
        <v>2256</v>
      </c>
      <c r="D497" s="625"/>
      <c r="E497" s="625"/>
      <c r="F497" s="625"/>
      <c r="G497" s="625"/>
      <c r="H497" s="625"/>
      <c r="I497" s="625"/>
      <c r="J497" s="625"/>
      <c r="K497" s="625" t="s">
        <v>1199</v>
      </c>
      <c r="L497" s="625"/>
      <c r="M497" s="625"/>
      <c r="AE497" s="511"/>
      <c r="AF497" s="511"/>
    </row>
    <row r="498" spans="1:32" s="65" customFormat="1" ht="11.25">
      <c r="A498" s="625"/>
      <c r="B498" s="625"/>
      <c r="C498" s="625" t="s">
        <v>176</v>
      </c>
      <c r="D498" s="625"/>
      <c r="E498" s="625"/>
      <c r="F498" s="625"/>
      <c r="G498" s="625"/>
      <c r="H498" s="625"/>
      <c r="I498" s="625"/>
      <c r="J498" s="625"/>
      <c r="K498" s="625" t="s">
        <v>2986</v>
      </c>
      <c r="L498" s="625"/>
      <c r="M498" s="625"/>
      <c r="AE498" s="511"/>
      <c r="AF498" s="511"/>
    </row>
    <row r="499" spans="1:32" s="65" customFormat="1" ht="11.25">
      <c r="A499" s="625"/>
      <c r="B499" s="625"/>
      <c r="C499" s="625"/>
      <c r="D499" s="625"/>
      <c r="E499" s="625"/>
      <c r="F499" s="625"/>
      <c r="G499" s="625"/>
      <c r="H499" s="625"/>
      <c r="I499" s="625"/>
      <c r="J499" s="625"/>
      <c r="K499" s="632" t="s">
        <v>2082</v>
      </c>
      <c r="L499" s="625"/>
      <c r="M499" s="625"/>
      <c r="AE499" s="511"/>
      <c r="AF499" s="511"/>
    </row>
    <row r="500" spans="1:32" s="65" customFormat="1" ht="11.25">
      <c r="A500" s="625"/>
      <c r="B500" s="625"/>
      <c r="C500" s="625"/>
      <c r="D500" s="625"/>
      <c r="E500" s="625"/>
      <c r="F500" s="625"/>
      <c r="G500" s="625"/>
      <c r="H500" s="625"/>
      <c r="I500" s="625"/>
      <c r="J500" s="625"/>
      <c r="K500" s="625" t="s">
        <v>1147</v>
      </c>
      <c r="L500" s="625"/>
      <c r="M500" s="625"/>
      <c r="AE500" s="511"/>
      <c r="AF500" s="511"/>
    </row>
    <row r="501" spans="1:32" s="65" customFormat="1" ht="11.25">
      <c r="A501" s="625"/>
      <c r="B501" s="625"/>
      <c r="C501" s="625"/>
      <c r="D501" s="625"/>
      <c r="E501" s="625"/>
      <c r="F501" s="625"/>
      <c r="G501" s="625"/>
      <c r="H501" s="625"/>
      <c r="I501" s="625"/>
      <c r="J501" s="625"/>
      <c r="K501" s="625" t="s">
        <v>1874</v>
      </c>
      <c r="L501" s="625"/>
      <c r="M501" s="625"/>
      <c r="AE501" s="511"/>
      <c r="AF501" s="511"/>
    </row>
    <row r="502" spans="1:32" s="65" customFormat="1" ht="11.25">
      <c r="A502" s="625"/>
      <c r="B502" s="625"/>
      <c r="C502" s="625"/>
      <c r="D502" s="625"/>
      <c r="E502" s="625"/>
      <c r="F502" s="625"/>
      <c r="G502" s="625"/>
      <c r="H502" s="625"/>
      <c r="I502" s="625"/>
      <c r="J502" s="625"/>
      <c r="K502" s="625" t="s">
        <v>1201</v>
      </c>
      <c r="L502" s="625"/>
      <c r="M502" s="625"/>
      <c r="AE502" s="511"/>
      <c r="AF502" s="511"/>
    </row>
    <row r="503" spans="1:32" s="65" customFormat="1" ht="11.25">
      <c r="A503" s="625"/>
      <c r="B503" s="625"/>
      <c r="C503" s="625"/>
      <c r="D503" s="625"/>
      <c r="E503" s="625"/>
      <c r="F503" s="625"/>
      <c r="G503" s="625"/>
      <c r="H503" s="625"/>
      <c r="I503" s="625"/>
      <c r="J503" s="625"/>
      <c r="K503" s="625" t="s">
        <v>1875</v>
      </c>
      <c r="L503" s="625"/>
      <c r="M503" s="625"/>
      <c r="AE503" s="511"/>
      <c r="AF503" s="511"/>
    </row>
    <row r="504" spans="1:32" s="65" customFormat="1" ht="11.25">
      <c r="A504" s="625"/>
      <c r="B504" s="625"/>
      <c r="C504" s="625"/>
      <c r="D504" s="625"/>
      <c r="E504" s="625"/>
      <c r="F504" s="625"/>
      <c r="G504" s="625"/>
      <c r="H504" s="625"/>
      <c r="I504" s="625"/>
      <c r="J504" s="625"/>
      <c r="K504" s="625" t="s">
        <v>2522</v>
      </c>
      <c r="L504" s="625"/>
      <c r="M504" s="625"/>
      <c r="AE504" s="511"/>
      <c r="AF504" s="511"/>
    </row>
    <row r="505" spans="1:32" s="65" customFormat="1" ht="11.25">
      <c r="A505" s="625"/>
      <c r="B505" s="625"/>
      <c r="C505" s="625"/>
      <c r="D505" s="625"/>
      <c r="E505" s="625"/>
      <c r="F505" s="625"/>
      <c r="G505" s="625"/>
      <c r="H505" s="625"/>
      <c r="I505" s="625"/>
      <c r="J505" s="625"/>
      <c r="K505" s="625"/>
      <c r="L505" s="625"/>
      <c r="M505" s="625"/>
      <c r="AE505" s="511"/>
      <c r="AF505" s="511"/>
    </row>
    <row r="506" spans="1:32" s="65" customFormat="1" ht="11.25">
      <c r="A506" s="625"/>
      <c r="B506" s="625"/>
      <c r="C506" s="631" t="s">
        <v>1075</v>
      </c>
      <c r="D506" s="625"/>
      <c r="E506" s="625"/>
      <c r="F506" s="625"/>
      <c r="G506" s="625"/>
      <c r="H506" s="625"/>
      <c r="I506" s="625"/>
      <c r="J506" s="625"/>
      <c r="K506" s="631" t="s">
        <v>1076</v>
      </c>
      <c r="L506" s="625"/>
      <c r="M506" s="625"/>
      <c r="AE506" s="511"/>
      <c r="AF506" s="511"/>
    </row>
    <row r="507" spans="1:32" s="65" customFormat="1" ht="11.25">
      <c r="A507" s="625"/>
      <c r="B507" s="625"/>
      <c r="C507" s="625" t="s">
        <v>1074</v>
      </c>
      <c r="D507" s="625"/>
      <c r="E507" s="625"/>
      <c r="F507" s="625"/>
      <c r="G507" s="625"/>
      <c r="H507" s="625"/>
      <c r="I507" s="625"/>
      <c r="J507" s="625"/>
      <c r="K507" s="625" t="s">
        <v>1074</v>
      </c>
      <c r="L507" s="625"/>
      <c r="M507" s="625"/>
      <c r="AE507" s="511"/>
      <c r="AF507" s="511"/>
    </row>
    <row r="508" spans="1:32" s="65" customFormat="1" ht="11.25">
      <c r="A508" s="625"/>
      <c r="B508" s="625"/>
      <c r="C508" s="625" t="s">
        <v>2227</v>
      </c>
      <c r="D508" s="625"/>
      <c r="E508" s="625"/>
      <c r="F508" s="625"/>
      <c r="G508" s="625"/>
      <c r="H508" s="625"/>
      <c r="I508" s="625"/>
      <c r="J508" s="625"/>
      <c r="K508" s="625" t="s">
        <v>241</v>
      </c>
      <c r="L508" s="625"/>
      <c r="M508" s="625"/>
      <c r="AE508" s="511"/>
      <c r="AF508" s="511"/>
    </row>
    <row r="509" spans="1:32" s="65" customFormat="1" ht="11.25">
      <c r="A509" s="625"/>
      <c r="B509" s="625"/>
      <c r="C509" s="625" t="s">
        <v>2726</v>
      </c>
      <c r="D509" s="625"/>
      <c r="E509" s="625"/>
      <c r="F509" s="625"/>
      <c r="G509" s="625"/>
      <c r="H509" s="625"/>
      <c r="I509" s="625"/>
      <c r="J509" s="625"/>
      <c r="K509" s="625" t="s">
        <v>513</v>
      </c>
      <c r="L509" s="625"/>
      <c r="M509" s="625"/>
      <c r="AE509" s="511"/>
      <c r="AF509" s="511"/>
    </row>
    <row r="510" spans="1:32" s="65" customFormat="1" ht="11.25">
      <c r="A510" s="625"/>
      <c r="B510" s="625"/>
      <c r="C510" s="625" t="s">
        <v>2228</v>
      </c>
      <c r="D510" s="625"/>
      <c r="E510" s="625"/>
      <c r="F510" s="625"/>
      <c r="G510" s="625"/>
      <c r="H510" s="625"/>
      <c r="I510" s="625"/>
      <c r="J510" s="625"/>
      <c r="K510" s="625" t="s">
        <v>2673</v>
      </c>
      <c r="L510" s="625"/>
      <c r="M510" s="625"/>
      <c r="AE510" s="511"/>
      <c r="AF510" s="511"/>
    </row>
    <row r="511" spans="1:32" s="65" customFormat="1" ht="11.25">
      <c r="A511" s="625"/>
      <c r="B511" s="625"/>
      <c r="C511" s="625" t="s">
        <v>2083</v>
      </c>
      <c r="D511" s="625"/>
      <c r="E511" s="625"/>
      <c r="F511" s="625"/>
      <c r="G511" s="625"/>
      <c r="H511" s="625"/>
      <c r="I511" s="625"/>
      <c r="J511" s="625"/>
      <c r="K511" s="625" t="s">
        <v>2092</v>
      </c>
      <c r="L511" s="625"/>
      <c r="M511" s="625"/>
      <c r="AE511" s="511"/>
      <c r="AF511" s="511"/>
    </row>
    <row r="512" spans="1:32" s="65" customFormat="1" ht="11.25">
      <c r="A512" s="625"/>
      <c r="B512" s="625"/>
      <c r="C512" s="625" t="s">
        <v>628</v>
      </c>
      <c r="D512" s="625"/>
      <c r="E512" s="625"/>
      <c r="F512" s="625"/>
      <c r="G512" s="625"/>
      <c r="H512" s="625"/>
      <c r="I512" s="625"/>
      <c r="J512" s="625"/>
      <c r="K512" s="625" t="s">
        <v>2675</v>
      </c>
      <c r="L512" s="625"/>
      <c r="M512" s="625"/>
      <c r="AE512" s="511"/>
      <c r="AF512" s="511"/>
    </row>
    <row r="513" spans="1:32" s="65" customFormat="1" ht="11.25">
      <c r="A513" s="625"/>
      <c r="B513" s="625"/>
      <c r="C513" s="625" t="s">
        <v>2335</v>
      </c>
      <c r="D513" s="625"/>
      <c r="E513" s="625"/>
      <c r="F513" s="625"/>
      <c r="G513" s="625"/>
      <c r="H513" s="625"/>
      <c r="I513" s="625"/>
      <c r="J513" s="625"/>
      <c r="K513" s="625" t="s">
        <v>34</v>
      </c>
      <c r="L513" s="625"/>
      <c r="M513" s="625"/>
      <c r="AE513" s="511"/>
      <c r="AF513" s="511"/>
    </row>
    <row r="514" spans="1:32" s="65" customFormat="1" ht="11.25">
      <c r="A514" s="625"/>
      <c r="B514" s="625"/>
      <c r="C514" s="627" t="s">
        <v>35</v>
      </c>
      <c r="D514" s="625"/>
      <c r="E514" s="625"/>
      <c r="F514" s="625"/>
      <c r="G514" s="625"/>
      <c r="H514" s="625"/>
      <c r="I514" s="625"/>
      <c r="J514" s="625"/>
      <c r="K514" s="625" t="s">
        <v>1948</v>
      </c>
      <c r="L514" s="625"/>
      <c r="M514" s="625"/>
      <c r="AE514" s="511"/>
      <c r="AF514" s="511"/>
    </row>
    <row r="515" spans="1:32" s="65" customFormat="1" ht="11.25">
      <c r="A515" s="625"/>
      <c r="B515" s="625"/>
      <c r="C515" s="625"/>
      <c r="D515" s="625"/>
      <c r="E515" s="625"/>
      <c r="F515" s="625"/>
      <c r="G515" s="625"/>
      <c r="H515" s="625"/>
      <c r="I515" s="625"/>
      <c r="J515" s="625"/>
      <c r="K515" s="625" t="s">
        <v>2676</v>
      </c>
      <c r="L515" s="625"/>
      <c r="M515" s="625"/>
      <c r="AE515" s="511"/>
      <c r="AF515" s="511"/>
    </row>
    <row r="516" spans="1:32" s="65" customFormat="1" ht="11.25">
      <c r="A516" s="625"/>
      <c r="B516" s="625"/>
      <c r="C516" s="625"/>
      <c r="D516" s="625"/>
      <c r="E516" s="625"/>
      <c r="F516" s="625"/>
      <c r="G516" s="625"/>
      <c r="H516" s="625"/>
      <c r="I516" s="625"/>
      <c r="J516" s="625"/>
      <c r="K516" s="625" t="s">
        <v>1233</v>
      </c>
      <c r="L516" s="625"/>
      <c r="M516" s="625"/>
      <c r="AE516" s="511"/>
      <c r="AF516" s="511"/>
    </row>
    <row r="517" spans="1:32" s="65" customFormat="1" ht="11.25">
      <c r="A517" s="625"/>
      <c r="B517" s="625"/>
      <c r="C517" s="625"/>
      <c r="D517" s="625"/>
      <c r="E517" s="625"/>
      <c r="F517" s="625"/>
      <c r="G517" s="625"/>
      <c r="H517" s="625"/>
      <c r="I517" s="625"/>
      <c r="J517" s="625"/>
      <c r="K517" s="625" t="s">
        <v>2007</v>
      </c>
      <c r="L517" s="625"/>
      <c r="M517" s="625"/>
      <c r="AE517" s="511"/>
      <c r="AF517" s="511"/>
    </row>
    <row r="518" spans="1:32" s="65" customFormat="1" ht="11.25">
      <c r="A518" s="625"/>
      <c r="B518" s="625"/>
      <c r="C518" s="625"/>
      <c r="D518" s="625"/>
      <c r="E518" s="625"/>
      <c r="F518" s="625"/>
      <c r="G518" s="625"/>
      <c r="H518" s="625"/>
      <c r="I518" s="625"/>
      <c r="J518" s="625"/>
      <c r="K518" s="625" t="s">
        <v>627</v>
      </c>
      <c r="L518" s="625"/>
      <c r="M518" s="625"/>
      <c r="AE518" s="511"/>
      <c r="AF518" s="511"/>
    </row>
    <row r="519" spans="1:32" s="65" customFormat="1" ht="11.25">
      <c r="A519" s="625"/>
      <c r="B519" s="625"/>
      <c r="C519" s="625"/>
      <c r="D519" s="625"/>
      <c r="E519" s="625"/>
      <c r="F519" s="625"/>
      <c r="G519" s="625"/>
      <c r="H519" s="625"/>
      <c r="I519" s="625"/>
      <c r="J519" s="625"/>
      <c r="K519" s="625" t="s">
        <v>2008</v>
      </c>
      <c r="L519" s="625"/>
      <c r="M519" s="625"/>
      <c r="AE519" s="511"/>
      <c r="AF519" s="511"/>
    </row>
    <row r="520" spans="1:32" s="65" customFormat="1" ht="11.25">
      <c r="A520" s="625"/>
      <c r="B520" s="625"/>
      <c r="C520" s="625"/>
      <c r="D520" s="625"/>
      <c r="E520" s="625"/>
      <c r="F520" s="625"/>
      <c r="G520" s="625"/>
      <c r="H520" s="625"/>
      <c r="I520" s="625"/>
      <c r="J520" s="625"/>
      <c r="K520" s="625" t="s">
        <v>629</v>
      </c>
      <c r="L520" s="625"/>
      <c r="M520" s="625"/>
      <c r="AE520" s="511"/>
      <c r="AF520" s="511"/>
    </row>
    <row r="521" spans="1:32" s="65" customFormat="1" ht="11.25">
      <c r="A521" s="625"/>
      <c r="B521" s="625"/>
      <c r="C521" s="625"/>
      <c r="D521" s="625"/>
      <c r="E521" s="625"/>
      <c r="F521" s="625"/>
      <c r="G521" s="625"/>
      <c r="H521" s="625"/>
      <c r="I521" s="625"/>
      <c r="J521" s="625"/>
      <c r="K521" s="625" t="s">
        <v>240</v>
      </c>
      <c r="L521" s="625"/>
      <c r="M521" s="625"/>
      <c r="AE521" s="511"/>
      <c r="AF521" s="511"/>
    </row>
    <row r="522" spans="1:32" s="65" customFormat="1" ht="11.25">
      <c r="A522" s="625"/>
      <c r="B522" s="625"/>
      <c r="C522" s="625"/>
      <c r="D522" s="625"/>
      <c r="E522" s="625"/>
      <c r="F522" s="625"/>
      <c r="G522" s="625"/>
      <c r="H522" s="625"/>
      <c r="I522" s="625"/>
      <c r="J522" s="625"/>
      <c r="K522" s="625"/>
      <c r="L522" s="625"/>
      <c r="M522" s="625"/>
      <c r="AE522" s="511"/>
      <c r="AF522" s="511"/>
    </row>
    <row r="523" spans="1:32" s="65" customFormat="1" ht="11.25">
      <c r="A523" s="625"/>
      <c r="B523" s="625"/>
      <c r="C523" s="625"/>
      <c r="D523" s="633" t="s">
        <v>2174</v>
      </c>
      <c r="E523" s="625"/>
      <c r="F523" s="625"/>
      <c r="G523" s="625"/>
      <c r="H523" s="625"/>
      <c r="I523" s="625"/>
      <c r="J523" s="625"/>
      <c r="K523" s="625"/>
      <c r="L523" s="625"/>
      <c r="M523" s="625"/>
      <c r="AE523" s="511"/>
      <c r="AF523" s="511"/>
    </row>
    <row r="524" spans="1:32" s="65" customFormat="1" ht="11.25">
      <c r="A524" s="625"/>
      <c r="B524" s="625"/>
      <c r="C524" s="625"/>
      <c r="D524" s="625"/>
      <c r="E524" s="625"/>
      <c r="F524" s="625"/>
      <c r="G524" s="625"/>
      <c r="H524" s="625"/>
      <c r="I524" s="625"/>
      <c r="J524" s="625"/>
      <c r="K524" s="625"/>
      <c r="L524" s="625"/>
      <c r="M524" s="625"/>
      <c r="AE524" s="511"/>
      <c r="AF524" s="511"/>
    </row>
    <row r="525" spans="1:32" s="175" customFormat="1">
      <c r="A525" s="568"/>
      <c r="B525" s="568"/>
      <c r="C525" s="568"/>
      <c r="D525" s="568"/>
      <c r="E525" s="568"/>
      <c r="F525" s="568"/>
      <c r="G525" s="568"/>
      <c r="H525" s="568"/>
      <c r="I525" s="568"/>
      <c r="J525" s="568"/>
      <c r="K525" s="568"/>
      <c r="L525" s="568"/>
      <c r="M525" s="568"/>
      <c r="AE525" s="598"/>
      <c r="AF525" s="598"/>
    </row>
    <row r="526" spans="1:32">
      <c r="A526" s="568"/>
      <c r="B526" s="568"/>
      <c r="C526" s="568"/>
      <c r="D526" s="568"/>
      <c r="E526" s="568"/>
      <c r="F526" s="568"/>
      <c r="G526" s="568"/>
      <c r="H526" s="568"/>
      <c r="I526" s="568"/>
      <c r="J526" s="568"/>
      <c r="K526" s="568"/>
      <c r="L526" s="568"/>
      <c r="M526" s="568"/>
      <c r="N526" s="175"/>
      <c r="O526" s="175"/>
      <c r="P526" s="175"/>
      <c r="Q526" s="175"/>
      <c r="R526" s="175"/>
      <c r="S526" s="175"/>
      <c r="T526" s="175"/>
      <c r="U526" s="175"/>
    </row>
    <row r="527" spans="1:32">
      <c r="A527" s="568"/>
      <c r="B527" s="568"/>
      <c r="C527" s="568"/>
      <c r="D527" s="568"/>
      <c r="E527" s="568"/>
      <c r="F527" s="568"/>
      <c r="G527" s="568"/>
      <c r="H527" s="568"/>
      <c r="I527" s="568"/>
      <c r="J527" s="568"/>
      <c r="K527" s="568"/>
      <c r="L527" s="568"/>
      <c r="M527" s="568"/>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7"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B316" zoomScaleNormal="100" workbookViewId="0">
      <selection activeCell="B316"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5" customWidth="1"/>
    <col min="17" max="17" width="6" style="31" customWidth="1"/>
    <col min="18" max="21" width="9.140625" style="31" customWidth="1"/>
    <col min="22" max="22" width="8.85546875" style="31" customWidth="1"/>
    <col min="23" max="16384" width="9.140625" style="31"/>
  </cols>
  <sheetData>
    <row r="1" spans="1:19" s="43" customFormat="1" ht="13.9" customHeight="1">
      <c r="A1" s="1297" t="str">
        <f>CONCATENATE("PART NINE - SCORING CRITERIA","  -  ",'Part I-Project Information'!$O$4," ",'Part I-Project Information'!$F$23,", ",'Part I-Project Information'!F27,", ",'Part I-Project Information'!J28," County")</f>
        <v>PART NINE - SCORING CRITERIA  -  2014-039 Willingham Village II, Rome, Floyd County</v>
      </c>
      <c r="B1" s="1298"/>
      <c r="C1" s="1298"/>
      <c r="D1" s="1298"/>
      <c r="E1" s="1298"/>
      <c r="F1" s="1298"/>
      <c r="G1" s="1298"/>
      <c r="H1" s="1298"/>
      <c r="I1" s="1298"/>
      <c r="J1" s="1298"/>
      <c r="K1" s="1298"/>
      <c r="L1" s="1298"/>
      <c r="M1" s="1298"/>
      <c r="N1" s="1298"/>
      <c r="O1" s="1298"/>
      <c r="P1" s="1299"/>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2363</v>
      </c>
      <c r="N3" s="86"/>
      <c r="O3" s="97" t="s">
        <v>2362</v>
      </c>
      <c r="P3" s="215" t="s">
        <v>270</v>
      </c>
    </row>
    <row r="4" spans="1:19" s="52" customFormat="1" ht="12.6" customHeight="1">
      <c r="A4" s="50"/>
      <c r="B4" s="50"/>
      <c r="C4" s="50"/>
      <c r="D4" s="50"/>
      <c r="E4" s="50"/>
      <c r="F4" s="50"/>
      <c r="G4" s="50"/>
      <c r="H4" s="50"/>
      <c r="I4" s="50"/>
      <c r="J4" s="50"/>
      <c r="K4" s="50"/>
      <c r="M4" s="217" t="s">
        <v>96</v>
      </c>
      <c r="N4" s="99"/>
      <c r="O4" s="216" t="s">
        <v>2363</v>
      </c>
      <c r="P4" s="98" t="s">
        <v>2363</v>
      </c>
    </row>
    <row r="5" spans="1:19" s="52" customFormat="1" ht="3" customHeight="1">
      <c r="A5" s="50"/>
      <c r="B5" s="50"/>
      <c r="C5" s="50"/>
      <c r="D5" s="50"/>
      <c r="E5" s="50"/>
      <c r="F5" s="50"/>
      <c r="G5" s="50"/>
      <c r="H5" s="50"/>
      <c r="I5" s="50"/>
      <c r="J5" s="50"/>
      <c r="K5" s="50"/>
      <c r="M5" s="107"/>
      <c r="N5" s="11"/>
      <c r="O5" s="610"/>
      <c r="P5" s="34"/>
    </row>
    <row r="6" spans="1:19" s="52" customFormat="1" ht="12.75" customHeight="1">
      <c r="A6" s="50"/>
      <c r="B6" s="58"/>
      <c r="C6" s="50"/>
      <c r="D6" s="50"/>
      <c r="E6" s="50"/>
      <c r="F6" s="50"/>
      <c r="G6" s="50"/>
      <c r="I6" s="50"/>
      <c r="J6" s="50"/>
      <c r="L6" s="82" t="s">
        <v>1303</v>
      </c>
      <c r="M6" s="329">
        <f>M352</f>
        <v>87</v>
      </c>
      <c r="N6" s="10"/>
      <c r="O6" s="76">
        <f>O352</f>
        <v>54</v>
      </c>
      <c r="P6" s="76">
        <f>P352</f>
        <v>12</v>
      </c>
    </row>
    <row r="7" spans="1:19" s="52" customFormat="1" ht="3" customHeight="1">
      <c r="A7" s="50"/>
      <c r="B7" s="58"/>
      <c r="C7" s="50"/>
      <c r="D7" s="50"/>
      <c r="E7" s="50"/>
      <c r="F7" s="50"/>
      <c r="G7" s="50"/>
      <c r="H7" s="50"/>
      <c r="I7" s="50"/>
      <c r="J7" s="50"/>
      <c r="K7" s="50"/>
      <c r="M7" s="107"/>
      <c r="N7" s="11"/>
      <c r="O7" s="610"/>
      <c r="P7" s="34"/>
    </row>
    <row r="8" spans="1:19" s="50" customFormat="1" ht="12.6" customHeight="1">
      <c r="A8" s="183" t="s">
        <v>2122</v>
      </c>
      <c r="B8" s="123" t="s">
        <v>3237</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0"/>
      <c r="R9" s="50"/>
      <c r="S9" s="50"/>
    </row>
    <row r="10" spans="1:19" s="50" customFormat="1" ht="11.25" customHeight="1">
      <c r="A10" s="223" t="s">
        <v>2118</v>
      </c>
      <c r="B10" s="206" t="s">
        <v>1998</v>
      </c>
      <c r="D10" s="56"/>
      <c r="E10" s="56"/>
      <c r="F10" s="1169" t="s">
        <v>2765</v>
      </c>
      <c r="G10" s="38">
        <f>F16</f>
        <v>0</v>
      </c>
      <c r="H10" s="214" t="s">
        <v>3526</v>
      </c>
      <c r="M10" s="7"/>
      <c r="N10" s="77" t="s">
        <v>2118</v>
      </c>
      <c r="O10" s="2301"/>
      <c r="P10" s="780"/>
    </row>
    <row r="11" spans="1:19" s="51" customFormat="1" ht="11.25" customHeight="1">
      <c r="A11" s="223"/>
      <c r="B11" s="127" t="s">
        <v>2251</v>
      </c>
      <c r="D11" s="56"/>
      <c r="E11" s="56"/>
      <c r="F11" s="1169" t="s">
        <v>2765</v>
      </c>
      <c r="G11" s="38">
        <f>P16</f>
        <v>0</v>
      </c>
      <c r="H11" s="214" t="s">
        <v>3157</v>
      </c>
      <c r="J11" s="57"/>
      <c r="M11" s="7">
        <v>1</v>
      </c>
      <c r="N11" s="77"/>
      <c r="O11" s="2302"/>
      <c r="P11" s="781"/>
    </row>
    <row r="12" spans="1:19" s="50" customFormat="1" ht="11.25" customHeight="1">
      <c r="A12" s="223" t="s">
        <v>2121</v>
      </c>
      <c r="B12" s="206" t="s">
        <v>776</v>
      </c>
      <c r="D12" s="56"/>
      <c r="E12" s="56"/>
      <c r="F12" s="1169" t="s">
        <v>2765</v>
      </c>
      <c r="G12" s="38">
        <f>K16</f>
        <v>0</v>
      </c>
      <c r="H12" s="214" t="s">
        <v>2988</v>
      </c>
      <c r="J12" s="57"/>
      <c r="M12" s="7"/>
      <c r="N12" s="77" t="s">
        <v>2121</v>
      </c>
      <c r="O12" s="2303"/>
      <c r="P12" s="782"/>
      <c r="Q12" s="126"/>
    </row>
    <row r="13" spans="1:19" s="50" customFormat="1" ht="11.25" customHeight="1">
      <c r="A13" s="57" t="s">
        <v>269</v>
      </c>
      <c r="D13" s="56"/>
      <c r="E13" s="56"/>
      <c r="F13" s="56"/>
      <c r="G13" s="56"/>
      <c r="H13" s="44"/>
      <c r="I13" s="44"/>
      <c r="J13" s="44"/>
      <c r="K13" s="44"/>
      <c r="L13" s="51"/>
      <c r="M13" s="54"/>
      <c r="N13" s="73"/>
      <c r="O13" s="4"/>
      <c r="P13" s="1163"/>
    </row>
    <row r="14" spans="1:19" s="50" customFormat="1" ht="12.6" customHeight="1">
      <c r="A14" s="2199"/>
      <c r="B14" s="2200"/>
      <c r="C14" s="2200"/>
      <c r="D14" s="2200"/>
      <c r="E14" s="2200"/>
      <c r="F14" s="2200"/>
      <c r="G14" s="2200"/>
      <c r="H14" s="2200"/>
      <c r="I14" s="2200"/>
      <c r="J14" s="2200"/>
      <c r="K14" s="2200"/>
      <c r="L14" s="2200"/>
      <c r="M14" s="2200"/>
      <c r="N14" s="2200"/>
      <c r="O14" s="2200"/>
      <c r="P14" s="2201"/>
      <c r="Q14" s="563" t="s">
        <v>1332</v>
      </c>
      <c r="R14" s="564"/>
    </row>
    <row r="15" spans="1:19" s="50" customFormat="1" ht="10.9" customHeight="1">
      <c r="A15" s="79" t="s">
        <v>1996</v>
      </c>
      <c r="C15" s="111"/>
      <c r="D15" s="111"/>
      <c r="F15" s="1177" t="s">
        <v>1835</v>
      </c>
      <c r="K15" s="1177" t="s">
        <v>1835</v>
      </c>
      <c r="P15" s="594" t="s">
        <v>1835</v>
      </c>
      <c r="R15" s="565"/>
      <c r="S15" s="189"/>
    </row>
    <row r="16" spans="1:19" s="50" customFormat="1" ht="12" customHeight="1">
      <c r="A16" s="1530" t="s">
        <v>2563</v>
      </c>
      <c r="B16" s="1530"/>
      <c r="C16" s="1530"/>
      <c r="D16" s="1530"/>
      <c r="E16" s="78" t="s">
        <v>541</v>
      </c>
      <c r="F16" s="89">
        <f>SUM(F17:F28)</f>
        <v>0</v>
      </c>
      <c r="G16" s="1531" t="s">
        <v>2564</v>
      </c>
      <c r="H16" s="1530"/>
      <c r="I16" s="1530"/>
      <c r="J16" s="78" t="s">
        <v>541</v>
      </c>
      <c r="K16" s="89">
        <f>SUM(K17:K28)</f>
        <v>0</v>
      </c>
      <c r="L16" s="1175" t="s">
        <v>3156</v>
      </c>
      <c r="M16" s="111"/>
      <c r="N16" s="110"/>
      <c r="O16" s="78"/>
      <c r="P16" s="89">
        <f>SUM(P17:P28)</f>
        <v>0</v>
      </c>
      <c r="R16" s="565"/>
      <c r="S16" s="189"/>
    </row>
    <row r="17" spans="1:19" s="50" customFormat="1" ht="23.25" customHeight="1">
      <c r="A17" s="1527">
        <v>1</v>
      </c>
      <c r="B17" s="1528"/>
      <c r="C17" s="1528"/>
      <c r="D17" s="1528"/>
      <c r="E17" s="1529"/>
      <c r="F17" s="783"/>
      <c r="G17" s="1525">
        <v>1</v>
      </c>
      <c r="H17" s="1526"/>
      <c r="I17" s="1526"/>
      <c r="J17" s="1526"/>
      <c r="K17" s="2304" t="s">
        <v>1855</v>
      </c>
      <c r="L17" s="1525">
        <v>1</v>
      </c>
      <c r="M17" s="1526"/>
      <c r="N17" s="1526"/>
      <c r="O17" s="1526"/>
      <c r="P17" s="783"/>
      <c r="Q17" s="563" t="s">
        <v>1332</v>
      </c>
      <c r="R17" s="564"/>
      <c r="S17" s="189"/>
    </row>
    <row r="18" spans="1:19" s="50" customFormat="1" ht="23.25" customHeight="1">
      <c r="A18" s="1522">
        <v>2</v>
      </c>
      <c r="B18" s="1523"/>
      <c r="C18" s="1523"/>
      <c r="D18" s="1523"/>
      <c r="E18" s="1524"/>
      <c r="F18" s="784"/>
      <c r="G18" s="1520">
        <v>2</v>
      </c>
      <c r="H18" s="1521"/>
      <c r="I18" s="1521"/>
      <c r="J18" s="1521"/>
      <c r="K18" s="784"/>
      <c r="L18" s="1520">
        <v>2</v>
      </c>
      <c r="M18" s="1521"/>
      <c r="N18" s="1521"/>
      <c r="O18" s="1521"/>
      <c r="P18" s="784"/>
      <c r="Q18" s="563"/>
      <c r="R18" s="564"/>
      <c r="S18" s="189"/>
    </row>
    <row r="19" spans="1:19" s="50" customFormat="1" ht="23.25" customHeight="1">
      <c r="A19" s="1522">
        <v>3</v>
      </c>
      <c r="B19" s="1523"/>
      <c r="C19" s="1523"/>
      <c r="D19" s="1523"/>
      <c r="E19" s="1524"/>
      <c r="F19" s="784"/>
      <c r="G19" s="1520">
        <v>3</v>
      </c>
      <c r="H19" s="1521"/>
      <c r="I19" s="1521"/>
      <c r="J19" s="1521"/>
      <c r="K19" s="2305" t="s">
        <v>3597</v>
      </c>
      <c r="L19" s="1520">
        <v>3</v>
      </c>
      <c r="M19" s="1521"/>
      <c r="N19" s="1521"/>
      <c r="O19" s="1521"/>
      <c r="P19" s="784"/>
      <c r="Q19" s="563"/>
      <c r="R19" s="564"/>
      <c r="S19" s="189"/>
    </row>
    <row r="20" spans="1:19" s="50" customFormat="1" ht="23.25" customHeight="1">
      <c r="A20" s="1522">
        <v>4</v>
      </c>
      <c r="B20" s="1523"/>
      <c r="C20" s="1523"/>
      <c r="D20" s="1523"/>
      <c r="E20" s="1524"/>
      <c r="F20" s="784"/>
      <c r="G20" s="1520">
        <v>4</v>
      </c>
      <c r="H20" s="1521"/>
      <c r="I20" s="1521"/>
      <c r="J20" s="1521"/>
      <c r="K20" s="2305" t="s">
        <v>3597</v>
      </c>
      <c r="L20" s="1520">
        <v>4</v>
      </c>
      <c r="M20" s="1521"/>
      <c r="N20" s="1521"/>
      <c r="O20" s="1521"/>
      <c r="P20" s="784"/>
      <c r="Q20" s="563"/>
      <c r="R20" s="564"/>
      <c r="S20" s="189"/>
    </row>
    <row r="21" spans="1:19" s="50" customFormat="1" ht="23.25" customHeight="1">
      <c r="A21" s="1522">
        <v>5</v>
      </c>
      <c r="B21" s="1523"/>
      <c r="C21" s="1523"/>
      <c r="D21" s="1523"/>
      <c r="E21" s="1524"/>
      <c r="F21" s="784"/>
      <c r="G21" s="1520">
        <v>5</v>
      </c>
      <c r="H21" s="1521"/>
      <c r="I21" s="1521"/>
      <c r="J21" s="1521"/>
      <c r="K21" s="784"/>
      <c r="L21" s="1520">
        <v>5</v>
      </c>
      <c r="M21" s="1521"/>
      <c r="N21" s="1521"/>
      <c r="O21" s="1521"/>
      <c r="P21" s="784"/>
      <c r="R21" s="189"/>
      <c r="S21" s="189"/>
    </row>
    <row r="22" spans="1:19" s="50" customFormat="1" ht="23.25" customHeight="1">
      <c r="A22" s="1522">
        <v>6</v>
      </c>
      <c r="B22" s="1523"/>
      <c r="C22" s="1523"/>
      <c r="D22" s="1523"/>
      <c r="E22" s="1524"/>
      <c r="F22" s="784"/>
      <c r="G22" s="1520">
        <v>6</v>
      </c>
      <c r="H22" s="1521"/>
      <c r="I22" s="1521"/>
      <c r="J22" s="1521"/>
      <c r="K22" s="784"/>
      <c r="L22" s="1520">
        <v>6</v>
      </c>
      <c r="M22" s="1521"/>
      <c r="N22" s="1521"/>
      <c r="O22" s="1521"/>
      <c r="P22" s="784"/>
      <c r="R22" s="189"/>
      <c r="S22" s="189"/>
    </row>
    <row r="23" spans="1:19" s="50" customFormat="1" ht="23.25" customHeight="1">
      <c r="A23" s="1522">
        <v>7</v>
      </c>
      <c r="B23" s="1523"/>
      <c r="C23" s="1523"/>
      <c r="D23" s="1523"/>
      <c r="E23" s="1524"/>
      <c r="F23" s="784"/>
      <c r="G23" s="1520">
        <v>7</v>
      </c>
      <c r="H23" s="1521"/>
      <c r="I23" s="1521"/>
      <c r="J23" s="1521"/>
      <c r="K23" s="784"/>
      <c r="L23" s="1520">
        <v>7</v>
      </c>
      <c r="M23" s="1521"/>
      <c r="N23" s="1521"/>
      <c r="O23" s="1521"/>
      <c r="P23" s="784"/>
      <c r="R23" s="189"/>
      <c r="S23" s="189"/>
    </row>
    <row r="24" spans="1:19" s="50" customFormat="1" ht="23.25" customHeight="1">
      <c r="A24" s="1522">
        <v>8</v>
      </c>
      <c r="B24" s="1523"/>
      <c r="C24" s="1523"/>
      <c r="D24" s="1523"/>
      <c r="E24" s="1524"/>
      <c r="F24" s="784"/>
      <c r="G24" s="1520">
        <v>8</v>
      </c>
      <c r="H24" s="1521"/>
      <c r="I24" s="1521"/>
      <c r="J24" s="1521"/>
      <c r="K24" s="784"/>
      <c r="L24" s="1520">
        <v>8</v>
      </c>
      <c r="M24" s="1521"/>
      <c r="N24" s="1521"/>
      <c r="O24" s="1521"/>
      <c r="P24" s="784"/>
      <c r="R24" s="189"/>
      <c r="S24" s="189"/>
    </row>
    <row r="25" spans="1:19" s="50" customFormat="1" ht="23.25" customHeight="1">
      <c r="A25" s="1522">
        <v>9</v>
      </c>
      <c r="B25" s="1523"/>
      <c r="C25" s="1523"/>
      <c r="D25" s="1523"/>
      <c r="E25" s="1524"/>
      <c r="F25" s="784"/>
      <c r="G25" s="1520">
        <v>9</v>
      </c>
      <c r="H25" s="1521"/>
      <c r="I25" s="1521"/>
      <c r="J25" s="1521"/>
      <c r="K25" s="784"/>
      <c r="L25" s="1520">
        <v>9</v>
      </c>
      <c r="M25" s="1521"/>
      <c r="N25" s="1521"/>
      <c r="O25" s="1521"/>
      <c r="P25" s="784"/>
      <c r="R25" s="189"/>
      <c r="S25" s="189"/>
    </row>
    <row r="26" spans="1:19" s="50" customFormat="1" ht="23.25" customHeight="1">
      <c r="A26" s="1522">
        <v>10</v>
      </c>
      <c r="B26" s="1523"/>
      <c r="C26" s="1523"/>
      <c r="D26" s="1523"/>
      <c r="E26" s="1524"/>
      <c r="F26" s="784"/>
      <c r="G26" s="1520">
        <v>10</v>
      </c>
      <c r="H26" s="1521"/>
      <c r="I26" s="1521"/>
      <c r="J26" s="1521"/>
      <c r="K26" s="784"/>
      <c r="L26" s="1520">
        <v>10</v>
      </c>
      <c r="M26" s="1521"/>
      <c r="N26" s="1521"/>
      <c r="O26" s="1521"/>
      <c r="P26" s="784"/>
      <c r="R26" s="189"/>
      <c r="S26" s="189"/>
    </row>
    <row r="27" spans="1:19" s="50" customFormat="1" ht="23.25" customHeight="1">
      <c r="A27" s="1522">
        <v>11</v>
      </c>
      <c r="B27" s="1523"/>
      <c r="C27" s="1523"/>
      <c r="D27" s="1523"/>
      <c r="E27" s="1524"/>
      <c r="F27" s="784"/>
      <c r="G27" s="1520">
        <v>11</v>
      </c>
      <c r="H27" s="1521"/>
      <c r="I27" s="1521"/>
      <c r="J27" s="1521"/>
      <c r="K27" s="784"/>
      <c r="L27" s="1520">
        <v>11</v>
      </c>
      <c r="M27" s="1521"/>
      <c r="N27" s="1521"/>
      <c r="O27" s="1521"/>
      <c r="P27" s="784"/>
      <c r="R27" s="189"/>
      <c r="S27" s="189"/>
    </row>
    <row r="28" spans="1:19" s="50" customFormat="1" ht="23.25" customHeight="1">
      <c r="A28" s="1536">
        <v>12</v>
      </c>
      <c r="B28" s="1537"/>
      <c r="C28" s="1537"/>
      <c r="D28" s="1537"/>
      <c r="E28" s="1538"/>
      <c r="F28" s="785"/>
      <c r="G28" s="1532">
        <v>12</v>
      </c>
      <c r="H28" s="1533"/>
      <c r="I28" s="1533"/>
      <c r="J28" s="1533"/>
      <c r="K28" s="785"/>
      <c r="L28" s="1532">
        <v>12</v>
      </c>
      <c r="M28" s="1533"/>
      <c r="N28" s="1533"/>
      <c r="O28" s="1533"/>
      <c r="P28" s="785"/>
    </row>
    <row r="29" spans="1:19" s="51" customFormat="1" ht="4.9000000000000004" customHeight="1">
      <c r="D29" s="47"/>
      <c r="E29" s="44"/>
      <c r="F29" s="610"/>
      <c r="G29" s="610"/>
      <c r="H29" s="610"/>
      <c r="I29" s="610"/>
      <c r="J29" s="38"/>
      <c r="K29" s="38"/>
      <c r="L29" s="38"/>
      <c r="M29" s="71"/>
      <c r="N29" s="610"/>
      <c r="O29" s="1163"/>
      <c r="P29" s="4"/>
    </row>
    <row r="30" spans="1:19" s="51" customFormat="1" ht="12.6" customHeight="1">
      <c r="A30" s="555" t="s">
        <v>2124</v>
      </c>
      <c r="B30" s="130" t="s">
        <v>1077</v>
      </c>
      <c r="E30" s="68"/>
      <c r="G30" s="102"/>
      <c r="H30" s="62"/>
      <c r="J30" s="530"/>
      <c r="K30" s="1534" t="s">
        <v>2888</v>
      </c>
      <c r="L30" s="1534"/>
      <c r="M30" s="610">
        <v>3</v>
      </c>
      <c r="N30" s="8"/>
      <c r="O30" s="180">
        <f>IF($K32 &gt;= $P32,$M32,IF($K31&gt;=$P31,$M31,0))</f>
        <v>3</v>
      </c>
      <c r="P30" s="180">
        <f>IF($L32 &gt;= $P32,$M32,IF($L31&gt;=$P31,$M31,0))</f>
        <v>0</v>
      </c>
      <c r="Q30" s="126" t="s">
        <v>463</v>
      </c>
      <c r="R30" s="459" t="str">
        <f>IF(OR($O30=$M30,$O30=0,$O30=""),"","* * Check Score! * *")</f>
        <v/>
      </c>
    </row>
    <row r="31" spans="1:19" s="530" customFormat="1" ht="11.25" customHeight="1">
      <c r="A31" s="529" t="s">
        <v>2118</v>
      </c>
      <c r="B31" s="133" t="s">
        <v>2808</v>
      </c>
      <c r="E31" s="531"/>
      <c r="H31" s="509" t="s">
        <v>2886</v>
      </c>
      <c r="I31" s="2306"/>
      <c r="J31" s="786"/>
      <c r="K31" s="725">
        <f>IF(OR('Part VI-Revenues &amp; Expenses'!$M$60="", 'Part VI-Revenues &amp; Expenses'!$M$60=0),0,I31/'Part VI-Revenues &amp; Expenses'!$M$60)</f>
        <v>0</v>
      </c>
      <c r="L31" s="725">
        <f>IF(OR('Part VI-Revenues &amp; Expenses'!$M$60="", 'Part VI-Revenues &amp; Expenses'!$M$60=0),0,J31/'Part VI-Revenues &amp; Expenses'!$M$60)</f>
        <v>0</v>
      </c>
      <c r="M31" s="536">
        <v>3</v>
      </c>
      <c r="N31" s="532"/>
      <c r="O31" s="1543" t="s">
        <v>2910</v>
      </c>
      <c r="P31" s="562">
        <v>0.15</v>
      </c>
    </row>
    <row r="32" spans="1:19" s="530" customFormat="1" ht="11.25" customHeight="1">
      <c r="A32" s="529" t="s">
        <v>2121</v>
      </c>
      <c r="B32" s="133" t="s">
        <v>2809</v>
      </c>
      <c r="E32" s="531"/>
      <c r="H32" s="509" t="s">
        <v>2810</v>
      </c>
      <c r="I32" s="2307">
        <v>75</v>
      </c>
      <c r="J32" s="787"/>
      <c r="K32" s="726">
        <f>IF(OR('Part VI-Revenues &amp; Expenses'!$M$60="", 'Part VI-Revenues &amp; Expenses'!$M$60=0),0,I32/'Part VI-Revenues &amp; Expenses'!$M$60)</f>
        <v>1</v>
      </c>
      <c r="L32" s="726">
        <f>IF(OR('Part VI-Revenues &amp; Expenses'!$M$60="", 'Part VI-Revenues &amp; Expenses'!$M$60=0),0,J32/'Part VI-Revenues &amp; Expenses'!$M$60)</f>
        <v>0</v>
      </c>
      <c r="M32" s="536">
        <v>3</v>
      </c>
      <c r="N32" s="532"/>
      <c r="O32" s="1544"/>
      <c r="P32" s="562">
        <v>0.15</v>
      </c>
    </row>
    <row r="33" spans="1:18" s="51" customFormat="1" ht="11.25" customHeight="1">
      <c r="A33" s="50"/>
      <c r="B33" s="57" t="s">
        <v>269</v>
      </c>
      <c r="C33" s="50"/>
      <c r="D33" s="56"/>
      <c r="E33" s="56"/>
      <c r="F33" s="56"/>
      <c r="G33" s="56"/>
      <c r="H33" s="44"/>
      <c r="I33" s="44"/>
      <c r="J33" s="44"/>
      <c r="K33" s="44"/>
      <c r="M33" s="54"/>
      <c r="N33" s="73"/>
      <c r="O33" s="4"/>
      <c r="P33" s="1163"/>
    </row>
    <row r="34" spans="1:18" s="51" customFormat="1" ht="12.6" customHeight="1">
      <c r="A34" s="2199" t="s">
        <v>3819</v>
      </c>
      <c r="B34" s="2200"/>
      <c r="C34" s="2200"/>
      <c r="D34" s="2200"/>
      <c r="E34" s="2200"/>
      <c r="F34" s="2200"/>
      <c r="G34" s="2200"/>
      <c r="H34" s="2200"/>
      <c r="I34" s="2200"/>
      <c r="J34" s="2200"/>
      <c r="K34" s="2200"/>
      <c r="L34" s="2200"/>
      <c r="M34" s="2200"/>
      <c r="N34" s="2200"/>
      <c r="O34" s="2200"/>
      <c r="P34" s="2201"/>
      <c r="Q34" s="563" t="s">
        <v>1332</v>
      </c>
    </row>
    <row r="35" spans="1:18" s="51" customFormat="1" ht="11.45" customHeight="1">
      <c r="A35" s="50"/>
      <c r="B35" s="114" t="s">
        <v>1996</v>
      </c>
      <c r="C35" s="50"/>
      <c r="D35" s="100"/>
      <c r="E35" s="1164"/>
      <c r="F35" s="1164"/>
      <c r="G35" s="1164"/>
      <c r="H35" s="1164"/>
      <c r="I35" s="1164"/>
      <c r="J35" s="1164"/>
      <c r="K35" s="1164"/>
      <c r="L35" s="1164"/>
      <c r="M35" s="1164"/>
      <c r="N35" s="87"/>
      <c r="O35" s="83"/>
      <c r="P35" s="2"/>
      <c r="Q35" s="530"/>
    </row>
    <row r="36" spans="1:18" s="51" customFormat="1" ht="12.6" customHeight="1">
      <c r="A36" s="1417"/>
      <c r="B36" s="1418"/>
      <c r="C36" s="1418"/>
      <c r="D36" s="1418"/>
      <c r="E36" s="1418"/>
      <c r="F36" s="1418"/>
      <c r="G36" s="1418"/>
      <c r="H36" s="1418"/>
      <c r="I36" s="1418"/>
      <c r="J36" s="1418"/>
      <c r="K36" s="1418"/>
      <c r="L36" s="1418"/>
      <c r="M36" s="1418"/>
      <c r="N36" s="1418"/>
      <c r="O36" s="1418"/>
      <c r="P36" s="1419"/>
      <c r="Q36" s="563" t="s">
        <v>1332</v>
      </c>
    </row>
    <row r="37" spans="1:18" ht="3" customHeight="1"/>
    <row r="38" spans="1:18" s="51" customFormat="1" ht="12.6" customHeight="1">
      <c r="A38" s="183" t="s">
        <v>2707</v>
      </c>
      <c r="B38" s="122" t="s">
        <v>2004</v>
      </c>
      <c r="D38" s="49"/>
      <c r="H38" s="1478" t="s">
        <v>636</v>
      </c>
      <c r="I38" s="1478"/>
      <c r="J38" s="1478"/>
      <c r="K38" s="1478"/>
      <c r="M38" s="2">
        <v>12</v>
      </c>
      <c r="N38" s="594"/>
      <c r="O38" s="180">
        <f>IF(OR($M40-$O41&lt;0,$O40-$O41&lt;0),0,IF($O40&lt;=$M40,$O40-$O41,IF($O40&gt;$M40,$M40-$O41,0)))</f>
        <v>12</v>
      </c>
      <c r="P38" s="180">
        <f>IF(OR($M40-$P41&lt;0,$P40-$P41&lt;0),0,IF($P40&lt;=$M40,$P40-$P41,IF($P40&gt;$M40,$M40-$P41,0)))</f>
        <v>0</v>
      </c>
      <c r="Q38" s="126" t="s">
        <v>463</v>
      </c>
    </row>
    <row r="39" spans="1:18" s="51" customFormat="1" ht="3" customHeight="1">
      <c r="A39" s="50"/>
      <c r="D39" s="47"/>
      <c r="E39" s="44"/>
      <c r="F39" s="610"/>
      <c r="G39" s="610"/>
      <c r="H39" s="1478"/>
      <c r="I39" s="1478"/>
      <c r="J39" s="1478"/>
      <c r="K39" s="1478"/>
      <c r="L39" s="38"/>
      <c r="M39" s="71"/>
      <c r="N39" s="610"/>
      <c r="O39" s="1163"/>
      <c r="P39" s="4"/>
    </row>
    <row r="40" spans="1:18" s="51" customFormat="1" ht="12" customHeight="1">
      <c r="A40" s="165" t="s">
        <v>2118</v>
      </c>
      <c r="B40" s="206" t="s">
        <v>2005</v>
      </c>
      <c r="C40" s="5"/>
      <c r="D40" s="5"/>
      <c r="E40" s="214" t="s">
        <v>2968</v>
      </c>
      <c r="F40" s="367"/>
      <c r="G40" s="367"/>
      <c r="H40" s="1478"/>
      <c r="I40" s="1478"/>
      <c r="J40" s="1478"/>
      <c r="K40" s="1478"/>
      <c r="M40" s="85">
        <v>12</v>
      </c>
      <c r="N40" s="218" t="s">
        <v>2118</v>
      </c>
      <c r="O40" s="2308">
        <v>12</v>
      </c>
      <c r="P40" s="788"/>
      <c r="Q40" s="475" t="s">
        <v>2947</v>
      </c>
      <c r="R40" s="459"/>
    </row>
    <row r="41" spans="1:18" s="51" customFormat="1" ht="12.6" customHeight="1">
      <c r="A41" s="165" t="s">
        <v>2121</v>
      </c>
      <c r="B41" s="206" t="s">
        <v>2006</v>
      </c>
      <c r="D41" s="49"/>
      <c r="E41" s="214" t="s">
        <v>447</v>
      </c>
      <c r="F41" s="479"/>
      <c r="G41" s="479"/>
      <c r="H41" s="479"/>
      <c r="M41" s="1177" t="s">
        <v>1316</v>
      </c>
      <c r="N41" s="594" t="s">
        <v>2121</v>
      </c>
      <c r="O41" s="2303">
        <v>0</v>
      </c>
      <c r="P41" s="789"/>
      <c r="Q41" s="475" t="s">
        <v>2947</v>
      </c>
      <c r="R41" s="459"/>
    </row>
    <row r="42" spans="1:18" s="51" customFormat="1" ht="11.25" customHeight="1">
      <c r="A42" s="50"/>
      <c r="B42" s="57" t="s">
        <v>269</v>
      </c>
      <c r="C42" s="50"/>
      <c r="D42" s="56"/>
      <c r="E42" s="56"/>
      <c r="F42" s="56"/>
      <c r="G42" s="56"/>
      <c r="H42" s="44"/>
      <c r="I42" s="44"/>
      <c r="J42" s="44"/>
      <c r="K42" s="44"/>
      <c r="M42" s="54"/>
      <c r="N42" s="73"/>
      <c r="O42" s="4"/>
      <c r="P42" s="1163"/>
    </row>
    <row r="43" spans="1:18" s="51" customFormat="1" ht="23.45" customHeight="1">
      <c r="A43" s="2199"/>
      <c r="B43" s="2200"/>
      <c r="C43" s="2200"/>
      <c r="D43" s="2200"/>
      <c r="E43" s="2200"/>
      <c r="F43" s="2200"/>
      <c r="G43" s="2200"/>
      <c r="H43" s="2200"/>
      <c r="I43" s="2200"/>
      <c r="J43" s="2200"/>
      <c r="K43" s="2200"/>
      <c r="L43" s="2200"/>
      <c r="M43" s="2200"/>
      <c r="N43" s="2200"/>
      <c r="O43" s="2200"/>
      <c r="P43" s="2201"/>
      <c r="Q43" s="563" t="s">
        <v>1332</v>
      </c>
      <c r="R43" s="564"/>
    </row>
    <row r="44" spans="1:18" s="51" customFormat="1" ht="11.45" customHeight="1">
      <c r="A44" s="50"/>
      <c r="B44" s="79" t="s">
        <v>1996</v>
      </c>
      <c r="C44" s="50"/>
      <c r="D44" s="163"/>
      <c r="E44" s="1164"/>
      <c r="F44" s="1164"/>
      <c r="G44" s="1164"/>
      <c r="H44" s="1164"/>
      <c r="I44" s="1164"/>
      <c r="J44" s="1164"/>
      <c r="K44" s="1164"/>
      <c r="L44" s="1164"/>
      <c r="M44" s="1164"/>
      <c r="N44" s="87"/>
      <c r="O44" s="83"/>
      <c r="P44" s="2"/>
      <c r="Q44" s="530"/>
      <c r="R44" s="530"/>
    </row>
    <row r="45" spans="1:18" s="51" customFormat="1" ht="23.45" customHeight="1">
      <c r="A45" s="1417"/>
      <c r="B45" s="1418"/>
      <c r="C45" s="1418"/>
      <c r="D45" s="1418"/>
      <c r="E45" s="1418"/>
      <c r="F45" s="1418"/>
      <c r="G45" s="1418"/>
      <c r="H45" s="1418"/>
      <c r="I45" s="1418"/>
      <c r="J45" s="1418"/>
      <c r="K45" s="1418"/>
      <c r="L45" s="1418"/>
      <c r="M45" s="1418"/>
      <c r="N45" s="1418"/>
      <c r="O45" s="1418"/>
      <c r="P45" s="1419"/>
      <c r="Q45" s="563" t="s">
        <v>1332</v>
      </c>
      <c r="R45" s="564"/>
    </row>
    <row r="46" spans="1:18" ht="3.6" customHeight="1">
      <c r="M46" s="40"/>
      <c r="N46" s="134"/>
      <c r="O46" s="181"/>
      <c r="P46" s="181"/>
    </row>
    <row r="47" spans="1:18" s="51" customFormat="1" ht="12.6" customHeight="1">
      <c r="A47" s="183" t="s">
        <v>1301</v>
      </c>
      <c r="B47" s="122" t="s">
        <v>2825</v>
      </c>
      <c r="D47" s="49"/>
      <c r="H47" s="53" t="s">
        <v>2889</v>
      </c>
      <c r="I47" s="57" t="s">
        <v>2012</v>
      </c>
      <c r="J47" s="56"/>
      <c r="K47" s="56"/>
      <c r="M47" s="2">
        <v>4</v>
      </c>
      <c r="N47" s="594"/>
      <c r="O47" s="180">
        <f>IF(J48="Flexible",MIN($M47,(O49+O50+O51+O52)),IF(AND(J48="Rural",O55&gt;0),MIN($M55,O55),0))</f>
        <v>3</v>
      </c>
      <c r="P47" s="180">
        <f>IF(K48="Flexible",MIN($M47,(P49+P50+P51+P52)),IF(AND(K48="Rural",P55&gt;0),MIN($M55,P55),0))</f>
        <v>0</v>
      </c>
      <c r="Q47" s="126" t="s">
        <v>463</v>
      </c>
    </row>
    <row r="48" spans="1:18" s="51" customFormat="1" ht="12.6" customHeight="1">
      <c r="A48" s="672" t="s">
        <v>3238</v>
      </c>
      <c r="B48" s="122"/>
      <c r="D48" s="49"/>
      <c r="H48" s="206" t="s">
        <v>3248</v>
      </c>
      <c r="I48" s="673"/>
      <c r="J48" s="671" t="str">
        <f>'Part I-Project Information'!$H$85</f>
        <v>Flexible</v>
      </c>
      <c r="L48" s="31"/>
      <c r="M48" s="2"/>
      <c r="N48" s="2"/>
      <c r="O48" s="2"/>
      <c r="P48" s="2"/>
      <c r="Q48" s="126"/>
    </row>
    <row r="49" spans="1:19" s="506" customFormat="1" ht="23.25" customHeight="1">
      <c r="A49" s="170" t="s">
        <v>2118</v>
      </c>
      <c r="B49" s="1535" t="s">
        <v>3527</v>
      </c>
      <c r="C49" s="1535"/>
      <c r="D49" s="1535"/>
      <c r="E49" s="1535"/>
      <c r="F49" s="1535"/>
      <c r="G49" s="1535"/>
      <c r="H49" s="1535"/>
      <c r="I49" s="1535"/>
      <c r="J49" s="1535"/>
      <c r="K49" s="1535"/>
      <c r="L49" s="1535"/>
      <c r="M49" s="668">
        <v>4</v>
      </c>
      <c r="N49" s="476" t="s">
        <v>2118</v>
      </c>
      <c r="O49" s="2309"/>
      <c r="P49" s="1173"/>
      <c r="Q49" s="669" t="str">
        <f>IF(OR($O49=$M49,$O49=0,$O49=""),"","* * Check Score! * *")</f>
        <v/>
      </c>
      <c r="S49" s="475" t="s">
        <v>2947</v>
      </c>
    </row>
    <row r="50" spans="1:19" s="506" customFormat="1" ht="12" customHeight="1">
      <c r="A50" s="170" t="s">
        <v>2121</v>
      </c>
      <c r="B50" s="1535" t="s">
        <v>3542</v>
      </c>
      <c r="C50" s="1535"/>
      <c r="D50" s="1535"/>
      <c r="E50" s="1535"/>
      <c r="F50" s="1535"/>
      <c r="G50" s="1535"/>
      <c r="H50" s="1535"/>
      <c r="I50" s="1535"/>
      <c r="J50" s="1535"/>
      <c r="K50" s="1535"/>
      <c r="L50" s="1535"/>
      <c r="M50" s="668">
        <v>3</v>
      </c>
      <c r="N50" s="193" t="s">
        <v>2121</v>
      </c>
      <c r="O50" s="2310">
        <v>3</v>
      </c>
      <c r="P50" s="790"/>
      <c r="Q50" s="669" t="str">
        <f>IF(OR($O50=$M50,$O50=0,$O50=""),"","* * Check Score! * *")</f>
        <v/>
      </c>
      <c r="S50" s="475" t="s">
        <v>2947</v>
      </c>
    </row>
    <row r="51" spans="1:19" s="51" customFormat="1" ht="12.6" customHeight="1">
      <c r="A51" s="165" t="s">
        <v>799</v>
      </c>
      <c r="B51" s="206" t="s">
        <v>3396</v>
      </c>
      <c r="E51" s="49"/>
      <c r="K51" s="56"/>
      <c r="M51" s="85">
        <v>2</v>
      </c>
      <c r="N51" s="218" t="s">
        <v>799</v>
      </c>
      <c r="O51" s="2311"/>
      <c r="P51" s="791"/>
      <c r="Q51" s="459" t="str">
        <f>IF(OR($O51=$M51,$O51=0,$O51=""),"","* * Check Score! * *")</f>
        <v/>
      </c>
      <c r="S51" s="475" t="s">
        <v>2947</v>
      </c>
    </row>
    <row r="52" spans="1:19" s="51" customFormat="1" ht="12.6" customHeight="1">
      <c r="A52" s="165" t="s">
        <v>2253</v>
      </c>
      <c r="B52" s="206" t="s">
        <v>3397</v>
      </c>
      <c r="E52" s="49"/>
      <c r="K52" s="56"/>
      <c r="M52" s="85">
        <v>1</v>
      </c>
      <c r="N52" s="218" t="s">
        <v>2253</v>
      </c>
      <c r="O52" s="2312"/>
      <c r="P52" s="789"/>
      <c r="Q52" s="459" t="str">
        <f>IF(OR($O52=$M52,$O52=0,$O52=""),"","* * Check Score! * *")</f>
        <v/>
      </c>
      <c r="S52" s="475" t="s">
        <v>2947</v>
      </c>
    </row>
    <row r="53" spans="1:19" s="51" customFormat="1" ht="12.6" customHeight="1">
      <c r="A53" s="44" t="s">
        <v>3541</v>
      </c>
      <c r="B53" s="206"/>
      <c r="E53" s="49"/>
      <c r="K53" s="56"/>
      <c r="M53" s="85"/>
      <c r="N53" s="85"/>
      <c r="O53" s="85"/>
      <c r="P53" s="85"/>
      <c r="Q53" s="459"/>
      <c r="R53" s="459"/>
    </row>
    <row r="54" spans="1:19" s="51" customFormat="1" ht="12.6" customHeight="1">
      <c r="A54" s="672" t="s">
        <v>3241</v>
      </c>
      <c r="B54" s="206"/>
      <c r="E54" s="49"/>
      <c r="K54" s="56"/>
      <c r="M54" s="85"/>
      <c r="N54" s="85"/>
      <c r="O54" s="85"/>
      <c r="P54" s="85"/>
      <c r="Q54" s="459"/>
      <c r="R54" s="459"/>
    </row>
    <row r="55" spans="1:19" s="119" customFormat="1" ht="12" customHeight="1">
      <c r="A55" s="165" t="s">
        <v>1857</v>
      </c>
      <c r="B55" s="206" t="s">
        <v>3299</v>
      </c>
      <c r="C55" s="206"/>
      <c r="D55" s="206"/>
      <c r="E55" s="206"/>
      <c r="F55" s="206"/>
      <c r="G55" s="206"/>
      <c r="H55" s="206"/>
      <c r="I55" s="206"/>
      <c r="J55" s="206"/>
      <c r="K55" s="206"/>
      <c r="L55" s="206"/>
      <c r="M55" s="85">
        <v>2</v>
      </c>
      <c r="N55" s="218" t="s">
        <v>1857</v>
      </c>
      <c r="O55" s="2313"/>
      <c r="P55" s="792"/>
      <c r="Q55" s="459" t="str">
        <f>IF(OR($O55=$M55,$O55=0,$O55=""),"","* * Check Score! * *")</f>
        <v/>
      </c>
      <c r="R55" s="459"/>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199" t="s">
        <v>3820</v>
      </c>
      <c r="B57" s="2200"/>
      <c r="C57" s="2200"/>
      <c r="D57" s="2200"/>
      <c r="E57" s="2200"/>
      <c r="F57" s="2200"/>
      <c r="G57" s="2200"/>
      <c r="H57" s="2200"/>
      <c r="I57" s="2200"/>
      <c r="J57" s="2200"/>
      <c r="K57" s="2200"/>
      <c r="L57" s="2200"/>
      <c r="M57" s="2200"/>
      <c r="N57" s="2200"/>
      <c r="O57" s="2200"/>
      <c r="P57" s="2201"/>
      <c r="Q57" s="563" t="s">
        <v>1332</v>
      </c>
    </row>
    <row r="58" spans="1:19" s="119" customFormat="1" ht="11.45" customHeight="1">
      <c r="A58" s="50"/>
      <c r="B58" s="114" t="s">
        <v>1996</v>
      </c>
      <c r="C58" s="50"/>
      <c r="D58" s="114"/>
      <c r="E58" s="1158"/>
      <c r="F58" s="1158"/>
      <c r="G58" s="1158"/>
      <c r="H58" s="1158"/>
      <c r="I58" s="1158"/>
      <c r="J58" s="1158"/>
      <c r="K58" s="1158"/>
      <c r="L58" s="1158"/>
      <c r="M58" s="1158"/>
      <c r="N58" s="110"/>
      <c r="O58" s="225"/>
      <c r="P58" s="2"/>
      <c r="Q58" s="530"/>
    </row>
    <row r="59" spans="1:19" s="51" customFormat="1" ht="12.75" customHeight="1">
      <c r="A59" s="1417"/>
      <c r="B59" s="1418"/>
      <c r="C59" s="1418"/>
      <c r="D59" s="1418"/>
      <c r="E59" s="1418"/>
      <c r="F59" s="1418"/>
      <c r="G59" s="1418"/>
      <c r="H59" s="1418"/>
      <c r="I59" s="1418"/>
      <c r="J59" s="1418"/>
      <c r="K59" s="1418"/>
      <c r="L59" s="1418"/>
      <c r="M59" s="1418"/>
      <c r="N59" s="1418"/>
      <c r="O59" s="1418"/>
      <c r="P59" s="1419"/>
      <c r="Q59" s="563" t="s">
        <v>1332</v>
      </c>
    </row>
    <row r="60" spans="1:19" s="51" customFormat="1" ht="3" customHeight="1">
      <c r="A60" s="219"/>
      <c r="B60" s="59"/>
      <c r="G60" s="49"/>
      <c r="J60" s="56"/>
      <c r="K60" s="56"/>
      <c r="M60" s="119"/>
      <c r="N60" s="59"/>
      <c r="O60" s="119"/>
      <c r="P60" s="119"/>
    </row>
    <row r="61" spans="1:19" s="51" customFormat="1" ht="12.6" customHeight="1">
      <c r="A61" s="183" t="s">
        <v>1302</v>
      </c>
      <c r="B61" s="122" t="s">
        <v>2826</v>
      </c>
      <c r="D61" s="49"/>
      <c r="E61" s="44" t="s">
        <v>1472</v>
      </c>
      <c r="I61" s="57" t="s">
        <v>2012</v>
      </c>
      <c r="M61" s="2">
        <v>2</v>
      </c>
      <c r="N61" s="483" t="str">
        <f>IF(OR($O61=$M61,$O61=0,$O61=""),"","***")</f>
        <v/>
      </c>
      <c r="O61" s="2314"/>
      <c r="P61" s="792"/>
      <c r="Q61" s="126" t="s">
        <v>463</v>
      </c>
    </row>
    <row r="62" spans="1:19" s="51" customFormat="1" ht="12.6" customHeight="1">
      <c r="A62" s="183"/>
      <c r="B62" s="480" t="s">
        <v>2811</v>
      </c>
      <c r="D62" s="49"/>
      <c r="E62" s="44"/>
      <c r="L62" s="1782" t="s">
        <v>1029</v>
      </c>
      <c r="M62" s="2315"/>
      <c r="N62" s="2315"/>
      <c r="O62" s="2316"/>
      <c r="P62" s="594"/>
      <c r="Q62" s="126"/>
    </row>
    <row r="63" spans="1:19" s="51" customFormat="1" ht="12.6" customHeight="1">
      <c r="A63" s="183"/>
      <c r="B63" s="480" t="s">
        <v>3239</v>
      </c>
      <c r="D63" s="49"/>
      <c r="E63" s="44"/>
      <c r="L63" s="2317"/>
      <c r="M63" s="2315"/>
      <c r="N63" s="2315"/>
      <c r="O63" s="2316"/>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199"/>
      <c r="B65" s="2200"/>
      <c r="C65" s="2200"/>
      <c r="D65" s="2200"/>
      <c r="E65" s="2200"/>
      <c r="F65" s="2200"/>
      <c r="G65" s="2200"/>
      <c r="H65" s="2200"/>
      <c r="I65" s="2200"/>
      <c r="J65" s="2200"/>
      <c r="K65" s="2200"/>
      <c r="L65" s="2200"/>
      <c r="M65" s="2200"/>
      <c r="N65" s="2200"/>
      <c r="O65" s="2200"/>
      <c r="P65" s="2201"/>
      <c r="Q65" s="563" t="s">
        <v>1332</v>
      </c>
    </row>
    <row r="66" spans="1:18" s="119" customFormat="1" ht="11.45" customHeight="1">
      <c r="A66" s="50"/>
      <c r="B66" s="114" t="s">
        <v>1996</v>
      </c>
      <c r="C66" s="50"/>
      <c r="D66" s="114"/>
      <c r="E66" s="1158"/>
      <c r="F66" s="1158"/>
      <c r="G66" s="1158"/>
      <c r="H66" s="1158"/>
      <c r="I66" s="1158"/>
      <c r="J66" s="1158"/>
      <c r="K66" s="1158"/>
      <c r="L66" s="1158"/>
      <c r="M66" s="1158"/>
      <c r="N66" s="110"/>
      <c r="O66" s="225"/>
      <c r="P66" s="2"/>
      <c r="Q66" s="530"/>
    </row>
    <row r="67" spans="1:18" s="51" customFormat="1" ht="12.75" customHeight="1">
      <c r="A67" s="1417"/>
      <c r="B67" s="1418"/>
      <c r="C67" s="1418"/>
      <c r="D67" s="1418"/>
      <c r="E67" s="1418"/>
      <c r="F67" s="1418"/>
      <c r="G67" s="1418"/>
      <c r="H67" s="1418"/>
      <c r="I67" s="1418"/>
      <c r="J67" s="1418"/>
      <c r="K67" s="1418"/>
      <c r="L67" s="1418"/>
      <c r="M67" s="1418"/>
      <c r="N67" s="1418"/>
      <c r="O67" s="1418"/>
      <c r="P67" s="1419"/>
      <c r="Q67" s="563" t="s">
        <v>1332</v>
      </c>
    </row>
    <row r="68" spans="1:18" ht="3" customHeight="1">
      <c r="B68" s="137"/>
      <c r="C68" s="137"/>
      <c r="D68" s="137"/>
      <c r="E68" s="137"/>
      <c r="R68" s="51"/>
    </row>
    <row r="69" spans="1:18" s="51" customFormat="1" ht="12.6" customHeight="1">
      <c r="A69" s="183" t="s">
        <v>2014</v>
      </c>
      <c r="B69" s="123" t="s">
        <v>225</v>
      </c>
      <c r="D69" s="47"/>
      <c r="E69" s="44"/>
      <c r="I69" s="560" t="s">
        <v>2879</v>
      </c>
      <c r="J69" s="1945" t="s">
        <v>3728</v>
      </c>
      <c r="K69" s="2318"/>
      <c r="L69" s="1946"/>
      <c r="M69" s="2">
        <v>3</v>
      </c>
      <c r="N69" s="483"/>
      <c r="O69" s="546">
        <f>IF(AND($J70="Flexible",OR($J69="Earth Craft Communities",$J69="LEED-ND")),$M70,IF(OR($J69="Earth Craft House Multifamily",$J69="Earth Craft House Single Family",$J69="Earth Craft House Renovation",$J69="LEED for Homes",$J69="EF Green Communities",$J69="NAHB Natl Green Bdlg Stds",$J69="EnergyStar v3"),$M77,0))</f>
        <v>2</v>
      </c>
      <c r="P69" s="793">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2" t="s">
        <v>2477</v>
      </c>
      <c r="D70" s="40"/>
      <c r="H70" s="206" t="s">
        <v>3248</v>
      </c>
      <c r="I70" s="673"/>
      <c r="J70" s="671" t="str">
        <f>'Part I-Project Information'!$H$85</f>
        <v>Flexible</v>
      </c>
      <c r="K70" s="51"/>
      <c r="M70" s="134">
        <v>3</v>
      </c>
      <c r="N70" s="31"/>
      <c r="O70" s="139" t="s">
        <v>2681</v>
      </c>
      <c r="P70" s="139" t="s">
        <v>2681</v>
      </c>
    </row>
    <row r="71" spans="1:18" s="51" customFormat="1" ht="12.6" customHeight="1">
      <c r="B71" s="534" t="s">
        <v>2917</v>
      </c>
      <c r="D71" s="49"/>
      <c r="M71" s="2"/>
      <c r="N71" s="218" t="s">
        <v>2118</v>
      </c>
      <c r="O71" s="2195" t="s">
        <v>3702</v>
      </c>
      <c r="P71" s="794"/>
      <c r="Q71" s="126"/>
    </row>
    <row r="72" spans="1:18" ht="11.45" customHeight="1">
      <c r="B72" s="453" t="s">
        <v>2122</v>
      </c>
      <c r="C72" s="468" t="s">
        <v>2812</v>
      </c>
      <c r="E72" s="137"/>
      <c r="N72" s="31"/>
      <c r="O72" s="31"/>
      <c r="P72" s="31"/>
    </row>
    <row r="73" spans="1:18" ht="23.25" customHeight="1">
      <c r="A73" s="505" t="str">
        <f>IF(AND(O73="",$J$69="Earth Craft Communities"), "X","")</f>
        <v/>
      </c>
      <c r="B73" s="474"/>
      <c r="C73" s="1539" t="s">
        <v>2814</v>
      </c>
      <c r="D73" s="1539"/>
      <c r="E73" s="1539"/>
      <c r="F73" s="1539"/>
      <c r="G73" s="1539"/>
      <c r="H73" s="1539"/>
      <c r="I73" s="1539"/>
      <c r="J73" s="1539"/>
      <c r="K73" s="1539"/>
      <c r="L73" s="1539"/>
      <c r="M73" s="471" t="str">
        <f>IF(AND($I$87="Stable Communities &lt; 10%",O73=""), "X","")</f>
        <v/>
      </c>
      <c r="N73" s="615">
        <v>1</v>
      </c>
      <c r="O73" s="2249" t="s">
        <v>3702</v>
      </c>
      <c r="P73" s="795"/>
    </row>
    <row r="74" spans="1:18" ht="11.45" customHeight="1">
      <c r="B74" s="453" t="s">
        <v>2124</v>
      </c>
      <c r="C74" s="468" t="s">
        <v>2813</v>
      </c>
      <c r="E74" s="137"/>
      <c r="M74" s="472"/>
      <c r="N74" s="31"/>
      <c r="O74" s="139" t="s">
        <v>2681</v>
      </c>
      <c r="P74" s="139" t="s">
        <v>2681</v>
      </c>
    </row>
    <row r="75" spans="1:18" ht="23.25" customHeight="1">
      <c r="A75" s="505" t="str">
        <f>IF(AND(O75="",$J$69="LEED-ND"), "X","")</f>
        <v/>
      </c>
      <c r="B75" s="474"/>
      <c r="C75" s="1539" t="s">
        <v>2989</v>
      </c>
      <c r="D75" s="1539"/>
      <c r="E75" s="1539"/>
      <c r="F75" s="1539"/>
      <c r="G75" s="1539"/>
      <c r="H75" s="1539"/>
      <c r="I75" s="1539"/>
      <c r="J75" s="1539"/>
      <c r="K75" s="1539"/>
      <c r="L75" s="1539"/>
      <c r="M75" s="471" t="str">
        <f>IF(AND($I$87="Stable Communities &lt; 10%",O75=""), "X","")</f>
        <v/>
      </c>
      <c r="N75" s="615" t="s">
        <v>2816</v>
      </c>
      <c r="O75" s="2319" t="s">
        <v>3702</v>
      </c>
      <c r="P75" s="796"/>
    </row>
    <row r="76" spans="1:18" ht="6" customHeight="1">
      <c r="B76" s="474"/>
      <c r="E76" s="166"/>
      <c r="F76" s="166"/>
      <c r="I76" s="166"/>
      <c r="J76" s="166"/>
      <c r="K76" s="166"/>
      <c r="M76" s="471"/>
      <c r="N76" s="471"/>
      <c r="O76" s="471"/>
      <c r="P76" s="471"/>
    </row>
    <row r="77" spans="1:18" ht="11.45" customHeight="1">
      <c r="A77" s="165" t="s">
        <v>2121</v>
      </c>
      <c r="B77" s="222" t="s">
        <v>328</v>
      </c>
      <c r="D77" s="40"/>
      <c r="E77" s="40"/>
      <c r="F77" s="40"/>
      <c r="M77" s="66">
        <v>2</v>
      </c>
      <c r="N77" s="31"/>
      <c r="O77" s="139" t="s">
        <v>2681</v>
      </c>
      <c r="P77" s="139" t="s">
        <v>2681</v>
      </c>
    </row>
    <row r="78" spans="1:18" s="51" customFormat="1" ht="11.25" customHeight="1">
      <c r="A78" s="452" t="str">
        <f>IF(AND(O78="",OR($J$69="Earth Craft House Single Family",$J$69="Earth Craft House Multifamily",$J$69="Earth Craft House Renovation",$J$69="EF Green Communities",$J$69="LEED for Homes",$J$69="NAHB Natl Green Bdlg Stds",$J$69="EnergyStar v3")), "X","")</f>
        <v/>
      </c>
      <c r="B78" s="616" t="s">
        <v>2122</v>
      </c>
      <c r="C78" s="612" t="s">
        <v>2993</v>
      </c>
      <c r="D78" s="49"/>
      <c r="M78" s="2"/>
      <c r="N78" s="616" t="s">
        <v>2122</v>
      </c>
      <c r="O78" s="2258" t="s">
        <v>3701</v>
      </c>
      <c r="P78" s="797"/>
      <c r="Q78" s="126"/>
    </row>
    <row r="79" spans="1:18" s="51" customFormat="1" ht="11.25" customHeight="1">
      <c r="A79" s="452" t="str">
        <f>IF(AND(O79="",OR($J$69="Earth Craft House Single Family",$J$69="Earth Craft House Multifamily",$J$69="Earth Craft House Renovation",$J$69="EF Green Communities",$J$69="LEED for Homes",$J$69="NAHB Natl Green Bdlg Stds",$J$69="EnergyStar v3")), "X","")</f>
        <v/>
      </c>
      <c r="B79" s="616" t="s">
        <v>2124</v>
      </c>
      <c r="C79" s="612" t="s">
        <v>2990</v>
      </c>
      <c r="D79" s="49"/>
      <c r="M79" s="2"/>
      <c r="N79" s="616" t="s">
        <v>2124</v>
      </c>
      <c r="O79" s="2259" t="s">
        <v>3701</v>
      </c>
      <c r="P79" s="798"/>
      <c r="Q79" s="126"/>
    </row>
    <row r="80" spans="1:18" s="51" customFormat="1" ht="11.25" customHeight="1">
      <c r="A80" s="452" t="str">
        <f>IF(AND(O80="",OR($J$69="Earth Craft House Single Family",$J$69="Earth Craft House Multifamily",$J$69="Earth Craft House Renovation",$J$69="EF Green Communities",$J$69="LEED for Homes",$J$69="NAHB Natl Green Bdlg Stds",$J$69="EnergyStar v3")), "X","")</f>
        <v/>
      </c>
      <c r="B80" s="616" t="s">
        <v>2707</v>
      </c>
      <c r="C80" s="612" t="s">
        <v>2991</v>
      </c>
      <c r="D80" s="49"/>
      <c r="M80" s="2"/>
      <c r="N80" s="616" t="s">
        <v>2707</v>
      </c>
      <c r="O80" s="2259" t="s">
        <v>3701</v>
      </c>
      <c r="P80" s="798"/>
      <c r="Q80" s="126"/>
    </row>
    <row r="81" spans="1:18" s="51" customFormat="1" ht="11.25" customHeight="1">
      <c r="A81" s="452" t="str">
        <f>IF(AND(O81="",OR($J$69="Earth Craft House Single Family",$J$69="Earth Craft House Multifamily",$J$69="Earth Craft House Renovation",$J$69="EF Green Communities",$J$69="LEED for Homes",$J$69="NAHB Natl Green Bdlg Stds",$J$69="EnergyStar v3")), "X","")</f>
        <v/>
      </c>
      <c r="B81" s="616" t="s">
        <v>1301</v>
      </c>
      <c r="C81" s="612" t="s">
        <v>2992</v>
      </c>
      <c r="D81" s="49"/>
      <c r="M81" s="2"/>
      <c r="N81" s="616" t="s">
        <v>1301</v>
      </c>
      <c r="O81" s="2260" t="s">
        <v>3701</v>
      </c>
      <c r="P81" s="799"/>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20"/>
      <c r="B83" s="2321"/>
      <c r="C83" s="2321"/>
      <c r="D83" s="2321"/>
      <c r="E83" s="2321"/>
      <c r="F83" s="2321"/>
      <c r="G83" s="2321"/>
      <c r="H83" s="2321"/>
      <c r="I83" s="2321"/>
      <c r="J83" s="2321"/>
      <c r="K83" s="2321"/>
      <c r="L83" s="2321"/>
      <c r="M83" s="2321"/>
      <c r="N83" s="2321"/>
      <c r="O83" s="2321"/>
      <c r="P83" s="2322"/>
      <c r="Q83" s="563" t="s">
        <v>1332</v>
      </c>
    </row>
    <row r="84" spans="1:18" s="51" customFormat="1" ht="11.25" customHeight="1">
      <c r="B84" s="114" t="s">
        <v>1996</v>
      </c>
      <c r="C84" s="50"/>
      <c r="D84" s="100"/>
      <c r="E84" s="1164"/>
      <c r="F84" s="1164"/>
      <c r="G84" s="1164"/>
      <c r="H84" s="1164"/>
      <c r="I84" s="1164"/>
      <c r="J84" s="1164"/>
      <c r="K84" s="1164"/>
      <c r="L84" s="1164"/>
      <c r="M84" s="1164"/>
      <c r="N84" s="87"/>
      <c r="O84" s="83"/>
      <c r="P84" s="2"/>
      <c r="Q84" s="530"/>
    </row>
    <row r="85" spans="1:18" s="51" customFormat="1" ht="12.75" customHeight="1">
      <c r="A85" s="1540"/>
      <c r="B85" s="1541"/>
      <c r="C85" s="1541"/>
      <c r="D85" s="1541"/>
      <c r="E85" s="1541"/>
      <c r="F85" s="1541"/>
      <c r="G85" s="1541"/>
      <c r="H85" s="1541"/>
      <c r="I85" s="1541"/>
      <c r="J85" s="1541"/>
      <c r="K85" s="1541"/>
      <c r="L85" s="1541"/>
      <c r="M85" s="1541"/>
      <c r="N85" s="1541"/>
      <c r="O85" s="1541"/>
      <c r="P85" s="1542"/>
      <c r="Q85" s="563" t="s">
        <v>1332</v>
      </c>
    </row>
    <row r="86" spans="1:18" s="51" customFormat="1" ht="3" customHeight="1">
      <c r="A86" s="50"/>
      <c r="D86" s="47"/>
      <c r="E86" s="44"/>
      <c r="F86" s="610"/>
      <c r="G86" s="610"/>
      <c r="H86" s="610"/>
      <c r="I86" s="610"/>
      <c r="J86" s="38"/>
      <c r="K86" s="38"/>
      <c r="L86" s="38"/>
      <c r="M86" s="71"/>
      <c r="N86" s="610"/>
      <c r="O86" s="1163"/>
      <c r="P86" s="4"/>
    </row>
    <row r="87" spans="1:18" s="119" customFormat="1" ht="12.6" customHeight="1">
      <c r="A87" s="183" t="s">
        <v>535</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2"/>
      <c r="Q87" s="126" t="s">
        <v>463</v>
      </c>
      <c r="R87" s="51"/>
    </row>
    <row r="88" spans="1:18" ht="11.45" customHeight="1">
      <c r="A88" s="165"/>
      <c r="B88" s="206" t="s">
        <v>3248</v>
      </c>
      <c r="C88" s="670"/>
      <c r="D88" s="670"/>
      <c r="E88" s="671" t="str">
        <f>'Part I-Project Information'!$H$85</f>
        <v>Flexible</v>
      </c>
      <c r="M88" s="134"/>
      <c r="N88" s="31"/>
      <c r="O88" s="139" t="s">
        <v>2681</v>
      </c>
      <c r="P88" s="139" t="s">
        <v>2681</v>
      </c>
    </row>
    <row r="89" spans="1:18" ht="11.45" customHeight="1">
      <c r="A89" s="452" t="str">
        <f>IF($I$87="Stable Communities &lt; 5%", "*","")</f>
        <v/>
      </c>
      <c r="B89" s="453" t="s">
        <v>2122</v>
      </c>
      <c r="C89" s="552" t="s">
        <v>2907</v>
      </c>
      <c r="E89" s="137"/>
      <c r="M89" s="94"/>
      <c r="N89" s="31"/>
      <c r="O89" s="2249" t="s">
        <v>3702</v>
      </c>
      <c r="P89" s="795"/>
    </row>
    <row r="90" spans="1:18" ht="11.45" customHeight="1">
      <c r="B90" s="453" t="s">
        <v>2124</v>
      </c>
      <c r="C90" s="552" t="s">
        <v>3010</v>
      </c>
      <c r="D90" s="2323"/>
      <c r="E90" s="552" t="s">
        <v>3011</v>
      </c>
      <c r="H90" s="117" t="s">
        <v>2548</v>
      </c>
      <c r="K90" s="160" t="s">
        <v>3009</v>
      </c>
      <c r="L90" s="2324"/>
      <c r="M90" s="535"/>
      <c r="N90" s="533"/>
    </row>
    <row r="91" spans="1:18" ht="11.45" customHeight="1">
      <c r="B91" s="453" t="s">
        <v>2707</v>
      </c>
      <c r="C91" s="511" t="s">
        <v>2549</v>
      </c>
      <c r="E91" s="137"/>
      <c r="H91" s="117" t="s">
        <v>2550</v>
      </c>
      <c r="K91" s="607" t="s">
        <v>2998</v>
      </c>
      <c r="L91" s="2325"/>
      <c r="M91" s="535"/>
    </row>
    <row r="92" spans="1:18" ht="11.45" customHeight="1">
      <c r="B92" s="453" t="s">
        <v>1301</v>
      </c>
      <c r="C92" s="511" t="s">
        <v>3398</v>
      </c>
      <c r="E92" s="137"/>
      <c r="H92" s="117"/>
      <c r="K92" s="160" t="s">
        <v>3009</v>
      </c>
      <c r="L92" s="2326"/>
      <c r="M92" s="535"/>
    </row>
    <row r="93" spans="1:18" s="51" customFormat="1" ht="13.9" customHeight="1">
      <c r="A93" s="50"/>
      <c r="B93" s="57" t="s">
        <v>269</v>
      </c>
      <c r="C93" s="50"/>
      <c r="D93" s="56"/>
      <c r="E93" s="56"/>
      <c r="F93" s="56"/>
      <c r="G93" s="56"/>
      <c r="H93" s="44"/>
      <c r="I93" s="44"/>
      <c r="J93" s="44"/>
      <c r="K93" s="44"/>
      <c r="M93" s="54"/>
      <c r="N93" s="73"/>
      <c r="O93" s="4"/>
      <c r="P93" s="1163"/>
    </row>
    <row r="94" spans="1:18" s="51" customFormat="1" ht="12.75" customHeight="1">
      <c r="A94" s="2320"/>
      <c r="B94" s="2321"/>
      <c r="C94" s="2321"/>
      <c r="D94" s="2321"/>
      <c r="E94" s="2321"/>
      <c r="F94" s="2321"/>
      <c r="G94" s="2321"/>
      <c r="H94" s="2321"/>
      <c r="I94" s="2321"/>
      <c r="J94" s="2321"/>
      <c r="K94" s="2321"/>
      <c r="L94" s="2321"/>
      <c r="M94" s="2321"/>
      <c r="N94" s="2321"/>
      <c r="O94" s="2321"/>
      <c r="P94" s="2322"/>
      <c r="Q94" s="563" t="s">
        <v>1332</v>
      </c>
    </row>
    <row r="95" spans="1:18" s="51" customFormat="1" ht="11.25" customHeight="1">
      <c r="A95" s="50"/>
      <c r="B95" s="100" t="s">
        <v>1996</v>
      </c>
      <c r="C95" s="50"/>
      <c r="D95" s="100"/>
      <c r="E95" s="1164"/>
      <c r="F95" s="1164"/>
      <c r="G95" s="1164"/>
      <c r="H95" s="1164"/>
      <c r="I95" s="1164"/>
      <c r="J95" s="1164"/>
      <c r="K95" s="1164"/>
      <c r="L95" s="1164"/>
      <c r="M95" s="1164"/>
      <c r="N95" s="87"/>
      <c r="O95" s="83"/>
      <c r="P95" s="2"/>
      <c r="Q95" s="530"/>
    </row>
    <row r="96" spans="1:18" s="51" customFormat="1" ht="12.75" customHeight="1">
      <c r="A96" s="1540"/>
      <c r="B96" s="1541"/>
      <c r="C96" s="1541"/>
      <c r="D96" s="1541"/>
      <c r="E96" s="1541"/>
      <c r="F96" s="1541"/>
      <c r="G96" s="1541"/>
      <c r="H96" s="1541"/>
      <c r="I96" s="1541"/>
      <c r="J96" s="1541"/>
      <c r="K96" s="1541"/>
      <c r="L96" s="1541"/>
      <c r="M96" s="1541"/>
      <c r="N96" s="1541"/>
      <c r="O96" s="1541"/>
      <c r="P96" s="1542"/>
      <c r="Q96" s="563" t="s">
        <v>1332</v>
      </c>
    </row>
    <row r="97" spans="1:18" s="51" customFormat="1" ht="3" customHeight="1">
      <c r="A97" s="50"/>
      <c r="D97" s="47"/>
      <c r="E97" s="44"/>
      <c r="F97" s="610"/>
      <c r="G97" s="610"/>
      <c r="H97" s="610"/>
      <c r="I97" s="610"/>
      <c r="J97" s="38"/>
      <c r="K97" s="38"/>
      <c r="L97" s="38"/>
      <c r="M97" s="71"/>
      <c r="N97" s="610"/>
      <c r="O97" s="1163"/>
      <c r="P97" s="4"/>
    </row>
    <row r="98" spans="1:18" s="119" customFormat="1" ht="12.6" customHeight="1">
      <c r="A98" s="183" t="s">
        <v>536</v>
      </c>
      <c r="B98" s="123" t="s">
        <v>3249</v>
      </c>
      <c r="C98" s="109"/>
      <c r="D98" s="70"/>
      <c r="E98" s="70"/>
      <c r="H98" s="675"/>
      <c r="J98" s="2327" t="s">
        <v>3305</v>
      </c>
      <c r="K98" s="2328"/>
      <c r="L98" s="2329"/>
      <c r="M98" s="2">
        <v>3</v>
      </c>
      <c r="N98" s="8"/>
      <c r="O98" s="89">
        <f>IF(J98="Adopted Revitalization Plan",2,IF(J98="Designated Military Zone",1,IF(J98="Adptd Revital Plan &amp; Desig MZ",3,IF(J98="HUD Choice Neighborhood",2,0))))</f>
        <v>0</v>
      </c>
      <c r="P98" s="792"/>
      <c r="Q98" s="126" t="s">
        <v>463</v>
      </c>
      <c r="R98" s="51"/>
    </row>
    <row r="99" spans="1:18" ht="11.45" customHeight="1">
      <c r="A99" s="165" t="s">
        <v>2118</v>
      </c>
      <c r="B99" s="222" t="s">
        <v>3254</v>
      </c>
      <c r="E99" s="40"/>
      <c r="F99" s="691" t="s">
        <v>3255</v>
      </c>
      <c r="I99" s="2330"/>
      <c r="J99" s="2331"/>
      <c r="K99" s="2331"/>
      <c r="L99" s="2331"/>
      <c r="M99" s="2331"/>
      <c r="N99" s="2331"/>
      <c r="O99" s="2331"/>
      <c r="P99" s="2332"/>
    </row>
    <row r="100" spans="1:18" s="51" customFormat="1" ht="12" customHeight="1">
      <c r="A100" s="165"/>
      <c r="B100" s="65" t="s">
        <v>3593</v>
      </c>
      <c r="D100" s="40"/>
      <c r="N100" s="594"/>
      <c r="O100" s="2260" t="s">
        <v>3702</v>
      </c>
      <c r="P100" s="799"/>
      <c r="R100" s="459"/>
    </row>
    <row r="101" spans="1:18" s="51" customFormat="1" ht="11.45" customHeight="1">
      <c r="A101" s="535"/>
      <c r="B101" s="132" t="s">
        <v>3380</v>
      </c>
      <c r="E101" s="48"/>
      <c r="G101" s="607" t="s">
        <v>3320</v>
      </c>
      <c r="H101" s="1546" t="str">
        <f>'Part I-Project Information'!O27</f>
        <v>5.00</v>
      </c>
      <c r="I101" s="1547"/>
      <c r="M101" s="536">
        <v>2</v>
      </c>
      <c r="O101" s="139" t="s">
        <v>2681</v>
      </c>
      <c r="P101" s="139" t="s">
        <v>2681</v>
      </c>
    </row>
    <row r="102" spans="1:18" s="51" customFormat="1" ht="11.45" customHeight="1">
      <c r="A102" s="452"/>
      <c r="B102" s="473" t="s">
        <v>2599</v>
      </c>
      <c r="C102" s="65" t="s">
        <v>3310</v>
      </c>
      <c r="D102" s="119"/>
      <c r="E102" s="48"/>
      <c r="G102" s="475" t="s">
        <v>3596</v>
      </c>
      <c r="I102" s="2333"/>
      <c r="M102" s="452"/>
      <c r="N102" s="473" t="s">
        <v>2599</v>
      </c>
      <c r="O102" s="2258" t="s">
        <v>1610</v>
      </c>
      <c r="P102" s="797"/>
    </row>
    <row r="103" spans="1:18" s="51" customFormat="1" ht="11.45" customHeight="1">
      <c r="A103" s="452"/>
      <c r="B103" s="454" t="s">
        <v>2600</v>
      </c>
      <c r="C103" s="607" t="s">
        <v>3311</v>
      </c>
      <c r="D103" s="119"/>
      <c r="E103" s="48"/>
      <c r="G103" s="475" t="s">
        <v>3582</v>
      </c>
      <c r="H103" s="2334"/>
      <c r="I103" s="2335"/>
      <c r="K103" s="475" t="s">
        <v>3591</v>
      </c>
      <c r="L103" s="2336"/>
      <c r="M103" s="2337"/>
      <c r="N103" s="454" t="s">
        <v>2600</v>
      </c>
      <c r="O103" s="2260" t="s">
        <v>1610</v>
      </c>
      <c r="P103" s="799"/>
    </row>
    <row r="104" spans="1:18" s="51" customFormat="1" ht="11.45" customHeight="1">
      <c r="A104" s="452"/>
      <c r="B104" s="454"/>
      <c r="C104" s="607"/>
      <c r="D104" s="119"/>
      <c r="E104" s="48"/>
      <c r="G104" s="475" t="s">
        <v>3307</v>
      </c>
      <c r="H104" s="2334"/>
      <c r="I104" s="2335"/>
      <c r="K104" s="475" t="s">
        <v>3306</v>
      </c>
      <c r="L104" s="2336" t="s">
        <v>3308</v>
      </c>
      <c r="M104" s="2337"/>
    </row>
    <row r="105" spans="1:18" ht="11.25" customHeight="1">
      <c r="B105" s="454" t="s">
        <v>2601</v>
      </c>
      <c r="C105" s="607" t="s">
        <v>3312</v>
      </c>
      <c r="D105" s="117"/>
      <c r="G105" s="349" t="s">
        <v>3592</v>
      </c>
      <c r="L105" s="2333"/>
      <c r="M105" s="452"/>
      <c r="N105" s="454" t="s">
        <v>2601</v>
      </c>
      <c r="O105" s="2249" t="s">
        <v>1610</v>
      </c>
      <c r="P105" s="795"/>
    </row>
    <row r="106" spans="1:18" ht="10.9" customHeight="1">
      <c r="B106" s="454"/>
      <c r="C106" s="607"/>
      <c r="D106" s="117"/>
      <c r="G106" s="475" t="s">
        <v>3594</v>
      </c>
      <c r="L106" s="2334"/>
      <c r="M106" s="2335"/>
      <c r="N106" s="31"/>
      <c r="O106" s="31"/>
      <c r="P106" s="31"/>
    </row>
    <row r="107" spans="1:18" ht="10.9" customHeight="1">
      <c r="B107" s="454"/>
      <c r="C107" s="607" t="s">
        <v>3309</v>
      </c>
      <c r="D107" s="117"/>
      <c r="G107" s="349"/>
      <c r="K107" s="679" t="s">
        <v>2946</v>
      </c>
      <c r="L107" s="2338"/>
      <c r="M107" s="452"/>
      <c r="N107" s="454"/>
      <c r="O107" s="2258" t="s">
        <v>1610</v>
      </c>
      <c r="P107" s="797"/>
    </row>
    <row r="108" spans="1:18" ht="10.9" customHeight="1">
      <c r="B108" s="454" t="s">
        <v>2602</v>
      </c>
      <c r="C108" s="647" t="s">
        <v>3313</v>
      </c>
      <c r="K108" s="679" t="s">
        <v>2946</v>
      </c>
      <c r="L108" s="2339"/>
      <c r="M108" s="452"/>
      <c r="N108" s="454" t="s">
        <v>2602</v>
      </c>
      <c r="O108" s="2259" t="s">
        <v>1610</v>
      </c>
      <c r="P108" s="798"/>
    </row>
    <row r="109" spans="1:18" ht="10.9" customHeight="1">
      <c r="B109" s="454" t="s">
        <v>2603</v>
      </c>
      <c r="C109" s="647" t="s">
        <v>3314</v>
      </c>
      <c r="K109" s="679" t="s">
        <v>2946</v>
      </c>
      <c r="L109" s="2339"/>
      <c r="M109" s="452"/>
      <c r="N109" s="454" t="s">
        <v>2603</v>
      </c>
      <c r="O109" s="2259" t="s">
        <v>1610</v>
      </c>
      <c r="P109" s="798"/>
    </row>
    <row r="110" spans="1:18" ht="10.9" customHeight="1">
      <c r="B110" s="454" t="s">
        <v>2619</v>
      </c>
      <c r="C110" s="62" t="s">
        <v>3317</v>
      </c>
      <c r="K110" s="679" t="s">
        <v>2946</v>
      </c>
      <c r="L110" s="2340"/>
      <c r="M110" s="452"/>
      <c r="N110" s="454" t="s">
        <v>2619</v>
      </c>
      <c r="O110" s="2259" t="s">
        <v>1610</v>
      </c>
      <c r="P110" s="798"/>
    </row>
    <row r="111" spans="1:18" ht="10.9" customHeight="1">
      <c r="B111" s="454"/>
      <c r="C111" s="62" t="s">
        <v>3315</v>
      </c>
      <c r="K111" s="763"/>
      <c r="M111" s="452"/>
      <c r="N111" s="454"/>
      <c r="O111" s="2259" t="s">
        <v>1610</v>
      </c>
      <c r="P111" s="798"/>
    </row>
    <row r="112" spans="1:18" ht="10.9" customHeight="1">
      <c r="B112" s="454" t="s">
        <v>2620</v>
      </c>
      <c r="C112" s="647" t="s">
        <v>3316</v>
      </c>
      <c r="D112" s="117"/>
      <c r="K112" s="679" t="s">
        <v>2946</v>
      </c>
      <c r="L112" s="2341"/>
      <c r="M112" s="452"/>
      <c r="N112" s="454" t="s">
        <v>2620</v>
      </c>
      <c r="O112" s="2259" t="s">
        <v>1610</v>
      </c>
      <c r="P112" s="798"/>
    </row>
    <row r="113" spans="1:17" ht="10.9" customHeight="1">
      <c r="B113" s="473" t="s">
        <v>2621</v>
      </c>
      <c r="C113" s="647" t="s">
        <v>3318</v>
      </c>
      <c r="K113" s="679" t="s">
        <v>2946</v>
      </c>
      <c r="L113" s="2339"/>
      <c r="M113" s="452"/>
      <c r="N113" s="473" t="s">
        <v>2621</v>
      </c>
      <c r="O113" s="2259" t="s">
        <v>1610</v>
      </c>
      <c r="P113" s="798"/>
    </row>
    <row r="114" spans="1:17" ht="10.9" customHeight="1">
      <c r="B114" s="473" t="s">
        <v>2622</v>
      </c>
      <c r="C114" s="647" t="s">
        <v>3319</v>
      </c>
      <c r="K114" s="679" t="s">
        <v>2946</v>
      </c>
      <c r="L114" s="2339"/>
      <c r="M114" s="452"/>
      <c r="N114" s="473" t="s">
        <v>2622</v>
      </c>
      <c r="O114" s="2259" t="s">
        <v>1610</v>
      </c>
      <c r="P114" s="798"/>
    </row>
    <row r="115" spans="1:17" ht="10.9" customHeight="1">
      <c r="B115" s="473" t="s">
        <v>2623</v>
      </c>
      <c r="C115" s="647" t="s">
        <v>3321</v>
      </c>
      <c r="K115" s="679" t="s">
        <v>2946</v>
      </c>
      <c r="L115" s="2340"/>
      <c r="M115" s="452"/>
      <c r="N115" s="473" t="s">
        <v>2623</v>
      </c>
      <c r="O115" s="2260" t="s">
        <v>1610</v>
      </c>
      <c r="P115" s="799"/>
    </row>
    <row r="116" spans="1:17" ht="11.45" customHeight="1">
      <c r="A116" s="165" t="s">
        <v>2121</v>
      </c>
      <c r="B116" s="222" t="s">
        <v>3251</v>
      </c>
      <c r="D116" s="40"/>
      <c r="M116" s="94">
        <v>1</v>
      </c>
      <c r="N116" s="31"/>
      <c r="O116" s="139" t="s">
        <v>2681</v>
      </c>
      <c r="P116" s="139" t="s">
        <v>2681</v>
      </c>
    </row>
    <row r="117" spans="1:17" ht="11.45" customHeight="1">
      <c r="A117" s="666" t="s">
        <v>1440</v>
      </c>
      <c r="B117" s="552" t="s">
        <v>3253</v>
      </c>
      <c r="E117" s="137"/>
      <c r="N117" s="31"/>
      <c r="O117" s="2249" t="s">
        <v>3702</v>
      </c>
      <c r="P117" s="795"/>
      <c r="Q117" s="475"/>
    </row>
    <row r="118" spans="1:17" ht="11.45" customHeight="1">
      <c r="A118" s="165" t="s">
        <v>799</v>
      </c>
      <c r="B118" s="222" t="s">
        <v>3252</v>
      </c>
      <c r="C118" s="222"/>
      <c r="D118" s="40"/>
      <c r="M118" s="134">
        <v>2</v>
      </c>
      <c r="N118" s="31"/>
      <c r="O118" s="674" t="s">
        <v>2681</v>
      </c>
      <c r="P118" s="674" t="s">
        <v>2681</v>
      </c>
    </row>
    <row r="119" spans="1:17" ht="22.5" customHeight="1">
      <c r="B119" s="1548" t="s">
        <v>3528</v>
      </c>
      <c r="C119" s="1548"/>
      <c r="D119" s="1548"/>
      <c r="E119" s="1548"/>
      <c r="F119" s="1548"/>
      <c r="G119" s="1548"/>
      <c r="H119" s="1548"/>
      <c r="I119" s="1548"/>
      <c r="J119" s="1548"/>
      <c r="K119" s="1548"/>
      <c r="L119" s="1548"/>
      <c r="N119" s="31"/>
      <c r="O119" s="2249" t="s">
        <v>3702</v>
      </c>
      <c r="P119" s="795"/>
    </row>
    <row r="120" spans="1:17" s="51" customFormat="1" ht="13.9" customHeight="1">
      <c r="A120" s="50"/>
      <c r="B120" s="57" t="s">
        <v>269</v>
      </c>
      <c r="C120" s="50"/>
      <c r="D120" s="56"/>
      <c r="E120" s="56"/>
      <c r="F120" s="56"/>
      <c r="G120" s="56"/>
      <c r="H120" s="44"/>
      <c r="I120" s="44"/>
      <c r="J120" s="44"/>
      <c r="K120" s="44"/>
      <c r="M120" s="54"/>
      <c r="N120" s="73"/>
      <c r="O120" s="4"/>
      <c r="P120" s="1163"/>
    </row>
    <row r="121" spans="1:17" s="51" customFormat="1" ht="12.75" customHeight="1">
      <c r="A121" s="2320"/>
      <c r="B121" s="2321"/>
      <c r="C121" s="2321"/>
      <c r="D121" s="2321"/>
      <c r="E121" s="2321"/>
      <c r="F121" s="2321"/>
      <c r="G121" s="2321"/>
      <c r="H121" s="2321"/>
      <c r="I121" s="2321"/>
      <c r="J121" s="2321"/>
      <c r="K121" s="2321"/>
      <c r="L121" s="2321"/>
      <c r="M121" s="2321"/>
      <c r="N121" s="2321"/>
      <c r="O121" s="2321"/>
      <c r="P121" s="2322"/>
      <c r="Q121" s="563" t="s">
        <v>1332</v>
      </c>
    </row>
    <row r="122" spans="1:17" s="51" customFormat="1" ht="11.25" customHeight="1">
      <c r="A122" s="50"/>
      <c r="B122" s="100" t="s">
        <v>1996</v>
      </c>
      <c r="C122" s="50"/>
      <c r="D122" s="100"/>
      <c r="E122" s="1164"/>
      <c r="F122" s="1164"/>
      <c r="G122" s="1164"/>
      <c r="H122" s="1164"/>
      <c r="I122" s="1164"/>
      <c r="J122" s="1164"/>
      <c r="K122" s="1164"/>
      <c r="L122" s="1164"/>
      <c r="M122" s="1164"/>
      <c r="N122" s="87"/>
      <c r="O122" s="83"/>
      <c r="P122" s="2"/>
      <c r="Q122" s="530"/>
    </row>
    <row r="123" spans="1:17" s="51" customFormat="1" ht="12.75" customHeight="1">
      <c r="A123" s="1540"/>
      <c r="B123" s="1541"/>
      <c r="C123" s="1541"/>
      <c r="D123" s="1541"/>
      <c r="E123" s="1541"/>
      <c r="F123" s="1541"/>
      <c r="G123" s="1541"/>
      <c r="H123" s="1541"/>
      <c r="I123" s="1541"/>
      <c r="J123" s="1541"/>
      <c r="K123" s="1541"/>
      <c r="L123" s="1541"/>
      <c r="M123" s="1541"/>
      <c r="N123" s="1541"/>
      <c r="O123" s="1541"/>
      <c r="P123" s="1542"/>
      <c r="Q123" s="563" t="s">
        <v>1332</v>
      </c>
    </row>
    <row r="124" spans="1:17" ht="3.6" customHeight="1">
      <c r="B124" s="137"/>
      <c r="C124" s="137"/>
      <c r="D124" s="137"/>
      <c r="E124" s="137"/>
    </row>
    <row r="125" spans="1:17" s="51" customFormat="1" ht="12" customHeight="1">
      <c r="A125" s="183" t="s">
        <v>227</v>
      </c>
      <c r="B125" s="122" t="s">
        <v>2624</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59" t="s">
        <v>2118</v>
      </c>
      <c r="B126" s="222" t="s">
        <v>2379</v>
      </c>
      <c r="D126" s="40"/>
      <c r="E126" s="40"/>
      <c r="F126" s="40"/>
      <c r="G126" s="31" t="str">
        <f>IF(AND(O126&lt;0,L133&lt;0),"Select either A or B but not both!&gt;","")</f>
        <v/>
      </c>
      <c r="H126" s="206" t="s">
        <v>3248</v>
      </c>
      <c r="I126" s="670"/>
      <c r="J126" s="671" t="str">
        <f>'Part I-Project Information'!$H$85</f>
        <v>Flexible</v>
      </c>
      <c r="M126" s="85">
        <v>3</v>
      </c>
      <c r="N126" s="594" t="s">
        <v>2118</v>
      </c>
      <c r="O126" s="2308"/>
      <c r="P126" s="788"/>
      <c r="Q126" s="475" t="s">
        <v>2947</v>
      </c>
    </row>
    <row r="127" spans="1:17" s="117" customFormat="1" ht="22.9" customHeight="1">
      <c r="B127" s="476" t="s">
        <v>2122</v>
      </c>
      <c r="C127" s="1548" t="s">
        <v>3529</v>
      </c>
      <c r="D127" s="1483"/>
      <c r="E127" s="1483"/>
      <c r="F127" s="1483"/>
      <c r="G127" s="1483"/>
      <c r="H127" s="1483"/>
      <c r="I127" s="1483"/>
      <c r="J127" s="1483"/>
      <c r="K127" s="1483"/>
      <c r="L127" s="1483"/>
      <c r="M127" s="508"/>
      <c r="N127" s="476" t="s">
        <v>2122</v>
      </c>
      <c r="O127" s="2260" t="s">
        <v>1610</v>
      </c>
      <c r="P127" s="799"/>
    </row>
    <row r="128" spans="1:17" s="117" customFormat="1" ht="10.5" customHeight="1">
      <c r="B128" s="218"/>
      <c r="C128" s="138" t="s">
        <v>1020</v>
      </c>
      <c r="H128" s="543" t="s">
        <v>2765</v>
      </c>
      <c r="I128" s="2342"/>
      <c r="J128" s="543" t="s">
        <v>2450</v>
      </c>
      <c r="K128" s="2343"/>
      <c r="L128" s="2344"/>
      <c r="M128" s="2345"/>
    </row>
    <row r="129" spans="1:17" s="117" customFormat="1" ht="10.5" customHeight="1">
      <c r="B129" s="218" t="s">
        <v>2124</v>
      </c>
      <c r="C129" s="138" t="s">
        <v>1021</v>
      </c>
      <c r="M129" s="8"/>
      <c r="N129" s="218" t="s">
        <v>2124</v>
      </c>
      <c r="O129" s="2258" t="s">
        <v>1610</v>
      </c>
      <c r="P129" s="797"/>
    </row>
    <row r="130" spans="1:17" s="117" customFormat="1" ht="10.5" customHeight="1">
      <c r="B130" s="218" t="s">
        <v>2707</v>
      </c>
      <c r="C130" s="138" t="s">
        <v>1022</v>
      </c>
      <c r="M130" s="8"/>
      <c r="N130" s="218" t="s">
        <v>2707</v>
      </c>
      <c r="O130" s="2259" t="s">
        <v>1610</v>
      </c>
      <c r="P130" s="798"/>
    </row>
    <row r="131" spans="1:17" s="117" customFormat="1" ht="10.5" customHeight="1">
      <c r="A131" s="666" t="s">
        <v>1440</v>
      </c>
      <c r="B131" s="218" t="s">
        <v>1301</v>
      </c>
      <c r="C131" s="138" t="s">
        <v>1023</v>
      </c>
      <c r="M131" s="8"/>
      <c r="N131" s="218" t="s">
        <v>1301</v>
      </c>
      <c r="O131" s="2260" t="s">
        <v>1610</v>
      </c>
      <c r="P131" s="799"/>
    </row>
    <row r="132" spans="1:17" ht="12" customHeight="1">
      <c r="A132" s="1159" t="s">
        <v>2121</v>
      </c>
      <c r="B132" s="222" t="s">
        <v>2380</v>
      </c>
      <c r="D132" s="137"/>
      <c r="E132" s="512" t="s">
        <v>3155</v>
      </c>
      <c r="M132" s="85">
        <v>3</v>
      </c>
      <c r="N132" s="594" t="s">
        <v>2121</v>
      </c>
      <c r="O132" s="724">
        <f>IF($L133=5,3,IF($L133=4,2,0))</f>
        <v>3</v>
      </c>
      <c r="P132" s="792"/>
    </row>
    <row r="133" spans="1:17" ht="10.5" customHeight="1">
      <c r="B133" s="539" t="s">
        <v>3322</v>
      </c>
      <c r="D133" s="40"/>
      <c r="E133" s="40"/>
      <c r="F133" s="40"/>
      <c r="G133" s="48"/>
      <c r="H133" s="48"/>
      <c r="I133" s="48"/>
      <c r="J133" s="48"/>
      <c r="L133" s="2346">
        <v>5</v>
      </c>
      <c r="M133" s="160" t="s">
        <v>3323</v>
      </c>
      <c r="O133" s="119"/>
      <c r="P133" s="119"/>
    </row>
    <row r="134" spans="1:17" ht="10.5" customHeight="1">
      <c r="B134" s="539" t="s">
        <v>3324</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3"/>
    </row>
    <row r="136" spans="1:17" s="51" customFormat="1" ht="11.45" customHeight="1">
      <c r="A136" s="2199"/>
      <c r="B136" s="2200"/>
      <c r="C136" s="2200"/>
      <c r="D136" s="2200"/>
      <c r="E136" s="2200"/>
      <c r="F136" s="2200"/>
      <c r="G136" s="2200"/>
      <c r="H136" s="2200"/>
      <c r="I136" s="2200"/>
      <c r="J136" s="2200"/>
      <c r="K136" s="2200"/>
      <c r="L136" s="2200"/>
      <c r="M136" s="2200"/>
      <c r="N136" s="2200"/>
      <c r="O136" s="2200"/>
      <c r="P136" s="2201"/>
      <c r="Q136" s="563" t="s">
        <v>1332</v>
      </c>
    </row>
    <row r="137" spans="1:17" s="51" customFormat="1" ht="11.45" customHeight="1">
      <c r="B137" s="100" t="s">
        <v>1996</v>
      </c>
      <c r="C137" s="115"/>
      <c r="D137" s="100"/>
      <c r="E137" s="116"/>
      <c r="F137" s="1164"/>
      <c r="G137" s="1164"/>
      <c r="H137" s="1164"/>
      <c r="I137" s="1164"/>
      <c r="J137" s="1164"/>
      <c r="K137" s="1164"/>
      <c r="L137" s="1164"/>
      <c r="M137" s="1164"/>
      <c r="N137" s="87"/>
      <c r="O137" s="83"/>
      <c r="P137" s="2"/>
      <c r="Q137" s="530"/>
    </row>
    <row r="138" spans="1:17" s="51" customFormat="1" ht="11.45" customHeight="1">
      <c r="A138" s="1417"/>
      <c r="B138" s="1418"/>
      <c r="C138" s="1418"/>
      <c r="D138" s="1418"/>
      <c r="E138" s="1418"/>
      <c r="F138" s="1418"/>
      <c r="G138" s="1418"/>
      <c r="H138" s="1418"/>
      <c r="I138" s="1418"/>
      <c r="J138" s="1418"/>
      <c r="K138" s="1418"/>
      <c r="L138" s="1418"/>
      <c r="M138" s="1418"/>
      <c r="N138" s="1418"/>
      <c r="O138" s="1418"/>
      <c r="P138" s="1419"/>
      <c r="Q138" s="563" t="s">
        <v>1332</v>
      </c>
    </row>
    <row r="139" spans="1:17" ht="3" customHeight="1">
      <c r="B139" s="137"/>
      <c r="C139" s="137"/>
      <c r="D139" s="137"/>
      <c r="E139" s="137"/>
    </row>
    <row r="140" spans="1:17" s="51" customFormat="1" ht="12" customHeight="1">
      <c r="A140" s="183" t="s">
        <v>228</v>
      </c>
      <c r="B140" s="122" t="s">
        <v>2625</v>
      </c>
      <c r="E140" s="49"/>
      <c r="F140" s="49"/>
      <c r="H140" s="72"/>
      <c r="K140" s="56"/>
      <c r="L140" s="459" t="str">
        <f>IF(OR($O140=$M140,$O140=0,$O140=""),"","* * Check Score! * *")</f>
        <v/>
      </c>
      <c r="M140" s="2">
        <v>2</v>
      </c>
      <c r="N140" s="483" t="str">
        <f>IF(OR($O140=$M140,$O140=0,$O140=""),"","***")</f>
        <v/>
      </c>
      <c r="O140" s="2314">
        <v>2</v>
      </c>
      <c r="P140" s="792"/>
      <c r="Q140" s="126" t="s">
        <v>463</v>
      </c>
    </row>
    <row r="141" spans="1:17" ht="11.45" customHeight="1">
      <c r="B141" s="204" t="s">
        <v>1783</v>
      </c>
      <c r="E141" s="137"/>
      <c r="M141" s="472"/>
      <c r="N141" s="31"/>
      <c r="O141" s="31"/>
      <c r="P141" s="139" t="s">
        <v>2681</v>
      </c>
    </row>
    <row r="142" spans="1:17" s="478" customFormat="1">
      <c r="A142" s="170" t="s">
        <v>2118</v>
      </c>
      <c r="B142" s="1545" t="s">
        <v>2824</v>
      </c>
      <c r="C142" s="1302"/>
      <c r="D142" s="1302"/>
      <c r="E142" s="1302"/>
      <c r="F142" s="1302"/>
      <c r="G142" s="1302"/>
      <c r="H142" s="1302"/>
      <c r="I142" s="1302"/>
      <c r="J142" s="1302"/>
      <c r="K142" s="1302"/>
      <c r="L142" s="1302"/>
      <c r="M142" s="1302"/>
      <c r="N142" s="1302"/>
      <c r="O142" s="474" t="s">
        <v>2599</v>
      </c>
      <c r="P142" s="800"/>
    </row>
    <row r="143" spans="1:17" s="478" customFormat="1" ht="24" customHeight="1">
      <c r="A143" s="170" t="s">
        <v>2121</v>
      </c>
      <c r="B143" s="1545" t="s">
        <v>2994</v>
      </c>
      <c r="C143" s="1302"/>
      <c r="D143" s="1302"/>
      <c r="E143" s="1302"/>
      <c r="F143" s="1302"/>
      <c r="G143" s="1302"/>
      <c r="H143" s="1302"/>
      <c r="I143" s="1302"/>
      <c r="J143" s="1302"/>
      <c r="K143" s="1302"/>
      <c r="L143" s="1302"/>
      <c r="M143" s="1302"/>
      <c r="N143" s="1302"/>
      <c r="O143" s="474" t="s">
        <v>2600</v>
      </c>
      <c r="P143" s="801"/>
    </row>
    <row r="144" spans="1:17" s="478" customFormat="1" ht="12.75" customHeight="1">
      <c r="A144" s="170" t="s">
        <v>799</v>
      </c>
      <c r="B144" s="261" t="s">
        <v>1784</v>
      </c>
      <c r="M144" s="550"/>
      <c r="N144" s="474"/>
      <c r="O144" s="474" t="s">
        <v>2601</v>
      </c>
      <c r="P144" s="802"/>
    </row>
    <row r="145" spans="1:18" s="51" customFormat="1" ht="12.75" customHeight="1">
      <c r="A145" s="474"/>
      <c r="B145" s="57" t="s">
        <v>269</v>
      </c>
      <c r="C145" s="50"/>
      <c r="D145" s="56"/>
      <c r="E145" s="56"/>
      <c r="F145" s="56"/>
      <c r="G145" s="56"/>
      <c r="H145" s="44"/>
      <c r="I145" s="44"/>
      <c r="J145" s="44"/>
      <c r="K145" s="44"/>
      <c r="M145" s="54"/>
      <c r="N145" s="73"/>
      <c r="O145" s="4"/>
      <c r="P145" s="1163"/>
    </row>
    <row r="146" spans="1:18" s="51" customFormat="1" ht="24.6" customHeight="1">
      <c r="A146" s="2199"/>
      <c r="B146" s="2200"/>
      <c r="C146" s="2200"/>
      <c r="D146" s="2200"/>
      <c r="E146" s="2200"/>
      <c r="F146" s="2200"/>
      <c r="G146" s="2200"/>
      <c r="H146" s="2200"/>
      <c r="I146" s="2200"/>
      <c r="J146" s="2200"/>
      <c r="K146" s="2200"/>
      <c r="L146" s="2200"/>
      <c r="M146" s="2200"/>
      <c r="N146" s="2200"/>
      <c r="O146" s="2200"/>
      <c r="P146" s="2201"/>
      <c r="Q146" s="563" t="s">
        <v>1332</v>
      </c>
    </row>
    <row r="147" spans="1:18" s="51" customFormat="1" ht="11.25" customHeight="1">
      <c r="A147" s="50"/>
      <c r="B147" s="100" t="s">
        <v>1996</v>
      </c>
      <c r="C147" s="50"/>
      <c r="D147" s="100"/>
      <c r="E147" s="1164"/>
      <c r="F147" s="1164"/>
      <c r="G147" s="1164"/>
      <c r="H147" s="1164"/>
      <c r="I147" s="1164"/>
      <c r="J147" s="1164"/>
      <c r="K147" s="1164"/>
      <c r="L147" s="1164"/>
      <c r="M147" s="1164"/>
      <c r="N147" s="87"/>
      <c r="O147" s="83"/>
      <c r="P147" s="2"/>
      <c r="Q147" s="530"/>
    </row>
    <row r="148" spans="1:18" s="51" customFormat="1" ht="40.5" customHeight="1">
      <c r="A148" s="1417"/>
      <c r="B148" s="1418"/>
      <c r="C148" s="1418"/>
      <c r="D148" s="1418"/>
      <c r="E148" s="1418"/>
      <c r="F148" s="1418"/>
      <c r="G148" s="1418"/>
      <c r="H148" s="1418"/>
      <c r="I148" s="1418"/>
      <c r="J148" s="1418"/>
      <c r="K148" s="1418"/>
      <c r="L148" s="1418"/>
      <c r="M148" s="1418"/>
      <c r="N148" s="1418"/>
      <c r="O148" s="1418"/>
      <c r="P148" s="1419"/>
      <c r="Q148" s="563" t="s">
        <v>1332</v>
      </c>
    </row>
    <row r="149" spans="1:18" ht="3" customHeight="1">
      <c r="B149" s="137"/>
      <c r="C149" s="137"/>
      <c r="D149" s="137"/>
      <c r="E149" s="137"/>
    </row>
    <row r="150" spans="1:18" s="51" customFormat="1" ht="12" customHeight="1">
      <c r="A150" s="184" t="s">
        <v>229</v>
      </c>
      <c r="B150" s="123" t="s">
        <v>3325</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6" t="s">
        <v>2381</v>
      </c>
      <c r="D151" s="72"/>
      <c r="E151" s="72"/>
      <c r="F151" s="52"/>
      <c r="G151" s="31"/>
      <c r="K151" s="594" t="s">
        <v>2922</v>
      </c>
      <c r="L151" s="2258" t="s">
        <v>3701</v>
      </c>
      <c r="M151" s="8">
        <v>1</v>
      </c>
      <c r="N151" s="594" t="s">
        <v>2118</v>
      </c>
      <c r="O151" s="2308">
        <v>1</v>
      </c>
      <c r="P151" s="788"/>
      <c r="Q151" s="475"/>
      <c r="R151" s="459" t="str">
        <f>IF(OR($O151=$M151,$O151=0,$O151=""),"","* * Check Score! * *")</f>
        <v/>
      </c>
    </row>
    <row r="152" spans="1:18" s="51" customFormat="1" ht="12" customHeight="1">
      <c r="A152" s="165" t="s">
        <v>2121</v>
      </c>
      <c r="B152" s="206" t="s">
        <v>2382</v>
      </c>
      <c r="D152" s="68"/>
      <c r="H152" s="1169" t="s">
        <v>2908</v>
      </c>
      <c r="K152" s="62"/>
      <c r="L152" s="2260" t="s">
        <v>3702</v>
      </c>
      <c r="M152" s="8">
        <v>1</v>
      </c>
      <c r="N152" s="594" t="s">
        <v>2121</v>
      </c>
      <c r="O152" s="2312"/>
      <c r="P152" s="789"/>
      <c r="Q152" s="475"/>
      <c r="R152" s="459"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3"/>
    </row>
    <row r="154" spans="1:18" s="51" customFormat="1" ht="12.6" customHeight="1">
      <c r="A154" s="2199"/>
      <c r="B154" s="2200"/>
      <c r="C154" s="2200"/>
      <c r="D154" s="2200"/>
      <c r="E154" s="2200"/>
      <c r="F154" s="2200"/>
      <c r="G154" s="2200"/>
      <c r="H154" s="2200"/>
      <c r="I154" s="2200"/>
      <c r="J154" s="2200"/>
      <c r="K154" s="2200"/>
      <c r="L154" s="2200"/>
      <c r="M154" s="2200"/>
      <c r="N154" s="2200"/>
      <c r="O154" s="2200"/>
      <c r="P154" s="2201"/>
      <c r="Q154" s="563" t="s">
        <v>1332</v>
      </c>
    </row>
    <row r="155" spans="1:18" s="51" customFormat="1" ht="11.25" customHeight="1">
      <c r="A155" s="50"/>
      <c r="B155" s="100" t="s">
        <v>1996</v>
      </c>
      <c r="C155" s="115"/>
      <c r="D155" s="100"/>
      <c r="E155" s="116"/>
      <c r="F155" s="1164"/>
      <c r="G155" s="1164"/>
      <c r="H155" s="1164"/>
      <c r="I155" s="1164"/>
      <c r="J155" s="1164"/>
      <c r="K155" s="1164"/>
      <c r="L155" s="1164"/>
      <c r="M155" s="1164"/>
      <c r="N155" s="87"/>
      <c r="O155" s="83"/>
      <c r="P155" s="2"/>
      <c r="Q155" s="530"/>
    </row>
    <row r="156" spans="1:18" s="51" customFormat="1" ht="12.6" customHeight="1">
      <c r="A156" s="1417"/>
      <c r="B156" s="1418"/>
      <c r="C156" s="1418"/>
      <c r="D156" s="1418"/>
      <c r="E156" s="1418"/>
      <c r="F156" s="1418"/>
      <c r="G156" s="1418"/>
      <c r="H156" s="1418"/>
      <c r="I156" s="1418"/>
      <c r="J156" s="1418"/>
      <c r="K156" s="1418"/>
      <c r="L156" s="1418"/>
      <c r="M156" s="1418"/>
      <c r="N156" s="1418"/>
      <c r="O156" s="1418"/>
      <c r="P156" s="1419"/>
      <c r="Q156" s="563" t="s">
        <v>1332</v>
      </c>
    </row>
    <row r="157" spans="1:18" s="51" customFormat="1" ht="3" customHeight="1">
      <c r="A157" s="50"/>
      <c r="B157" s="50"/>
      <c r="C157" s="1164"/>
      <c r="D157" s="1164"/>
      <c r="E157" s="1164"/>
      <c r="F157" s="1164"/>
      <c r="G157" s="1164"/>
      <c r="H157" s="1164"/>
      <c r="I157" s="1164"/>
      <c r="J157" s="1164"/>
      <c r="K157" s="1164"/>
      <c r="L157" s="1164"/>
      <c r="M157" s="1164"/>
      <c r="N157" s="87"/>
      <c r="O157" s="83"/>
      <c r="P157" s="610"/>
    </row>
    <row r="158" spans="1:18" s="51" customFormat="1" ht="15">
      <c r="A158" s="184" t="s">
        <v>247</v>
      </c>
      <c r="B158" s="130" t="s">
        <v>2900</v>
      </c>
      <c r="C158" s="102"/>
      <c r="D158" s="69"/>
      <c r="E158" s="62"/>
      <c r="M158" s="2">
        <v>3</v>
      </c>
      <c r="N158" s="7"/>
      <c r="O158" s="7"/>
      <c r="P158" s="792"/>
      <c r="Q158" s="126" t="s">
        <v>463</v>
      </c>
    </row>
    <row r="159" spans="1:18" s="51" customFormat="1" ht="12" customHeight="1">
      <c r="A159" s="184"/>
      <c r="B159" s="679" t="s">
        <v>2912</v>
      </c>
      <c r="C159" s="102"/>
      <c r="D159" s="69"/>
      <c r="E159" s="62"/>
      <c r="G159" s="593" t="str">
        <f>'Part I-Project Information'!$H$81</f>
        <v>No</v>
      </c>
      <c r="J159" s="72"/>
      <c r="M159" s="2"/>
      <c r="N159" s="2"/>
      <c r="O159" s="139" t="s">
        <v>2681</v>
      </c>
      <c r="P159" s="139" t="s">
        <v>2681</v>
      </c>
      <c r="Q159" s="126"/>
    </row>
    <row r="160" spans="1:18" s="51" customFormat="1" ht="12" customHeight="1">
      <c r="A160" s="165"/>
      <c r="B160" s="65" t="s">
        <v>2503</v>
      </c>
      <c r="D160" s="40"/>
      <c r="N160" s="594"/>
      <c r="O160" s="2258" t="s">
        <v>3702</v>
      </c>
      <c r="P160" s="797"/>
      <c r="R160" s="459"/>
    </row>
    <row r="161" spans="1:18" s="51" customFormat="1" ht="12" customHeight="1">
      <c r="A161" s="165"/>
      <c r="B161" s="65" t="s">
        <v>3543</v>
      </c>
      <c r="D161" s="40"/>
      <c r="N161" s="594"/>
      <c r="O161" s="2260" t="s">
        <v>1610</v>
      </c>
      <c r="P161" s="799"/>
      <c r="R161" s="459"/>
    </row>
    <row r="162" spans="1:18" s="51" customFormat="1" ht="12" customHeight="1">
      <c r="A162" s="50"/>
      <c r="B162" s="57" t="s">
        <v>269</v>
      </c>
      <c r="C162" s="50"/>
      <c r="D162" s="56"/>
      <c r="E162" s="56"/>
      <c r="F162" s="56"/>
      <c r="G162" s="56"/>
      <c r="H162" s="44"/>
      <c r="I162" s="44"/>
      <c r="J162" s="44"/>
      <c r="K162" s="44"/>
      <c r="M162" s="54"/>
      <c r="N162" s="73"/>
      <c r="O162" s="4"/>
      <c r="P162" s="1163"/>
    </row>
    <row r="163" spans="1:18" s="51" customFormat="1" ht="12.75" customHeight="1">
      <c r="A163" s="2199"/>
      <c r="B163" s="2200"/>
      <c r="C163" s="2200"/>
      <c r="D163" s="2200"/>
      <c r="E163" s="2200"/>
      <c r="F163" s="2200"/>
      <c r="G163" s="2200"/>
      <c r="H163" s="2200"/>
      <c r="I163" s="2200"/>
      <c r="J163" s="2200"/>
      <c r="K163" s="2200"/>
      <c r="L163" s="2200"/>
      <c r="M163" s="2200"/>
      <c r="N163" s="2200"/>
      <c r="O163" s="2200"/>
      <c r="P163" s="2201"/>
      <c r="Q163" s="563" t="s">
        <v>1332</v>
      </c>
    </row>
    <row r="164" spans="1:18" s="51" customFormat="1" ht="12" customHeight="1">
      <c r="B164" s="100" t="s">
        <v>1996</v>
      </c>
      <c r="C164" s="115"/>
      <c r="D164" s="100"/>
      <c r="E164" s="116"/>
      <c r="F164" s="1164"/>
      <c r="G164" s="1164"/>
      <c r="H164" s="1164"/>
      <c r="I164" s="1164"/>
      <c r="J164" s="1164"/>
      <c r="K164" s="1164"/>
      <c r="L164" s="1164"/>
      <c r="M164" s="1164"/>
      <c r="N164" s="87"/>
      <c r="O164" s="83"/>
      <c r="P164" s="2"/>
      <c r="Q164" s="530"/>
    </row>
    <row r="165" spans="1:18" s="51" customFormat="1" ht="12.75" customHeight="1">
      <c r="A165" s="1417"/>
      <c r="B165" s="1418"/>
      <c r="C165" s="1418"/>
      <c r="D165" s="1418"/>
      <c r="E165" s="1418"/>
      <c r="F165" s="1418"/>
      <c r="G165" s="1418"/>
      <c r="H165" s="1418"/>
      <c r="I165" s="1418"/>
      <c r="J165" s="1418"/>
      <c r="K165" s="1418"/>
      <c r="L165" s="1418"/>
      <c r="M165" s="1418"/>
      <c r="N165" s="1418"/>
      <c r="O165" s="1418"/>
      <c r="P165" s="1419"/>
      <c r="Q165" s="563" t="s">
        <v>1332</v>
      </c>
    </row>
    <row r="166" spans="1:18" ht="4.5" customHeight="1"/>
    <row r="167" spans="1:18" s="74" customFormat="1" ht="12.6" customHeight="1">
      <c r="A167" s="183" t="s">
        <v>248</v>
      </c>
      <c r="B167" s="122" t="s">
        <v>3326</v>
      </c>
      <c r="E167" s="677" t="s">
        <v>3215</v>
      </c>
      <c r="G167" s="136"/>
      <c r="H167" s="511"/>
      <c r="K167" s="89">
        <f>'Part VI-Revenues &amp; Expenses'!$M$62</f>
        <v>75</v>
      </c>
      <c r="L167" s="658" t="s">
        <v>1917</v>
      </c>
      <c r="M167" s="2">
        <v>3</v>
      </c>
      <c r="N167" s="483" t="str">
        <f>IF(OR($O167=$M167,$O167=0,$O167=""),"","***")</f>
        <v/>
      </c>
      <c r="O167" s="2314"/>
      <c r="P167" s="792"/>
      <c r="Q167" s="126" t="s">
        <v>463</v>
      </c>
      <c r="R167" s="31"/>
    </row>
    <row r="168" spans="1:18" s="74" customFormat="1" ht="12.6" customHeight="1">
      <c r="A168" s="183"/>
      <c r="B168" s="206" t="s">
        <v>3248</v>
      </c>
      <c r="C168" s="670"/>
      <c r="E168" s="713" t="str">
        <f>'Part I-Project Information'!$H$85</f>
        <v>Flexible</v>
      </c>
      <c r="G168" s="677" t="str">
        <f>IF(E168="Flexible","(NOTE: Only Rural pool applicants are eligible for this section.)","")</f>
        <v>(NOTE: Only Rural pool applicants are eligible for this section.)</v>
      </c>
      <c r="H168" s="511"/>
      <c r="I168" s="676"/>
      <c r="J168" s="658"/>
      <c r="K168" s="678">
        <f>'Part VI-Revenues &amp; Expenses'!$M$74/'Part VI-Revenues &amp; Expenses'!$M$62</f>
        <v>0</v>
      </c>
      <c r="L168" s="658" t="s">
        <v>3205</v>
      </c>
      <c r="M168" s="2"/>
      <c r="N168" s="483"/>
      <c r="O168" s="483"/>
      <c r="P168" s="483"/>
      <c r="Q168" s="126"/>
      <c r="R168" s="31"/>
    </row>
    <row r="169" spans="1:18" s="74" customFormat="1" ht="25.15" customHeight="1">
      <c r="A169" s="183"/>
      <c r="B169" s="1401" t="s">
        <v>2969</v>
      </c>
      <c r="C169" s="1549"/>
      <c r="D169" s="1549"/>
      <c r="E169" s="1549"/>
      <c r="F169" s="1549"/>
      <c r="G169" s="1549"/>
      <c r="H169" s="1549"/>
      <c r="I169" s="1549"/>
      <c r="J169" s="1549"/>
      <c r="K169" s="1549"/>
      <c r="L169" s="1549"/>
      <c r="M169" s="1549"/>
      <c r="N169" s="2"/>
      <c r="R169" s="459"/>
    </row>
    <row r="170" spans="1:18" s="51" customFormat="1" ht="13.9" customHeight="1">
      <c r="A170" s="50"/>
      <c r="B170" s="57" t="s">
        <v>269</v>
      </c>
      <c r="C170" s="50"/>
      <c r="D170" s="56"/>
      <c r="E170" s="56"/>
      <c r="F170" s="56"/>
      <c r="G170" s="56"/>
      <c r="H170" s="44"/>
      <c r="I170" s="44"/>
      <c r="J170" s="100" t="s">
        <v>1996</v>
      </c>
      <c r="M170" s="54"/>
      <c r="N170" s="73"/>
      <c r="O170" s="4"/>
      <c r="P170" s="1163"/>
    </row>
    <row r="171" spans="1:18" s="51" customFormat="1" ht="12" customHeight="1">
      <c r="A171" s="2199"/>
      <c r="B171" s="2200"/>
      <c r="C171" s="2200"/>
      <c r="D171" s="2200"/>
      <c r="E171" s="2200"/>
      <c r="F171" s="2200"/>
      <c r="G171" s="2200"/>
      <c r="H171" s="2200"/>
      <c r="I171" s="2201"/>
      <c r="J171" s="1417"/>
      <c r="K171" s="1418"/>
      <c r="L171" s="1418"/>
      <c r="M171" s="1418"/>
      <c r="N171" s="1418"/>
      <c r="O171" s="1418"/>
      <c r="P171" s="1419"/>
      <c r="Q171" s="563" t="s">
        <v>1332</v>
      </c>
    </row>
    <row r="172" spans="1:18" s="51" customFormat="1" ht="6" customHeight="1">
      <c r="A172" s="50"/>
      <c r="C172" s="1164"/>
      <c r="D172" s="1164"/>
      <c r="E172" s="1164"/>
      <c r="F172" s="1164"/>
      <c r="G172" s="1164"/>
      <c r="H172" s="1164"/>
      <c r="I172" s="1164"/>
      <c r="J172" s="1164"/>
      <c r="K172" s="1164"/>
      <c r="L172" s="1164"/>
      <c r="M172" s="1164"/>
      <c r="N172" s="87"/>
      <c r="O172" s="83"/>
      <c r="P172" s="610"/>
    </row>
    <row r="173" spans="1:18" s="51" customFormat="1" ht="13.5" customHeight="1">
      <c r="A173" s="183" t="s">
        <v>1494</v>
      </c>
      <c r="B173" s="131" t="s">
        <v>1786</v>
      </c>
      <c r="D173" s="103"/>
      <c r="E173" s="103"/>
      <c r="G173" s="62"/>
      <c r="H173" s="62"/>
      <c r="I173" s="62"/>
      <c r="J173" s="64"/>
      <c r="K173" s="71"/>
      <c r="L173" s="459" t="str">
        <f>IF(OR($O173=$M173,$O173=0,$O173=""),"","* * Check Score! * *")</f>
        <v/>
      </c>
      <c r="M173" s="610">
        <v>1</v>
      </c>
      <c r="N173" s="483" t="str">
        <f>IF(OR($O173=$M173,$O173=0,$O173=""),"","***")</f>
        <v/>
      </c>
      <c r="O173" s="2314">
        <v>1</v>
      </c>
      <c r="P173" s="792"/>
      <c r="Q173" s="126" t="s">
        <v>463</v>
      </c>
    </row>
    <row r="174" spans="1:18" s="51" customFormat="1" ht="10.5" customHeight="1">
      <c r="B174" s="132" t="s">
        <v>3327</v>
      </c>
      <c r="D174" s="119"/>
      <c r="E174" s="103"/>
      <c r="F174" s="62"/>
      <c r="G174" s="62"/>
      <c r="H174" s="62"/>
      <c r="I174" s="61"/>
      <c r="O174" s="139" t="s">
        <v>2681</v>
      </c>
      <c r="P174" s="139" t="s">
        <v>2681</v>
      </c>
    </row>
    <row r="175" spans="1:18" s="117" customFormat="1" ht="10.5" customHeight="1">
      <c r="A175" s="165" t="s">
        <v>2118</v>
      </c>
      <c r="B175" s="160" t="s">
        <v>3530</v>
      </c>
      <c r="D175" s="138"/>
      <c r="E175" s="138"/>
      <c r="F175" s="138"/>
      <c r="J175" s="2347" t="s">
        <v>2416</v>
      </c>
      <c r="K175" s="2348"/>
      <c r="L175" s="2349"/>
      <c r="N175" s="594" t="s">
        <v>2118</v>
      </c>
      <c r="O175" s="2258" t="s">
        <v>3701</v>
      </c>
      <c r="P175" s="797"/>
    </row>
    <row r="176" spans="1:18" s="117" customFormat="1" ht="10.5" customHeight="1">
      <c r="A176" s="165" t="s">
        <v>2121</v>
      </c>
      <c r="B176" s="160" t="s">
        <v>3531</v>
      </c>
      <c r="D176" s="138"/>
      <c r="E176" s="138"/>
      <c r="F176" s="138"/>
      <c r="G176" s="138"/>
      <c r="L176" s="138"/>
      <c r="M176" s="138"/>
      <c r="N176" s="594" t="s">
        <v>2121</v>
      </c>
      <c r="O176" s="2259" t="s">
        <v>3701</v>
      </c>
      <c r="P176" s="798"/>
    </row>
    <row r="177" spans="1:18" s="117" customFormat="1" ht="10.5" customHeight="1">
      <c r="A177" s="165" t="s">
        <v>799</v>
      </c>
      <c r="B177" s="160" t="s">
        <v>3532</v>
      </c>
      <c r="D177" s="138"/>
      <c r="E177" s="138"/>
      <c r="F177" s="138"/>
      <c r="G177" s="138"/>
      <c r="H177" s="138"/>
      <c r="L177" s="138"/>
      <c r="M177" s="138"/>
      <c r="N177" s="594" t="s">
        <v>799</v>
      </c>
      <c r="O177" s="2259" t="s">
        <v>3701</v>
      </c>
      <c r="P177" s="798"/>
    </row>
    <row r="178" spans="1:18" s="117" customFormat="1" ht="10.5" customHeight="1">
      <c r="A178" s="165" t="s">
        <v>2253</v>
      </c>
      <c r="B178" s="160" t="s">
        <v>3533</v>
      </c>
      <c r="D178" s="138"/>
      <c r="E178" s="138"/>
      <c r="F178" s="138"/>
      <c r="G178" s="138"/>
      <c r="H178" s="138"/>
      <c r="I178" s="138"/>
      <c r="J178" s="138"/>
      <c r="K178" s="138"/>
      <c r="L178" s="138"/>
      <c r="M178" s="138"/>
      <c r="N178" s="594" t="s">
        <v>2253</v>
      </c>
      <c r="O178" s="2260" t="s">
        <v>3701</v>
      </c>
      <c r="P178" s="799"/>
    </row>
    <row r="179" spans="1:18" s="117" customFormat="1" ht="11.45" customHeight="1">
      <c r="A179" s="224" t="s">
        <v>3534</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1996</v>
      </c>
      <c r="M180" s="54"/>
      <c r="N180" s="73"/>
      <c r="O180" s="4"/>
      <c r="P180" s="1163"/>
    </row>
    <row r="181" spans="1:18" s="51" customFormat="1" ht="10.5" customHeight="1">
      <c r="A181" s="2199"/>
      <c r="B181" s="2200"/>
      <c r="C181" s="2200"/>
      <c r="D181" s="2200"/>
      <c r="E181" s="2200"/>
      <c r="F181" s="2200"/>
      <c r="G181" s="2200"/>
      <c r="H181" s="2200"/>
      <c r="I181" s="2201"/>
      <c r="J181" s="1417"/>
      <c r="K181" s="1418"/>
      <c r="L181" s="1418"/>
      <c r="M181" s="1418"/>
      <c r="N181" s="1418"/>
      <c r="O181" s="1418"/>
      <c r="P181" s="1419"/>
      <c r="Q181" s="563" t="s">
        <v>1332</v>
      </c>
    </row>
    <row r="182" spans="1:18" ht="4.5" customHeight="1"/>
    <row r="183" spans="1:18" s="51" customFormat="1" ht="15">
      <c r="A183" s="183" t="s">
        <v>1785</v>
      </c>
      <c r="B183" s="131" t="s">
        <v>3330</v>
      </c>
      <c r="D183" s="103"/>
      <c r="E183" s="103"/>
      <c r="F183" s="62"/>
      <c r="G183" s="62"/>
      <c r="H183" s="62"/>
      <c r="I183" s="206" t="s">
        <v>3248</v>
      </c>
      <c r="J183" s="670"/>
      <c r="K183" s="74"/>
      <c r="L183" s="671" t="str">
        <f>'Part I-Project Information'!$H$85</f>
        <v>Flexible</v>
      </c>
      <c r="M183" s="4">
        <v>7</v>
      </c>
      <c r="N183" s="7"/>
      <c r="O183" s="76">
        <f>O190+O207+O209</f>
        <v>3</v>
      </c>
      <c r="P183" s="76">
        <f>P190+P207+P209</f>
        <v>0</v>
      </c>
      <c r="Q183" s="126" t="s">
        <v>463</v>
      </c>
    </row>
    <row r="184" spans="1:18" s="51" customFormat="1" ht="10.5" customHeight="1">
      <c r="A184" s="50"/>
      <c r="B184" s="132" t="s">
        <v>3544</v>
      </c>
      <c r="E184" s="103"/>
      <c r="F184" s="62"/>
      <c r="G184" s="62"/>
      <c r="H184" s="62"/>
      <c r="I184" s="62"/>
      <c r="J184" s="64"/>
      <c r="K184" s="71"/>
      <c r="L184" s="67"/>
      <c r="O184" s="139" t="s">
        <v>2681</v>
      </c>
      <c r="P184" s="139" t="s">
        <v>2681</v>
      </c>
    </row>
    <row r="185" spans="1:18" s="117" customFormat="1" ht="10.5" customHeight="1">
      <c r="B185" s="548" t="s">
        <v>2122</v>
      </c>
      <c r="C185" s="537" t="s">
        <v>3328</v>
      </c>
      <c r="E185" s="103"/>
      <c r="F185" s="62"/>
      <c r="G185" s="62"/>
      <c r="H185" s="62"/>
      <c r="I185" s="62"/>
      <c r="J185" s="64"/>
      <c r="K185" s="71"/>
      <c r="L185" s="67" t="str">
        <f>IF(M185&gt;14,"Over limit!","")</f>
        <v/>
      </c>
      <c r="N185" s="218" t="s">
        <v>2122</v>
      </c>
      <c r="O185" s="2258" t="s">
        <v>3701</v>
      </c>
      <c r="P185" s="797"/>
    </row>
    <row r="186" spans="1:18" s="117" customFormat="1" ht="10.5" customHeight="1">
      <c r="B186" s="548" t="s">
        <v>2124</v>
      </c>
      <c r="C186" s="117" t="s">
        <v>602</v>
      </c>
      <c r="N186" s="218" t="s">
        <v>2124</v>
      </c>
      <c r="O186" s="2259" t="s">
        <v>3701</v>
      </c>
      <c r="P186" s="798"/>
    </row>
    <row r="187" spans="1:18" s="117" customFormat="1" ht="10.5" customHeight="1">
      <c r="B187" s="548" t="s">
        <v>2707</v>
      </c>
      <c r="C187" s="117" t="s">
        <v>603</v>
      </c>
      <c r="N187" s="218" t="s">
        <v>2707</v>
      </c>
      <c r="O187" s="2259" t="s">
        <v>3701</v>
      </c>
      <c r="P187" s="798"/>
    </row>
    <row r="188" spans="1:18" s="117" customFormat="1" ht="10.5" customHeight="1">
      <c r="B188" s="548" t="s">
        <v>1301</v>
      </c>
      <c r="C188" s="117" t="s">
        <v>604</v>
      </c>
      <c r="N188" s="218" t="s">
        <v>1301</v>
      </c>
      <c r="O188" s="2259" t="s">
        <v>3701</v>
      </c>
      <c r="P188" s="798"/>
    </row>
    <row r="189" spans="1:18" s="117" customFormat="1" ht="10.5" customHeight="1">
      <c r="B189" s="548" t="s">
        <v>1302</v>
      </c>
      <c r="C189" s="117" t="s">
        <v>612</v>
      </c>
      <c r="N189" s="218" t="s">
        <v>1302</v>
      </c>
      <c r="O189" s="2260" t="s">
        <v>3701</v>
      </c>
      <c r="P189" s="799"/>
    </row>
    <row r="190" spans="1:18" s="51" customFormat="1" ht="11.25" customHeight="1">
      <c r="A190" s="165" t="s">
        <v>2118</v>
      </c>
      <c r="B190" s="224" t="s">
        <v>1973</v>
      </c>
      <c r="D190" s="48"/>
      <c r="E190" s="48"/>
      <c r="F190" s="40"/>
      <c r="G190" s="119"/>
      <c r="H190" s="119"/>
      <c r="I190" s="119"/>
      <c r="J190" s="48"/>
      <c r="K190" s="119"/>
      <c r="L190" s="40"/>
      <c r="M190" s="536">
        <v>4</v>
      </c>
      <c r="N190" s="594" t="s">
        <v>2118</v>
      </c>
      <c r="O190" s="180">
        <f>IF(AND($L183="Flexible",$I206&gt;=0.15), 4,IF(AND($L183="Flexible",$I206&gt;=0.1), 3,IF(AND($L183="Flexible",$I206&gt;=0.05), 2,IF(AND($L183="Flexible",$I206&gt;=0.02), 1,IF(AND($L183="Rural",$I206&gt;=0.1), 4,IF(AND($L183="Rural",$I206&gt;=0.05), 2,IF(AND($L183="Rural",$I206&gt;=0.02), 1,0)))))))</f>
        <v>2</v>
      </c>
      <c r="P190" s="180">
        <f>IF(AND($L183="Flexible",$L206&gt;=0.15), 4,IF(AND($L183="Flexible",$L206&gt;=0.1), 3,IF(AND($L183="Flexible",$L206&gt;=0.05), 2,IF(AND($L183="Flexible",$L206&gt;=0.02), 1,IF(AND($L183="Rural",$L206&gt;=0.1), 4,IF(AND($L183="Rural",$L206&gt;=0.05), 2,IF(AND($L183="Rural",$L206&gt;=0.02), 1,0)))))))</f>
        <v>0</v>
      </c>
    </row>
    <row r="191" spans="1:18" ht="10.5" customHeight="1">
      <c r="B191" s="453" t="s">
        <v>2122</v>
      </c>
      <c r="C191" s="553" t="s">
        <v>2818</v>
      </c>
      <c r="I191" s="1553" t="s">
        <v>2126</v>
      </c>
      <c r="J191" s="1553"/>
      <c r="L191" s="1172" t="s">
        <v>2126</v>
      </c>
      <c r="M191" s="190"/>
      <c r="N191" s="218" t="s">
        <v>2122</v>
      </c>
    </row>
    <row r="192" spans="1:18" s="51" customFormat="1" ht="10.5" customHeight="1">
      <c r="A192" s="219"/>
      <c r="B192" s="128"/>
      <c r="C192" s="454" t="s">
        <v>2599</v>
      </c>
      <c r="D192" s="44" t="s">
        <v>1580</v>
      </c>
      <c r="H192" s="65"/>
      <c r="I192" s="2350"/>
      <c r="J192" s="2351"/>
      <c r="K192" s="221"/>
      <c r="L192" s="803"/>
      <c r="M192" s="85"/>
      <c r="N192" s="454" t="s">
        <v>2599</v>
      </c>
      <c r="O192" s="2258" t="s">
        <v>1610</v>
      </c>
      <c r="P192" s="797"/>
      <c r="R192" s="459"/>
    </row>
    <row r="193" spans="1:18" ht="10.5" customHeight="1">
      <c r="A193" s="220"/>
      <c r="B193" s="94"/>
      <c r="C193" s="474" t="s">
        <v>2600</v>
      </c>
      <c r="D193" s="44" t="s">
        <v>1581</v>
      </c>
      <c r="H193" s="65"/>
      <c r="I193" s="2352"/>
      <c r="J193" s="2353"/>
      <c r="L193" s="804"/>
      <c r="M193" s="85"/>
      <c r="N193" s="474" t="s">
        <v>2600</v>
      </c>
      <c r="O193" s="2259" t="s">
        <v>1610</v>
      </c>
      <c r="P193" s="798"/>
      <c r="R193" s="459"/>
    </row>
    <row r="194" spans="1:18" ht="10.5" customHeight="1">
      <c r="B194" s="548"/>
      <c r="C194" s="454" t="s">
        <v>2601</v>
      </c>
      <c r="D194" s="44" t="s">
        <v>2817</v>
      </c>
      <c r="H194" s="65"/>
      <c r="I194" s="2352"/>
      <c r="J194" s="2353"/>
      <c r="L194" s="804"/>
      <c r="M194" s="85"/>
      <c r="N194" s="454" t="s">
        <v>2601</v>
      </c>
      <c r="O194" s="2259" t="s">
        <v>1610</v>
      </c>
      <c r="P194" s="798"/>
      <c r="R194" s="459"/>
    </row>
    <row r="195" spans="1:18" ht="10.5" customHeight="1">
      <c r="A195" s="220"/>
      <c r="B195" s="548"/>
      <c r="C195" s="454" t="s">
        <v>2602</v>
      </c>
      <c r="D195" s="44" t="s">
        <v>3329</v>
      </c>
      <c r="I195" s="2352"/>
      <c r="J195" s="2353"/>
      <c r="L195" s="804"/>
      <c r="M195" s="85"/>
      <c r="N195" s="454" t="s">
        <v>2602</v>
      </c>
      <c r="O195" s="2259" t="s">
        <v>1610</v>
      </c>
      <c r="P195" s="798"/>
      <c r="R195" s="459"/>
    </row>
    <row r="196" spans="1:18" s="51" customFormat="1" ht="10.5" customHeight="1">
      <c r="A196" s="219"/>
      <c r="B196" s="548"/>
      <c r="C196" s="474" t="s">
        <v>2603</v>
      </c>
      <c r="D196" s="44" t="s">
        <v>1582</v>
      </c>
      <c r="H196" s="65"/>
      <c r="I196" s="2352"/>
      <c r="J196" s="2353"/>
      <c r="K196" s="221"/>
      <c r="L196" s="804"/>
      <c r="M196" s="85"/>
      <c r="N196" s="474" t="s">
        <v>2603</v>
      </c>
      <c r="O196" s="2259" t="s">
        <v>1610</v>
      </c>
      <c r="P196" s="798"/>
      <c r="R196" s="459"/>
    </row>
    <row r="197" spans="1:18" ht="10.5" customHeight="1">
      <c r="B197" s="548"/>
      <c r="C197" s="454" t="s">
        <v>2619</v>
      </c>
      <c r="D197" s="44" t="s">
        <v>1583</v>
      </c>
      <c r="H197" s="65"/>
      <c r="I197" s="2352"/>
      <c r="J197" s="2353"/>
      <c r="L197" s="804"/>
      <c r="M197" s="85"/>
      <c r="N197" s="454" t="s">
        <v>2619</v>
      </c>
      <c r="O197" s="2259" t="s">
        <v>1610</v>
      </c>
      <c r="P197" s="798"/>
      <c r="R197" s="459"/>
    </row>
    <row r="198" spans="1:18" ht="10.5" customHeight="1">
      <c r="A198" s="220"/>
      <c r="B198" s="548"/>
      <c r="C198" s="454" t="s">
        <v>2620</v>
      </c>
      <c r="D198" s="44" t="s">
        <v>1584</v>
      </c>
      <c r="H198" s="65"/>
      <c r="I198" s="2352"/>
      <c r="J198" s="2353"/>
      <c r="L198" s="804"/>
      <c r="M198" s="85"/>
      <c r="N198" s="454" t="s">
        <v>2620</v>
      </c>
      <c r="O198" s="2259" t="s">
        <v>1610</v>
      </c>
      <c r="P198" s="798"/>
      <c r="R198" s="459"/>
    </row>
    <row r="199" spans="1:18" ht="10.5" customHeight="1">
      <c r="B199" s="548"/>
      <c r="C199" s="473" t="s">
        <v>2621</v>
      </c>
      <c r="D199" s="44" t="s">
        <v>2995</v>
      </c>
      <c r="H199" s="65"/>
      <c r="I199" s="2352"/>
      <c r="J199" s="2353"/>
      <c r="L199" s="804"/>
      <c r="M199" s="85"/>
      <c r="N199" s="473" t="s">
        <v>2621</v>
      </c>
      <c r="O199" s="2259" t="s">
        <v>1610</v>
      </c>
      <c r="P199" s="798"/>
      <c r="R199" s="459"/>
    </row>
    <row r="200" spans="1:18" ht="10.5" customHeight="1">
      <c r="A200" s="220"/>
      <c r="B200" s="548"/>
      <c r="C200" s="473" t="s">
        <v>2622</v>
      </c>
      <c r="D200" s="44" t="s">
        <v>3535</v>
      </c>
      <c r="H200" s="65"/>
      <c r="I200" s="2352"/>
      <c r="J200" s="2353"/>
      <c r="L200" s="804"/>
      <c r="M200" s="85"/>
      <c r="N200" s="473" t="s">
        <v>2622</v>
      </c>
      <c r="O200" s="2259" t="s">
        <v>1610</v>
      </c>
      <c r="P200" s="798"/>
      <c r="R200" s="459"/>
    </row>
    <row r="201" spans="1:18" ht="10.5" customHeight="1">
      <c r="A201" s="220"/>
      <c r="B201" s="548"/>
      <c r="C201" s="473" t="s">
        <v>2623</v>
      </c>
      <c r="D201" s="44" t="s">
        <v>3536</v>
      </c>
      <c r="H201" s="65"/>
      <c r="I201" s="2352"/>
      <c r="J201" s="2353"/>
      <c r="L201" s="804"/>
      <c r="M201" s="85"/>
      <c r="N201" s="473" t="s">
        <v>2623</v>
      </c>
      <c r="O201" s="2259" t="s">
        <v>1610</v>
      </c>
      <c r="P201" s="798"/>
      <c r="R201" s="459"/>
    </row>
    <row r="202" spans="1:18" ht="10.5" customHeight="1" thickBot="1">
      <c r="A202" s="220"/>
      <c r="B202" s="548"/>
      <c r="C202" s="716" t="s">
        <v>634</v>
      </c>
      <c r="D202" s="541" t="s">
        <v>3537</v>
      </c>
      <c r="E202" s="542"/>
      <c r="F202" s="542"/>
      <c r="G202" s="542"/>
      <c r="H202" s="715"/>
      <c r="I202" s="2354">
        <v>592166</v>
      </c>
      <c r="J202" s="2355"/>
      <c r="K202" s="542"/>
      <c r="L202" s="805"/>
      <c r="M202" s="85"/>
      <c r="N202" s="473" t="s">
        <v>634</v>
      </c>
      <c r="O202" s="2260" t="s">
        <v>3701</v>
      </c>
      <c r="P202" s="799"/>
      <c r="R202" s="459"/>
    </row>
    <row r="203" spans="1:18" ht="10.5" customHeight="1" thickBot="1">
      <c r="A203" s="220"/>
      <c r="B203" s="548"/>
      <c r="D203" s="539" t="s">
        <v>2820</v>
      </c>
      <c r="H203" s="65"/>
      <c r="I203" s="2356">
        <f>SUM(I192:J202)</f>
        <v>592166</v>
      </c>
      <c r="J203" s="2357"/>
      <c r="L203" s="806">
        <f>SUM($L192:$L202)</f>
        <v>0</v>
      </c>
      <c r="M203" s="544"/>
      <c r="N203" s="459"/>
      <c r="O203" s="459"/>
      <c r="P203" s="459"/>
      <c r="R203" s="459"/>
    </row>
    <row r="204" spans="1:18" s="51" customFormat="1" ht="3" customHeight="1">
      <c r="A204" s="50"/>
      <c r="B204" s="128"/>
      <c r="D204" s="47"/>
      <c r="E204" s="44"/>
      <c r="F204" s="610"/>
      <c r="G204" s="610"/>
      <c r="H204" s="610"/>
      <c r="I204" s="610"/>
      <c r="J204" s="38"/>
      <c r="K204" s="38"/>
      <c r="L204" s="38"/>
      <c r="M204" s="1169"/>
      <c r="N204" s="610"/>
      <c r="O204" s="1163"/>
      <c r="P204" s="4"/>
    </row>
    <row r="205" spans="1:18" ht="10.5" customHeight="1">
      <c r="B205" s="453" t="s">
        <v>2124</v>
      </c>
      <c r="C205" s="553" t="s">
        <v>2819</v>
      </c>
      <c r="D205" s="539" t="s">
        <v>2821</v>
      </c>
      <c r="I205" s="1557">
        <f>'Part IV-Uses of Funds'!$G$130</f>
        <v>11249495</v>
      </c>
      <c r="J205" s="1558"/>
      <c r="M205" s="190"/>
      <c r="N205" s="31"/>
      <c r="O205" s="31"/>
      <c r="P205" s="31"/>
    </row>
    <row r="206" spans="1:18" ht="10.5" customHeight="1">
      <c r="B206" s="218"/>
      <c r="C206" s="538"/>
      <c r="D206" s="551" t="s">
        <v>2822</v>
      </c>
      <c r="G206" s="545"/>
      <c r="H206" s="545"/>
      <c r="I206" s="1554">
        <f>IF($I205=0,0,$I203/$I205)</f>
        <v>5.2639340699293616E-2</v>
      </c>
      <c r="J206" s="1555"/>
      <c r="L206" s="540">
        <f>IF($I205=0,0,$L203/$I205)</f>
        <v>0</v>
      </c>
      <c r="M206" s="190"/>
      <c r="N206" s="31"/>
      <c r="O206" s="31"/>
      <c r="P206" s="31"/>
    </row>
    <row r="207" spans="1:18" s="51" customFormat="1" ht="12.75" customHeight="1">
      <c r="A207" s="165" t="s">
        <v>2121</v>
      </c>
      <c r="B207" s="224" t="s">
        <v>2909</v>
      </c>
      <c r="D207" s="47"/>
      <c r="E207" s="44"/>
      <c r="F207" s="610"/>
      <c r="H207" s="44"/>
      <c r="I207" s="610"/>
      <c r="J207" s="38"/>
      <c r="K207" s="38"/>
      <c r="L207" s="38"/>
      <c r="M207" s="85">
        <v>1</v>
      </c>
      <c r="N207" s="594" t="s">
        <v>2121</v>
      </c>
      <c r="O207" s="2258">
        <v>1</v>
      </c>
      <c r="P207" s="788"/>
      <c r="Q207" s="475" t="s">
        <v>2947</v>
      </c>
    </row>
    <row r="208" spans="1:18" s="51" customFormat="1" ht="11.25" customHeight="1">
      <c r="A208" s="165"/>
      <c r="B208" s="62" t="s">
        <v>3331</v>
      </c>
      <c r="C208" s="62"/>
      <c r="D208" s="62"/>
      <c r="E208" s="62"/>
      <c r="F208" s="62"/>
      <c r="G208" s="62"/>
      <c r="H208" s="62"/>
      <c r="I208" s="62"/>
      <c r="J208" s="62"/>
      <c r="K208" s="62"/>
      <c r="L208" s="62"/>
      <c r="M208" s="62"/>
      <c r="N208" s="62"/>
      <c r="O208" s="2260" t="s">
        <v>3701</v>
      </c>
      <c r="P208" s="799"/>
    </row>
    <row r="209" spans="1:18" s="51" customFormat="1" ht="12.75" customHeight="1">
      <c r="A209" s="165" t="s">
        <v>799</v>
      </c>
      <c r="B209" s="224" t="s">
        <v>686</v>
      </c>
      <c r="D209" s="47"/>
      <c r="E209" s="44"/>
      <c r="F209" s="610"/>
      <c r="G209" s="610"/>
      <c r="H209" s="610"/>
      <c r="I209" s="610"/>
      <c r="J209" s="38"/>
      <c r="K209" s="38"/>
      <c r="L209" s="38"/>
      <c r="M209" s="536">
        <v>2</v>
      </c>
      <c r="N209" s="594" t="s">
        <v>799</v>
      </c>
      <c r="O209" s="180">
        <f>IF(AND($L183="Flexible",$K210&gt;=0.1), 2,IF(AND($L183="Flexible",$K210&gt;=0.05), 1,IF(AND($L183="Rural",$K210&gt;=0.05), 2,0)))</f>
        <v>0</v>
      </c>
      <c r="P209" s="180">
        <f>IF(AND($L183="Flexible",$M210&gt;=0.1), 2,IF(AND($L183="Flexible",$M210&gt;=0.05), 1,IF(AND($L183="Rural",$M210&gt;=0.05), 2,0)))</f>
        <v>0</v>
      </c>
      <c r="R209" s="459" t="str">
        <f>IF(OR($O209=$M209,$O209=0,$O209=""),"","* * Check Score! * *")</f>
        <v/>
      </c>
    </row>
    <row r="210" spans="1:18" ht="10.5" customHeight="1">
      <c r="B210" s="44" t="s">
        <v>2890</v>
      </c>
      <c r="E210" s="543"/>
      <c r="I210" s="2358"/>
      <c r="J210" s="2359"/>
      <c r="K210" s="540">
        <f>IF($I210=0,0,$I210/$I205)</f>
        <v>0</v>
      </c>
      <c r="L210" s="807"/>
      <c r="M210" s="1550">
        <f>IF($L210=0,0,$L210/$I205)</f>
        <v>0</v>
      </c>
      <c r="N210" s="1551"/>
      <c r="O210" s="108"/>
      <c r="P210" s="108"/>
    </row>
    <row r="211" spans="1:18" s="51" customFormat="1" ht="10.5" customHeight="1">
      <c r="A211" s="219"/>
      <c r="B211" s="44" t="s">
        <v>3381</v>
      </c>
      <c r="E211" s="2254"/>
      <c r="F211" s="2255"/>
      <c r="G211" s="2255"/>
      <c r="H211" s="2255"/>
      <c r="I211" s="2255"/>
      <c r="J211" s="2256"/>
      <c r="K211" s="543" t="s">
        <v>1382</v>
      </c>
      <c r="L211" s="2360" t="s">
        <v>3332</v>
      </c>
      <c r="M211" s="2361"/>
      <c r="N211" s="2362"/>
    </row>
    <row r="212" spans="1:18" ht="11.25" customHeight="1">
      <c r="A212" s="220"/>
      <c r="B212" s="477" t="s">
        <v>2509</v>
      </c>
      <c r="D212" s="478"/>
      <c r="E212" s="2363"/>
      <c r="F212" s="2364"/>
      <c r="G212" s="2364"/>
      <c r="H212" s="2364"/>
      <c r="I212" s="2364"/>
      <c r="J212" s="2364"/>
      <c r="K212" s="2364"/>
      <c r="L212" s="2364"/>
      <c r="M212" s="2364"/>
      <c r="N212" s="2364"/>
      <c r="O212" s="2364"/>
      <c r="P212" s="2365"/>
    </row>
    <row r="213" spans="1:18" s="51" customFormat="1" ht="10.5" customHeight="1">
      <c r="A213" s="50"/>
      <c r="B213" s="57" t="s">
        <v>269</v>
      </c>
      <c r="C213" s="50"/>
      <c r="D213" s="56"/>
      <c r="E213" s="56"/>
      <c r="F213" s="56"/>
      <c r="G213" s="56"/>
      <c r="H213" s="44"/>
      <c r="I213" s="44"/>
      <c r="J213" s="44"/>
      <c r="K213" s="44"/>
      <c r="M213" s="54"/>
      <c r="N213" s="73"/>
      <c r="O213" s="4"/>
      <c r="P213" s="1163"/>
    </row>
    <row r="214" spans="1:18" s="51" customFormat="1" ht="10.5" customHeight="1">
      <c r="A214" s="2199"/>
      <c r="B214" s="2200"/>
      <c r="C214" s="2200"/>
      <c r="D214" s="2200"/>
      <c r="E214" s="2200"/>
      <c r="F214" s="2200"/>
      <c r="G214" s="2200"/>
      <c r="H214" s="2200"/>
      <c r="I214" s="2200"/>
      <c r="J214" s="2200"/>
      <c r="K214" s="2200"/>
      <c r="L214" s="2200"/>
      <c r="M214" s="2200"/>
      <c r="N214" s="2200"/>
      <c r="O214" s="2200"/>
      <c r="P214" s="2201"/>
      <c r="Q214" s="563" t="s">
        <v>1332</v>
      </c>
    </row>
    <row r="215" spans="1:18" s="119" customFormat="1" ht="10.5" customHeight="1">
      <c r="A215" s="50"/>
      <c r="B215" s="114" t="s">
        <v>1996</v>
      </c>
      <c r="C215" s="115"/>
      <c r="D215" s="114"/>
      <c r="E215" s="226"/>
      <c r="F215" s="1158"/>
      <c r="G215" s="1158"/>
      <c r="H215" s="1158"/>
      <c r="I215" s="1158"/>
      <c r="J215" s="1158"/>
      <c r="K215" s="1158"/>
      <c r="L215" s="1158"/>
      <c r="M215" s="1158"/>
      <c r="N215" s="110"/>
      <c r="O215" s="225"/>
      <c r="P215" s="2"/>
      <c r="Q215" s="530"/>
    </row>
    <row r="216" spans="1:18" s="51" customFormat="1" ht="10.5" customHeight="1">
      <c r="A216" s="1417"/>
      <c r="B216" s="1418"/>
      <c r="C216" s="1418"/>
      <c r="D216" s="1418"/>
      <c r="E216" s="1418"/>
      <c r="F216" s="1418"/>
      <c r="G216" s="1418"/>
      <c r="H216" s="1418"/>
      <c r="I216" s="1418"/>
      <c r="J216" s="1418"/>
      <c r="K216" s="1418"/>
      <c r="L216" s="1418"/>
      <c r="M216" s="1418"/>
      <c r="N216" s="1418"/>
      <c r="O216" s="1418"/>
      <c r="P216" s="1419"/>
      <c r="Q216" s="563" t="s">
        <v>1332</v>
      </c>
    </row>
    <row r="217" spans="1:18" ht="3" customHeight="1"/>
    <row r="218" spans="1:18" s="51" customFormat="1" ht="15">
      <c r="A218" s="183" t="s">
        <v>1787</v>
      </c>
      <c r="B218" s="122" t="s">
        <v>1790</v>
      </c>
      <c r="C218" s="78"/>
      <c r="E218" s="49"/>
      <c r="G218" s="44"/>
      <c r="H218" s="44"/>
      <c r="I218" s="47"/>
      <c r="J218" s="56"/>
      <c r="K218" s="56"/>
      <c r="L218" s="459" t="str">
        <f>IF(OR($O218=$M218,$O218=0,$O218=""),"","* * Check Score! * *")</f>
        <v/>
      </c>
      <c r="M218" s="2">
        <v>3</v>
      </c>
      <c r="N218" s="119"/>
      <c r="O218" s="54"/>
      <c r="P218" s="792"/>
      <c r="Q218" s="126" t="s">
        <v>463</v>
      </c>
      <c r="R218" s="459"/>
    </row>
    <row r="219" spans="1:18" s="51" customFormat="1" ht="12" customHeight="1">
      <c r="A219" s="165" t="s">
        <v>2118</v>
      </c>
      <c r="B219" s="206" t="s">
        <v>2997</v>
      </c>
      <c r="D219" s="40"/>
      <c r="G219" s="65" t="s">
        <v>2503</v>
      </c>
      <c r="M219" s="85">
        <v>3</v>
      </c>
      <c r="N219" s="594" t="s">
        <v>2118</v>
      </c>
      <c r="O219" s="2258"/>
      <c r="P219" s="797"/>
      <c r="R219" s="459"/>
    </row>
    <row r="220" spans="1:18" s="51" customFormat="1" ht="23.25" customHeight="1">
      <c r="A220" s="761" t="s">
        <v>1440</v>
      </c>
      <c r="B220" s="1505" t="s">
        <v>3600</v>
      </c>
      <c r="C220" s="1506"/>
      <c r="D220" s="1506"/>
      <c r="E220" s="1506"/>
      <c r="F220" s="1506"/>
      <c r="G220" s="1506"/>
      <c r="H220" s="1506"/>
      <c r="I220" s="1506"/>
      <c r="J220" s="1506"/>
      <c r="K220" s="1506"/>
      <c r="L220" s="1506"/>
      <c r="M220" s="54"/>
      <c r="N220" s="73"/>
      <c r="O220" s="2260"/>
      <c r="P220" s="799"/>
    </row>
    <row r="221" spans="1:18" s="549" customFormat="1" ht="3" customHeight="1">
      <c r="B221" s="616"/>
      <c r="C221" s="1165"/>
      <c r="D221" s="1165"/>
      <c r="E221" s="1165"/>
      <c r="F221" s="1165"/>
      <c r="G221" s="1165"/>
      <c r="H221" s="1165"/>
      <c r="I221" s="1165"/>
      <c r="J221" s="1165"/>
      <c r="K221" s="1165"/>
      <c r="L221" s="1165"/>
      <c r="M221" s="1165"/>
      <c r="N221" s="1165"/>
      <c r="O221" s="1165"/>
      <c r="P221" s="1165"/>
    </row>
    <row r="222" spans="1:18" s="51" customFormat="1" ht="12" customHeight="1">
      <c r="A222" s="165" t="s">
        <v>2121</v>
      </c>
      <c r="B222" s="206" t="s">
        <v>2996</v>
      </c>
      <c r="D222" s="40"/>
      <c r="E222" s="40"/>
      <c r="F222" s="40"/>
      <c r="G222" s="206" t="s">
        <v>3248</v>
      </c>
      <c r="I222" s="825" t="str">
        <f>'Part I-Project Information'!$H$85</f>
        <v>Flexible</v>
      </c>
      <c r="R222" s="459"/>
    </row>
    <row r="223" spans="1:18" s="51" customFormat="1" ht="12" customHeight="1">
      <c r="A223" s="165"/>
      <c r="B223" s="65" t="s">
        <v>2503</v>
      </c>
      <c r="D223" s="40"/>
      <c r="M223" s="128">
        <v>3</v>
      </c>
      <c r="N223" s="594" t="s">
        <v>2121</v>
      </c>
      <c r="O223" s="2258"/>
      <c r="P223" s="797"/>
      <c r="R223" s="459"/>
    </row>
    <row r="224" spans="1:18" s="51" customFormat="1" ht="23.25" customHeight="1">
      <c r="A224" s="761"/>
      <c r="B224" s="1505" t="s">
        <v>3600</v>
      </c>
      <c r="C224" s="1506"/>
      <c r="D224" s="1506"/>
      <c r="E224" s="1506"/>
      <c r="F224" s="1506"/>
      <c r="G224" s="1506"/>
      <c r="H224" s="1506"/>
      <c r="I224" s="1506"/>
      <c r="J224" s="1506"/>
      <c r="K224" s="1506"/>
      <c r="L224" s="1506"/>
      <c r="M224" s="54"/>
      <c r="N224" s="73"/>
      <c r="O224" s="2260"/>
      <c r="P224" s="799"/>
    </row>
    <row r="225" spans="1:18" s="51" customFormat="1" ht="10.5" customHeight="1">
      <c r="A225" s="50"/>
      <c r="B225" s="57" t="s">
        <v>269</v>
      </c>
      <c r="C225" s="50"/>
      <c r="D225" s="56"/>
      <c r="E225" s="56"/>
      <c r="F225" s="56"/>
      <c r="G225" s="56"/>
      <c r="H225" s="44"/>
      <c r="I225" s="44"/>
      <c r="J225" s="44"/>
      <c r="K225" s="44"/>
      <c r="M225" s="54"/>
      <c r="N225" s="73"/>
      <c r="O225" s="4"/>
      <c r="P225" s="1163"/>
    </row>
    <row r="226" spans="1:18" s="51" customFormat="1" ht="12.75" customHeight="1">
      <c r="A226" s="2199"/>
      <c r="B226" s="2200"/>
      <c r="C226" s="2200"/>
      <c r="D226" s="2200"/>
      <c r="E226" s="2200"/>
      <c r="F226" s="2200"/>
      <c r="G226" s="2200"/>
      <c r="H226" s="2200"/>
      <c r="I226" s="2200"/>
      <c r="J226" s="2200"/>
      <c r="K226" s="2200"/>
      <c r="L226" s="2200"/>
      <c r="M226" s="2200"/>
      <c r="N226" s="2200"/>
      <c r="O226" s="2200"/>
      <c r="P226" s="2201"/>
      <c r="Q226" s="563" t="s">
        <v>1332</v>
      </c>
    </row>
    <row r="227" spans="1:18" s="119" customFormat="1" ht="10.5" customHeight="1">
      <c r="A227" s="50"/>
      <c r="B227" s="114" t="s">
        <v>1996</v>
      </c>
      <c r="C227" s="115"/>
      <c r="D227" s="114"/>
      <c r="E227" s="226"/>
      <c r="F227" s="1158"/>
      <c r="G227" s="1158"/>
      <c r="H227" s="1158"/>
      <c r="I227" s="1158"/>
      <c r="J227" s="1158"/>
      <c r="K227" s="1158"/>
      <c r="L227" s="1158"/>
      <c r="M227" s="1158"/>
      <c r="N227" s="110"/>
      <c r="O227" s="225"/>
      <c r="P227" s="2"/>
      <c r="Q227" s="530"/>
    </row>
    <row r="228" spans="1:18" s="51" customFormat="1" ht="12" customHeight="1">
      <c r="A228" s="1417"/>
      <c r="B228" s="1418"/>
      <c r="C228" s="1418"/>
      <c r="D228" s="1418"/>
      <c r="E228" s="1418"/>
      <c r="F228" s="1418"/>
      <c r="G228" s="1418"/>
      <c r="H228" s="1418"/>
      <c r="I228" s="1418"/>
      <c r="J228" s="1418"/>
      <c r="K228" s="1418"/>
      <c r="L228" s="1418"/>
      <c r="M228" s="1418"/>
      <c r="N228" s="1418"/>
      <c r="O228" s="1418"/>
      <c r="P228" s="1419"/>
      <c r="Q228" s="563" t="s">
        <v>1332</v>
      </c>
    </row>
    <row r="229" spans="1:18" s="51" customFormat="1" ht="9" customHeight="1">
      <c r="A229" s="50"/>
      <c r="B229" s="50"/>
      <c r="C229" s="1164"/>
      <c r="D229" s="1164"/>
      <c r="E229" s="1164"/>
      <c r="F229" s="1164"/>
      <c r="G229" s="1164"/>
      <c r="H229" s="1164"/>
      <c r="I229" s="1164"/>
      <c r="J229" s="1164"/>
      <c r="K229" s="1164"/>
      <c r="L229" s="1164"/>
      <c r="M229" s="1164"/>
      <c r="N229" s="87"/>
      <c r="O229" s="83"/>
      <c r="P229" s="610"/>
    </row>
    <row r="230" spans="1:18" s="51" customFormat="1" ht="15">
      <c r="A230" s="184" t="s">
        <v>1788</v>
      </c>
      <c r="B230" s="130" t="s">
        <v>2970</v>
      </c>
      <c r="C230" s="102"/>
      <c r="D230" s="69"/>
      <c r="E230" s="62"/>
      <c r="J230" s="72"/>
      <c r="M230" s="2">
        <v>3</v>
      </c>
      <c r="N230" s="7"/>
      <c r="O230" s="89">
        <f>MIN($M230,O231+O235)</f>
        <v>3</v>
      </c>
      <c r="P230" s="89">
        <f>MIN($M230,P231+P235)</f>
        <v>0</v>
      </c>
      <c r="Q230" s="126" t="s">
        <v>463</v>
      </c>
    </row>
    <row r="231" spans="1:18" s="51" customFormat="1" ht="12" customHeight="1">
      <c r="A231" s="165" t="s">
        <v>2118</v>
      </c>
      <c r="B231" s="206" t="s">
        <v>3333</v>
      </c>
      <c r="D231" s="40"/>
      <c r="E231" s="40"/>
      <c r="F231" s="40"/>
      <c r="J231" s="558" t="s">
        <v>3545</v>
      </c>
      <c r="K231" s="722">
        <f>'Part VI-Revenues &amp; Expenses'!$I$57/'Part VI-Revenues &amp; Expenses'!$M$58</f>
        <v>0</v>
      </c>
      <c r="L231" s="618" t="str">
        <f>IF(OR($O231=$M231,$O231=0,$O231=""),"","* * Check Score! * *")</f>
        <v/>
      </c>
      <c r="M231" s="7">
        <v>3</v>
      </c>
      <c r="N231" s="594" t="s">
        <v>2118</v>
      </c>
      <c r="O231" s="2366">
        <v>3</v>
      </c>
      <c r="P231" s="808"/>
      <c r="Q231" s="475" t="s">
        <v>2947</v>
      </c>
      <c r="R231" s="126"/>
    </row>
    <row r="232" spans="1:18" s="506" customFormat="1" ht="33" customHeight="1">
      <c r="A232" s="170"/>
      <c r="B232" s="616" t="s">
        <v>2122</v>
      </c>
      <c r="C232" s="1463" t="s">
        <v>3334</v>
      </c>
      <c r="D232" s="1463"/>
      <c r="E232" s="1463"/>
      <c r="F232" s="1463"/>
      <c r="G232" s="1463"/>
      <c r="H232" s="1463"/>
      <c r="I232" s="1463"/>
      <c r="J232" s="1463"/>
      <c r="K232" s="1463"/>
      <c r="L232" s="1463"/>
      <c r="M232" s="1463"/>
      <c r="N232" s="476" t="s">
        <v>2122</v>
      </c>
      <c r="O232" s="2309" t="s">
        <v>3729</v>
      </c>
      <c r="P232" s="1173"/>
      <c r="Q232" s="680"/>
      <c r="R232" s="669"/>
    </row>
    <row r="233" spans="1:18" s="549" customFormat="1" ht="34.5" customHeight="1">
      <c r="A233" s="761" t="s">
        <v>1440</v>
      </c>
      <c r="B233" s="616" t="s">
        <v>2124</v>
      </c>
      <c r="C233" s="1463" t="s">
        <v>3335</v>
      </c>
      <c r="D233" s="1463"/>
      <c r="E233" s="1463"/>
      <c r="F233" s="1463"/>
      <c r="G233" s="1463"/>
      <c r="H233" s="1463"/>
      <c r="I233" s="1463"/>
      <c r="J233" s="1463"/>
      <c r="K233" s="1463"/>
      <c r="L233" s="1463"/>
      <c r="M233" s="1463"/>
      <c r="N233" s="476" t="s">
        <v>2124</v>
      </c>
      <c r="O233" s="2260" t="s">
        <v>3702</v>
      </c>
      <c r="P233" s="799"/>
    </row>
    <row r="234" spans="1:18" s="549" customFormat="1" ht="3" customHeight="1">
      <c r="B234" s="616"/>
      <c r="C234" s="1165"/>
      <c r="D234" s="1165"/>
      <c r="E234" s="1165"/>
      <c r="F234" s="1165"/>
      <c r="G234" s="1165"/>
      <c r="H234" s="1165"/>
      <c r="I234" s="1165"/>
      <c r="J234" s="1165"/>
      <c r="K234" s="1165"/>
      <c r="L234" s="1165"/>
      <c r="M234" s="1165"/>
      <c r="N234" s="1165"/>
      <c r="O234" s="1165"/>
      <c r="P234" s="1165"/>
    </row>
    <row r="235" spans="1:18" s="51" customFormat="1" ht="12" customHeight="1">
      <c r="A235" s="165" t="s">
        <v>2121</v>
      </c>
      <c r="B235" s="206" t="s">
        <v>2971</v>
      </c>
      <c r="D235" s="48"/>
      <c r="F235" s="44" t="s">
        <v>3336</v>
      </c>
      <c r="H235" s="2367" t="s">
        <v>3337</v>
      </c>
      <c r="I235" s="2368"/>
      <c r="J235" s="2368"/>
      <c r="K235" s="2369"/>
      <c r="L235" s="618" t="str">
        <f>IF(OR($O235=$M235,$O235=0,$O235=""),"","* * Check Score! * *")</f>
        <v/>
      </c>
      <c r="M235" s="7">
        <v>3</v>
      </c>
      <c r="N235" s="594" t="s">
        <v>2121</v>
      </c>
      <c r="O235" s="2313"/>
      <c r="P235" s="809"/>
      <c r="Q235" s="475" t="s">
        <v>2947</v>
      </c>
      <c r="R235" s="459"/>
    </row>
    <row r="236" spans="1:18" s="51" customFormat="1" ht="12" customHeight="1">
      <c r="A236" s="50"/>
      <c r="B236" s="57" t="s">
        <v>269</v>
      </c>
      <c r="C236" s="50"/>
      <c r="D236" s="56"/>
      <c r="E236" s="56"/>
      <c r="F236" s="56"/>
      <c r="G236" s="56"/>
      <c r="H236" s="44"/>
      <c r="I236" s="44"/>
      <c r="J236" s="44"/>
      <c r="K236" s="44"/>
      <c r="M236" s="54"/>
      <c r="N236" s="73"/>
      <c r="O236" s="4"/>
      <c r="P236" s="1163"/>
    </row>
    <row r="237" spans="1:18" s="51" customFormat="1" ht="12" customHeight="1">
      <c r="A237" s="2199"/>
      <c r="B237" s="2200"/>
      <c r="C237" s="2200"/>
      <c r="D237" s="2200"/>
      <c r="E237" s="2200"/>
      <c r="F237" s="2200"/>
      <c r="G237" s="2200"/>
      <c r="H237" s="2200"/>
      <c r="I237" s="2200"/>
      <c r="J237" s="2200"/>
      <c r="K237" s="2200"/>
      <c r="L237" s="2200"/>
      <c r="M237" s="2200"/>
      <c r="N237" s="2200"/>
      <c r="O237" s="2200"/>
      <c r="P237" s="2201"/>
      <c r="Q237" s="563" t="s">
        <v>1332</v>
      </c>
    </row>
    <row r="238" spans="1:18" s="51" customFormat="1" ht="12" customHeight="1">
      <c r="B238" s="100" t="s">
        <v>1996</v>
      </c>
      <c r="C238" s="115"/>
      <c r="D238" s="100"/>
      <c r="E238" s="116"/>
      <c r="F238" s="1164"/>
      <c r="G238" s="1164"/>
      <c r="H238" s="1164"/>
      <c r="I238" s="1164"/>
      <c r="J238" s="1164"/>
      <c r="K238" s="1164"/>
      <c r="L238" s="1164"/>
      <c r="M238" s="1164"/>
      <c r="N238" s="87"/>
      <c r="O238" s="83"/>
      <c r="P238" s="2"/>
      <c r="Q238" s="530"/>
    </row>
    <row r="239" spans="1:18" s="51" customFormat="1" ht="12" customHeight="1">
      <c r="A239" s="1417"/>
      <c r="B239" s="1418"/>
      <c r="C239" s="1418"/>
      <c r="D239" s="1418"/>
      <c r="E239" s="1418"/>
      <c r="F239" s="1418"/>
      <c r="G239" s="1418"/>
      <c r="H239" s="1418"/>
      <c r="I239" s="1418"/>
      <c r="J239" s="1418"/>
      <c r="K239" s="1418"/>
      <c r="L239" s="1418"/>
      <c r="M239" s="1418"/>
      <c r="N239" s="1418"/>
      <c r="O239" s="1418"/>
      <c r="P239" s="1419"/>
      <c r="Q239" s="563" t="s">
        <v>1332</v>
      </c>
    </row>
    <row r="240" spans="1:18" s="51" customFormat="1" ht="9" customHeight="1">
      <c r="A240" s="50"/>
      <c r="B240" s="50"/>
      <c r="C240" s="1164"/>
      <c r="D240" s="1164"/>
      <c r="E240" s="1164"/>
      <c r="F240" s="1164"/>
      <c r="G240" s="1164"/>
      <c r="H240" s="1164"/>
      <c r="I240" s="1164"/>
      <c r="J240" s="1164"/>
      <c r="K240" s="1164"/>
      <c r="L240" s="1164"/>
      <c r="M240" s="1164"/>
      <c r="N240" s="87"/>
      <c r="O240" s="83"/>
      <c r="P240" s="610"/>
    </row>
    <row r="241" spans="1:18" s="51" customFormat="1" ht="12" customHeight="1">
      <c r="A241" s="183" t="s">
        <v>1789</v>
      </c>
      <c r="B241" s="122" t="s">
        <v>2972</v>
      </c>
      <c r="D241" s="48"/>
      <c r="F241" s="38"/>
      <c r="G241" s="119"/>
      <c r="H241" s="72" t="s">
        <v>419</v>
      </c>
      <c r="K241" s="119"/>
      <c r="L241" s="44"/>
      <c r="M241" s="2">
        <v>2</v>
      </c>
      <c r="N241" s="594"/>
      <c r="O241" s="546">
        <f>MIN($M241,O242+O246)</f>
        <v>0</v>
      </c>
      <c r="P241" s="546">
        <f>MIN($M241,P242+P246)</f>
        <v>0</v>
      </c>
      <c r="Q241" s="126" t="s">
        <v>463</v>
      </c>
      <c r="R241" s="459" t="str">
        <f>IF(OR($O242=$M241,$O242=0,$O242=""),"","* * Check Score! * *")</f>
        <v/>
      </c>
    </row>
    <row r="242" spans="1:18" s="506" customFormat="1" ht="12.75" customHeight="1">
      <c r="A242" s="762" t="s">
        <v>2118</v>
      </c>
      <c r="B242" s="477" t="s">
        <v>3338</v>
      </c>
      <c r="D242" s="477"/>
      <c r="E242" s="2370" t="s">
        <v>3587</v>
      </c>
      <c r="F242" s="2371"/>
      <c r="G242" s="2371"/>
      <c r="H242" s="2372"/>
      <c r="J242" s="477" t="s">
        <v>3342</v>
      </c>
      <c r="L242" s="759">
        <f>'Part III-Sources of Funds'!$H$42</f>
        <v>0</v>
      </c>
      <c r="M242" s="507">
        <v>2</v>
      </c>
      <c r="N242" s="193" t="s">
        <v>2118</v>
      </c>
      <c r="O242" s="2313"/>
      <c r="P242" s="809"/>
      <c r="Q242" s="214" t="s">
        <v>2947</v>
      </c>
    </row>
    <row r="243" spans="1:18" s="506" customFormat="1" ht="12.75" customHeight="1">
      <c r="A243" s="505"/>
      <c r="B243" s="554"/>
      <c r="J243" s="477" t="s">
        <v>3341</v>
      </c>
      <c r="K243" s="477"/>
      <c r="L243" s="760">
        <f>'Part VI-Revenues &amp; Expenses'!$M$81</f>
        <v>0</v>
      </c>
      <c r="M243" s="507"/>
      <c r="N243" s="507"/>
      <c r="O243" s="507"/>
      <c r="P243" s="507"/>
      <c r="Q243" s="214"/>
    </row>
    <row r="244" spans="1:18" s="506" customFormat="1" ht="12.75" customHeight="1">
      <c r="A244" s="505"/>
      <c r="B244" s="554"/>
      <c r="F244" s="547"/>
      <c r="G244" s="60"/>
      <c r="H244" s="682"/>
      <c r="I244" s="757"/>
      <c r="J244" s="612" t="s">
        <v>3339</v>
      </c>
      <c r="L244" s="760">
        <f>'Part VI-Revenues &amp; Expenses'!$M$62</f>
        <v>75</v>
      </c>
      <c r="M244" s="507"/>
      <c r="N244" s="507"/>
      <c r="O244" s="507"/>
      <c r="P244" s="507"/>
      <c r="Q244" s="214"/>
    </row>
    <row r="245" spans="1:18" s="506" customFormat="1" ht="12.75" customHeight="1">
      <c r="A245" s="723" t="s">
        <v>1440</v>
      </c>
      <c r="B245" s="554"/>
      <c r="F245" s="547"/>
      <c r="G245" s="60"/>
      <c r="H245" s="682"/>
      <c r="I245" s="757"/>
      <c r="J245" s="758" t="s">
        <v>3340</v>
      </c>
      <c r="L245" s="681">
        <f>L243/L244</f>
        <v>0</v>
      </c>
      <c r="M245" s="507"/>
      <c r="N245" s="507"/>
      <c r="O245" s="507"/>
      <c r="P245" s="507"/>
      <c r="Q245" s="214"/>
    </row>
    <row r="246" spans="1:18" s="506" customFormat="1" ht="22.5" customHeight="1">
      <c r="A246" s="762" t="s">
        <v>2121</v>
      </c>
      <c r="B246" s="1460" t="s">
        <v>3014</v>
      </c>
      <c r="C246" s="1460"/>
      <c r="D246" s="1460"/>
      <c r="E246" s="1460"/>
      <c r="F246" s="1460"/>
      <c r="G246" s="1460"/>
      <c r="H246" s="1460"/>
      <c r="I246" s="1460"/>
      <c r="J246" s="1460"/>
      <c r="K246" s="1460"/>
      <c r="L246" s="1460"/>
      <c r="M246" s="507">
        <v>1</v>
      </c>
      <c r="N246" s="193" t="s">
        <v>2121</v>
      </c>
      <c r="O246" s="2313"/>
      <c r="P246" s="809"/>
      <c r="Q246" s="214" t="s">
        <v>2947</v>
      </c>
    </row>
    <row r="247" spans="1:18" s="51" customFormat="1" ht="12" customHeight="1">
      <c r="A247" s="50"/>
      <c r="B247" s="57" t="s">
        <v>269</v>
      </c>
      <c r="C247" s="50"/>
      <c r="D247" s="56"/>
      <c r="E247" s="56"/>
      <c r="F247" s="56"/>
      <c r="G247" s="56"/>
      <c r="H247" s="44"/>
      <c r="I247" s="44"/>
      <c r="J247" s="44"/>
      <c r="K247" s="44"/>
      <c r="M247" s="54"/>
      <c r="N247" s="73"/>
      <c r="O247" s="4"/>
      <c r="P247" s="1163"/>
    </row>
    <row r="248" spans="1:18" s="51" customFormat="1" ht="12" customHeight="1">
      <c r="A248" s="2199"/>
      <c r="B248" s="2200"/>
      <c r="C248" s="2200"/>
      <c r="D248" s="2200"/>
      <c r="E248" s="2200"/>
      <c r="F248" s="2200"/>
      <c r="G248" s="2200"/>
      <c r="H248" s="2200"/>
      <c r="I248" s="2200"/>
      <c r="J248" s="2200"/>
      <c r="K248" s="2200"/>
      <c r="L248" s="2200"/>
      <c r="M248" s="2200"/>
      <c r="N248" s="2200"/>
      <c r="O248" s="2200"/>
      <c r="P248" s="2201"/>
      <c r="Q248" s="563" t="s">
        <v>1332</v>
      </c>
    </row>
    <row r="249" spans="1:18" s="51" customFormat="1" ht="12" customHeight="1">
      <c r="B249" s="100" t="s">
        <v>1996</v>
      </c>
      <c r="C249" s="115"/>
      <c r="D249" s="100"/>
      <c r="E249" s="116"/>
      <c r="F249" s="1164"/>
      <c r="G249" s="1164"/>
      <c r="H249" s="1164"/>
      <c r="I249" s="1164"/>
      <c r="J249" s="1164"/>
      <c r="K249" s="1164"/>
      <c r="L249" s="1164"/>
      <c r="M249" s="1164"/>
      <c r="N249" s="87"/>
      <c r="O249" s="83"/>
      <c r="P249" s="2"/>
      <c r="Q249" s="530"/>
    </row>
    <row r="250" spans="1:18" s="51" customFormat="1" ht="12" customHeight="1">
      <c r="A250" s="1417"/>
      <c r="B250" s="1418"/>
      <c r="C250" s="1418"/>
      <c r="D250" s="1418"/>
      <c r="E250" s="1418"/>
      <c r="F250" s="1418"/>
      <c r="G250" s="1418"/>
      <c r="H250" s="1418"/>
      <c r="I250" s="1418"/>
      <c r="J250" s="1418"/>
      <c r="K250" s="1418"/>
      <c r="L250" s="1418"/>
      <c r="M250" s="1418"/>
      <c r="N250" s="1418"/>
      <c r="O250" s="1418"/>
      <c r="P250" s="1419"/>
      <c r="Q250" s="563" t="s">
        <v>1332</v>
      </c>
    </row>
    <row r="251" spans="1:18" s="51" customFormat="1" ht="3" customHeight="1">
      <c r="A251" s="50"/>
      <c r="B251" s="50"/>
      <c r="C251" s="1164"/>
      <c r="D251" s="1164"/>
      <c r="E251" s="1164"/>
      <c r="F251" s="1164"/>
      <c r="G251" s="1164"/>
      <c r="H251" s="1164"/>
      <c r="I251" s="1164"/>
      <c r="J251" s="1164"/>
      <c r="K251" s="1164"/>
      <c r="L251" s="1164"/>
      <c r="M251" s="1164"/>
      <c r="N251" s="87"/>
      <c r="O251" s="83"/>
      <c r="P251" s="610"/>
    </row>
    <row r="252" spans="1:18" s="51" customFormat="1" ht="12" customHeight="1">
      <c r="A252" s="184" t="s">
        <v>1791</v>
      </c>
      <c r="B252" s="123" t="s">
        <v>2823</v>
      </c>
      <c r="C252" s="64"/>
      <c r="D252" s="136"/>
      <c r="E252" s="136"/>
      <c r="I252" s="1162" t="s">
        <v>3539</v>
      </c>
      <c r="J252" s="49"/>
      <c r="K252" s="49"/>
      <c r="M252" s="717">
        <v>5</v>
      </c>
      <c r="P252" s="809"/>
      <c r="Q252" s="126" t="s">
        <v>463</v>
      </c>
    </row>
    <row r="253" spans="1:18" s="51" customFormat="1" ht="12" customHeight="1">
      <c r="A253" s="184"/>
      <c r="D253" s="1560" t="s">
        <v>3379</v>
      </c>
      <c r="E253" s="1560"/>
      <c r="F253" s="1559">
        <f>'Part IV-Uses of Funds'!J171</f>
        <v>888110</v>
      </c>
      <c r="G253" s="2076"/>
      <c r="M253" s="717"/>
      <c r="Q253" s="126"/>
    </row>
    <row r="254" spans="1:18" s="51" customFormat="1" ht="12" customHeight="1">
      <c r="A254" s="184"/>
      <c r="H254" s="49"/>
      <c r="I254" s="1162" t="s">
        <v>3538</v>
      </c>
      <c r="J254" s="49"/>
      <c r="K254" s="49"/>
      <c r="M254" s="85">
        <v>18</v>
      </c>
      <c r="N254" s="7"/>
      <c r="O254" s="751">
        <f>MIN($M254,(O255+O258+O261+O263+O266+O269))</f>
        <v>7</v>
      </c>
      <c r="P254" s="751">
        <f>MIN($M254,(P255+P258+P261+P263+P266+P269))</f>
        <v>0</v>
      </c>
      <c r="Q254" s="126"/>
    </row>
    <row r="255" spans="1:18" s="51" customFormat="1" ht="12" customHeight="1">
      <c r="A255" s="753"/>
      <c r="B255" s="688" t="s">
        <v>2118</v>
      </c>
      <c r="C255" s="1504" t="s">
        <v>3343</v>
      </c>
      <c r="D255" s="1504"/>
      <c r="E255" s="1504"/>
      <c r="F255" s="1504"/>
      <c r="G255" s="1504"/>
      <c r="H255" s="1504"/>
      <c r="I255" s="1504"/>
      <c r="J255" s="1504"/>
      <c r="K255" s="1504"/>
      <c r="L255" s="1504"/>
      <c r="M255" s="686">
        <v>6</v>
      </c>
      <c r="N255" s="756"/>
      <c r="O255" s="2373"/>
      <c r="P255" s="1507"/>
      <c r="Q255" s="214"/>
    </row>
    <row r="256" spans="1:18" s="506" customFormat="1" ht="36" customHeight="1">
      <c r="A256" s="723" t="s">
        <v>1440</v>
      </c>
      <c r="B256" s="170" t="s">
        <v>2121</v>
      </c>
      <c r="C256" s="1464" t="s">
        <v>3595</v>
      </c>
      <c r="D256" s="1464"/>
      <c r="E256" s="1464"/>
      <c r="F256" s="1464"/>
      <c r="G256" s="1464"/>
      <c r="H256" s="1464"/>
      <c r="I256" s="1464"/>
      <c r="J256" s="1464"/>
      <c r="K256" s="1464"/>
      <c r="L256" s="1464"/>
      <c r="M256" s="668">
        <v>5</v>
      </c>
      <c r="N256" s="684"/>
      <c r="O256" s="2374"/>
      <c r="P256" s="1508"/>
      <c r="Q256" s="214" t="s">
        <v>2947</v>
      </c>
    </row>
    <row r="257" spans="1:17" s="51" customFormat="1" ht="9" customHeight="1">
      <c r="A257" s="50"/>
      <c r="B257" s="50"/>
      <c r="C257" s="1164"/>
      <c r="D257" s="1164"/>
      <c r="E257" s="1164"/>
      <c r="F257" s="1164"/>
      <c r="G257" s="1164"/>
      <c r="H257" s="1164"/>
      <c r="I257" s="1164"/>
      <c r="J257" s="1164"/>
      <c r="K257" s="1164"/>
      <c r="L257" s="1164"/>
      <c r="M257" s="1164"/>
      <c r="N257" s="87"/>
      <c r="O257" s="83"/>
      <c r="P257" s="610"/>
    </row>
    <row r="258" spans="1:17" s="506" customFormat="1" ht="60" customHeight="1">
      <c r="A258" s="752"/>
      <c r="B258" s="685" t="s">
        <v>799</v>
      </c>
      <c r="C258" s="1552" t="s">
        <v>3345</v>
      </c>
      <c r="D258" s="1552"/>
      <c r="E258" s="1552"/>
      <c r="F258" s="1552"/>
      <c r="G258" s="1552"/>
      <c r="H258" s="1552"/>
      <c r="I258" s="1552"/>
      <c r="J258" s="1552"/>
      <c r="K258" s="1552"/>
      <c r="L258" s="1552"/>
      <c r="M258" s="686">
        <v>4</v>
      </c>
      <c r="N258" s="687"/>
      <c r="O258" s="2373">
        <v>2</v>
      </c>
      <c r="P258" s="1507"/>
      <c r="Q258" s="214" t="s">
        <v>2947</v>
      </c>
    </row>
    <row r="259" spans="1:17" s="506" customFormat="1" ht="34.5" customHeight="1">
      <c r="A259" s="723" t="s">
        <v>1440</v>
      </c>
      <c r="B259" s="747"/>
      <c r="C259" s="1464" t="s">
        <v>3344</v>
      </c>
      <c r="D259" s="1464"/>
      <c r="E259" s="1464"/>
      <c r="F259" s="1464"/>
      <c r="G259" s="1464"/>
      <c r="H259" s="1464"/>
      <c r="I259" s="1464"/>
      <c r="J259" s="1464"/>
      <c r="K259" s="1464"/>
      <c r="L259" s="1464"/>
      <c r="M259" s="748">
        <v>2</v>
      </c>
      <c r="N259" s="749"/>
      <c r="O259" s="2374"/>
      <c r="P259" s="1508"/>
      <c r="Q259" s="117"/>
    </row>
    <row r="260" spans="1:17" s="51" customFormat="1" ht="9" customHeight="1">
      <c r="A260" s="58"/>
      <c r="B260" s="58"/>
      <c r="C260" s="1164"/>
      <c r="D260" s="1164"/>
      <c r="E260" s="1164"/>
      <c r="F260" s="1164"/>
      <c r="G260" s="1164"/>
      <c r="H260" s="1164"/>
      <c r="I260" s="1164"/>
      <c r="J260" s="1164"/>
      <c r="K260" s="1164"/>
      <c r="L260" s="1164"/>
      <c r="M260" s="1164"/>
      <c r="N260" s="87"/>
      <c r="O260" s="83"/>
      <c r="P260" s="610"/>
    </row>
    <row r="261" spans="1:17" s="506" customFormat="1" ht="23.25" customHeight="1">
      <c r="A261" s="752"/>
      <c r="B261" s="685" t="s">
        <v>2253</v>
      </c>
      <c r="C261" s="1552" t="s">
        <v>3346</v>
      </c>
      <c r="D261" s="1552"/>
      <c r="E261" s="1552"/>
      <c r="F261" s="1552"/>
      <c r="G261" s="1552"/>
      <c r="H261" s="1552"/>
      <c r="I261" s="1552"/>
      <c r="J261" s="1552"/>
      <c r="K261" s="1552"/>
      <c r="L261" s="1552"/>
      <c r="M261" s="686">
        <v>1</v>
      </c>
      <c r="N261" s="754"/>
      <c r="O261" s="2375">
        <v>1</v>
      </c>
      <c r="P261" s="810"/>
      <c r="Q261" s="214" t="s">
        <v>2947</v>
      </c>
    </row>
    <row r="262" spans="1:17" s="51" customFormat="1" ht="9" customHeight="1">
      <c r="A262" s="50"/>
      <c r="B262" s="50"/>
      <c r="C262" s="1164"/>
      <c r="D262" s="1164"/>
      <c r="E262" s="1164"/>
      <c r="F262" s="1164"/>
      <c r="G262" s="1164"/>
      <c r="H262" s="1164"/>
      <c r="I262" s="1164"/>
      <c r="J262" s="1164"/>
      <c r="K262" s="1164"/>
      <c r="L262" s="1164"/>
      <c r="M262" s="1164"/>
      <c r="N262" s="87"/>
      <c r="O262" s="83"/>
      <c r="P262" s="610"/>
    </row>
    <row r="263" spans="1:17" s="51" customFormat="1" ht="21.75" customHeight="1">
      <c r="A263" s="753"/>
      <c r="B263" s="685" t="s">
        <v>1857</v>
      </c>
      <c r="C263" s="1552" t="s">
        <v>3349</v>
      </c>
      <c r="D263" s="1552"/>
      <c r="E263" s="1552"/>
      <c r="F263" s="1552"/>
      <c r="G263" s="1552"/>
      <c r="H263" s="1552"/>
      <c r="I263" s="1552"/>
      <c r="J263" s="1552"/>
      <c r="K263" s="1552"/>
      <c r="L263" s="1552"/>
      <c r="M263" s="686">
        <v>2</v>
      </c>
      <c r="N263" s="689"/>
      <c r="O263" s="2373">
        <v>2</v>
      </c>
      <c r="P263" s="1507"/>
      <c r="Q263" s="214" t="s">
        <v>2947</v>
      </c>
    </row>
    <row r="264" spans="1:17" s="51" customFormat="1" ht="12" customHeight="1">
      <c r="A264" s="723" t="s">
        <v>1440</v>
      </c>
      <c r="B264" s="223"/>
      <c r="C264" s="1556" t="s">
        <v>3347</v>
      </c>
      <c r="D264" s="1556"/>
      <c r="E264" s="1556"/>
      <c r="F264" s="1556"/>
      <c r="G264" s="1556"/>
      <c r="H264" s="1556"/>
      <c r="I264" s="1556"/>
      <c r="J264" s="1556"/>
      <c r="K264" s="1556"/>
      <c r="L264" s="1556"/>
      <c r="M264" s="750">
        <v>1</v>
      </c>
      <c r="N264" s="136"/>
      <c r="O264" s="2374"/>
      <c r="P264" s="1508"/>
      <c r="Q264" s="117"/>
    </row>
    <row r="265" spans="1:17" s="51" customFormat="1" ht="9" customHeight="1">
      <c r="A265" s="58"/>
      <c r="B265" s="58"/>
      <c r="C265" s="1164"/>
      <c r="D265" s="1164"/>
      <c r="E265" s="1164"/>
      <c r="F265" s="1164"/>
      <c r="G265" s="1164"/>
      <c r="H265" s="1164"/>
      <c r="I265" s="1164"/>
      <c r="J265" s="1164"/>
      <c r="K265" s="1164"/>
      <c r="L265" s="1164"/>
      <c r="M265" s="1164"/>
      <c r="N265" s="87"/>
      <c r="O265" s="83"/>
      <c r="P265" s="610"/>
    </row>
    <row r="266" spans="1:17" s="506" customFormat="1" ht="32.25" customHeight="1">
      <c r="A266" s="752"/>
      <c r="B266" s="685" t="s">
        <v>1858</v>
      </c>
      <c r="C266" s="1552" t="s">
        <v>3348</v>
      </c>
      <c r="D266" s="1552"/>
      <c r="E266" s="1552"/>
      <c r="F266" s="1552"/>
      <c r="G266" s="1552"/>
      <c r="H266" s="1552"/>
      <c r="I266" s="1552"/>
      <c r="J266" s="1552"/>
      <c r="K266" s="1552"/>
      <c r="L266" s="1552"/>
      <c r="M266" s="686">
        <v>3</v>
      </c>
      <c r="N266" s="754"/>
      <c r="O266" s="2373"/>
      <c r="P266" s="1507"/>
      <c r="Q266" s="214" t="s">
        <v>2947</v>
      </c>
    </row>
    <row r="267" spans="1:17" s="506" customFormat="1" ht="12.75" customHeight="1">
      <c r="A267" s="723" t="s">
        <v>1440</v>
      </c>
      <c r="B267" s="747"/>
      <c r="C267" s="1464" t="s">
        <v>3350</v>
      </c>
      <c r="D267" s="1464"/>
      <c r="E267" s="1464"/>
      <c r="F267" s="1464"/>
      <c r="G267" s="1464"/>
      <c r="H267" s="1464"/>
      <c r="I267" s="1464"/>
      <c r="J267" s="1464"/>
      <c r="K267" s="1464"/>
      <c r="L267" s="1464"/>
      <c r="M267" s="748">
        <v>1</v>
      </c>
      <c r="N267" s="749"/>
      <c r="O267" s="2374"/>
      <c r="P267" s="1508"/>
      <c r="Q267" s="214"/>
    </row>
    <row r="268" spans="1:17" s="51" customFormat="1" ht="9" customHeight="1">
      <c r="A268" s="58"/>
      <c r="B268" s="58"/>
      <c r="C268" s="1164"/>
      <c r="D268" s="1164"/>
      <c r="E268" s="1164"/>
      <c r="F268" s="1164"/>
      <c r="G268" s="1164"/>
      <c r="H268" s="1164"/>
      <c r="I268" s="1164"/>
      <c r="J268" s="1164"/>
      <c r="K268" s="1164"/>
      <c r="L268" s="1164"/>
      <c r="M268" s="1164"/>
      <c r="N268" s="87"/>
      <c r="O268" s="83"/>
      <c r="P268" s="610"/>
    </row>
    <row r="269" spans="1:17" s="51" customFormat="1" ht="12" customHeight="1">
      <c r="A269" s="753"/>
      <c r="B269" s="688" t="s">
        <v>2081</v>
      </c>
      <c r="C269" s="1504" t="s">
        <v>3351</v>
      </c>
      <c r="D269" s="1504"/>
      <c r="E269" s="1504"/>
      <c r="F269" s="1504"/>
      <c r="G269" s="1504"/>
      <c r="H269" s="1504"/>
      <c r="I269" s="1504"/>
      <c r="J269" s="1504"/>
      <c r="K269" s="1504"/>
      <c r="L269" s="1504"/>
      <c r="M269" s="755">
        <v>2</v>
      </c>
      <c r="N269" s="756"/>
      <c r="O269" s="2375">
        <v>2</v>
      </c>
      <c r="P269" s="810"/>
      <c r="Q269" s="214" t="s">
        <v>2947</v>
      </c>
    </row>
    <row r="270" spans="1:17" s="51" customFormat="1" ht="9" customHeight="1">
      <c r="A270" s="58"/>
      <c r="B270" s="50"/>
      <c r="C270" s="1164"/>
      <c r="D270" s="1164"/>
      <c r="E270" s="1164"/>
      <c r="F270" s="1164"/>
      <c r="G270" s="1164"/>
      <c r="H270" s="1164"/>
      <c r="I270" s="1164"/>
      <c r="J270" s="1164"/>
      <c r="K270" s="1164"/>
      <c r="L270" s="1164"/>
      <c r="M270" s="1164"/>
      <c r="N270" s="87"/>
      <c r="O270" s="83"/>
      <c r="P270" s="610"/>
    </row>
    <row r="271" spans="1:17" s="51" customFormat="1" ht="12" customHeight="1">
      <c r="A271" s="50"/>
      <c r="B271" s="57" t="s">
        <v>269</v>
      </c>
      <c r="C271" s="50"/>
      <c r="D271" s="56"/>
      <c r="E271" s="56"/>
      <c r="F271" s="56"/>
      <c r="G271" s="56"/>
      <c r="H271" s="44"/>
      <c r="I271" s="44"/>
      <c r="J271" s="44"/>
      <c r="K271" s="44"/>
      <c r="M271" s="54"/>
      <c r="N271" s="73"/>
      <c r="O271" s="4"/>
      <c r="P271" s="1163"/>
    </row>
    <row r="272" spans="1:17" s="51" customFormat="1" ht="41.25" customHeight="1">
      <c r="A272" s="2199"/>
      <c r="B272" s="2200"/>
      <c r="C272" s="2200"/>
      <c r="D272" s="2200"/>
      <c r="E272" s="2200"/>
      <c r="F272" s="2200"/>
      <c r="G272" s="2200"/>
      <c r="H272" s="2200"/>
      <c r="I272" s="2200"/>
      <c r="J272" s="2200"/>
      <c r="K272" s="2200"/>
      <c r="L272" s="2200"/>
      <c r="M272" s="2200"/>
      <c r="N272" s="2200"/>
      <c r="O272" s="2200"/>
      <c r="P272" s="2201"/>
      <c r="Q272" s="563" t="s">
        <v>1332</v>
      </c>
    </row>
    <row r="273" spans="1:19" s="51" customFormat="1" ht="11.25" customHeight="1">
      <c r="A273" s="50"/>
      <c r="B273" s="100" t="s">
        <v>1996</v>
      </c>
      <c r="C273" s="115"/>
      <c r="D273" s="100"/>
      <c r="E273" s="116"/>
      <c r="F273" s="1164"/>
      <c r="G273" s="1164"/>
      <c r="H273" s="1164"/>
      <c r="I273" s="1164"/>
      <c r="J273" s="1164"/>
      <c r="K273" s="1164"/>
      <c r="L273" s="1164"/>
      <c r="M273" s="1164"/>
      <c r="N273" s="87"/>
      <c r="O273" s="83"/>
      <c r="P273" s="2"/>
      <c r="Q273" s="530"/>
    </row>
    <row r="274" spans="1:19" s="51" customFormat="1" ht="39.75" customHeight="1">
      <c r="A274" s="1417"/>
      <c r="B274" s="1418"/>
      <c r="C274" s="1418"/>
      <c r="D274" s="1418"/>
      <c r="E274" s="1418"/>
      <c r="F274" s="1418"/>
      <c r="G274" s="1418"/>
      <c r="H274" s="1418"/>
      <c r="I274" s="1418"/>
      <c r="J274" s="1418"/>
      <c r="K274" s="1418"/>
      <c r="L274" s="1418"/>
      <c r="M274" s="1418"/>
      <c r="N274" s="1418"/>
      <c r="O274" s="1418"/>
      <c r="P274" s="1419"/>
      <c r="Q274" s="563" t="s">
        <v>1332</v>
      </c>
    </row>
    <row r="275" spans="1:19" s="51" customFormat="1" ht="3.75" customHeight="1">
      <c r="A275" s="50"/>
      <c r="C275" s="1164"/>
      <c r="D275" s="1164"/>
      <c r="E275" s="1164"/>
      <c r="F275" s="1164"/>
      <c r="G275" s="1164"/>
      <c r="H275" s="1164"/>
      <c r="I275" s="1164"/>
      <c r="J275" s="1164"/>
      <c r="K275" s="1164"/>
      <c r="L275" s="1164"/>
      <c r="M275" s="1164"/>
      <c r="N275" s="87"/>
      <c r="O275" s="83"/>
      <c r="P275" s="610"/>
    </row>
    <row r="276" spans="1:19" s="51" customFormat="1" ht="12" customHeight="1">
      <c r="A276" s="184" t="s">
        <v>3352</v>
      </c>
      <c r="B276" s="123" t="s">
        <v>3353</v>
      </c>
      <c r="C276" s="64"/>
      <c r="D276" s="136"/>
      <c r="E276" s="136"/>
      <c r="F276" s="49"/>
      <c r="G276" s="49"/>
      <c r="H276" s="49"/>
      <c r="I276" s="49"/>
      <c r="J276" s="49"/>
      <c r="K276" s="49"/>
      <c r="L276" s="49"/>
      <c r="M276" s="8">
        <v>1</v>
      </c>
      <c r="N276" s="218"/>
      <c r="O276" s="2314"/>
      <c r="P276" s="792"/>
      <c r="Q276" s="126" t="s">
        <v>463</v>
      </c>
      <c r="R276" s="214" t="s">
        <v>2947</v>
      </c>
    </row>
    <row r="277" spans="1:19" s="51" customFormat="1" ht="12" customHeight="1">
      <c r="B277" s="1561" t="s">
        <v>3598</v>
      </c>
      <c r="C277" s="1561"/>
      <c r="D277" s="1561"/>
      <c r="E277" s="1561"/>
      <c r="F277" s="1561"/>
      <c r="G277" s="1561"/>
      <c r="H277" s="1561"/>
      <c r="I277" s="1561"/>
      <c r="J277" s="1561"/>
      <c r="K277" s="1561"/>
      <c r="L277" s="1561"/>
      <c r="M277" s="1561"/>
      <c r="N277" s="1561"/>
      <c r="O277" s="2195" t="s">
        <v>3702</v>
      </c>
      <c r="P277" s="794"/>
      <c r="R277" s="459"/>
    </row>
    <row r="278" spans="1:19" s="51" customFormat="1" ht="1.5" customHeight="1">
      <c r="A278" s="165"/>
      <c r="B278" s="764"/>
      <c r="C278" s="764"/>
      <c r="D278" s="764"/>
      <c r="E278" s="764"/>
      <c r="F278" s="764"/>
      <c r="G278" s="764"/>
      <c r="H278" s="764"/>
      <c r="I278" s="764"/>
      <c r="J278" s="764"/>
      <c r="K278" s="764"/>
      <c r="L278" s="764"/>
      <c r="M278" s="764"/>
      <c r="R278" s="459"/>
    </row>
    <row r="279" spans="1:19" s="51" customFormat="1" ht="3" customHeight="1">
      <c r="A279" s="165"/>
      <c r="C279" s="1170"/>
      <c r="D279" s="1170"/>
      <c r="E279" s="1170"/>
      <c r="F279" s="459"/>
      <c r="H279" s="1170"/>
      <c r="I279" s="1170"/>
      <c r="J279" s="1170"/>
      <c r="K279" s="1170"/>
      <c r="L279" s="1170"/>
      <c r="M279" s="1170"/>
    </row>
    <row r="280" spans="1:19" s="51" customFormat="1" ht="12" customHeight="1">
      <c r="A280" s="165"/>
      <c r="B280" s="539" t="s">
        <v>3364</v>
      </c>
      <c r="C280" s="826"/>
      <c r="D280" s="2376"/>
      <c r="E280" s="2377"/>
      <c r="F280" s="2377"/>
      <c r="G280" s="2378"/>
      <c r="H280" s="1166" t="s">
        <v>3366</v>
      </c>
      <c r="I280" s="2379"/>
      <c r="J280" s="1171" t="s">
        <v>3365</v>
      </c>
      <c r="K280" s="2376"/>
      <c r="L280" s="2377"/>
      <c r="M280" s="2377"/>
      <c r="N280" s="2377"/>
      <c r="O280" s="2378"/>
      <c r="P280" s="764"/>
    </row>
    <row r="281" spans="1:19" s="51" customFormat="1" ht="3" customHeight="1">
      <c r="A281" s="165"/>
      <c r="C281" s="1170"/>
      <c r="D281" s="1170"/>
      <c r="E281" s="1170"/>
      <c r="F281" s="459"/>
      <c r="H281" s="1170"/>
      <c r="I281" s="1170"/>
      <c r="J281" s="1170"/>
      <c r="K281" s="1170"/>
      <c r="L281" s="1170"/>
      <c r="N281" s="764"/>
      <c r="O281" s="764"/>
      <c r="P281" s="764"/>
    </row>
    <row r="282" spans="1:19" s="44" customFormat="1" ht="10.5" customHeight="1">
      <c r="A282" s="55"/>
      <c r="B282" s="1564" t="s">
        <v>3404</v>
      </c>
      <c r="C282" s="1564"/>
      <c r="D282" s="1565"/>
      <c r="E282" s="1562" t="s">
        <v>3363</v>
      </c>
      <c r="F282" s="1563"/>
      <c r="I282" s="1518" t="s">
        <v>3400</v>
      </c>
      <c r="J282" s="1519"/>
      <c r="M282" s="1566" t="s">
        <v>3405</v>
      </c>
      <c r="N282" s="1566"/>
      <c r="O282" s="1566"/>
      <c r="P282" s="1566"/>
      <c r="R282" s="119"/>
      <c r="S282" s="119"/>
    </row>
    <row r="283" spans="1:19" s="44" customFormat="1" ht="10.5" customHeight="1">
      <c r="A283" s="55"/>
      <c r="B283" s="541" t="s">
        <v>3402</v>
      </c>
      <c r="C283" s="362"/>
      <c r="D283" s="362"/>
      <c r="E283" s="775" t="s">
        <v>3358</v>
      </c>
      <c r="F283" s="776" t="s">
        <v>3359</v>
      </c>
      <c r="G283" s="1177" t="s">
        <v>3401</v>
      </c>
      <c r="I283" s="775" t="s">
        <v>3358</v>
      </c>
      <c r="J283" s="776" t="s">
        <v>3359</v>
      </c>
      <c r="K283" s="1177" t="s">
        <v>3401</v>
      </c>
      <c r="M283" s="1511" t="s">
        <v>3402</v>
      </c>
      <c r="N283" s="1511"/>
      <c r="O283" s="44" t="s">
        <v>3403</v>
      </c>
      <c r="P283" s="824" t="s">
        <v>3406</v>
      </c>
      <c r="R283" s="1177"/>
      <c r="S283" s="119"/>
    </row>
    <row r="284" spans="1:19" s="65" customFormat="1" ht="10.5" customHeight="1">
      <c r="A284" s="55"/>
      <c r="B284" s="534" t="s">
        <v>3354</v>
      </c>
      <c r="E284" s="2380"/>
      <c r="F284" s="2381"/>
      <c r="G284" s="708">
        <f>E284+F284</f>
        <v>0</v>
      </c>
      <c r="I284" s="2380"/>
      <c r="J284" s="2381"/>
      <c r="K284" s="708">
        <f>I284+J284</f>
        <v>0</v>
      </c>
      <c r="M284" s="1495" t="str">
        <f>IF(AND(G284=0,K284=0),"n/a",IF(G284&gt;K284,"Yes", "No"))</f>
        <v>n/a</v>
      </c>
      <c r="N284" s="1512"/>
      <c r="O284" s="1515" t="str">
        <f>IF(AND(M284="n/a",M285="n/a",M286="n/a",M287="n/a",M288="n/a"),"n/a",IF(AND(M284="Yes",M285="Yes",M286="Yes",M287="Yes",M288="Yes"),"Yes",IF(OR(M284="No",M285="No",M286="No",M287="No",M288="No"), "No", "No")))</f>
        <v>n/a</v>
      </c>
      <c r="R284" s="51"/>
      <c r="S284" s="51"/>
    </row>
    <row r="285" spans="1:19" s="65" customFormat="1" ht="10.5" customHeight="1">
      <c r="A285" s="55"/>
      <c r="B285" s="534" t="s">
        <v>3360</v>
      </c>
      <c r="E285" s="2382"/>
      <c r="F285" s="2383"/>
      <c r="G285" s="709">
        <f>E285+F285</f>
        <v>0</v>
      </c>
      <c r="I285" s="2382"/>
      <c r="J285" s="2383"/>
      <c r="K285" s="709">
        <f>I285+J285</f>
        <v>0</v>
      </c>
      <c r="M285" s="1498" t="str">
        <f>IF(AND(G285=0,K285=0),"n/a",IF(G285&gt;K285,"Yes", "No"))</f>
        <v>n/a</v>
      </c>
      <c r="N285" s="1513"/>
      <c r="O285" s="1516"/>
      <c r="R285" s="51"/>
      <c r="S285" s="51"/>
    </row>
    <row r="286" spans="1:19" s="65" customFormat="1" ht="10.5" customHeight="1">
      <c r="A286" s="55"/>
      <c r="B286" s="534" t="s">
        <v>3355</v>
      </c>
      <c r="E286" s="2384"/>
      <c r="F286" s="2385"/>
      <c r="G286" s="709">
        <f>E286+F286</f>
        <v>0</v>
      </c>
      <c r="I286" s="2384"/>
      <c r="J286" s="2385"/>
      <c r="K286" s="709">
        <f>I286+J286</f>
        <v>0</v>
      </c>
      <c r="M286" s="1498" t="str">
        <f>IF(AND(G286=0,K286=0),"n/a",IF(G286&gt;K286,"Yes", "No"))</f>
        <v>n/a</v>
      </c>
      <c r="N286" s="1513"/>
      <c r="O286" s="1516"/>
      <c r="R286" s="51"/>
      <c r="S286" s="51"/>
    </row>
    <row r="287" spans="1:19" s="65" customFormat="1" ht="10.5" customHeight="1">
      <c r="A287" s="55"/>
      <c r="B287" s="534" t="s">
        <v>3356</v>
      </c>
      <c r="E287" s="2384"/>
      <c r="F287" s="2385"/>
      <c r="G287" s="709">
        <f>E287+F287</f>
        <v>0</v>
      </c>
      <c r="I287" s="2384"/>
      <c r="J287" s="2385"/>
      <c r="K287" s="709">
        <f>I287+J287</f>
        <v>0</v>
      </c>
      <c r="M287" s="1498" t="str">
        <f>IF(AND(G287=0,K287=0),"n/a",IF(G287&gt;K287,"Yes", "No"))</f>
        <v>n/a</v>
      </c>
      <c r="N287" s="1513"/>
      <c r="O287" s="1516"/>
    </row>
    <row r="288" spans="1:19" s="65" customFormat="1" ht="10.5" customHeight="1">
      <c r="A288" s="55"/>
      <c r="B288" s="534" t="s">
        <v>3357</v>
      </c>
      <c r="E288" s="2386"/>
      <c r="F288" s="2387"/>
      <c r="G288" s="710">
        <f>E288+F288</f>
        <v>0</v>
      </c>
      <c r="I288" s="2386"/>
      <c r="J288" s="2387"/>
      <c r="K288" s="710">
        <f>I288+J288</f>
        <v>0</v>
      </c>
      <c r="M288" s="1502" t="str">
        <f>IF(AND(G288=0,K288=0),"n/a",IF(G288&gt;K288,"Yes", "No"))</f>
        <v>n/a</v>
      </c>
      <c r="N288" s="1514"/>
      <c r="O288" s="1517"/>
    </row>
    <row r="289" spans="1:19" s="65" customFormat="1" ht="3" customHeight="1">
      <c r="A289" s="55"/>
      <c r="B289" s="615"/>
      <c r="C289" s="1170"/>
      <c r="D289" s="1170"/>
      <c r="E289" s="779"/>
      <c r="F289" s="779"/>
      <c r="I289" s="779"/>
      <c r="J289" s="779"/>
      <c r="R289" s="51"/>
      <c r="S289" s="51"/>
    </row>
    <row r="290" spans="1:19" s="65" customFormat="1" ht="10.5" customHeight="1">
      <c r="A290" s="55"/>
      <c r="B290" s="1176" t="s">
        <v>3354</v>
      </c>
      <c r="C290" s="511"/>
      <c r="D290" s="511"/>
      <c r="E290" s="766"/>
      <c r="F290" s="767"/>
      <c r="G290" s="708">
        <f>E290+F290</f>
        <v>0</v>
      </c>
      <c r="I290" s="766"/>
      <c r="J290" s="767"/>
      <c r="K290" s="708">
        <f>I290+J290</f>
        <v>0</v>
      </c>
      <c r="M290" s="1495" t="str">
        <f>IF(AND(G290=0,K290=0),"n/a",IF(G290&gt;K290,"Yes", "No"))</f>
        <v>n/a</v>
      </c>
      <c r="N290" s="1512"/>
      <c r="O290" s="1515" t="str">
        <f>IF(AND(M290="n/a",M291="n/a",M292="n/a",M293="n/a",M294="n/a"),"n/a",IF(AND(M290="Yes",M291="Yes",M292="Yes",M293="Yes",M294="Yes"),"Yes",IF(OR(M290="No",M291="No",M292="No",M293="No",M294="No"), "No", "No")))</f>
        <v>n/a</v>
      </c>
      <c r="R290" s="51"/>
      <c r="S290" s="51"/>
    </row>
    <row r="291" spans="1:19" s="65" customFormat="1" ht="10.5" customHeight="1">
      <c r="A291" s="55"/>
      <c r="B291" s="1176" t="s">
        <v>3360</v>
      </c>
      <c r="C291" s="511"/>
      <c r="D291" s="511"/>
      <c r="E291" s="768"/>
      <c r="F291" s="769"/>
      <c r="G291" s="709">
        <f>E291+F291</f>
        <v>0</v>
      </c>
      <c r="I291" s="768"/>
      <c r="J291" s="769"/>
      <c r="K291" s="709">
        <f>I291+J291</f>
        <v>0</v>
      </c>
      <c r="M291" s="1498" t="str">
        <f>IF(AND(G291=0,K291=0),"n/a",IF(G291&gt;K291,"Yes", "No"))</f>
        <v>n/a</v>
      </c>
      <c r="N291" s="1513"/>
      <c r="O291" s="1516"/>
      <c r="R291" s="51"/>
      <c r="S291" s="51"/>
    </row>
    <row r="292" spans="1:19" s="65" customFormat="1" ht="10.5" customHeight="1">
      <c r="A292" s="55"/>
      <c r="B292" s="1176" t="s">
        <v>3355</v>
      </c>
      <c r="C292" s="511"/>
      <c r="D292" s="511"/>
      <c r="E292" s="770"/>
      <c r="F292" s="771"/>
      <c r="G292" s="709">
        <f>E292+F292</f>
        <v>0</v>
      </c>
      <c r="I292" s="770"/>
      <c r="J292" s="771"/>
      <c r="K292" s="709">
        <f>I292+J292</f>
        <v>0</v>
      </c>
      <c r="M292" s="1498" t="str">
        <f>IF(AND(G292=0,K292=0),"n/a",IF(G292&gt;K292,"Yes", "No"))</f>
        <v>n/a</v>
      </c>
      <c r="N292" s="1513"/>
      <c r="O292" s="1516"/>
      <c r="P292" s="504"/>
      <c r="R292" s="51"/>
      <c r="S292" s="51"/>
    </row>
    <row r="293" spans="1:19" s="65" customFormat="1" ht="10.5" customHeight="1">
      <c r="A293" s="55"/>
      <c r="B293" s="1176" t="s">
        <v>3356</v>
      </c>
      <c r="C293" s="511"/>
      <c r="D293" s="511"/>
      <c r="E293" s="770"/>
      <c r="F293" s="771"/>
      <c r="G293" s="709">
        <f>E293+F293</f>
        <v>0</v>
      </c>
      <c r="I293" s="770"/>
      <c r="J293" s="771"/>
      <c r="K293" s="709">
        <f>I293+J293</f>
        <v>0</v>
      </c>
      <c r="M293" s="1498" t="str">
        <f>IF(AND(G293=0,K293=0),"n/a",IF(G293&gt;K293,"Yes", "No"))</f>
        <v>n/a</v>
      </c>
      <c r="N293" s="1513"/>
      <c r="O293" s="1516"/>
      <c r="R293" s="51"/>
      <c r="S293" s="51"/>
    </row>
    <row r="294" spans="1:19" s="65" customFormat="1" ht="10.5" customHeight="1">
      <c r="A294" s="55"/>
      <c r="B294" s="1176" t="s">
        <v>3357</v>
      </c>
      <c r="C294" s="511"/>
      <c r="D294" s="511"/>
      <c r="E294" s="772"/>
      <c r="F294" s="773"/>
      <c r="G294" s="710">
        <f>E294+F294</f>
        <v>0</v>
      </c>
      <c r="I294" s="772"/>
      <c r="J294" s="773"/>
      <c r="K294" s="710">
        <f>I294+J294</f>
        <v>0</v>
      </c>
      <c r="M294" s="1502" t="str">
        <f>IF(AND(G294=0,K294=0),"n/a",IF(G294&gt;K294,"Yes", "No"))</f>
        <v>n/a</v>
      </c>
      <c r="N294" s="1514"/>
      <c r="O294" s="1517"/>
      <c r="R294" s="51"/>
      <c r="S294" s="51"/>
    </row>
    <row r="295" spans="1:19" s="51" customFormat="1" ht="7.5" customHeight="1">
      <c r="A295" s="165"/>
      <c r="C295" s="1170"/>
      <c r="D295" s="1170"/>
      <c r="E295" s="1170"/>
      <c r="F295" s="1170"/>
      <c r="I295" s="1170"/>
      <c r="J295" s="1170"/>
      <c r="P295" s="159"/>
    </row>
    <row r="296" spans="1:19" s="44" customFormat="1" ht="10.5" customHeight="1">
      <c r="A296" s="55"/>
      <c r="B296" s="777"/>
      <c r="C296" s="777"/>
      <c r="D296" s="777"/>
      <c r="E296" s="1500" t="s">
        <v>3361</v>
      </c>
      <c r="F296" s="1501"/>
      <c r="G296" s="778"/>
      <c r="H296" s="778"/>
      <c r="I296" s="1500" t="s">
        <v>3400</v>
      </c>
      <c r="J296" s="1501"/>
      <c r="K296" s="778"/>
      <c r="P296" s="159"/>
      <c r="R296" s="119"/>
      <c r="S296" s="119"/>
    </row>
    <row r="297" spans="1:19" s="65" customFormat="1" ht="10.5" customHeight="1">
      <c r="A297" s="55"/>
      <c r="B297" s="1176" t="s">
        <v>3354</v>
      </c>
      <c r="C297" s="511"/>
      <c r="D297" s="511"/>
      <c r="E297" s="2380"/>
      <c r="F297" s="2381"/>
      <c r="G297" s="708">
        <f>E297+F297</f>
        <v>0</v>
      </c>
      <c r="H297" s="774"/>
      <c r="I297" s="2380"/>
      <c r="J297" s="2381"/>
      <c r="K297" s="708">
        <f>I297+J297</f>
        <v>0</v>
      </c>
      <c r="M297" s="1495" t="str">
        <f>IF(AND(G297=0,K297=0),"n/a",IF(G297&gt;K297,"Yes", "No"))</f>
        <v>n/a</v>
      </c>
      <c r="N297" s="1496"/>
      <c r="O297" s="1497" t="str">
        <f>IF(AND(M297="n/a",M298="n/a",M299="n/a",M300="n/a",M301="n/a"),"n/a",IF(AND(M297="Yes",M298="Yes",M299="Yes",M300="Yes",M301="Yes"),"Yes",IF(OR(M297="No",M298="No",M299="No",M300="No",M301="No"), "No", "No")))</f>
        <v>n/a</v>
      </c>
      <c r="P297" s="1509"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76" t="s">
        <v>3360</v>
      </c>
      <c r="C298" s="511"/>
      <c r="D298" s="511"/>
      <c r="E298" s="2382"/>
      <c r="F298" s="2383"/>
      <c r="G298" s="709">
        <f>E298+F298</f>
        <v>0</v>
      </c>
      <c r="I298" s="2382"/>
      <c r="J298" s="2383"/>
      <c r="K298" s="709">
        <f>I298+J298</f>
        <v>0</v>
      </c>
      <c r="M298" s="1498" t="str">
        <f>IF(AND(G298=0,K298=0),"n/a",IF(G298&gt;K298,"Yes", "No"))</f>
        <v>n/a</v>
      </c>
      <c r="N298" s="1499"/>
      <c r="O298" s="1497"/>
      <c r="P298" s="1509"/>
      <c r="R298" s="51"/>
      <c r="S298" s="51"/>
    </row>
    <row r="299" spans="1:19" s="65" customFormat="1" ht="10.5" customHeight="1">
      <c r="A299" s="55"/>
      <c r="B299" s="1176" t="s">
        <v>3355</v>
      </c>
      <c r="C299" s="511"/>
      <c r="D299" s="511"/>
      <c r="E299" s="2384"/>
      <c r="F299" s="2385"/>
      <c r="G299" s="709">
        <f>E299+F299</f>
        <v>0</v>
      </c>
      <c r="I299" s="2384"/>
      <c r="J299" s="2385"/>
      <c r="K299" s="709">
        <f>I299+J299</f>
        <v>0</v>
      </c>
      <c r="M299" s="1498" t="str">
        <f>IF(AND(G299=0,K299=0),"n/a",IF(G299&gt;K299,"Yes", "No"))</f>
        <v>n/a</v>
      </c>
      <c r="N299" s="1499"/>
      <c r="O299" s="1497"/>
      <c r="P299" s="1509"/>
      <c r="R299" s="51"/>
      <c r="S299" s="51"/>
    </row>
    <row r="300" spans="1:19" s="65" customFormat="1" ht="10.5" customHeight="1">
      <c r="A300" s="55"/>
      <c r="B300" s="1176" t="s">
        <v>3356</v>
      </c>
      <c r="C300" s="511"/>
      <c r="D300" s="511"/>
      <c r="E300" s="2384"/>
      <c r="F300" s="2385"/>
      <c r="G300" s="709">
        <f>E300+F300</f>
        <v>0</v>
      </c>
      <c r="I300" s="2384"/>
      <c r="J300" s="2385"/>
      <c r="K300" s="709">
        <f>I300+J300</f>
        <v>0</v>
      </c>
      <c r="M300" s="1498" t="str">
        <f>IF(AND(G300=0,K300=0),"n/a",IF(G300&gt;K300,"Yes", "No"))</f>
        <v>n/a</v>
      </c>
      <c r="N300" s="1499"/>
      <c r="O300" s="1497"/>
      <c r="P300" s="1509"/>
      <c r="R300" s="51"/>
      <c r="S300" s="51"/>
    </row>
    <row r="301" spans="1:19" s="65" customFormat="1" ht="10.5" customHeight="1">
      <c r="A301" s="55"/>
      <c r="B301" s="1176" t="s">
        <v>3357</v>
      </c>
      <c r="C301" s="511"/>
      <c r="D301" s="511"/>
      <c r="E301" s="2386"/>
      <c r="F301" s="2387"/>
      <c r="G301" s="710">
        <f>E301+F301</f>
        <v>0</v>
      </c>
      <c r="I301" s="2386"/>
      <c r="J301" s="2387"/>
      <c r="K301" s="710">
        <f>I301+J301</f>
        <v>0</v>
      </c>
      <c r="M301" s="1502" t="str">
        <f>IF(AND(G301=0,K301=0),"n/a",IF(G301&gt;K301,"Yes", "No"))</f>
        <v>n/a</v>
      </c>
      <c r="N301" s="1503"/>
      <c r="O301" s="1497"/>
      <c r="P301" s="1509"/>
      <c r="R301" s="51"/>
      <c r="S301" s="51"/>
    </row>
    <row r="302" spans="1:19" s="65" customFormat="1" ht="3" customHeight="1">
      <c r="A302" s="55"/>
      <c r="B302" s="711"/>
      <c r="C302" s="712"/>
      <c r="D302" s="511"/>
      <c r="E302" s="779"/>
      <c r="F302" s="779"/>
      <c r="I302" s="779"/>
      <c r="J302" s="779"/>
      <c r="P302" s="159"/>
      <c r="R302" s="51"/>
      <c r="S302" s="51"/>
    </row>
    <row r="303" spans="1:19" s="65" customFormat="1" ht="10.5" customHeight="1">
      <c r="A303" s="55"/>
      <c r="B303" s="1176" t="s">
        <v>3354</v>
      </c>
      <c r="C303" s="511"/>
      <c r="D303" s="511"/>
      <c r="E303" s="766"/>
      <c r="F303" s="767"/>
      <c r="G303" s="708">
        <f>E303+F303</f>
        <v>0</v>
      </c>
      <c r="I303" s="766"/>
      <c r="J303" s="767"/>
      <c r="K303" s="708">
        <f>I303+J303</f>
        <v>0</v>
      </c>
      <c r="M303" s="1495" t="str">
        <f>IF(AND(G303=0,K303=0),"n/a",IF(G303&gt;K303,"Yes", "No"))</f>
        <v>n/a</v>
      </c>
      <c r="N303" s="1496"/>
      <c r="O303" s="1497" t="str">
        <f>IF(AND(M303="n/a",M304="n/a",M305="n/a",M306="n/a",M307="n/a"),"n/a",IF(AND(M303="Yes",M304="Yes",M305="Yes",M306="Yes",M307="Yes"),"Yes",IF(OR(M303="No",M304="No",M305="No",M306="No",M307="No"), "No", "No")))</f>
        <v>n/a</v>
      </c>
      <c r="P303" s="1509"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6" t="s">
        <v>3360</v>
      </c>
      <c r="C304" s="511"/>
      <c r="D304" s="511"/>
      <c r="E304" s="768"/>
      <c r="F304" s="769"/>
      <c r="G304" s="709">
        <f>E304+F304</f>
        <v>0</v>
      </c>
      <c r="I304" s="768"/>
      <c r="J304" s="769"/>
      <c r="K304" s="709">
        <f>I304+J304</f>
        <v>0</v>
      </c>
      <c r="M304" s="1498" t="str">
        <f>IF(AND(G304=0,K304=0),"n/a",IF(G304&gt;K304,"Yes", "No"))</f>
        <v>n/a</v>
      </c>
      <c r="N304" s="1499"/>
      <c r="O304" s="1497"/>
      <c r="P304" s="1509"/>
      <c r="R304" s="51"/>
      <c r="S304" s="51"/>
    </row>
    <row r="305" spans="1:19" s="65" customFormat="1" ht="10.5" customHeight="1">
      <c r="A305" s="55"/>
      <c r="B305" s="1176" t="s">
        <v>3355</v>
      </c>
      <c r="C305" s="511"/>
      <c r="D305" s="511"/>
      <c r="E305" s="770"/>
      <c r="F305" s="771"/>
      <c r="G305" s="709">
        <f>E305+F305</f>
        <v>0</v>
      </c>
      <c r="I305" s="770"/>
      <c r="J305" s="771"/>
      <c r="K305" s="709">
        <f>I305+J305</f>
        <v>0</v>
      </c>
      <c r="M305" s="1498" t="str">
        <f>IF(AND(G305=0,K305=0),"n/a",IF(G305&gt;K305,"Yes", "No"))</f>
        <v>n/a</v>
      </c>
      <c r="N305" s="1499"/>
      <c r="O305" s="1497"/>
      <c r="P305" s="1509"/>
      <c r="R305" s="51"/>
      <c r="S305" s="51"/>
    </row>
    <row r="306" spans="1:19" s="65" customFormat="1" ht="10.5" customHeight="1">
      <c r="A306" s="55"/>
      <c r="B306" s="1176" t="s">
        <v>3356</v>
      </c>
      <c r="C306" s="511"/>
      <c r="D306" s="511"/>
      <c r="E306" s="770"/>
      <c r="F306" s="771"/>
      <c r="G306" s="709">
        <f>E306+F306</f>
        <v>0</v>
      </c>
      <c r="I306" s="770"/>
      <c r="J306" s="771"/>
      <c r="K306" s="709">
        <f>I306+J306</f>
        <v>0</v>
      </c>
      <c r="M306" s="1498" t="str">
        <f>IF(AND(G306=0,K306=0),"n/a",IF(G306&gt;K306,"Yes", "No"))</f>
        <v>n/a</v>
      </c>
      <c r="N306" s="1499"/>
      <c r="O306" s="1497"/>
      <c r="P306" s="1509"/>
      <c r="R306" s="51"/>
      <c r="S306" s="51"/>
    </row>
    <row r="307" spans="1:19" s="65" customFormat="1" ht="10.5" customHeight="1">
      <c r="A307" s="55"/>
      <c r="B307" s="1176" t="s">
        <v>3357</v>
      </c>
      <c r="C307" s="511"/>
      <c r="D307" s="511"/>
      <c r="E307" s="772"/>
      <c r="F307" s="773"/>
      <c r="G307" s="710">
        <f>E307+F307</f>
        <v>0</v>
      </c>
      <c r="I307" s="772"/>
      <c r="J307" s="773"/>
      <c r="K307" s="710">
        <f>I307+J307</f>
        <v>0</v>
      </c>
      <c r="M307" s="1502" t="str">
        <f>IF(AND(G307=0,K307=0),"n/a",IF(G307&gt;K307,"Yes", "No"))</f>
        <v>n/a</v>
      </c>
      <c r="N307" s="1503"/>
      <c r="O307" s="1497"/>
      <c r="P307" s="1509"/>
      <c r="R307" s="51"/>
      <c r="S307" s="51"/>
    </row>
    <row r="308" spans="1:19" s="51" customFormat="1" ht="7.5" customHeight="1">
      <c r="A308" s="165"/>
      <c r="B308" s="64"/>
      <c r="C308" s="712"/>
      <c r="D308" s="511"/>
      <c r="E308" s="1170"/>
      <c r="F308" s="1170"/>
      <c r="I308" s="1170"/>
      <c r="J308" s="1170"/>
      <c r="P308" s="159"/>
    </row>
    <row r="309" spans="1:19" s="44" customFormat="1" ht="10.5" customHeight="1">
      <c r="A309" s="55"/>
      <c r="B309" s="777"/>
      <c r="C309" s="777"/>
      <c r="D309" s="777"/>
      <c r="E309" s="1500" t="s">
        <v>3362</v>
      </c>
      <c r="F309" s="1501"/>
      <c r="G309" s="778"/>
      <c r="H309" s="778"/>
      <c r="I309" s="1500" t="s">
        <v>3400</v>
      </c>
      <c r="J309" s="1501"/>
      <c r="K309" s="778"/>
      <c r="P309" s="159"/>
      <c r="R309" s="119"/>
      <c r="S309" s="119"/>
    </row>
    <row r="310" spans="1:19" s="65" customFormat="1" ht="10.5" customHeight="1">
      <c r="A310" s="55"/>
      <c r="B310" s="1176" t="s">
        <v>3354</v>
      </c>
      <c r="C310" s="511"/>
      <c r="D310" s="511"/>
      <c r="E310" s="2380"/>
      <c r="F310" s="2381"/>
      <c r="G310" s="708">
        <f>E310+F310</f>
        <v>0</v>
      </c>
      <c r="I310" s="2380"/>
      <c r="J310" s="2381"/>
      <c r="K310" s="708">
        <f>I310+J310</f>
        <v>0</v>
      </c>
      <c r="M310" s="1495" t="str">
        <f>IF(AND(G310=0,K310=0),"n/a",IF(G310&gt;K310,"Yes", "No"))</f>
        <v>n/a</v>
      </c>
      <c r="N310" s="1496"/>
      <c r="O310" s="1497" t="str">
        <f>IF(AND(M310="n/a",M311="n/a",M312="n/a",M313="n/a",M314="n/a"),"n/a",IF(AND(M310="Yes",M311="Yes",M312="Yes",M313="Yes",M314="Yes"),"Yes",IF(OR(M310="No",M311="No",M312="No",M313="No",M314="No"), "No", "No")))</f>
        <v>n/a</v>
      </c>
      <c r="P310" s="159"/>
      <c r="R310" s="51"/>
      <c r="S310" s="51"/>
    </row>
    <row r="311" spans="1:19" s="65" customFormat="1" ht="10.5" customHeight="1">
      <c r="A311" s="55"/>
      <c r="B311" s="1176" t="s">
        <v>3360</v>
      </c>
      <c r="C311" s="511"/>
      <c r="D311" s="511"/>
      <c r="E311" s="2382"/>
      <c r="F311" s="2383"/>
      <c r="G311" s="709">
        <f>E311+F311</f>
        <v>0</v>
      </c>
      <c r="I311" s="2382"/>
      <c r="J311" s="2383"/>
      <c r="K311" s="709">
        <f>I311+J311</f>
        <v>0</v>
      </c>
      <c r="M311" s="1498" t="str">
        <f>IF(AND(G311=0,K311=0),"n/a",IF(G311&gt;K311,"Yes", "No"))</f>
        <v>n/a</v>
      </c>
      <c r="N311" s="1499"/>
      <c r="O311" s="1497"/>
      <c r="P311" s="159"/>
      <c r="R311" s="51"/>
      <c r="S311" s="51"/>
    </row>
    <row r="312" spans="1:19" s="65" customFormat="1" ht="10.5" customHeight="1">
      <c r="A312" s="55"/>
      <c r="B312" s="534" t="s">
        <v>3355</v>
      </c>
      <c r="E312" s="2384"/>
      <c r="F312" s="2385"/>
      <c r="G312" s="709">
        <f>E312+F312</f>
        <v>0</v>
      </c>
      <c r="I312" s="2384"/>
      <c r="J312" s="2385"/>
      <c r="K312" s="709">
        <f>I312+J312</f>
        <v>0</v>
      </c>
      <c r="M312" s="1498" t="str">
        <f>IF(AND(G312=0,K312=0),"n/a",IF(G312&gt;K312,"Yes", "No"))</f>
        <v>n/a</v>
      </c>
      <c r="N312" s="1499"/>
      <c r="O312" s="1497"/>
      <c r="P312" s="159"/>
      <c r="R312" s="51"/>
      <c r="S312" s="51"/>
    </row>
    <row r="313" spans="1:19" s="65" customFormat="1" ht="10.5" customHeight="1">
      <c r="A313" s="55"/>
      <c r="B313" s="534" t="s">
        <v>3356</v>
      </c>
      <c r="E313" s="2384"/>
      <c r="F313" s="2385"/>
      <c r="G313" s="709">
        <f>E313+F313</f>
        <v>0</v>
      </c>
      <c r="I313" s="2384"/>
      <c r="J313" s="2385"/>
      <c r="K313" s="709">
        <f>I313+J313</f>
        <v>0</v>
      </c>
      <c r="M313" s="1498" t="str">
        <f>IF(AND(G313=0,K313=0),"n/a",IF(G313&gt;K313,"Yes", "No"))</f>
        <v>n/a</v>
      </c>
      <c r="N313" s="1499"/>
      <c r="O313" s="1497"/>
      <c r="P313" s="159"/>
      <c r="R313" s="51"/>
      <c r="S313" s="51"/>
    </row>
    <row r="314" spans="1:19" s="65" customFormat="1" ht="10.5" customHeight="1">
      <c r="A314" s="55"/>
      <c r="B314" s="534" t="s">
        <v>3357</v>
      </c>
      <c r="E314" s="2386"/>
      <c r="F314" s="2387"/>
      <c r="G314" s="710">
        <f>E314+F314</f>
        <v>0</v>
      </c>
      <c r="I314" s="2386"/>
      <c r="J314" s="2387"/>
      <c r="K314" s="710">
        <f>I314+J314</f>
        <v>0</v>
      </c>
      <c r="M314" s="1502" t="str">
        <f>IF(AND(G314=0,K314=0),"n/a",IF(G314&gt;K314,"Yes", "No"))</f>
        <v>n/a</v>
      </c>
      <c r="N314" s="1503"/>
      <c r="O314" s="1497"/>
      <c r="P314" s="159"/>
      <c r="R314" s="51"/>
      <c r="S314" s="51"/>
    </row>
    <row r="315" spans="1:19" s="51" customFormat="1" ht="3" customHeight="1">
      <c r="A315" s="165"/>
      <c r="C315" s="1170"/>
      <c r="D315" s="1170"/>
      <c r="E315" s="779"/>
      <c r="F315" s="779"/>
      <c r="I315" s="779"/>
      <c r="J315" s="779"/>
      <c r="P315" s="765"/>
    </row>
    <row r="316" spans="1:19" s="65" customFormat="1" ht="10.5" customHeight="1">
      <c r="A316" s="55"/>
      <c r="B316" s="1176" t="s">
        <v>3354</v>
      </c>
      <c r="C316" s="511"/>
      <c r="D316" s="511"/>
      <c r="E316" s="766"/>
      <c r="F316" s="767"/>
      <c r="G316" s="708">
        <f>E316+F316</f>
        <v>0</v>
      </c>
      <c r="I316" s="766"/>
      <c r="J316" s="767"/>
      <c r="K316" s="708">
        <f>I316+J316</f>
        <v>0</v>
      </c>
      <c r="M316" s="1495" t="str">
        <f>IF(AND(G316=0,K316=0),"n/a",IF(G316&gt;K316,"Yes", "No"))</f>
        <v>n/a</v>
      </c>
      <c r="N316" s="1496"/>
      <c r="O316" s="1497" t="str">
        <f>IF(AND(M316="n/a",M317="n/a",M318="n/a",M319="n/a",M320="n/a"),"n/a",IF(AND(M316="Yes",M317="Yes",M318="Yes",M319="Yes",M320="Yes"),"Yes",IF(OR(M316="No",M317="No",M318="No",M319="No",M320="No"), "No", "No")))</f>
        <v>n/a</v>
      </c>
      <c r="P316" s="765"/>
      <c r="R316" s="51"/>
      <c r="S316" s="51"/>
    </row>
    <row r="317" spans="1:19" s="65" customFormat="1" ht="10.5" customHeight="1">
      <c r="A317" s="55"/>
      <c r="B317" s="1176" t="s">
        <v>3360</v>
      </c>
      <c r="C317" s="511"/>
      <c r="D317" s="511"/>
      <c r="E317" s="768"/>
      <c r="F317" s="769"/>
      <c r="G317" s="709">
        <f>E317+F317</f>
        <v>0</v>
      </c>
      <c r="I317" s="768"/>
      <c r="J317" s="769"/>
      <c r="K317" s="709">
        <f>I317+J317</f>
        <v>0</v>
      </c>
      <c r="M317" s="1498" t="str">
        <f>IF(AND(G317=0,K317=0),"n/a",IF(G317&gt;K317,"Yes", "No"))</f>
        <v>n/a</v>
      </c>
      <c r="N317" s="1499"/>
      <c r="O317" s="1497"/>
      <c r="P317" s="765"/>
      <c r="R317" s="51"/>
      <c r="S317" s="51"/>
    </row>
    <row r="318" spans="1:19" s="65" customFormat="1" ht="10.5" customHeight="1">
      <c r="A318" s="55"/>
      <c r="B318" s="1176" t="s">
        <v>3355</v>
      </c>
      <c r="C318" s="511"/>
      <c r="D318" s="511"/>
      <c r="E318" s="770"/>
      <c r="F318" s="771"/>
      <c r="G318" s="709">
        <f>E318+F318</f>
        <v>0</v>
      </c>
      <c r="I318" s="770"/>
      <c r="J318" s="771"/>
      <c r="K318" s="709">
        <f>I318+J318</f>
        <v>0</v>
      </c>
      <c r="M318" s="1498" t="str">
        <f>IF(AND(G318=0,K318=0),"n/a",IF(G318&gt;K318,"Yes", "No"))</f>
        <v>n/a</v>
      </c>
      <c r="N318" s="1499"/>
      <c r="O318" s="1497"/>
      <c r="P318" s="765"/>
      <c r="R318" s="51"/>
      <c r="S318" s="51"/>
    </row>
    <row r="319" spans="1:19" s="65" customFormat="1" ht="10.5" customHeight="1">
      <c r="A319" s="55"/>
      <c r="B319" s="1176" t="s">
        <v>3356</v>
      </c>
      <c r="C319" s="511"/>
      <c r="D319" s="511"/>
      <c r="E319" s="770"/>
      <c r="F319" s="771"/>
      <c r="G319" s="709">
        <f>E319+F319</f>
        <v>0</v>
      </c>
      <c r="I319" s="770"/>
      <c r="J319" s="771"/>
      <c r="K319" s="709">
        <f>I319+J319</f>
        <v>0</v>
      </c>
      <c r="M319" s="1498" t="str">
        <f>IF(AND(G319=0,K319=0),"n/a",IF(G319&gt;K319,"Yes", "No"))</f>
        <v>n/a</v>
      </c>
      <c r="N319" s="1499"/>
      <c r="O319" s="1497"/>
      <c r="P319" s="765"/>
      <c r="R319" s="51"/>
      <c r="S319" s="51"/>
    </row>
    <row r="320" spans="1:19" s="65" customFormat="1" ht="10.5" customHeight="1">
      <c r="A320" s="55"/>
      <c r="B320" s="1176" t="s">
        <v>3357</v>
      </c>
      <c r="C320" s="511"/>
      <c r="D320" s="511"/>
      <c r="E320" s="772"/>
      <c r="F320" s="773"/>
      <c r="G320" s="710">
        <f>E320+F320</f>
        <v>0</v>
      </c>
      <c r="I320" s="772"/>
      <c r="J320" s="773"/>
      <c r="K320" s="710">
        <f>I320+J320</f>
        <v>0</v>
      </c>
      <c r="M320" s="1502" t="str">
        <f>IF(AND(G320=0,K320=0),"n/a",IF(G320&gt;K320,"Yes", "No"))</f>
        <v>n/a</v>
      </c>
      <c r="N320" s="1503"/>
      <c r="O320" s="1497"/>
      <c r="P320" s="765"/>
      <c r="R320" s="51"/>
      <c r="S320" s="51"/>
    </row>
    <row r="321" spans="1:18" s="51" customFormat="1" ht="10.5" customHeight="1">
      <c r="A321" s="50"/>
      <c r="B321" s="57" t="s">
        <v>269</v>
      </c>
      <c r="C321" s="50"/>
      <c r="D321" s="56"/>
      <c r="E321" s="56"/>
      <c r="F321" s="56"/>
      <c r="G321" s="56"/>
      <c r="H321" s="44"/>
      <c r="I321" s="44"/>
      <c r="J321" s="44"/>
      <c r="K321" s="44"/>
      <c r="M321" s="54"/>
      <c r="N321" s="73"/>
      <c r="O321" s="4"/>
      <c r="P321" s="1163"/>
    </row>
    <row r="322" spans="1:18" s="51" customFormat="1" ht="10.5" customHeight="1">
      <c r="A322" s="2199"/>
      <c r="B322" s="2200"/>
      <c r="C322" s="2200"/>
      <c r="D322" s="2200"/>
      <c r="E322" s="2200"/>
      <c r="F322" s="2200"/>
      <c r="G322" s="2200"/>
      <c r="H322" s="2200"/>
      <c r="I322" s="2200"/>
      <c r="J322" s="2200"/>
      <c r="K322" s="2200"/>
      <c r="L322" s="2200"/>
      <c r="M322" s="2200"/>
      <c r="N322" s="2200"/>
      <c r="O322" s="2200"/>
      <c r="P322" s="2201"/>
      <c r="Q322" s="563" t="s">
        <v>1332</v>
      </c>
    </row>
    <row r="323" spans="1:18" s="51" customFormat="1" ht="10.5" customHeight="1">
      <c r="A323" s="50"/>
      <c r="B323" s="100" t="s">
        <v>1996</v>
      </c>
      <c r="C323" s="115"/>
      <c r="D323" s="100"/>
      <c r="E323" s="116"/>
      <c r="F323" s="1164"/>
      <c r="G323" s="1164"/>
      <c r="H323" s="1164"/>
      <c r="I323" s="1164"/>
      <c r="J323" s="1164"/>
      <c r="K323" s="1164"/>
      <c r="L323" s="1164"/>
      <c r="M323" s="1164"/>
      <c r="N323" s="87"/>
      <c r="O323" s="83"/>
      <c r="P323" s="2"/>
      <c r="Q323" s="530"/>
    </row>
    <row r="324" spans="1:18" s="51" customFormat="1" ht="10.5" customHeight="1">
      <c r="A324" s="1417"/>
      <c r="B324" s="1418"/>
      <c r="C324" s="1418"/>
      <c r="D324" s="1418"/>
      <c r="E324" s="1418"/>
      <c r="F324" s="1418"/>
      <c r="G324" s="1418"/>
      <c r="H324" s="1418"/>
      <c r="I324" s="1418"/>
      <c r="J324" s="1418"/>
      <c r="K324" s="1418"/>
      <c r="L324" s="1418"/>
      <c r="M324" s="1418"/>
      <c r="N324" s="1418"/>
      <c r="O324" s="1418"/>
      <c r="P324" s="1419"/>
      <c r="Q324" s="563" t="s">
        <v>1332</v>
      </c>
    </row>
    <row r="325" spans="1:18" s="51" customFormat="1" ht="1.5" customHeight="1">
      <c r="A325" s="50"/>
      <c r="C325" s="1164"/>
      <c r="D325" s="1164"/>
      <c r="E325" s="1164"/>
      <c r="F325" s="1164"/>
      <c r="G325" s="1164"/>
      <c r="H325" s="1164"/>
      <c r="I325" s="1164"/>
      <c r="J325" s="1164"/>
      <c r="K325" s="1164"/>
      <c r="L325" s="1164"/>
      <c r="M325" s="1164"/>
      <c r="N325" s="87"/>
      <c r="O325" s="83"/>
      <c r="P325" s="610"/>
    </row>
    <row r="326" spans="1:18" s="51" customFormat="1" ht="12" customHeight="1">
      <c r="A326" s="184" t="s">
        <v>3369</v>
      </c>
      <c r="B326" s="123" t="s">
        <v>3368</v>
      </c>
      <c r="C326" s="64"/>
      <c r="D326" s="136"/>
      <c r="E326" s="136"/>
      <c r="F326" s="49"/>
      <c r="G326" s="49"/>
      <c r="H326" s="49"/>
      <c r="I326" s="49"/>
      <c r="J326" s="49"/>
      <c r="K326" s="49"/>
      <c r="M326" s="8">
        <v>2</v>
      </c>
      <c r="N326" s="218"/>
      <c r="O326" s="2314">
        <v>1</v>
      </c>
      <c r="P326" s="792"/>
      <c r="Q326" s="126" t="s">
        <v>463</v>
      </c>
      <c r="R326" s="44" t="s">
        <v>2947</v>
      </c>
    </row>
    <row r="327" spans="1:18" s="65" customFormat="1" ht="9" customHeight="1">
      <c r="H327" s="55"/>
      <c r="I327" s="55"/>
      <c r="J327" s="55"/>
      <c r="K327" s="55"/>
      <c r="L327" s="55"/>
      <c r="R327" s="690"/>
    </row>
    <row r="328" spans="1:18" s="65" customFormat="1" ht="12" customHeight="1">
      <c r="A328" s="55"/>
      <c r="I328" s="65" t="s">
        <v>3374</v>
      </c>
      <c r="K328" s="1492" t="str">
        <f>'Part I-Project Information'!F27</f>
        <v>Rome</v>
      </c>
      <c r="L328" s="1493"/>
      <c r="M328" s="1494"/>
      <c r="R328" s="690"/>
    </row>
    <row r="329" spans="1:18" s="65" customFormat="1" ht="12" customHeight="1">
      <c r="A329" s="165" t="s">
        <v>2118</v>
      </c>
      <c r="C329" s="720" t="s">
        <v>3378</v>
      </c>
      <c r="G329" s="2388">
        <v>13032</v>
      </c>
      <c r="I329" s="1510" t="s">
        <v>3375</v>
      </c>
      <c r="J329" s="1510"/>
      <c r="K329" s="1489" t="str">
        <f>'Part I-Project Information'!J28</f>
        <v>Floyd</v>
      </c>
      <c r="L329" s="1490"/>
      <c r="M329" s="1491"/>
      <c r="R329" s="690"/>
    </row>
    <row r="330" spans="1:18" s="65" customFormat="1" ht="12" customHeight="1">
      <c r="A330" s="165"/>
      <c r="C330" s="720"/>
      <c r="I330" s="534" t="s">
        <v>3376</v>
      </c>
      <c r="K330" s="1489" t="str">
        <f>'Part I-Project Information'!O29</f>
        <v>Rome</v>
      </c>
      <c r="L330" s="1490"/>
      <c r="M330" s="1491"/>
      <c r="R330" s="690"/>
    </row>
    <row r="331" spans="1:18" s="65" customFormat="1" ht="12.75" customHeight="1">
      <c r="A331" s="170" t="s">
        <v>2121</v>
      </c>
      <c r="B331" s="607" t="s">
        <v>3373</v>
      </c>
      <c r="C331" s="1176"/>
      <c r="D331" s="683"/>
      <c r="E331" s="683"/>
      <c r="G331" s="2323">
        <v>0.5</v>
      </c>
      <c r="I331" s="534" t="s">
        <v>3589</v>
      </c>
      <c r="K331" s="1489" t="str">
        <f>VLOOKUP('Part I-Project Information'!J28,'Part I-Project Information'!C179:F338,4)</f>
        <v>MSA</v>
      </c>
      <c r="L331" s="1490"/>
      <c r="M331" s="1491"/>
      <c r="R331" s="690"/>
    </row>
    <row r="332" spans="1:18" s="65" customFormat="1" ht="12.75" customHeight="1">
      <c r="A332" s="55"/>
      <c r="B332" s="607" t="s">
        <v>3372</v>
      </c>
      <c r="C332" s="1176"/>
      <c r="D332" s="683"/>
      <c r="E332" s="683"/>
      <c r="F332" s="55"/>
      <c r="G332" s="55"/>
      <c r="I332" s="65" t="s">
        <v>3590</v>
      </c>
      <c r="K332" s="1488" t="str">
        <f>'Part I-Project Information'!K29</f>
        <v>Urban</v>
      </c>
      <c r="L332" s="2389"/>
      <c r="M332" s="2390"/>
      <c r="R332" s="690"/>
    </row>
    <row r="333" spans="1:18" s="65" customFormat="1" ht="12.75" customHeight="1">
      <c r="A333" s="55"/>
      <c r="B333" s="607"/>
      <c r="C333" s="1176"/>
      <c r="D333" s="683"/>
      <c r="E333" s="683"/>
      <c r="F333" s="55"/>
      <c r="G333" s="55"/>
      <c r="I333" s="65" t="s">
        <v>3588</v>
      </c>
      <c r="K333" s="1488">
        <f>'Part I-Project Information'!H67</f>
        <v>0</v>
      </c>
      <c r="L333" s="2389"/>
      <c r="M333" s="2390"/>
      <c r="R333" s="690"/>
    </row>
    <row r="334" spans="1:18" s="65" customFormat="1" ht="15" customHeight="1">
      <c r="H334" s="55"/>
      <c r="I334" s="55"/>
      <c r="J334" s="55"/>
      <c r="K334" s="55"/>
      <c r="L334" s="55"/>
      <c r="R334" s="690"/>
    </row>
    <row r="335" spans="1:18" s="65" customFormat="1" ht="12" customHeight="1">
      <c r="A335" s="55"/>
      <c r="B335" s="55"/>
      <c r="C335" s="2391" t="s">
        <v>3370</v>
      </c>
      <c r="D335" s="2392" t="s">
        <v>3371</v>
      </c>
      <c r="E335" s="2392"/>
      <c r="F335" s="2392"/>
      <c r="G335" s="2392"/>
      <c r="H335" s="2392"/>
      <c r="I335" s="2392"/>
      <c r="J335" s="2392"/>
      <c r="K335" s="2392"/>
      <c r="L335" s="2391" t="s">
        <v>1710</v>
      </c>
      <c r="M335" s="2391" t="s">
        <v>2781</v>
      </c>
      <c r="R335" s="690"/>
    </row>
    <row r="336" spans="1:18" s="65" customFormat="1" ht="12" customHeight="1">
      <c r="A336" s="55"/>
      <c r="B336" s="55"/>
      <c r="C336" s="2393" t="s">
        <v>1282</v>
      </c>
      <c r="D336" s="2394" t="s">
        <v>3377</v>
      </c>
      <c r="E336" s="2394"/>
      <c r="F336" s="2394"/>
      <c r="G336" s="2394"/>
      <c r="H336" s="2394"/>
      <c r="I336" s="2394"/>
      <c r="J336" s="2394"/>
      <c r="K336" s="2394"/>
      <c r="L336" s="2393" t="s">
        <v>2796</v>
      </c>
      <c r="M336" s="2393" t="s">
        <v>1359</v>
      </c>
      <c r="R336" s="690"/>
    </row>
    <row r="337" spans="1:18" s="65" customFormat="1" ht="15.75" customHeight="1">
      <c r="A337" s="55"/>
      <c r="B337" s="55"/>
      <c r="C337" s="2395">
        <v>20000</v>
      </c>
      <c r="D337" s="2396">
        <v>15000</v>
      </c>
      <c r="E337" s="2396"/>
      <c r="F337" s="2396"/>
      <c r="G337" s="2396"/>
      <c r="H337" s="2396"/>
      <c r="I337" s="2396"/>
      <c r="J337" s="2396"/>
      <c r="K337" s="2396"/>
      <c r="L337" s="2395">
        <v>6000</v>
      </c>
      <c r="M337" s="2395">
        <v>3000</v>
      </c>
      <c r="R337" s="690"/>
    </row>
    <row r="338" spans="1:18" s="65" customFormat="1" ht="13.5" customHeight="1">
      <c r="A338" s="55"/>
      <c r="B338" s="615"/>
      <c r="C338" s="1170"/>
      <c r="D338" s="1170"/>
      <c r="E338" s="1170"/>
      <c r="F338" s="1170"/>
      <c r="G338" s="1170"/>
      <c r="H338" s="1170"/>
      <c r="I338" s="1170"/>
      <c r="J338" s="1170"/>
      <c r="K338" s="1170"/>
      <c r="L338" s="1170"/>
      <c r="R338" s="690"/>
    </row>
    <row r="339" spans="1:18" s="51" customFormat="1" ht="12" customHeight="1">
      <c r="A339" s="50"/>
      <c r="B339" s="57" t="s">
        <v>269</v>
      </c>
      <c r="C339" s="50"/>
      <c r="D339" s="56"/>
      <c r="E339" s="56"/>
      <c r="F339" s="56"/>
      <c r="G339" s="56"/>
      <c r="H339" s="44"/>
      <c r="I339" s="44"/>
      <c r="J339" s="44"/>
      <c r="K339" s="44"/>
      <c r="M339" s="54"/>
      <c r="N339" s="73"/>
      <c r="O339" s="4"/>
      <c r="P339" s="1163"/>
    </row>
    <row r="340" spans="1:18" s="51" customFormat="1" ht="27.75" customHeight="1">
      <c r="A340" s="2199"/>
      <c r="B340" s="2200"/>
      <c r="C340" s="2200"/>
      <c r="D340" s="2200"/>
      <c r="E340" s="2200"/>
      <c r="F340" s="2200"/>
      <c r="G340" s="2200"/>
      <c r="H340" s="2200"/>
      <c r="I340" s="2200"/>
      <c r="J340" s="2200"/>
      <c r="K340" s="2200"/>
      <c r="L340" s="2200"/>
      <c r="M340" s="2200"/>
      <c r="N340" s="2200"/>
      <c r="O340" s="2200"/>
      <c r="P340" s="2201"/>
      <c r="Q340" s="563" t="s">
        <v>1332</v>
      </c>
    </row>
    <row r="341" spans="1:18" s="51" customFormat="1" ht="11.25" customHeight="1">
      <c r="A341" s="50"/>
      <c r="B341" s="100" t="s">
        <v>1996</v>
      </c>
      <c r="C341" s="115"/>
      <c r="D341" s="100"/>
      <c r="E341" s="116"/>
      <c r="F341" s="1164"/>
      <c r="G341" s="1164"/>
      <c r="H341" s="1164"/>
      <c r="I341" s="1164"/>
      <c r="J341" s="1164"/>
      <c r="K341" s="1164"/>
      <c r="L341" s="1164"/>
      <c r="M341" s="1164"/>
      <c r="N341" s="87"/>
      <c r="O341" s="83"/>
      <c r="P341" s="2"/>
      <c r="Q341" s="530"/>
    </row>
    <row r="342" spans="1:18" s="51" customFormat="1" ht="12.75" customHeight="1">
      <c r="A342" s="1417"/>
      <c r="B342" s="1418"/>
      <c r="C342" s="1418"/>
      <c r="D342" s="1418"/>
      <c r="E342" s="1418"/>
      <c r="F342" s="1418"/>
      <c r="G342" s="1418"/>
      <c r="H342" s="1418"/>
      <c r="I342" s="1418"/>
      <c r="J342" s="1418"/>
      <c r="K342" s="1418"/>
      <c r="L342" s="1418"/>
      <c r="M342" s="1418"/>
      <c r="N342" s="1418"/>
      <c r="O342" s="1418"/>
      <c r="P342" s="1419"/>
      <c r="Q342" s="563" t="s">
        <v>1332</v>
      </c>
    </row>
    <row r="343" spans="1:18" s="51" customFormat="1" ht="16.5" customHeight="1">
      <c r="A343" s="50"/>
      <c r="C343" s="1164"/>
      <c r="D343" s="1164"/>
      <c r="E343" s="1164"/>
      <c r="F343" s="1164"/>
      <c r="G343" s="1164"/>
      <c r="H343" s="1164"/>
      <c r="I343" s="1164"/>
      <c r="J343" s="1164"/>
      <c r="K343" s="1164"/>
      <c r="L343" s="1164"/>
      <c r="M343" s="1164"/>
      <c r="N343" s="87"/>
      <c r="O343" s="83"/>
      <c r="P343" s="610"/>
    </row>
    <row r="344" spans="1:18" s="119" customFormat="1" ht="11.25" customHeight="1">
      <c r="A344" s="184" t="s">
        <v>3367</v>
      </c>
      <c r="B344" s="122" t="s">
        <v>1792</v>
      </c>
      <c r="D344" s="53"/>
      <c r="E344" s="53"/>
      <c r="F344" s="47"/>
      <c r="G344" s="44"/>
      <c r="I344" s="44"/>
      <c r="J344" s="44"/>
      <c r="K344" s="44"/>
      <c r="L344" s="459" t="str">
        <f>IF(OR($O344=$M344,$O344&lt;=0,$O344=""),"","* * Check Score! * *")</f>
        <v/>
      </c>
      <c r="M344" s="2">
        <v>10</v>
      </c>
      <c r="N344" s="7"/>
      <c r="O344" s="76">
        <f>O346</f>
        <v>10</v>
      </c>
      <c r="P344" s="76">
        <f>P346</f>
        <v>0</v>
      </c>
      <c r="Q344" s="126" t="s">
        <v>463</v>
      </c>
    </row>
    <row r="345" spans="1:18" s="43" customFormat="1" ht="11.45" customHeight="1">
      <c r="B345" s="171" t="s">
        <v>2720</v>
      </c>
      <c r="M345" s="50"/>
      <c r="N345" s="50"/>
      <c r="O345" s="2258" t="s">
        <v>3702</v>
      </c>
      <c r="P345" s="797"/>
    </row>
    <row r="346" spans="1:18" ht="12.6" customHeight="1">
      <c r="A346" s="165" t="s">
        <v>2118</v>
      </c>
      <c r="B346" s="222" t="s">
        <v>1532</v>
      </c>
      <c r="D346" s="40"/>
      <c r="E346" s="40"/>
      <c r="F346" s="40"/>
      <c r="G346" s="40"/>
      <c r="H346" s="40"/>
      <c r="I346" s="40"/>
      <c r="J346" s="40"/>
      <c r="K346" s="40"/>
      <c r="L346" s="40"/>
      <c r="M346" s="134"/>
      <c r="N346" s="594" t="s">
        <v>2118</v>
      </c>
      <c r="O346" s="2397">
        <v>10</v>
      </c>
      <c r="P346" s="811"/>
      <c r="Q346" s="214" t="s">
        <v>2947</v>
      </c>
    </row>
    <row r="347" spans="1:18" s="51" customFormat="1" ht="11.25" customHeight="1">
      <c r="A347" s="50"/>
      <c r="B347" s="57" t="s">
        <v>269</v>
      </c>
      <c r="C347" s="50"/>
      <c r="D347" s="56"/>
      <c r="E347" s="56"/>
      <c r="F347" s="56"/>
      <c r="G347" s="56"/>
      <c r="H347" s="44"/>
      <c r="I347" s="44"/>
      <c r="J347" s="44"/>
      <c r="K347" s="44"/>
      <c r="M347" s="54"/>
      <c r="N347" s="73"/>
      <c r="O347" s="4"/>
      <c r="P347" s="1163"/>
    </row>
    <row r="348" spans="1:18" s="51" customFormat="1" ht="26.25" customHeight="1">
      <c r="A348" s="2199"/>
      <c r="B348" s="2200"/>
      <c r="C348" s="2200"/>
      <c r="D348" s="2200"/>
      <c r="E348" s="2200"/>
      <c r="F348" s="2200"/>
      <c r="G348" s="2200"/>
      <c r="H348" s="2200"/>
      <c r="I348" s="2200"/>
      <c r="J348" s="2200"/>
      <c r="K348" s="2200"/>
      <c r="L348" s="2200"/>
      <c r="M348" s="2200"/>
      <c r="N348" s="2200"/>
      <c r="O348" s="2200"/>
      <c r="P348" s="2201"/>
      <c r="Q348" s="563" t="s">
        <v>1332</v>
      </c>
      <c r="R348" s="564"/>
    </row>
    <row r="349" spans="1:18" s="119" customFormat="1" ht="11.25" customHeight="1">
      <c r="A349" s="79"/>
      <c r="B349" s="79" t="s">
        <v>1996</v>
      </c>
      <c r="C349" s="58"/>
      <c r="D349" s="79"/>
      <c r="E349" s="1158"/>
      <c r="F349" s="1158"/>
      <c r="G349" s="1158"/>
      <c r="H349" s="1158"/>
      <c r="I349" s="1158"/>
      <c r="J349" s="1158"/>
      <c r="K349" s="1158"/>
      <c r="L349" s="1158"/>
      <c r="M349" s="1158"/>
      <c r="N349" s="110"/>
      <c r="O349" s="225"/>
      <c r="P349" s="2"/>
    </row>
    <row r="350" spans="1:18" s="51" customFormat="1" ht="12.75" customHeight="1">
      <c r="A350" s="1417"/>
      <c r="B350" s="1418"/>
      <c r="C350" s="1418"/>
      <c r="D350" s="1418"/>
      <c r="E350" s="1418"/>
      <c r="F350" s="1418"/>
      <c r="G350" s="1418"/>
      <c r="H350" s="1418"/>
      <c r="I350" s="1418"/>
      <c r="J350" s="1418"/>
      <c r="K350" s="1418"/>
      <c r="L350" s="1418"/>
      <c r="M350" s="1418"/>
      <c r="N350" s="1418"/>
      <c r="O350" s="1418"/>
      <c r="P350" s="1419"/>
      <c r="Q350" s="563" t="s">
        <v>1332</v>
      </c>
      <c r="R350" s="564"/>
    </row>
    <row r="351" spans="1:18" s="51" customFormat="1" ht="18.75" customHeight="1" thickBot="1">
      <c r="A351" s="50"/>
      <c r="B351" s="50"/>
      <c r="C351" s="1164"/>
      <c r="D351" s="1164"/>
      <c r="E351" s="1164"/>
      <c r="F351" s="1164"/>
      <c r="G351" s="1164"/>
      <c r="H351" s="1164"/>
      <c r="I351" s="1164"/>
      <c r="J351" s="1164"/>
      <c r="K351" s="1164"/>
      <c r="L351" s="1164"/>
      <c r="M351" s="1164"/>
      <c r="N351" s="87"/>
      <c r="O351" s="83"/>
      <c r="P351" s="610"/>
    </row>
    <row r="352" spans="1:18" s="50" customFormat="1" ht="15" customHeight="1" thickBot="1">
      <c r="A352" s="566"/>
      <c r="B352" s="80"/>
      <c r="C352" s="58"/>
      <c r="D352" s="43"/>
      <c r="E352" s="43"/>
      <c r="F352" s="64"/>
      <c r="G352" s="51"/>
      <c r="H352" s="185" t="s">
        <v>446</v>
      </c>
      <c r="I352" s="186"/>
      <c r="J352" s="186"/>
      <c r="K352" s="186"/>
      <c r="L352" s="119"/>
      <c r="M352" s="556">
        <f>M8+M30+M38+M47+M61+M69+M87+M98+M125+M140+M150+M158+M167+M173+M183+M218+M230+M241+M252+M276+M326+M344</f>
        <v>87</v>
      </c>
      <c r="N352" s="187"/>
      <c r="O352" s="188">
        <f>O8+O30+O38+O47+O61+O69+O87+O98+O125+O140+O150+O167+O173+O183+O230+O241+O276+O326+O344</f>
        <v>54</v>
      </c>
      <c r="P352" s="188">
        <f>P8+P30+P38+P47+P61+P69+P87+P98+P125+P140+P150+P158+P167+P173+P183+P218+P230+P241+P252+P276+P326+P344</f>
        <v>12</v>
      </c>
    </row>
    <row r="353" spans="1:16" s="50" customFormat="1" ht="13.5" customHeight="1">
      <c r="A353" s="64"/>
      <c r="B353" s="80"/>
      <c r="C353" s="64"/>
      <c r="D353" s="43"/>
      <c r="E353" s="43"/>
      <c r="F353" s="82"/>
      <c r="G353" s="82"/>
      <c r="H353" s="206"/>
      <c r="I353" s="206" t="s">
        <v>3602</v>
      </c>
      <c r="J353" s="81"/>
      <c r="K353" s="81"/>
      <c r="L353" s="51"/>
      <c r="M353" s="43"/>
      <c r="N353" s="2"/>
      <c r="O353" s="592"/>
      <c r="P353" s="592">
        <f>P158</f>
        <v>0</v>
      </c>
    </row>
    <row r="354" spans="1:16" s="50" customFormat="1" ht="13.5" customHeight="1">
      <c r="A354" s="64"/>
      <c r="B354" s="80"/>
      <c r="C354" s="64"/>
      <c r="D354" s="43"/>
      <c r="E354" s="43"/>
      <c r="F354" s="82"/>
      <c r="G354" s="82"/>
      <c r="I354" s="206" t="s">
        <v>3603</v>
      </c>
      <c r="J354" s="81"/>
      <c r="K354" s="81"/>
      <c r="L354" s="51"/>
      <c r="M354" s="43"/>
      <c r="N354" s="2"/>
      <c r="O354" s="2"/>
      <c r="P354" s="592">
        <f>P218</f>
        <v>0</v>
      </c>
    </row>
    <row r="355" spans="1:16" s="51" customFormat="1" ht="13.5" customHeight="1">
      <c r="A355" s="50"/>
      <c r="B355" s="50"/>
      <c r="C355" s="1164"/>
      <c r="D355" s="1164"/>
      <c r="E355" s="1164"/>
      <c r="F355" s="1164"/>
      <c r="G355" s="1164"/>
      <c r="I355" s="206" t="s">
        <v>3604</v>
      </c>
      <c r="J355" s="1164"/>
      <c r="K355" s="1164"/>
      <c r="L355" s="1164"/>
      <c r="M355" s="1164"/>
      <c r="N355" s="87"/>
      <c r="O355" s="83"/>
      <c r="P355" s="592">
        <f>P252</f>
        <v>0</v>
      </c>
    </row>
    <row r="356" spans="1:16" s="51" customFormat="1" ht="13.5" customHeight="1">
      <c r="A356" s="50"/>
      <c r="D356" s="47"/>
      <c r="E356" s="44"/>
      <c r="F356" s="610"/>
      <c r="G356" s="610"/>
      <c r="H356" s="5" t="s">
        <v>3605</v>
      </c>
      <c r="I356" s="610"/>
      <c r="J356" s="38"/>
      <c r="K356" s="38"/>
      <c r="L356" s="38"/>
      <c r="M356" s="71"/>
      <c r="N356" s="610"/>
      <c r="O356" s="1163"/>
      <c r="P356" s="827">
        <f>P352-P353-P354-P355</f>
        <v>12</v>
      </c>
    </row>
    <row r="357" spans="1:16" s="190" customFormat="1" ht="13.5" customHeight="1">
      <c r="A357" s="64"/>
      <c r="B357" s="80"/>
      <c r="C357" s="64"/>
      <c r="D357" s="175"/>
      <c r="E357" s="175"/>
      <c r="F357" s="48"/>
      <c r="G357" s="48"/>
      <c r="H357" s="82"/>
      <c r="I357" s="82"/>
      <c r="J357" s="617"/>
      <c r="K357" s="617"/>
      <c r="L357" s="51"/>
      <c r="M357" s="175"/>
      <c r="N357" s="2"/>
      <c r="O357" s="2"/>
      <c r="P357" s="4"/>
    </row>
    <row r="358" spans="1:16" s="190" customFormat="1">
      <c r="N358" s="143"/>
      <c r="O358" s="1155"/>
      <c r="P358" s="1155"/>
    </row>
    <row r="359" spans="1:16" s="190" customFormat="1">
      <c r="C359" s="568" t="s">
        <v>1762</v>
      </c>
      <c r="D359" s="568"/>
      <c r="E359" s="568"/>
      <c r="F359" s="568"/>
      <c r="G359" s="568"/>
      <c r="H359" s="568"/>
      <c r="I359" s="568"/>
      <c r="J359" s="568" t="s">
        <v>1074</v>
      </c>
      <c r="K359" s="568"/>
      <c r="L359" s="622"/>
      <c r="M359" s="622"/>
      <c r="N359" s="692"/>
      <c r="O359" s="693"/>
      <c r="P359" s="693"/>
    </row>
    <row r="360" spans="1:16" s="190" customFormat="1">
      <c r="C360" s="622" t="s">
        <v>2227</v>
      </c>
      <c r="D360" s="622"/>
      <c r="E360" s="622"/>
      <c r="F360" s="622"/>
      <c r="G360" s="622"/>
      <c r="H360" s="622"/>
      <c r="I360" s="622"/>
      <c r="J360" s="622" t="s">
        <v>1895</v>
      </c>
      <c r="K360" s="622"/>
      <c r="L360" s="622"/>
      <c r="M360" s="622"/>
      <c r="N360" s="692"/>
      <c r="O360" s="693"/>
      <c r="P360" s="693"/>
    </row>
    <row r="361" spans="1:16" s="190" customFormat="1" ht="15">
      <c r="C361" s="568" t="s">
        <v>2726</v>
      </c>
      <c r="D361" s="568"/>
      <c r="E361" s="568"/>
      <c r="F361" s="568"/>
      <c r="G361" s="568"/>
      <c r="H361" s="568"/>
      <c r="I361" s="568"/>
      <c r="J361" s="694" t="s">
        <v>241</v>
      </c>
      <c r="K361" s="568"/>
      <c r="L361" s="622"/>
      <c r="M361" s="622"/>
      <c r="N361" s="692"/>
      <c r="O361" s="693"/>
      <c r="P361" s="693"/>
    </row>
    <row r="362" spans="1:16" s="190" customFormat="1" ht="15">
      <c r="C362" s="568" t="s">
        <v>2228</v>
      </c>
      <c r="D362" s="568"/>
      <c r="E362" s="568"/>
      <c r="F362" s="568"/>
      <c r="G362" s="568"/>
      <c r="H362" s="568"/>
      <c r="I362" s="568"/>
      <c r="J362" s="694" t="s">
        <v>1764</v>
      </c>
      <c r="K362" s="568"/>
      <c r="L362" s="622"/>
      <c r="M362" s="622"/>
      <c r="N362" s="692"/>
      <c r="O362" s="693"/>
      <c r="P362" s="693"/>
    </row>
    <row r="363" spans="1:16" s="190" customFormat="1" ht="15">
      <c r="C363" s="568" t="s">
        <v>2229</v>
      </c>
      <c r="D363" s="568"/>
      <c r="E363" s="568"/>
      <c r="F363" s="568"/>
      <c r="G363" s="568"/>
      <c r="H363" s="568"/>
      <c r="I363" s="568"/>
      <c r="J363" s="694" t="s">
        <v>1765</v>
      </c>
      <c r="K363" s="568"/>
      <c r="L363" s="622"/>
      <c r="M363" s="622"/>
      <c r="N363" s="692"/>
      <c r="O363" s="693"/>
      <c r="P363" s="693"/>
    </row>
    <row r="364" spans="1:16" s="190" customFormat="1" ht="15">
      <c r="C364" s="695" t="s">
        <v>2230</v>
      </c>
      <c r="D364" s="568"/>
      <c r="E364" s="568"/>
      <c r="F364" s="568"/>
      <c r="G364" s="568"/>
      <c r="H364" s="568"/>
      <c r="I364" s="568"/>
      <c r="J364" s="694" t="s">
        <v>2673</v>
      </c>
      <c r="K364" s="568"/>
      <c r="L364" s="622"/>
      <c r="M364" s="622"/>
      <c r="N364" s="692"/>
      <c r="O364" s="693"/>
      <c r="P364" s="693"/>
    </row>
    <row r="365" spans="1:16" s="190" customFormat="1" ht="15">
      <c r="C365" s="695" t="s">
        <v>2231</v>
      </c>
      <c r="D365" s="568"/>
      <c r="E365" s="568"/>
      <c r="F365" s="568"/>
      <c r="G365" s="568"/>
      <c r="H365" s="568"/>
      <c r="I365" s="568"/>
      <c r="J365" s="694" t="s">
        <v>1766</v>
      </c>
      <c r="K365" s="568"/>
      <c r="L365" s="622"/>
      <c r="M365" s="622"/>
      <c r="N365" s="692"/>
      <c r="O365" s="693"/>
      <c r="P365" s="693"/>
    </row>
    <row r="366" spans="1:16" s="190" customFormat="1" ht="15">
      <c r="C366" s="695"/>
      <c r="D366" s="568"/>
      <c r="E366" s="568"/>
      <c r="F366" s="568"/>
      <c r="G366" s="568"/>
      <c r="H366" s="568"/>
      <c r="I366" s="568"/>
      <c r="J366" s="694" t="s">
        <v>1767</v>
      </c>
      <c r="K366" s="568"/>
      <c r="L366" s="622"/>
      <c r="M366" s="622"/>
      <c r="N366" s="692"/>
      <c r="O366" s="693"/>
      <c r="P366" s="693"/>
    </row>
    <row r="367" spans="1:16" s="190" customFormat="1" ht="15">
      <c r="C367" s="622" t="s">
        <v>1895</v>
      </c>
      <c r="D367" s="568"/>
      <c r="E367" s="568"/>
      <c r="F367" s="568"/>
      <c r="G367" s="568"/>
      <c r="H367" s="568"/>
      <c r="I367" s="568"/>
      <c r="J367" s="694" t="s">
        <v>1768</v>
      </c>
      <c r="K367" s="568"/>
      <c r="L367" s="622"/>
      <c r="M367" s="622"/>
      <c r="N367" s="692"/>
      <c r="O367" s="693"/>
      <c r="P367" s="693"/>
    </row>
    <row r="368" spans="1:16" s="190" customFormat="1" ht="15">
      <c r="C368" s="696" t="s">
        <v>1480</v>
      </c>
      <c r="D368" s="568"/>
      <c r="E368" s="568"/>
      <c r="F368" s="568"/>
      <c r="G368" s="568"/>
      <c r="H368" s="568"/>
      <c r="I368" s="568"/>
      <c r="J368" s="694" t="s">
        <v>1769</v>
      </c>
      <c r="K368" s="568"/>
      <c r="L368" s="622"/>
      <c r="M368" s="622"/>
      <c r="N368" s="692"/>
      <c r="O368" s="693"/>
      <c r="P368" s="693"/>
    </row>
    <row r="369" spans="3:16" s="190" customFormat="1" ht="15">
      <c r="C369" s="696" t="s">
        <v>1481</v>
      </c>
      <c r="D369" s="568"/>
      <c r="E369" s="568"/>
      <c r="F369" s="568"/>
      <c r="G369" s="568"/>
      <c r="H369" s="568"/>
      <c r="I369" s="568"/>
      <c r="J369" s="694" t="s">
        <v>1770</v>
      </c>
      <c r="K369" s="568"/>
      <c r="L369" s="622"/>
      <c r="M369" s="622"/>
      <c r="N369" s="692"/>
      <c r="O369" s="693"/>
      <c r="P369" s="693"/>
    </row>
    <row r="370" spans="3:16" s="190" customFormat="1" ht="15">
      <c r="C370" s="697" t="s">
        <v>2271</v>
      </c>
      <c r="D370" s="568"/>
      <c r="E370" s="568"/>
      <c r="F370" s="568"/>
      <c r="G370" s="568"/>
      <c r="H370" s="568"/>
      <c r="I370" s="568"/>
      <c r="J370" s="694" t="s">
        <v>1771</v>
      </c>
      <c r="K370" s="568"/>
      <c r="L370" s="622"/>
      <c r="M370" s="622"/>
      <c r="N370" s="692"/>
      <c r="O370" s="693"/>
      <c r="P370" s="693"/>
    </row>
    <row r="371" spans="3:16" s="190" customFormat="1" ht="15">
      <c r="C371" s="697" t="s">
        <v>1477</v>
      </c>
      <c r="D371" s="568"/>
      <c r="E371" s="568"/>
      <c r="F371" s="568"/>
      <c r="G371" s="568"/>
      <c r="H371" s="568"/>
      <c r="I371" s="568"/>
      <c r="J371" s="694" t="s">
        <v>629</v>
      </c>
      <c r="K371" s="568"/>
      <c r="L371" s="622"/>
      <c r="M371" s="622"/>
      <c r="N371" s="692"/>
      <c r="O371" s="693"/>
      <c r="P371" s="693"/>
    </row>
    <row r="372" spans="3:16" s="190" customFormat="1" ht="15">
      <c r="C372" s="697" t="s">
        <v>1478</v>
      </c>
      <c r="D372" s="568"/>
      <c r="E372" s="568"/>
      <c r="F372" s="568"/>
      <c r="G372" s="568"/>
      <c r="H372" s="568"/>
      <c r="I372" s="568"/>
      <c r="J372" s="694" t="s">
        <v>1772</v>
      </c>
      <c r="K372" s="568"/>
      <c r="L372" s="622"/>
      <c r="M372" s="622"/>
      <c r="N372" s="692"/>
      <c r="O372" s="693"/>
      <c r="P372" s="693"/>
    </row>
    <row r="373" spans="3:16" s="190" customFormat="1" ht="15">
      <c r="C373" s="696" t="s">
        <v>2266</v>
      </c>
      <c r="D373" s="568"/>
      <c r="E373" s="568"/>
      <c r="F373" s="568"/>
      <c r="G373" s="568"/>
      <c r="H373" s="568"/>
      <c r="I373" s="568"/>
      <c r="J373" s="694" t="s">
        <v>1773</v>
      </c>
      <c r="K373" s="568"/>
      <c r="L373" s="622"/>
      <c r="M373" s="622"/>
      <c r="N373" s="692"/>
      <c r="O373" s="693"/>
      <c r="P373" s="693"/>
    </row>
    <row r="374" spans="3:16" s="190" customFormat="1" ht="15">
      <c r="C374" s="696" t="s">
        <v>2267</v>
      </c>
      <c r="D374" s="568"/>
      <c r="E374" s="568"/>
      <c r="F374" s="568"/>
      <c r="G374" s="568"/>
      <c r="H374" s="568"/>
      <c r="I374" s="568"/>
      <c r="J374" s="694" t="s">
        <v>1774</v>
      </c>
      <c r="K374" s="622"/>
      <c r="L374" s="622"/>
      <c r="M374" s="622"/>
      <c r="N374" s="692"/>
      <c r="O374" s="693"/>
      <c r="P374" s="693"/>
    </row>
    <row r="375" spans="3:16" s="190" customFormat="1" ht="15">
      <c r="C375" s="696" t="s">
        <v>2268</v>
      </c>
      <c r="D375" s="622"/>
      <c r="E375" s="622"/>
      <c r="F375" s="622"/>
      <c r="G375" s="622"/>
      <c r="H375" s="622"/>
      <c r="I375" s="622"/>
      <c r="J375" s="694" t="s">
        <v>37</v>
      </c>
      <c r="K375" s="622"/>
      <c r="L375" s="622"/>
      <c r="M375" s="622"/>
      <c r="N375" s="692"/>
      <c r="O375" s="693"/>
      <c r="P375" s="693"/>
    </row>
    <row r="376" spans="3:16" s="190" customFormat="1" ht="15">
      <c r="C376" s="696" t="s">
        <v>2269</v>
      </c>
      <c r="D376" s="622"/>
      <c r="E376" s="622"/>
      <c r="F376" s="622"/>
      <c r="G376" s="622"/>
      <c r="H376" s="622"/>
      <c r="I376" s="622"/>
      <c r="J376" s="698"/>
      <c r="K376" s="622"/>
      <c r="L376" s="622"/>
      <c r="M376" s="622"/>
      <c r="N376" s="692"/>
      <c r="O376" s="693"/>
      <c r="P376" s="693"/>
    </row>
    <row r="377" spans="3:16" s="190" customFormat="1">
      <c r="C377" s="696" t="s">
        <v>2270</v>
      </c>
      <c r="D377" s="622"/>
      <c r="E377" s="622"/>
      <c r="F377" s="622"/>
      <c r="G377" s="622"/>
      <c r="H377" s="622"/>
      <c r="I377" s="622"/>
      <c r="J377" s="622"/>
      <c r="K377" s="622"/>
      <c r="L377" s="622"/>
      <c r="M377" s="622"/>
      <c r="N377" s="692"/>
      <c r="O377" s="693"/>
      <c r="P377" s="693"/>
    </row>
    <row r="378" spans="3:16" s="190" customFormat="1">
      <c r="C378" s="696" t="s">
        <v>1479</v>
      </c>
      <c r="D378" s="622"/>
      <c r="E378" s="622"/>
      <c r="F378" s="622"/>
      <c r="G378" s="622"/>
      <c r="H378" s="622"/>
      <c r="I378" s="622"/>
      <c r="J378" s="622"/>
      <c r="K378" s="622"/>
      <c r="L378" s="622"/>
      <c r="M378" s="622"/>
      <c r="N378" s="692"/>
      <c r="O378" s="693"/>
      <c r="P378" s="693"/>
    </row>
    <row r="379" spans="3:16" s="190" customFormat="1">
      <c r="C379" s="696" t="s">
        <v>2430</v>
      </c>
      <c r="D379" s="622"/>
      <c r="E379" s="622"/>
      <c r="F379" s="622"/>
      <c r="G379" s="622"/>
      <c r="H379" s="622"/>
      <c r="I379" s="622"/>
      <c r="J379" s="622"/>
      <c r="K379" s="622"/>
      <c r="L379" s="622"/>
      <c r="M379" s="622"/>
      <c r="N379" s="692"/>
      <c r="O379" s="693"/>
      <c r="P379" s="693"/>
    </row>
    <row r="380" spans="3:16" s="190" customFormat="1">
      <c r="C380" s="622"/>
      <c r="D380" s="622"/>
      <c r="E380" s="622"/>
      <c r="F380" s="622"/>
      <c r="G380" s="622"/>
      <c r="H380" s="622"/>
      <c r="I380" s="622"/>
      <c r="J380" s="622"/>
      <c r="K380" s="622"/>
      <c r="L380" s="622"/>
      <c r="M380" s="622"/>
      <c r="N380" s="692"/>
      <c r="O380" s="693"/>
      <c r="P380" s="693"/>
    </row>
    <row r="381" spans="3:16" s="190" customFormat="1">
      <c r="C381" s="622"/>
      <c r="D381" s="622"/>
      <c r="E381" s="622"/>
      <c r="F381" s="622"/>
      <c r="G381" s="622"/>
      <c r="H381" s="622"/>
      <c r="I381" s="622"/>
      <c r="J381" s="622"/>
      <c r="K381" s="622"/>
      <c r="L381" s="622"/>
      <c r="M381" s="622"/>
      <c r="N381" s="692"/>
      <c r="O381" s="693"/>
      <c r="P381" s="693"/>
    </row>
    <row r="382" spans="3:16" s="190" customFormat="1" ht="25.5">
      <c r="C382" s="699" t="s">
        <v>3240</v>
      </c>
      <c r="D382" s="622"/>
      <c r="E382" s="622"/>
      <c r="F382" s="622"/>
      <c r="G382" s="700" t="s">
        <v>1605</v>
      </c>
      <c r="H382" s="700" t="s">
        <v>1606</v>
      </c>
      <c r="I382" s="700" t="s">
        <v>1607</v>
      </c>
      <c r="J382" s="622"/>
      <c r="K382" s="622"/>
      <c r="L382" s="622"/>
      <c r="M382" s="622"/>
      <c r="N382" s="692"/>
      <c r="O382" s="693"/>
      <c r="P382" s="693"/>
    </row>
    <row r="383" spans="3:16" s="190" customFormat="1" ht="38.25">
      <c r="C383" s="701" t="s">
        <v>3242</v>
      </c>
      <c r="D383" s="622"/>
      <c r="E383" s="622"/>
      <c r="F383" s="622"/>
      <c r="G383" s="702" t="s">
        <v>2693</v>
      </c>
      <c r="H383" s="702" t="s">
        <v>2694</v>
      </c>
      <c r="I383" s="702" t="s">
        <v>1263</v>
      </c>
      <c r="J383" s="622"/>
      <c r="K383" s="622"/>
      <c r="L383" s="622"/>
      <c r="M383" s="622"/>
      <c r="N383" s="692"/>
      <c r="O383" s="693"/>
      <c r="P383" s="693"/>
    </row>
    <row r="384" spans="3:16" s="190" customFormat="1">
      <c r="C384" s="701" t="s">
        <v>3243</v>
      </c>
      <c r="D384" s="622"/>
      <c r="E384" s="622"/>
      <c r="F384" s="622"/>
      <c r="G384" s="702" t="s">
        <v>1906</v>
      </c>
      <c r="H384" s="703" t="s">
        <v>1067</v>
      </c>
      <c r="I384" s="703" t="s">
        <v>1403</v>
      </c>
      <c r="J384" s="622"/>
      <c r="K384" s="622"/>
      <c r="L384" s="622"/>
      <c r="M384" s="622"/>
      <c r="N384" s="692"/>
      <c r="O384" s="693"/>
      <c r="P384" s="693"/>
    </row>
    <row r="385" spans="3:16" s="190" customFormat="1" ht="25.5">
      <c r="C385" s="701" t="s">
        <v>3244</v>
      </c>
      <c r="D385" s="622"/>
      <c r="E385" s="622"/>
      <c r="F385" s="622"/>
      <c r="G385" s="702" t="s">
        <v>1747</v>
      </c>
      <c r="H385" s="703" t="s">
        <v>1418</v>
      </c>
      <c r="I385" s="703" t="s">
        <v>1415</v>
      </c>
      <c r="J385" s="622"/>
      <c r="K385" s="622"/>
      <c r="L385" s="622"/>
      <c r="M385" s="622"/>
      <c r="N385" s="692"/>
      <c r="O385" s="693"/>
      <c r="P385" s="693"/>
    </row>
    <row r="386" spans="3:16" s="190" customFormat="1">
      <c r="C386" s="701" t="s">
        <v>3245</v>
      </c>
      <c r="D386" s="622"/>
      <c r="E386" s="622"/>
      <c r="F386" s="622"/>
      <c r="G386" s="702" t="s">
        <v>2209</v>
      </c>
      <c r="H386" s="703" t="s">
        <v>2713</v>
      </c>
      <c r="I386" s="703" t="s">
        <v>1418</v>
      </c>
      <c r="J386" s="622"/>
      <c r="K386" s="622"/>
      <c r="L386" s="622"/>
      <c r="M386" s="622"/>
      <c r="N386" s="692"/>
      <c r="O386" s="693"/>
      <c r="P386" s="693"/>
    </row>
    <row r="387" spans="3:16" s="190" customFormat="1" ht="25.5">
      <c r="C387" s="701" t="s">
        <v>3246</v>
      </c>
      <c r="D387" s="622"/>
      <c r="E387" s="622"/>
      <c r="F387" s="622"/>
      <c r="G387" s="702" t="s">
        <v>1748</v>
      </c>
      <c r="H387" s="703" t="s">
        <v>2714</v>
      </c>
      <c r="I387" s="703" t="s">
        <v>2649</v>
      </c>
      <c r="J387" s="622"/>
      <c r="K387" s="622"/>
      <c r="L387" s="622"/>
      <c r="M387" s="622"/>
      <c r="N387" s="692"/>
      <c r="O387" s="693"/>
      <c r="P387" s="693"/>
    </row>
    <row r="388" spans="3:16" s="190" customFormat="1">
      <c r="C388" s="701" t="s">
        <v>3247</v>
      </c>
      <c r="D388" s="622"/>
      <c r="E388" s="622"/>
      <c r="F388" s="622"/>
      <c r="G388" s="702" t="s">
        <v>12</v>
      </c>
      <c r="H388" s="703" t="s">
        <v>2062</v>
      </c>
      <c r="I388" s="703" t="s">
        <v>2655</v>
      </c>
      <c r="J388" s="622"/>
      <c r="K388" s="622"/>
      <c r="L388" s="622"/>
      <c r="M388" s="622"/>
      <c r="N388" s="692"/>
      <c r="O388" s="693"/>
      <c r="P388" s="693"/>
    </row>
    <row r="389" spans="3:16" s="190" customFormat="1">
      <c r="C389" s="701"/>
      <c r="D389" s="622"/>
      <c r="E389" s="622"/>
      <c r="F389" s="622"/>
      <c r="G389" s="702" t="s">
        <v>1418</v>
      </c>
      <c r="H389" s="703" t="s">
        <v>2427</v>
      </c>
      <c r="I389" s="703" t="s">
        <v>2657</v>
      </c>
      <c r="J389" s="622"/>
      <c r="K389" s="622"/>
      <c r="L389" s="622"/>
      <c r="M389" s="622"/>
      <c r="N389" s="692"/>
      <c r="O389" s="693"/>
      <c r="P389" s="693"/>
    </row>
    <row r="390" spans="3:16" s="190" customFormat="1">
      <c r="C390" s="701"/>
      <c r="D390" s="622"/>
      <c r="E390" s="622"/>
      <c r="F390" s="622"/>
      <c r="G390" s="702" t="s">
        <v>1608</v>
      </c>
      <c r="H390" s="703" t="s">
        <v>2715</v>
      </c>
      <c r="I390" s="703" t="s">
        <v>2702</v>
      </c>
      <c r="J390" s="622"/>
      <c r="K390" s="622"/>
      <c r="L390" s="622"/>
      <c r="M390" s="622"/>
      <c r="N390" s="692"/>
      <c r="O390" s="693"/>
      <c r="P390" s="693"/>
    </row>
    <row r="391" spans="3:16" s="190" customFormat="1">
      <c r="C391" s="701"/>
      <c r="D391" s="622"/>
      <c r="E391" s="622"/>
      <c r="F391" s="622"/>
      <c r="G391" s="702" t="s">
        <v>1084</v>
      </c>
      <c r="H391" s="703" t="s">
        <v>705</v>
      </c>
      <c r="I391" s="703" t="s">
        <v>204</v>
      </c>
      <c r="J391" s="622"/>
      <c r="K391" s="622"/>
      <c r="L391" s="622"/>
      <c r="M391" s="622"/>
      <c r="N391" s="692"/>
      <c r="O391" s="693"/>
      <c r="P391" s="693"/>
    </row>
    <row r="392" spans="3:16" s="190" customFormat="1">
      <c r="C392" s="622"/>
      <c r="D392" s="622"/>
      <c r="E392" s="622"/>
      <c r="F392" s="622"/>
      <c r="G392" s="702" t="s">
        <v>2657</v>
      </c>
      <c r="H392" s="703" t="s">
        <v>1761</v>
      </c>
      <c r="I392" s="703" t="s">
        <v>1010</v>
      </c>
      <c r="J392" s="622"/>
      <c r="K392" s="622"/>
      <c r="L392" s="622"/>
      <c r="M392" s="622"/>
      <c r="N392" s="692"/>
      <c r="O392" s="693"/>
      <c r="P392" s="693"/>
    </row>
    <row r="393" spans="3:16" s="190" customFormat="1" ht="25.5">
      <c r="C393" s="622"/>
      <c r="D393" s="622"/>
      <c r="E393" s="622"/>
      <c r="F393" s="622"/>
      <c r="G393" s="702" t="s">
        <v>2196</v>
      </c>
      <c r="H393" s="703" t="s">
        <v>2716</v>
      </c>
      <c r="I393" s="703" t="s">
        <v>1012</v>
      </c>
      <c r="J393" s="622"/>
      <c r="K393" s="622"/>
      <c r="L393" s="622"/>
      <c r="M393" s="622"/>
      <c r="N393" s="692"/>
      <c r="O393" s="693"/>
      <c r="P393" s="693"/>
    </row>
    <row r="394" spans="3:16" s="190" customFormat="1" ht="25.5">
      <c r="C394" s="699" t="s">
        <v>3249</v>
      </c>
      <c r="D394" s="622"/>
      <c r="E394" s="622"/>
      <c r="F394" s="622"/>
      <c r="G394" s="702" t="s">
        <v>642</v>
      </c>
      <c r="H394" s="703" t="s">
        <v>1609</v>
      </c>
      <c r="I394" s="703" t="s">
        <v>929</v>
      </c>
      <c r="J394" s="622"/>
      <c r="K394" s="622"/>
      <c r="L394" s="622"/>
      <c r="M394" s="622"/>
      <c r="N394" s="692"/>
      <c r="O394" s="693"/>
      <c r="P394" s="693"/>
    </row>
    <row r="395" spans="3:16" s="190" customFormat="1">
      <c r="C395" s="699" t="s">
        <v>3300</v>
      </c>
      <c r="D395" s="622"/>
      <c r="E395" s="622"/>
      <c r="F395" s="622"/>
      <c r="G395" s="702" t="s">
        <v>353</v>
      </c>
      <c r="H395" s="703" t="s">
        <v>2416</v>
      </c>
      <c r="I395" s="703" t="s">
        <v>933</v>
      </c>
      <c r="J395" s="622"/>
      <c r="K395" s="622"/>
      <c r="L395" s="622"/>
      <c r="M395" s="622"/>
      <c r="N395" s="692"/>
      <c r="O395" s="693"/>
      <c r="P395" s="693"/>
    </row>
    <row r="396" spans="3:16" s="190" customFormat="1">
      <c r="C396" s="701" t="s">
        <v>3301</v>
      </c>
      <c r="D396" s="622"/>
      <c r="E396" s="622"/>
      <c r="F396" s="622"/>
      <c r="G396" s="702" t="s">
        <v>928</v>
      </c>
      <c r="H396" s="703" t="s">
        <v>2023</v>
      </c>
      <c r="I396" s="703" t="s">
        <v>710</v>
      </c>
      <c r="J396" s="622"/>
      <c r="K396" s="622"/>
      <c r="L396" s="622"/>
      <c r="M396" s="622"/>
      <c r="N396" s="692"/>
      <c r="O396" s="693"/>
      <c r="P396" s="693"/>
    </row>
    <row r="397" spans="3:16" s="190" customFormat="1" ht="51">
      <c r="C397" s="701" t="s">
        <v>3302</v>
      </c>
      <c r="D397" s="622"/>
      <c r="E397" s="622"/>
      <c r="F397" s="622"/>
      <c r="G397" s="702" t="s">
        <v>2058</v>
      </c>
      <c r="H397" s="703" t="s">
        <v>2719</v>
      </c>
      <c r="I397" s="703" t="s">
        <v>715</v>
      </c>
      <c r="J397" s="622"/>
      <c r="K397" s="622"/>
      <c r="L397" s="622"/>
      <c r="M397" s="622"/>
      <c r="N397" s="692"/>
      <c r="O397" s="693"/>
      <c r="P397" s="693"/>
    </row>
    <row r="398" spans="3:16" s="190" customFormat="1">
      <c r="C398" s="701" t="s">
        <v>3304</v>
      </c>
      <c r="D398" s="622"/>
      <c r="E398" s="622"/>
      <c r="F398" s="622"/>
      <c r="G398" s="702" t="s">
        <v>479</v>
      </c>
      <c r="H398" s="703" t="s">
        <v>2712</v>
      </c>
      <c r="I398" s="703" t="s">
        <v>330</v>
      </c>
      <c r="J398" s="622"/>
      <c r="K398" s="622"/>
      <c r="L398" s="622"/>
      <c r="M398" s="622"/>
      <c r="N398" s="692"/>
      <c r="O398" s="693"/>
      <c r="P398" s="693"/>
    </row>
    <row r="399" spans="3:16" s="190" customFormat="1" ht="25.5">
      <c r="C399" s="701" t="s">
        <v>3303</v>
      </c>
      <c r="D399" s="622"/>
      <c r="E399" s="622"/>
      <c r="F399" s="622"/>
      <c r="G399" s="702" t="s">
        <v>245</v>
      </c>
      <c r="H399" s="703" t="s">
        <v>2717</v>
      </c>
      <c r="I399" s="703" t="s">
        <v>339</v>
      </c>
      <c r="J399" s="622"/>
      <c r="K399" s="622"/>
      <c r="L399" s="622"/>
      <c r="M399" s="622"/>
      <c r="N399" s="692"/>
      <c r="O399" s="693"/>
      <c r="P399" s="693"/>
    </row>
    <row r="400" spans="3:16" s="190" customFormat="1">
      <c r="C400" s="701" t="s">
        <v>3305</v>
      </c>
      <c r="D400" s="622"/>
      <c r="E400" s="622"/>
      <c r="F400" s="622"/>
      <c r="G400" s="702" t="s">
        <v>1298</v>
      </c>
      <c r="H400" s="703" t="s">
        <v>2718</v>
      </c>
      <c r="I400" s="703" t="s">
        <v>346</v>
      </c>
      <c r="J400" s="622"/>
      <c r="K400" s="622"/>
      <c r="L400" s="622"/>
      <c r="M400" s="622"/>
      <c r="N400" s="692"/>
      <c r="O400" s="693"/>
      <c r="P400" s="693"/>
    </row>
    <row r="401" spans="3:16" s="190" customFormat="1">
      <c r="C401" s="701"/>
      <c r="D401" s="622"/>
      <c r="E401" s="622"/>
      <c r="F401" s="622"/>
      <c r="G401" s="702" t="s">
        <v>1300</v>
      </c>
      <c r="H401" s="703" t="s">
        <v>1610</v>
      </c>
      <c r="I401" s="703" t="s">
        <v>348</v>
      </c>
      <c r="J401" s="622"/>
      <c r="K401" s="622"/>
      <c r="L401" s="622"/>
      <c r="M401" s="622"/>
      <c r="N401" s="692"/>
      <c r="O401" s="693"/>
      <c r="P401" s="693"/>
    </row>
    <row r="402" spans="3:16" s="190" customFormat="1" ht="25.5">
      <c r="C402" s="701"/>
      <c r="D402" s="622"/>
      <c r="E402" s="622"/>
      <c r="F402" s="622"/>
      <c r="G402" s="702" t="s">
        <v>1749</v>
      </c>
      <c r="H402" s="703"/>
      <c r="I402" s="703" t="s">
        <v>1551</v>
      </c>
      <c r="J402" s="622"/>
      <c r="K402" s="622"/>
      <c r="L402" s="622"/>
      <c r="M402" s="622"/>
      <c r="N402" s="692"/>
      <c r="O402" s="693"/>
      <c r="P402" s="693"/>
    </row>
    <row r="403" spans="3:16" s="190" customFormat="1">
      <c r="C403" s="701"/>
      <c r="D403" s="622"/>
      <c r="E403" s="622"/>
      <c r="F403" s="622"/>
      <c r="G403" s="702" t="s">
        <v>1045</v>
      </c>
      <c r="H403" s="703"/>
      <c r="I403" s="703" t="s">
        <v>1553</v>
      </c>
      <c r="J403" s="622"/>
      <c r="K403" s="622"/>
      <c r="L403" s="622"/>
      <c r="M403" s="622"/>
      <c r="N403" s="692"/>
      <c r="O403" s="693"/>
      <c r="P403" s="693"/>
    </row>
    <row r="404" spans="3:16" s="190" customFormat="1">
      <c r="C404" s="701"/>
      <c r="D404" s="622"/>
      <c r="E404" s="622"/>
      <c r="F404" s="622"/>
      <c r="G404" s="702" t="s">
        <v>610</v>
      </c>
      <c r="H404" s="703"/>
      <c r="I404" s="703" t="s">
        <v>1406</v>
      </c>
      <c r="J404" s="622"/>
      <c r="K404" s="622"/>
      <c r="L404" s="622"/>
      <c r="M404" s="622"/>
      <c r="N404" s="692"/>
      <c r="O404" s="693"/>
      <c r="P404" s="693"/>
    </row>
    <row r="405" spans="3:16" s="190" customFormat="1">
      <c r="C405" s="622"/>
      <c r="D405" s="622"/>
      <c r="E405" s="622"/>
      <c r="F405" s="622"/>
      <c r="G405" s="702" t="s">
        <v>1750</v>
      </c>
      <c r="H405" s="703"/>
      <c r="I405" s="703" t="s">
        <v>375</v>
      </c>
      <c r="J405" s="622"/>
      <c r="K405" s="622"/>
      <c r="L405" s="622"/>
      <c r="M405" s="622"/>
      <c r="N405" s="692"/>
      <c r="O405" s="693"/>
      <c r="P405" s="693"/>
    </row>
    <row r="406" spans="3:16" s="190" customFormat="1">
      <c r="C406" s="622"/>
      <c r="D406" s="622"/>
      <c r="E406" s="622"/>
      <c r="F406" s="622"/>
      <c r="G406" s="702" t="s">
        <v>1798</v>
      </c>
      <c r="H406" s="703"/>
      <c r="I406" s="703" t="s">
        <v>2009</v>
      </c>
      <c r="J406" s="622"/>
      <c r="K406" s="622"/>
      <c r="L406" s="622"/>
      <c r="M406" s="622"/>
      <c r="N406" s="692"/>
      <c r="O406" s="693"/>
      <c r="P406" s="693"/>
    </row>
    <row r="407" spans="3:16" s="190" customFormat="1">
      <c r="C407" s="622"/>
      <c r="D407" s="622"/>
      <c r="E407" s="622"/>
      <c r="F407" s="622"/>
      <c r="G407" s="702" t="s">
        <v>1863</v>
      </c>
      <c r="H407" s="703"/>
      <c r="I407" s="703" t="s">
        <v>2011</v>
      </c>
      <c r="J407" s="622"/>
      <c r="K407" s="622"/>
      <c r="L407" s="622"/>
      <c r="M407" s="622"/>
      <c r="N407" s="692"/>
      <c r="O407" s="693"/>
      <c r="P407" s="693"/>
    </row>
    <row r="408" spans="3:16" s="190" customFormat="1">
      <c r="C408" s="622"/>
      <c r="D408" s="622"/>
      <c r="E408" s="622"/>
      <c r="F408" s="622"/>
      <c r="G408" s="702" t="s">
        <v>875</v>
      </c>
      <c r="H408" s="703"/>
      <c r="I408" s="703" t="s">
        <v>1742</v>
      </c>
      <c r="J408" s="622"/>
      <c r="K408" s="622"/>
      <c r="L408" s="622"/>
      <c r="M408" s="622"/>
      <c r="N408" s="692"/>
      <c r="O408" s="693"/>
      <c r="P408" s="693"/>
    </row>
    <row r="409" spans="3:16" s="190" customFormat="1">
      <c r="C409" s="622"/>
      <c r="D409" s="622"/>
      <c r="E409" s="622"/>
      <c r="F409" s="622"/>
      <c r="G409" s="702" t="s">
        <v>554</v>
      </c>
      <c r="H409" s="703"/>
      <c r="I409" s="703" t="s">
        <v>1744</v>
      </c>
      <c r="J409" s="622"/>
      <c r="K409" s="622"/>
      <c r="L409" s="622"/>
      <c r="M409" s="622"/>
      <c r="N409" s="692"/>
      <c r="O409" s="693"/>
      <c r="P409" s="693"/>
    </row>
    <row r="410" spans="3:16" s="190" customFormat="1">
      <c r="C410" s="622"/>
      <c r="D410" s="622"/>
      <c r="E410" s="622"/>
      <c r="F410" s="622"/>
      <c r="G410" s="702" t="s">
        <v>562</v>
      </c>
      <c r="H410" s="703"/>
      <c r="I410" s="703" t="s">
        <v>1172</v>
      </c>
      <c r="J410" s="622"/>
      <c r="K410" s="622"/>
      <c r="L410" s="622"/>
      <c r="M410" s="622"/>
      <c r="N410" s="692"/>
      <c r="O410" s="693"/>
      <c r="P410" s="693"/>
    </row>
    <row r="411" spans="3:16" s="190" customFormat="1">
      <c r="C411" s="622"/>
      <c r="D411" s="622"/>
      <c r="E411" s="622"/>
      <c r="F411" s="622"/>
      <c r="G411" s="702" t="s">
        <v>2233</v>
      </c>
      <c r="H411" s="703"/>
      <c r="I411" s="703" t="s">
        <v>1176</v>
      </c>
      <c r="J411" s="622"/>
      <c r="K411" s="622"/>
      <c r="L411" s="622"/>
      <c r="M411" s="622"/>
      <c r="N411" s="692"/>
      <c r="O411" s="693"/>
      <c r="P411" s="693"/>
    </row>
    <row r="412" spans="3:16" s="190" customFormat="1">
      <c r="C412" s="622"/>
      <c r="D412" s="622"/>
      <c r="E412" s="622"/>
      <c r="F412" s="622"/>
      <c r="G412" s="702" t="s">
        <v>417</v>
      </c>
      <c r="H412" s="703"/>
      <c r="I412" s="703" t="s">
        <v>2310</v>
      </c>
      <c r="J412" s="622"/>
      <c r="K412" s="622"/>
      <c r="L412" s="622"/>
      <c r="M412" s="622"/>
      <c r="N412" s="692"/>
      <c r="O412" s="693"/>
      <c r="P412" s="693"/>
    </row>
    <row r="413" spans="3:16" s="190" customFormat="1">
      <c r="C413" s="622"/>
      <c r="D413" s="622"/>
      <c r="E413" s="622"/>
      <c r="F413" s="622"/>
      <c r="G413" s="702" t="s">
        <v>2260</v>
      </c>
      <c r="H413" s="703"/>
      <c r="I413" s="703" t="s">
        <v>2315</v>
      </c>
      <c r="J413" s="622"/>
      <c r="K413" s="622"/>
      <c r="L413" s="622"/>
      <c r="M413" s="622"/>
      <c r="N413" s="692"/>
      <c r="O413" s="693"/>
      <c r="P413" s="693"/>
    </row>
    <row r="414" spans="3:16" s="190" customFormat="1">
      <c r="C414" s="622"/>
      <c r="D414" s="622"/>
      <c r="E414" s="622"/>
      <c r="F414" s="622"/>
      <c r="G414" s="702" t="s">
        <v>1536</v>
      </c>
      <c r="H414" s="703"/>
      <c r="I414" s="703" t="s">
        <v>2317</v>
      </c>
      <c r="J414" s="622"/>
      <c r="K414" s="622"/>
      <c r="L414" s="622"/>
      <c r="M414" s="622"/>
      <c r="N414" s="692"/>
      <c r="O414" s="693"/>
      <c r="P414" s="693"/>
    </row>
    <row r="415" spans="3:16" s="190" customFormat="1" ht="13.5">
      <c r="C415" s="622"/>
      <c r="D415" s="704"/>
      <c r="E415" s="622"/>
      <c r="F415" s="622"/>
      <c r="G415" s="702" t="s">
        <v>258</v>
      </c>
      <c r="H415" s="705"/>
      <c r="I415" s="703" t="s">
        <v>2321</v>
      </c>
      <c r="J415" s="622"/>
      <c r="K415" s="622"/>
      <c r="L415" s="622"/>
      <c r="M415" s="622"/>
      <c r="N415" s="692"/>
      <c r="O415" s="693"/>
      <c r="P415" s="693"/>
    </row>
    <row r="416" spans="3:16" s="190" customFormat="1" ht="13.5">
      <c r="C416" s="704"/>
      <c r="D416" s="704"/>
      <c r="E416" s="622"/>
      <c r="F416" s="622"/>
      <c r="G416" s="702" t="s">
        <v>70</v>
      </c>
      <c r="H416" s="705"/>
      <c r="I416" s="703" t="s">
        <v>2325</v>
      </c>
      <c r="J416" s="622"/>
      <c r="K416" s="622"/>
      <c r="L416" s="622"/>
      <c r="M416" s="622"/>
      <c r="N416" s="692"/>
      <c r="O416" s="693"/>
      <c r="P416" s="693"/>
    </row>
    <row r="417" spans="1:16" s="190" customFormat="1" ht="13.5">
      <c r="C417" s="704"/>
      <c r="D417" s="706"/>
      <c r="E417" s="622"/>
      <c r="F417" s="622"/>
      <c r="G417" s="702" t="s">
        <v>2416</v>
      </c>
      <c r="H417" s="705"/>
      <c r="I417" s="703" t="s">
        <v>1778</v>
      </c>
      <c r="J417" s="622"/>
      <c r="K417" s="622"/>
      <c r="L417" s="622"/>
      <c r="M417" s="622"/>
      <c r="N417" s="692"/>
      <c r="O417" s="693"/>
      <c r="P417" s="693"/>
    </row>
    <row r="418" spans="1:16" s="190" customFormat="1">
      <c r="C418" s="704"/>
      <c r="D418" s="706"/>
      <c r="E418" s="706"/>
      <c r="F418" s="622"/>
      <c r="G418" s="702" t="s">
        <v>2303</v>
      </c>
      <c r="H418" s="622"/>
      <c r="I418" s="703" t="s">
        <v>1779</v>
      </c>
      <c r="J418" s="622"/>
      <c r="K418" s="622"/>
      <c r="L418" s="622"/>
      <c r="M418" s="622"/>
      <c r="N418" s="692"/>
      <c r="O418" s="693"/>
      <c r="P418" s="693"/>
    </row>
    <row r="419" spans="1:16" s="190" customFormat="1" ht="51">
      <c r="C419" s="704"/>
      <c r="D419" s="622"/>
      <c r="E419" s="622"/>
      <c r="F419" s="622"/>
      <c r="G419" s="702" t="s">
        <v>1751</v>
      </c>
      <c r="H419" s="622"/>
      <c r="I419" s="703" t="s">
        <v>2053</v>
      </c>
      <c r="J419" s="622"/>
      <c r="K419" s="622"/>
      <c r="L419" s="622"/>
      <c r="M419" s="622"/>
      <c r="N419" s="692"/>
      <c r="O419" s="693"/>
      <c r="P419" s="693"/>
    </row>
    <row r="420" spans="1:16" s="190" customFormat="1">
      <c r="C420" s="704"/>
      <c r="D420" s="622"/>
      <c r="E420" s="622"/>
      <c r="F420" s="622"/>
      <c r="G420" s="702" t="s">
        <v>2406</v>
      </c>
      <c r="H420" s="622"/>
      <c r="I420" s="623" t="s">
        <v>107</v>
      </c>
      <c r="J420" s="622"/>
      <c r="K420" s="622"/>
      <c r="L420" s="622"/>
      <c r="M420" s="622"/>
      <c r="N420" s="692"/>
      <c r="O420" s="693"/>
      <c r="P420" s="693"/>
    </row>
    <row r="421" spans="1:16" s="190" customFormat="1" ht="13.5">
      <c r="C421" s="704"/>
      <c r="D421" s="622"/>
      <c r="E421" s="622"/>
      <c r="F421" s="622"/>
      <c r="G421" s="702" t="s">
        <v>2408</v>
      </c>
      <c r="H421" s="622"/>
      <c r="I421" s="705" t="s">
        <v>113</v>
      </c>
      <c r="J421" s="622"/>
      <c r="K421" s="622"/>
      <c r="L421" s="622"/>
      <c r="M421" s="622"/>
      <c r="N421" s="692"/>
      <c r="O421" s="693"/>
      <c r="P421" s="693"/>
    </row>
    <row r="422" spans="1:16" s="190" customFormat="1" ht="13.5">
      <c r="C422" s="704"/>
      <c r="D422" s="622"/>
      <c r="E422" s="622"/>
      <c r="F422" s="622"/>
      <c r="G422" s="707" t="s">
        <v>2265</v>
      </c>
      <c r="H422" s="622"/>
      <c r="I422" s="705" t="s">
        <v>2556</v>
      </c>
      <c r="J422" s="622"/>
      <c r="K422" s="622"/>
      <c r="L422" s="622"/>
      <c r="M422" s="622"/>
      <c r="N422" s="692"/>
      <c r="O422" s="693"/>
      <c r="P422" s="693"/>
    </row>
    <row r="423" spans="1:16" s="190" customFormat="1" ht="13.5">
      <c r="C423" s="706"/>
      <c r="D423" s="622"/>
      <c r="E423" s="622"/>
      <c r="F423" s="622"/>
      <c r="G423" s="707" t="s">
        <v>1752</v>
      </c>
      <c r="H423" s="622"/>
      <c r="I423" s="705" t="s">
        <v>2558</v>
      </c>
      <c r="J423" s="622"/>
      <c r="K423" s="622"/>
      <c r="L423" s="622"/>
      <c r="M423" s="622"/>
      <c r="N423" s="692"/>
      <c r="O423" s="693"/>
      <c r="P423" s="693"/>
    </row>
    <row r="424" spans="1:16" s="190" customFormat="1" ht="13.5">
      <c r="C424" s="706"/>
      <c r="D424" s="622"/>
      <c r="E424" s="622"/>
      <c r="F424" s="622"/>
      <c r="G424" s="707" t="s">
        <v>2484</v>
      </c>
      <c r="H424" s="622"/>
      <c r="I424" s="705" t="s">
        <v>2560</v>
      </c>
      <c r="J424" s="622"/>
      <c r="K424" s="622"/>
      <c r="L424" s="622"/>
      <c r="M424" s="622"/>
      <c r="N424" s="692"/>
      <c r="O424" s="693"/>
      <c r="P424" s="693"/>
    </row>
    <row r="425" spans="1:16" s="190" customFormat="1" ht="13.5">
      <c r="C425" s="622"/>
      <c r="D425" s="622"/>
      <c r="E425" s="622"/>
      <c r="F425" s="622"/>
      <c r="G425" s="707" t="s">
        <v>2409</v>
      </c>
      <c r="H425" s="622"/>
      <c r="I425" s="622"/>
      <c r="J425" s="622"/>
      <c r="K425" s="622"/>
      <c r="L425" s="622"/>
      <c r="M425" s="622"/>
      <c r="N425" s="692"/>
      <c r="O425" s="693"/>
      <c r="P425" s="693"/>
    </row>
    <row r="426" spans="1:16" s="190" customFormat="1" ht="13.5">
      <c r="C426" s="622"/>
      <c r="D426" s="622"/>
      <c r="E426" s="622"/>
      <c r="F426" s="622"/>
      <c r="G426" s="707" t="s">
        <v>1815</v>
      </c>
      <c r="H426" s="622"/>
      <c r="I426" s="622"/>
      <c r="J426" s="622"/>
      <c r="K426" s="622"/>
      <c r="L426" s="622"/>
      <c r="M426" s="622"/>
      <c r="N426" s="692"/>
      <c r="O426" s="693"/>
      <c r="P426" s="693"/>
    </row>
    <row r="427" spans="1:16" s="190" customFormat="1" ht="13.5">
      <c r="C427" s="622"/>
      <c r="D427" s="622"/>
      <c r="E427" s="622"/>
      <c r="F427" s="622"/>
      <c r="G427" s="707" t="s">
        <v>1820</v>
      </c>
      <c r="H427" s="622"/>
      <c r="I427" s="622"/>
      <c r="J427" s="622"/>
      <c r="K427" s="622"/>
      <c r="L427" s="622"/>
      <c r="M427" s="622"/>
      <c r="N427" s="692"/>
      <c r="O427" s="693"/>
      <c r="P427" s="693"/>
    </row>
    <row r="428" spans="1:16" s="190" customFormat="1" ht="13.5">
      <c r="C428" s="622"/>
      <c r="D428" s="622"/>
      <c r="E428" s="622"/>
      <c r="F428" s="622"/>
      <c r="G428" s="707" t="s">
        <v>1823</v>
      </c>
      <c r="H428" s="622"/>
      <c r="I428" s="622"/>
      <c r="J428" s="622"/>
      <c r="K428" s="622"/>
      <c r="L428" s="622"/>
      <c r="M428" s="622"/>
      <c r="N428" s="692"/>
      <c r="O428" s="693"/>
      <c r="P428" s="693"/>
    </row>
    <row r="429" spans="1:16" s="190" customFormat="1">
      <c r="C429" s="622"/>
      <c r="D429" s="622"/>
      <c r="E429" s="622"/>
      <c r="F429" s="622"/>
      <c r="G429" s="624" t="s">
        <v>1828</v>
      </c>
      <c r="H429" s="622"/>
      <c r="I429" s="622"/>
      <c r="J429" s="622"/>
      <c r="K429" s="622"/>
      <c r="L429" s="622"/>
      <c r="M429" s="622"/>
      <c r="N429" s="692"/>
      <c r="O429" s="693"/>
      <c r="P429" s="693"/>
    </row>
    <row r="430" spans="1:16" s="190" customFormat="1">
      <c r="C430" s="622"/>
      <c r="D430" s="622"/>
      <c r="E430" s="622"/>
      <c r="F430" s="622"/>
      <c r="G430" s="624" t="s">
        <v>109</v>
      </c>
      <c r="H430" s="622"/>
      <c r="I430" s="622"/>
      <c r="J430" s="622"/>
      <c r="K430" s="622"/>
      <c r="L430" s="622"/>
      <c r="M430" s="622"/>
      <c r="N430" s="692"/>
      <c r="O430" s="693"/>
      <c r="P430" s="693"/>
    </row>
    <row r="431" spans="1:16">
      <c r="A431" s="190"/>
      <c r="B431" s="190"/>
      <c r="C431" s="622"/>
      <c r="D431" s="622"/>
      <c r="E431" s="622"/>
      <c r="F431" s="622"/>
      <c r="G431" s="624" t="s">
        <v>312</v>
      </c>
      <c r="H431" s="622"/>
      <c r="I431" s="622"/>
      <c r="J431" s="622"/>
      <c r="K431" s="622"/>
      <c r="L431" s="622"/>
      <c r="M431" s="622"/>
      <c r="N431" s="692"/>
      <c r="O431" s="693"/>
      <c r="P431" s="693"/>
    </row>
    <row r="432" spans="1:16">
      <c r="A432" s="190"/>
      <c r="B432" s="190"/>
      <c r="C432" s="622"/>
      <c r="D432" s="622"/>
      <c r="E432" s="622"/>
      <c r="F432" s="622"/>
      <c r="G432" s="624" t="s">
        <v>313</v>
      </c>
      <c r="H432" s="622"/>
      <c r="I432" s="622"/>
      <c r="J432" s="622"/>
      <c r="K432" s="622"/>
      <c r="L432" s="622"/>
      <c r="M432" s="622"/>
      <c r="N432" s="692"/>
      <c r="O432" s="693"/>
      <c r="P432" s="693"/>
    </row>
    <row r="433" spans="3:16">
      <c r="C433" s="622"/>
      <c r="D433" s="622"/>
      <c r="E433" s="622"/>
      <c r="F433" s="622"/>
      <c r="G433" s="624" t="s">
        <v>1651</v>
      </c>
      <c r="H433" s="622"/>
      <c r="I433" s="622"/>
      <c r="J433" s="622"/>
      <c r="K433" s="622"/>
      <c r="L433" s="622"/>
      <c r="M433" s="622"/>
      <c r="N433" s="692"/>
      <c r="O433" s="693"/>
      <c r="P433" s="693"/>
    </row>
    <row r="434" spans="3:16">
      <c r="C434" s="622"/>
      <c r="D434" s="622"/>
      <c r="E434" s="622"/>
      <c r="F434" s="622"/>
      <c r="G434" s="622"/>
      <c r="H434" s="622"/>
      <c r="I434" s="622"/>
      <c r="J434" s="622"/>
      <c r="K434" s="622"/>
      <c r="L434" s="622"/>
      <c r="M434" s="622"/>
      <c r="N434" s="692"/>
      <c r="O434" s="693"/>
      <c r="P434" s="693"/>
    </row>
    <row r="435" spans="3:16">
      <c r="C435" s="622"/>
      <c r="D435" s="622"/>
      <c r="E435" s="622"/>
      <c r="F435" s="622"/>
      <c r="G435" s="622"/>
      <c r="H435" s="622"/>
      <c r="I435" s="622"/>
      <c r="J435" s="622"/>
      <c r="K435" s="622"/>
      <c r="L435" s="622"/>
      <c r="M435" s="622"/>
      <c r="N435" s="692"/>
      <c r="O435" s="693"/>
      <c r="P435" s="693"/>
    </row>
    <row r="436" spans="3:16">
      <c r="G436" s="190"/>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7"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35" t="s">
        <v>3599</v>
      </c>
    </row>
    <row r="2" spans="1:6" ht="16.5">
      <c r="A2" s="1936" t="str">
        <f>'Part I-Project Information'!F23</f>
        <v>Willingham Village II</v>
      </c>
    </row>
    <row r="3" spans="1:6" ht="16.5">
      <c r="A3" s="1936" t="str">
        <f>CONCATENATE('Part I-Project Information'!F27,", ", 'Part I-Project Information'!J28," County")</f>
        <v>Rome, Floyd County</v>
      </c>
    </row>
    <row r="4" spans="1:6" ht="16.5">
      <c r="A4" s="2398" t="str">
        <f>IF('Part IX A-Scoring Criteria'!$O$219="Yes",CONCATENATE("Part A - ",'Part IX A-Scoring Criteria'!$B$219),IF('Part IX A-Scoring Criteria'!$O$223="Yes",CONCATENATE("Part B - ",'Part IX A-Scoring Criteria'!$B$222),""))</f>
        <v/>
      </c>
    </row>
    <row r="5" spans="1:6" ht="6.75" customHeight="1"/>
    <row r="6" spans="1:6" ht="113.25" customHeight="1">
      <c r="A6" s="1937" t="s">
        <v>2920</v>
      </c>
      <c r="B6" s="1567" t="s">
        <v>2921</v>
      </c>
      <c r="C6" s="1182"/>
      <c r="D6" s="1182"/>
      <c r="E6" s="1182"/>
      <c r="F6" s="1182"/>
    </row>
    <row r="7" spans="1:6" ht="6.6" customHeight="1">
      <c r="A7" s="1937"/>
      <c r="B7" s="1567"/>
      <c r="C7" s="1182"/>
      <c r="D7" s="1182"/>
      <c r="E7" s="1182"/>
      <c r="F7" s="1182"/>
    </row>
    <row r="8" spans="1:6" ht="134.25" customHeight="1">
      <c r="A8" s="1937"/>
      <c r="C8" s="2399"/>
    </row>
    <row r="9" spans="1:6" ht="6.6" customHeight="1">
      <c r="A9" s="1937"/>
    </row>
    <row r="10" spans="1:6" ht="111" customHeight="1">
      <c r="A10" s="1937"/>
    </row>
    <row r="11" spans="1:6" ht="6.6" customHeight="1">
      <c r="A11" s="1937"/>
    </row>
    <row r="12" spans="1:6" ht="111" customHeight="1">
      <c r="A12" s="1937"/>
    </row>
    <row r="13" spans="1:6" ht="6.6" customHeight="1">
      <c r="A13" s="1937"/>
    </row>
    <row r="14" spans="1:6" ht="111" customHeight="1">
      <c r="A14" s="1937"/>
    </row>
    <row r="15" spans="1:6" ht="6.6" customHeight="1">
      <c r="A15" s="1937"/>
    </row>
    <row r="16" spans="1:6" ht="111" customHeight="1">
      <c r="A16" s="1937"/>
    </row>
    <row r="17" spans="1:1" ht="6.6" customHeight="1">
      <c r="A17" s="1937"/>
    </row>
    <row r="18" spans="1:1" ht="111" customHeight="1">
      <c r="A18" s="1937"/>
    </row>
    <row r="19" spans="1:1" ht="6.6" customHeight="1">
      <c r="A19" s="1937"/>
    </row>
    <row r="20" spans="1:1" ht="105.75" customHeight="1">
      <c r="A20" s="1937"/>
    </row>
    <row r="21" spans="1:1" ht="6.6" customHeight="1">
      <c r="A21" s="1937"/>
    </row>
    <row r="22" spans="1:1" ht="105.75" customHeight="1">
      <c r="A22" s="1937"/>
    </row>
    <row r="23" spans="1:1" ht="6.6" customHeight="1">
      <c r="A23" s="1937"/>
    </row>
    <row r="24" spans="1:1" ht="105.75" customHeight="1">
      <c r="A24" s="1937"/>
    </row>
    <row r="25" spans="1:1" ht="6.6" customHeight="1">
      <c r="A25" s="2400"/>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01" customWidth="1"/>
    <col min="2" max="12" width="7.28515625" style="2401" customWidth="1"/>
    <col min="13" max="13" width="8.7109375" style="2401" customWidth="1"/>
    <col min="14" max="15" width="5.85546875" style="2401" customWidth="1"/>
    <col min="16" max="16384" width="8.85546875" style="2401"/>
  </cols>
  <sheetData>
    <row r="1" spans="1:26" ht="19.5">
      <c r="N1" s="2402" t="s">
        <v>1600</v>
      </c>
      <c r="O1" s="2402"/>
      <c r="P1" s="2402"/>
      <c r="Q1" s="2402"/>
      <c r="R1" s="2402"/>
      <c r="S1" s="2402"/>
      <c r="T1" s="2402"/>
      <c r="U1" s="2402"/>
      <c r="V1" s="2402"/>
      <c r="W1" s="2402"/>
      <c r="X1" s="2402"/>
      <c r="Y1" s="2402"/>
      <c r="Z1" s="2402"/>
    </row>
    <row r="3" spans="1:26">
      <c r="N3" s="2403" t="s">
        <v>1601</v>
      </c>
      <c r="O3" s="2403"/>
      <c r="P3" s="2403"/>
      <c r="Q3" s="2403"/>
      <c r="R3" s="2403"/>
      <c r="S3" s="2403"/>
      <c r="T3" s="2403"/>
      <c r="U3" s="2403"/>
      <c r="V3" s="2403"/>
      <c r="W3" s="2403"/>
      <c r="X3" s="2403"/>
      <c r="Y3" s="2403"/>
      <c r="Z3" s="2403"/>
    </row>
    <row r="4" spans="1:26">
      <c r="N4" s="2404" t="s">
        <v>1602</v>
      </c>
      <c r="O4" s="2404"/>
      <c r="P4" s="2404"/>
      <c r="Q4" s="2404"/>
      <c r="R4" s="2404"/>
      <c r="S4" s="2404"/>
      <c r="T4" s="2404"/>
      <c r="U4" s="2404"/>
      <c r="V4" s="2404"/>
      <c r="W4" s="2404"/>
      <c r="X4" s="2404"/>
      <c r="Y4" s="2404"/>
      <c r="Z4" s="2404"/>
    </row>
    <row r="6" spans="1:26">
      <c r="B6" s="2405"/>
      <c r="C6" s="2405"/>
      <c r="D6" s="2405"/>
      <c r="E6" s="2405"/>
      <c r="F6" s="2405"/>
      <c r="G6" s="2405"/>
      <c r="H6" s="2405"/>
      <c r="I6" s="2405"/>
      <c r="J6" s="2405"/>
      <c r="K6" s="2405"/>
      <c r="L6" s="2405"/>
      <c r="M6" s="2405"/>
      <c r="N6" s="2406" t="s">
        <v>750</v>
      </c>
    </row>
    <row r="7" spans="1:26" ht="57" customHeight="1">
      <c r="A7" s="2407" t="s">
        <v>3121</v>
      </c>
      <c r="B7" s="2407"/>
      <c r="C7" s="2407"/>
      <c r="D7" s="2407"/>
      <c r="E7" s="2407"/>
      <c r="F7" s="2407"/>
      <c r="G7" s="2407"/>
      <c r="H7" s="2407"/>
      <c r="I7" s="2407"/>
      <c r="J7" s="2407"/>
      <c r="K7" s="2407"/>
      <c r="L7" s="2407"/>
      <c r="M7" s="2407"/>
    </row>
    <row r="8" spans="1:26" ht="11.45" customHeight="1">
      <c r="A8" s="2405"/>
      <c r="B8" s="2405"/>
      <c r="C8" s="2405"/>
      <c r="D8" s="2405"/>
      <c r="E8" s="2405"/>
      <c r="F8" s="2405"/>
      <c r="G8" s="2405"/>
      <c r="H8" s="2405"/>
      <c r="I8" s="2405"/>
      <c r="J8" s="2405"/>
      <c r="K8" s="2405"/>
      <c r="L8" s="2405"/>
      <c r="M8" s="2405"/>
    </row>
    <row r="9" spans="1:26">
      <c r="A9" s="2405" t="s">
        <v>755</v>
      </c>
      <c r="B9" s="2405"/>
      <c r="C9" s="2405"/>
      <c r="D9" s="2405"/>
      <c r="E9" s="2405"/>
      <c r="F9" s="2405"/>
      <c r="G9" s="2405"/>
      <c r="H9" s="2405"/>
      <c r="I9" s="2405"/>
      <c r="J9" s="2405"/>
      <c r="K9" s="2405"/>
      <c r="L9" s="2405"/>
      <c r="M9" s="2405"/>
    </row>
    <row r="10" spans="1:26" ht="11.45" customHeight="1">
      <c r="A10" s="2405"/>
      <c r="B10" s="2405"/>
      <c r="C10" s="2405"/>
      <c r="D10" s="2405"/>
      <c r="E10" s="2405"/>
      <c r="F10" s="2405"/>
      <c r="G10" s="2405"/>
      <c r="H10" s="2405"/>
      <c r="I10" s="2405"/>
      <c r="J10" s="2405"/>
      <c r="K10" s="2405"/>
      <c r="L10" s="2405"/>
      <c r="M10" s="2405"/>
    </row>
    <row r="11" spans="1:26">
      <c r="A11" s="2408" t="s">
        <v>2039</v>
      </c>
      <c r="B11" s="2408"/>
      <c r="C11" s="2408"/>
      <c r="D11" s="2408"/>
      <c r="E11" s="2408"/>
      <c r="F11" s="2408"/>
      <c r="G11" s="2408"/>
      <c r="H11" s="2408"/>
      <c r="I11" s="2408"/>
      <c r="J11" s="2408"/>
      <c r="K11" s="2408"/>
      <c r="L11" s="2408"/>
      <c r="M11" s="2408"/>
    </row>
    <row r="12" spans="1:26" ht="6.75" customHeight="1">
      <c r="A12" s="2408"/>
      <c r="B12" s="2408"/>
      <c r="C12" s="2408"/>
      <c r="D12" s="2408"/>
      <c r="E12" s="2408"/>
      <c r="F12" s="2408"/>
      <c r="G12" s="2408"/>
      <c r="H12" s="2408"/>
      <c r="I12" s="2408"/>
      <c r="J12" s="2408"/>
      <c r="K12" s="2408"/>
      <c r="L12" s="2408"/>
      <c r="M12" s="2408"/>
    </row>
    <row r="13" spans="1:26" ht="44.25" customHeight="1">
      <c r="A13" s="2409" t="s">
        <v>3382</v>
      </c>
      <c r="B13" s="2409"/>
      <c r="C13" s="2409"/>
      <c r="D13" s="2409"/>
      <c r="E13" s="2409"/>
      <c r="F13" s="2409"/>
      <c r="G13" s="2409"/>
      <c r="H13" s="2409"/>
      <c r="I13" s="2409"/>
      <c r="J13" s="2409"/>
      <c r="K13" s="2409"/>
      <c r="L13" s="2409"/>
      <c r="M13" s="2409"/>
    </row>
    <row r="14" spans="1:26" ht="3" customHeight="1">
      <c r="A14" s="2408"/>
      <c r="B14" s="2408"/>
      <c r="C14" s="2408"/>
      <c r="D14" s="2408"/>
      <c r="E14" s="2408"/>
      <c r="F14" s="2408"/>
      <c r="G14" s="2408"/>
      <c r="H14" s="2408"/>
      <c r="I14" s="2408"/>
      <c r="J14" s="2408"/>
      <c r="K14" s="2408"/>
      <c r="L14" s="2408"/>
      <c r="M14" s="2408"/>
    </row>
    <row r="15" spans="1:26" ht="87.75" customHeight="1">
      <c r="A15" s="2410" t="s">
        <v>1859</v>
      </c>
      <c r="B15" s="2411" t="s">
        <v>3122</v>
      </c>
      <c r="C15" s="2411"/>
      <c r="D15" s="2411"/>
      <c r="E15" s="2411"/>
      <c r="F15" s="2411"/>
      <c r="G15" s="2411"/>
      <c r="H15" s="2411"/>
      <c r="I15" s="2411"/>
      <c r="J15" s="2411"/>
      <c r="K15" s="2411"/>
      <c r="L15" s="2411"/>
      <c r="M15" s="2411"/>
    </row>
    <row r="16" spans="1:26" ht="3" customHeight="1">
      <c r="A16" s="2408"/>
      <c r="B16" s="2408"/>
      <c r="C16" s="2408"/>
      <c r="D16" s="2408"/>
      <c r="E16" s="2408"/>
      <c r="F16" s="2408"/>
      <c r="G16" s="2408"/>
      <c r="H16" s="2408"/>
      <c r="I16" s="2408"/>
      <c r="J16" s="2408"/>
      <c r="K16" s="2408"/>
      <c r="L16" s="2408"/>
      <c r="M16" s="2408"/>
    </row>
    <row r="17" spans="1:13" ht="58.5" customHeight="1">
      <c r="A17" s="2410" t="s">
        <v>1860</v>
      </c>
      <c r="B17" s="2411" t="s">
        <v>3123</v>
      </c>
      <c r="C17" s="2411"/>
      <c r="D17" s="2411"/>
      <c r="E17" s="2411"/>
      <c r="F17" s="2411"/>
      <c r="G17" s="2411"/>
      <c r="H17" s="2411"/>
      <c r="I17" s="2411"/>
      <c r="J17" s="2411"/>
      <c r="K17" s="2411"/>
      <c r="L17" s="2411"/>
      <c r="M17" s="2411"/>
    </row>
    <row r="18" spans="1:13" ht="3" customHeight="1">
      <c r="A18" s="2408"/>
      <c r="B18" s="2408"/>
      <c r="C18" s="2408"/>
      <c r="D18" s="2408"/>
      <c r="E18" s="2408"/>
      <c r="F18" s="2408"/>
      <c r="G18" s="2408"/>
      <c r="H18" s="2408"/>
      <c r="I18" s="2408"/>
      <c r="J18" s="2408"/>
      <c r="K18" s="2408"/>
      <c r="L18" s="2408"/>
      <c r="M18" s="2408"/>
    </row>
    <row r="19" spans="1:13" ht="115.5" customHeight="1">
      <c r="A19" s="2410" t="s">
        <v>1861</v>
      </c>
      <c r="B19" s="2411" t="s">
        <v>685</v>
      </c>
      <c r="C19" s="2411"/>
      <c r="D19" s="2411"/>
      <c r="E19" s="2411"/>
      <c r="F19" s="2411"/>
      <c r="G19" s="2411"/>
      <c r="H19" s="2411"/>
      <c r="I19" s="2411"/>
      <c r="J19" s="2411"/>
      <c r="K19" s="2411"/>
      <c r="L19" s="2411"/>
      <c r="M19" s="2411"/>
    </row>
    <row r="20" spans="1:13" ht="3" customHeight="1">
      <c r="A20" s="2408"/>
      <c r="B20" s="2408"/>
      <c r="C20" s="2408"/>
      <c r="D20" s="2408"/>
      <c r="E20" s="2408"/>
      <c r="F20" s="2408"/>
      <c r="G20" s="2408"/>
      <c r="H20" s="2408"/>
      <c r="I20" s="2408"/>
      <c r="J20" s="2408"/>
      <c r="K20" s="2408"/>
      <c r="L20" s="2408"/>
      <c r="M20" s="2408"/>
    </row>
    <row r="21" spans="1:13" ht="149.25" customHeight="1">
      <c r="A21" s="2410" t="s">
        <v>2519</v>
      </c>
      <c r="B21" s="2411" t="s">
        <v>3583</v>
      </c>
      <c r="C21" s="2411"/>
      <c r="D21" s="2411"/>
      <c r="E21" s="2411"/>
      <c r="F21" s="2411"/>
      <c r="G21" s="2411"/>
      <c r="H21" s="2411"/>
      <c r="I21" s="2411"/>
      <c r="J21" s="2411"/>
      <c r="K21" s="2411"/>
      <c r="L21" s="2411"/>
      <c r="M21" s="2411"/>
    </row>
    <row r="22" spans="1:13" ht="3" customHeight="1">
      <c r="A22" s="2408"/>
      <c r="B22" s="2408"/>
      <c r="C22" s="2408"/>
      <c r="D22" s="2408"/>
      <c r="E22" s="2408"/>
      <c r="F22" s="2408"/>
      <c r="G22" s="2408"/>
      <c r="H22" s="2408"/>
      <c r="I22" s="2408"/>
      <c r="J22" s="2408"/>
      <c r="K22" s="2408"/>
      <c r="L22" s="2408"/>
      <c r="M22" s="2408"/>
    </row>
    <row r="23" spans="1:13" ht="44.25" customHeight="1">
      <c r="A23" s="2410" t="s">
        <v>1657</v>
      </c>
      <c r="B23" s="2411" t="s">
        <v>729</v>
      </c>
      <c r="C23" s="2411"/>
      <c r="D23" s="2411"/>
      <c r="E23" s="2411"/>
      <c r="F23" s="2411"/>
      <c r="G23" s="2411"/>
      <c r="H23" s="2411"/>
      <c r="I23" s="2411"/>
      <c r="J23" s="2411"/>
      <c r="K23" s="2411"/>
      <c r="L23" s="2411"/>
      <c r="M23" s="2411"/>
    </row>
    <row r="24" spans="1:13" ht="165" customHeight="1">
      <c r="A24" s="2410" t="s">
        <v>1658</v>
      </c>
      <c r="B24" s="2411" t="s">
        <v>3584</v>
      </c>
      <c r="C24" s="2411"/>
      <c r="D24" s="2411"/>
      <c r="E24" s="2411"/>
      <c r="F24" s="2411"/>
      <c r="G24" s="2411"/>
      <c r="H24" s="2411"/>
      <c r="I24" s="2411"/>
      <c r="J24" s="2411"/>
      <c r="K24" s="2411"/>
      <c r="L24" s="2411"/>
      <c r="M24" s="2411"/>
    </row>
    <row r="25" spans="1:13" ht="3" customHeight="1">
      <c r="A25" s="2408"/>
      <c r="B25" s="2408"/>
      <c r="C25" s="2408"/>
      <c r="D25" s="2408"/>
      <c r="E25" s="2408"/>
      <c r="F25" s="2408"/>
      <c r="G25" s="2408"/>
      <c r="H25" s="2408"/>
      <c r="I25" s="2408"/>
      <c r="J25" s="2408"/>
      <c r="K25" s="2408"/>
      <c r="L25" s="2408"/>
      <c r="M25" s="2408"/>
    </row>
    <row r="26" spans="1:13" ht="44.25" customHeight="1">
      <c r="A26" s="2410" t="s">
        <v>101</v>
      </c>
      <c r="B26" s="2411" t="s">
        <v>3124</v>
      </c>
      <c r="C26" s="2411"/>
      <c r="D26" s="2411"/>
      <c r="E26" s="2411"/>
      <c r="F26" s="2411"/>
      <c r="G26" s="2411"/>
      <c r="H26" s="2411"/>
      <c r="I26" s="2411"/>
      <c r="J26" s="2411"/>
      <c r="K26" s="2411"/>
      <c r="L26" s="2411"/>
      <c r="M26" s="2411"/>
    </row>
    <row r="27" spans="1:13" ht="3" customHeight="1">
      <c r="A27" s="2408"/>
      <c r="B27" s="2408"/>
      <c r="C27" s="2408"/>
      <c r="D27" s="2408"/>
      <c r="E27" s="2408"/>
      <c r="F27" s="2408"/>
      <c r="G27" s="2408"/>
      <c r="H27" s="2408"/>
      <c r="I27" s="2408"/>
      <c r="J27" s="2408"/>
      <c r="K27" s="2408"/>
      <c r="L27" s="2408"/>
      <c r="M27" s="2408"/>
    </row>
    <row r="28" spans="1:13" ht="15" customHeight="1">
      <c r="A28" s="2410" t="s">
        <v>544</v>
      </c>
      <c r="B28" s="2411" t="s">
        <v>1561</v>
      </c>
      <c r="C28" s="2411"/>
      <c r="D28" s="2411"/>
      <c r="E28" s="2411"/>
      <c r="F28" s="2411"/>
      <c r="G28" s="2411"/>
      <c r="H28" s="2411"/>
      <c r="I28" s="2411"/>
      <c r="J28" s="2411"/>
      <c r="K28" s="2411"/>
      <c r="L28" s="2411"/>
      <c r="M28" s="2411"/>
    </row>
    <row r="29" spans="1:13" ht="4.5" customHeight="1">
      <c r="A29" s="2408"/>
      <c r="B29" s="2408"/>
      <c r="C29" s="2408"/>
      <c r="D29" s="2408"/>
      <c r="E29" s="2408"/>
      <c r="F29" s="2408"/>
      <c r="G29" s="2408"/>
      <c r="H29" s="2408"/>
      <c r="I29" s="2408"/>
      <c r="J29" s="2408"/>
      <c r="K29" s="2408"/>
      <c r="L29" s="2408"/>
      <c r="M29" s="2408"/>
    </row>
    <row r="30" spans="1:13" ht="15" customHeight="1">
      <c r="A30" s="2408" t="s">
        <v>1562</v>
      </c>
      <c r="B30" s="2408"/>
      <c r="C30" s="2408"/>
      <c r="D30" s="2408"/>
      <c r="E30" s="2408"/>
      <c r="F30" s="2408"/>
      <c r="G30" s="2408"/>
      <c r="H30" s="2408"/>
      <c r="I30" s="2408"/>
      <c r="J30" s="2408"/>
      <c r="K30" s="2408"/>
      <c r="L30" s="2408"/>
      <c r="M30" s="2408"/>
    </row>
    <row r="31" spans="1:13" ht="3" customHeight="1">
      <c r="A31" s="2408"/>
      <c r="B31" s="2408"/>
      <c r="C31" s="2408"/>
      <c r="D31" s="2408"/>
      <c r="E31" s="2408"/>
      <c r="F31" s="2408"/>
      <c r="G31" s="2408"/>
      <c r="H31" s="2408"/>
      <c r="I31" s="2408"/>
      <c r="J31" s="2408"/>
      <c r="K31" s="2408"/>
      <c r="L31" s="2408"/>
      <c r="M31" s="2408"/>
    </row>
    <row r="32" spans="1:13" ht="28.5" customHeight="1">
      <c r="A32" s="2412" t="s">
        <v>1563</v>
      </c>
      <c r="B32" s="2411" t="s">
        <v>3125</v>
      </c>
      <c r="C32" s="2411"/>
      <c r="D32" s="2411"/>
      <c r="E32" s="2411"/>
      <c r="F32" s="2411"/>
      <c r="G32" s="2411"/>
      <c r="H32" s="2411"/>
      <c r="I32" s="2411"/>
      <c r="J32" s="2411"/>
      <c r="K32" s="2411"/>
      <c r="L32" s="2411"/>
      <c r="M32" s="2411"/>
    </row>
    <row r="33" spans="1:13" ht="3" customHeight="1">
      <c r="A33" s="2408"/>
      <c r="B33" s="2408"/>
      <c r="C33" s="2408"/>
      <c r="D33" s="2408"/>
      <c r="E33" s="2408"/>
      <c r="F33" s="2408"/>
      <c r="G33" s="2408"/>
      <c r="H33" s="2408"/>
      <c r="I33" s="2408"/>
      <c r="J33" s="2408"/>
      <c r="K33" s="2408"/>
      <c r="L33" s="2408"/>
      <c r="M33" s="2408"/>
    </row>
    <row r="34" spans="1:13" ht="43.5" customHeight="1">
      <c r="A34" s="2412" t="s">
        <v>1563</v>
      </c>
      <c r="B34" s="2411" t="s">
        <v>3126</v>
      </c>
      <c r="C34" s="2411"/>
      <c r="D34" s="2411"/>
      <c r="E34" s="2411"/>
      <c r="F34" s="2411"/>
      <c r="G34" s="2411"/>
      <c r="H34" s="2411"/>
      <c r="I34" s="2411"/>
      <c r="J34" s="2411"/>
      <c r="K34" s="2411"/>
      <c r="L34" s="2411"/>
      <c r="M34" s="2411"/>
    </row>
    <row r="35" spans="1:13" ht="3" customHeight="1">
      <c r="A35" s="2408"/>
      <c r="B35" s="2408"/>
      <c r="C35" s="2408"/>
      <c r="D35" s="2408"/>
      <c r="E35" s="2408"/>
      <c r="F35" s="2408"/>
      <c r="G35" s="2408"/>
      <c r="H35" s="2408"/>
      <c r="I35" s="2408"/>
      <c r="J35" s="2408"/>
      <c r="K35" s="2408"/>
      <c r="L35" s="2408"/>
      <c r="M35" s="2408"/>
    </row>
    <row r="36" spans="1:13" ht="72.75" customHeight="1">
      <c r="A36" s="2412" t="s">
        <v>1563</v>
      </c>
      <c r="B36" s="2411" t="s">
        <v>3127</v>
      </c>
      <c r="C36" s="2411"/>
      <c r="D36" s="2411"/>
      <c r="E36" s="2411"/>
      <c r="F36" s="2411"/>
      <c r="G36" s="2411"/>
      <c r="H36" s="2411"/>
      <c r="I36" s="2411"/>
      <c r="J36" s="2411"/>
      <c r="K36" s="2411"/>
      <c r="L36" s="2411"/>
      <c r="M36" s="2411"/>
    </row>
    <row r="37" spans="1:13" ht="9" customHeight="1">
      <c r="A37" s="2408"/>
      <c r="B37" s="2408"/>
      <c r="C37" s="2408"/>
      <c r="D37" s="2408"/>
      <c r="E37" s="2408"/>
      <c r="F37" s="2408"/>
      <c r="G37" s="2408"/>
      <c r="H37" s="2408"/>
      <c r="I37" s="2408"/>
      <c r="J37" s="2408"/>
      <c r="K37" s="2408"/>
      <c r="L37" s="2408"/>
      <c r="M37" s="2408"/>
    </row>
    <row r="38" spans="1:13" ht="29.25" customHeight="1">
      <c r="A38" s="2411" t="s">
        <v>1002</v>
      </c>
      <c r="B38" s="2411"/>
      <c r="C38" s="2411"/>
      <c r="D38" s="2411"/>
      <c r="E38" s="2411"/>
      <c r="F38" s="2411"/>
      <c r="G38" s="2411"/>
      <c r="H38" s="2411"/>
      <c r="I38" s="2411"/>
      <c r="J38" s="2411"/>
      <c r="K38" s="2411"/>
      <c r="L38" s="2411"/>
      <c r="M38" s="2411"/>
    </row>
    <row r="39" spans="1:13" ht="3" customHeight="1">
      <c r="A39" s="2408"/>
      <c r="B39" s="2408"/>
      <c r="C39" s="2408"/>
      <c r="D39" s="2408"/>
      <c r="E39" s="2408"/>
      <c r="F39" s="2408"/>
      <c r="G39" s="2408"/>
      <c r="H39" s="2408"/>
      <c r="I39" s="2408"/>
      <c r="J39" s="2408"/>
      <c r="K39" s="2408"/>
      <c r="L39" s="2408"/>
      <c r="M39" s="2408"/>
    </row>
    <row r="40" spans="1:13" ht="29.25" customHeight="1">
      <c r="A40" s="2411" t="s">
        <v>3128</v>
      </c>
      <c r="B40" s="2411"/>
      <c r="C40" s="2411"/>
      <c r="D40" s="2411"/>
      <c r="E40" s="2411"/>
      <c r="F40" s="2411"/>
      <c r="G40" s="2411"/>
      <c r="H40" s="2411"/>
      <c r="I40" s="2411"/>
      <c r="J40" s="2411"/>
      <c r="K40" s="2411"/>
      <c r="L40" s="2411"/>
      <c r="M40" s="2411"/>
    </row>
    <row r="41" spans="1:13" ht="3" customHeight="1">
      <c r="A41" s="2408"/>
      <c r="B41" s="2408"/>
      <c r="C41" s="2408"/>
      <c r="D41" s="2408"/>
      <c r="E41" s="2408"/>
      <c r="F41" s="2408"/>
      <c r="G41" s="2408"/>
      <c r="H41" s="2408"/>
      <c r="I41" s="2408"/>
      <c r="J41" s="2408"/>
      <c r="K41" s="2408"/>
      <c r="L41" s="2408"/>
      <c r="M41" s="2408"/>
    </row>
    <row r="42" spans="1:13">
      <c r="A42" s="2408" t="s">
        <v>978</v>
      </c>
      <c r="B42" s="2408"/>
      <c r="C42" s="2408"/>
      <c r="D42" s="2408"/>
      <c r="E42" s="2408"/>
      <c r="F42" s="2408"/>
      <c r="G42" s="2408"/>
      <c r="H42" s="2408"/>
      <c r="I42" s="2408"/>
      <c r="J42" s="2408"/>
      <c r="K42" s="2408"/>
      <c r="L42" s="2408"/>
      <c r="M42" s="2408"/>
    </row>
    <row r="43" spans="1:13">
      <c r="A43" s="2413"/>
      <c r="B43" s="2413"/>
      <c r="C43" s="2413"/>
      <c r="D43" s="2413"/>
      <c r="E43" s="2413"/>
      <c r="F43" s="2413"/>
      <c r="G43" s="2413"/>
      <c r="H43" s="2413"/>
      <c r="I43" s="2413"/>
      <c r="J43" s="2413"/>
      <c r="K43" s="2413"/>
      <c r="L43" s="2413"/>
      <c r="M43" s="2413"/>
    </row>
    <row r="44" spans="1:13">
      <c r="A44" s="2414"/>
      <c r="B44" s="2414"/>
      <c r="C44" s="2414"/>
      <c r="D44" s="2414"/>
      <c r="E44" s="2414"/>
      <c r="F44" s="2414"/>
      <c r="G44" s="2415"/>
      <c r="H44" s="2414"/>
      <c r="I44" s="2414"/>
      <c r="J44" s="2414"/>
      <c r="K44" s="2414"/>
      <c r="L44" s="2414"/>
      <c r="M44" s="2414"/>
    </row>
    <row r="45" spans="1:13" ht="12" customHeight="1">
      <c r="A45" s="2416" t="s">
        <v>979</v>
      </c>
      <c r="B45" s="2416"/>
      <c r="C45" s="2416"/>
      <c r="D45" s="2416"/>
      <c r="E45" s="2416"/>
      <c r="F45" s="2416"/>
      <c r="G45" s="2415"/>
      <c r="H45" s="2416" t="s">
        <v>2115</v>
      </c>
      <c r="I45" s="2416"/>
      <c r="J45" s="2416"/>
      <c r="K45" s="2416"/>
      <c r="L45" s="2416"/>
      <c r="M45" s="2416"/>
    </row>
    <row r="46" spans="1:13">
      <c r="A46" s="2415"/>
      <c r="B46" s="2415"/>
      <c r="C46" s="2415"/>
      <c r="D46" s="2415"/>
      <c r="E46" s="2415"/>
      <c r="F46" s="2415"/>
      <c r="G46" s="2415"/>
      <c r="H46" s="2415"/>
      <c r="I46" s="2415"/>
      <c r="J46" s="2415"/>
      <c r="K46" s="2415"/>
      <c r="L46" s="2415"/>
      <c r="M46" s="2415"/>
    </row>
    <row r="47" spans="1:13">
      <c r="A47" s="2414"/>
      <c r="B47" s="2414"/>
      <c r="C47" s="2414"/>
      <c r="D47" s="2414"/>
      <c r="E47" s="2414"/>
      <c r="F47" s="2414"/>
      <c r="G47" s="2415"/>
      <c r="H47" s="2417"/>
      <c r="I47" s="2417"/>
      <c r="J47" s="2417"/>
      <c r="K47" s="2417"/>
      <c r="L47" s="2417"/>
      <c r="M47" s="2417"/>
    </row>
    <row r="48" spans="1:13" ht="12" customHeight="1">
      <c r="A48" s="2416" t="s">
        <v>980</v>
      </c>
      <c r="B48" s="2416"/>
      <c r="C48" s="2416"/>
      <c r="D48" s="2416"/>
      <c r="E48" s="2416"/>
      <c r="F48" s="2416"/>
      <c r="G48" s="2415"/>
      <c r="H48" s="2416" t="s">
        <v>981</v>
      </c>
      <c r="I48" s="2416"/>
      <c r="J48" s="2416"/>
      <c r="K48" s="2416"/>
      <c r="L48" s="2416"/>
      <c r="M48" s="2416"/>
    </row>
    <row r="49" spans="1:13" ht="11.45" customHeight="1">
      <c r="A49" s="2408"/>
      <c r="B49" s="2408"/>
      <c r="C49" s="2408"/>
      <c r="D49" s="2408"/>
      <c r="E49" s="2408"/>
      <c r="F49" s="2408"/>
      <c r="G49" s="2408"/>
      <c r="H49" s="2408"/>
      <c r="I49" s="2408"/>
      <c r="J49" s="2408"/>
      <c r="K49" s="2408"/>
      <c r="L49" s="2408"/>
      <c r="M49" s="2408"/>
    </row>
    <row r="50" spans="1:13" ht="11.45" customHeight="1">
      <c r="A50" s="2405"/>
      <c r="B50" s="2405"/>
      <c r="C50" s="2405"/>
      <c r="D50" s="2405"/>
      <c r="E50" s="2405"/>
      <c r="F50" s="2405"/>
      <c r="G50" s="2405"/>
      <c r="H50" s="2418" t="s">
        <v>982</v>
      </c>
      <c r="I50" s="2418"/>
      <c r="J50" s="2418"/>
      <c r="K50" s="2418"/>
      <c r="L50" s="2418"/>
      <c r="M50" s="2418"/>
    </row>
    <row r="51" spans="1:13" ht="11.45" customHeight="1">
      <c r="A51" s="2405"/>
      <c r="B51" s="2405"/>
      <c r="C51" s="2405"/>
      <c r="D51" s="2405"/>
      <c r="E51" s="2405"/>
      <c r="F51" s="2405"/>
      <c r="G51" s="2405"/>
    </row>
    <row r="52" spans="1:13" ht="11.45" customHeight="1">
      <c r="A52" s="2405"/>
      <c r="B52" s="2405"/>
      <c r="C52" s="2405"/>
      <c r="D52" s="2405"/>
      <c r="E52" s="2405"/>
      <c r="F52" s="2405"/>
      <c r="G52" s="2405"/>
      <c r="H52" s="2405"/>
      <c r="I52" s="2405"/>
      <c r="J52" s="2405"/>
      <c r="K52" s="2405"/>
      <c r="L52" s="2405"/>
      <c r="M52" s="2405"/>
    </row>
    <row r="53" spans="1:13" ht="11.45" customHeight="1">
      <c r="A53" s="2405"/>
      <c r="B53" s="2405"/>
      <c r="C53" s="2405"/>
      <c r="D53" s="2405"/>
      <c r="E53" s="2405"/>
      <c r="F53" s="2405"/>
      <c r="G53" s="2405"/>
      <c r="H53" s="2405"/>
      <c r="I53" s="2405"/>
      <c r="J53" s="2405"/>
      <c r="K53" s="2405"/>
      <c r="L53" s="2405"/>
      <c r="M53" s="2405"/>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X3" sqref="X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7" customFormat="1" ht="3" customHeight="1">
      <c r="A1" s="208"/>
      <c r="B1" s="208"/>
      <c r="C1" s="208"/>
      <c r="D1" s="208"/>
      <c r="E1" s="208"/>
      <c r="F1" s="208"/>
      <c r="G1" s="208"/>
      <c r="H1" s="208"/>
      <c r="I1" s="208"/>
      <c r="J1" s="208"/>
      <c r="K1" s="208"/>
      <c r="L1" s="208"/>
      <c r="M1" s="208"/>
      <c r="N1" s="208"/>
      <c r="O1" s="208"/>
      <c r="P1" s="208"/>
    </row>
    <row r="2" spans="1:26" s="333" customFormat="1" ht="13.15" customHeight="1">
      <c r="A2" s="1569" t="s">
        <v>771</v>
      </c>
      <c r="B2" s="1570"/>
      <c r="C2" s="1570"/>
      <c r="D2" s="1570"/>
      <c r="E2" s="1570"/>
      <c r="F2" s="1570"/>
      <c r="G2" s="1570"/>
      <c r="H2" s="1570"/>
      <c r="I2" s="1570"/>
      <c r="J2" s="1570"/>
      <c r="K2" s="1570"/>
      <c r="L2" s="1570"/>
      <c r="M2" s="1570"/>
      <c r="N2" s="1570"/>
      <c r="O2" s="1570"/>
      <c r="P2" s="1570"/>
      <c r="Q2" s="1570"/>
      <c r="R2" s="1571"/>
      <c r="S2" s="209"/>
      <c r="T2" s="209"/>
      <c r="U2" s="209"/>
    </row>
    <row r="3" spans="1:26" s="333" customFormat="1" ht="4.1500000000000004" customHeight="1">
      <c r="A3" s="210"/>
      <c r="B3" s="210"/>
      <c r="C3" s="210"/>
      <c r="D3" s="210"/>
      <c r="E3" s="210"/>
      <c r="F3" s="210"/>
      <c r="G3" s="210"/>
      <c r="H3" s="210"/>
      <c r="I3" s="210"/>
      <c r="J3" s="210"/>
      <c r="K3" s="210"/>
      <c r="L3" s="210"/>
      <c r="M3" s="210"/>
      <c r="N3" s="210"/>
      <c r="O3" s="210"/>
      <c r="P3" s="210"/>
      <c r="Q3" s="209"/>
      <c r="R3" s="209"/>
      <c r="S3" s="209"/>
      <c r="T3" s="209"/>
      <c r="U3" s="209"/>
    </row>
    <row r="4" spans="1:26" s="333" customFormat="1" ht="12" customHeight="1">
      <c r="A4" s="334" t="s">
        <v>1848</v>
      </c>
      <c r="B4" s="334"/>
      <c r="C4" s="334"/>
      <c r="D4" s="209"/>
      <c r="E4" s="209"/>
      <c r="F4" s="334" t="s">
        <v>1849</v>
      </c>
      <c r="G4" s="334"/>
      <c r="H4" s="209"/>
      <c r="I4" s="209"/>
      <c r="J4" s="334" t="s">
        <v>1850</v>
      </c>
      <c r="K4" s="334"/>
      <c r="L4" s="334"/>
      <c r="M4" s="334"/>
      <c r="N4" s="334"/>
      <c r="O4" s="334"/>
      <c r="P4" s="209"/>
      <c r="Q4" s="335" t="s">
        <v>1851</v>
      </c>
      <c r="R4" s="336" t="s">
        <v>1852</v>
      </c>
      <c r="S4" s="209"/>
      <c r="T4" s="209"/>
      <c r="U4" s="209"/>
      <c r="W4" s="337"/>
      <c r="X4" s="337"/>
      <c r="Y4" s="337"/>
      <c r="Z4" s="337"/>
    </row>
    <row r="5" spans="1:26" s="333" customFormat="1" ht="4.1500000000000004" customHeight="1">
      <c r="A5" s="334"/>
      <c r="B5" s="334"/>
      <c r="C5" s="334"/>
      <c r="D5" s="334"/>
      <c r="E5" s="209"/>
      <c r="F5" s="334"/>
      <c r="G5" s="334"/>
      <c r="H5" s="209"/>
      <c r="I5" s="209"/>
      <c r="J5" s="334"/>
      <c r="K5" s="334"/>
      <c r="L5" s="334"/>
      <c r="M5" s="334"/>
      <c r="N5" s="334"/>
      <c r="O5" s="334"/>
      <c r="P5" s="209"/>
      <c r="Q5" s="335"/>
      <c r="R5" s="336"/>
      <c r="S5" s="209"/>
      <c r="T5" s="209"/>
      <c r="U5" s="209"/>
      <c r="W5" s="337"/>
      <c r="X5" s="337"/>
      <c r="Y5" s="337"/>
      <c r="Z5" s="337"/>
    </row>
    <row r="6" spans="1:26" s="333" customFormat="1" ht="11.45" customHeight="1">
      <c r="A6" s="338" t="s">
        <v>1853</v>
      </c>
      <c r="B6" s="211"/>
      <c r="C6" s="211"/>
      <c r="D6" s="209"/>
      <c r="E6" s="209"/>
      <c r="F6" s="211" t="s">
        <v>540</v>
      </c>
      <c r="G6" s="211"/>
      <c r="H6" s="209"/>
      <c r="I6" s="209"/>
      <c r="J6" s="211" t="s">
        <v>1854</v>
      </c>
      <c r="K6" s="211"/>
      <c r="L6" s="211"/>
      <c r="M6" s="211"/>
      <c r="N6" s="211"/>
      <c r="O6" s="211"/>
      <c r="P6" s="209"/>
      <c r="Q6" s="339" t="s">
        <v>1855</v>
      </c>
      <c r="R6" s="339">
        <v>1000000</v>
      </c>
      <c r="S6" s="209"/>
      <c r="U6" s="209"/>
      <c r="V6" s="340"/>
      <c r="W6" s="340"/>
      <c r="X6" s="212"/>
    </row>
    <row r="7" spans="1:26" s="333" customFormat="1" ht="11.45" customHeight="1">
      <c r="A7" s="338"/>
      <c r="B7" s="211"/>
      <c r="C7" s="211"/>
      <c r="D7" s="209"/>
      <c r="E7" s="209"/>
      <c r="F7" s="211"/>
      <c r="G7" s="211"/>
      <c r="H7" s="209"/>
      <c r="I7" s="209"/>
      <c r="J7" s="211" t="s">
        <v>1854</v>
      </c>
      <c r="L7" s="211" t="s">
        <v>3408</v>
      </c>
      <c r="M7" s="211"/>
      <c r="N7" s="211"/>
      <c r="O7" s="211"/>
      <c r="P7" s="209"/>
      <c r="Q7" s="339" t="s">
        <v>1855</v>
      </c>
      <c r="R7" s="339">
        <v>1200000</v>
      </c>
      <c r="S7" s="209"/>
      <c r="T7" s="209"/>
      <c r="U7" s="209"/>
      <c r="V7" s="340"/>
      <c r="W7" s="340"/>
      <c r="X7" s="212"/>
    </row>
    <row r="8" spans="1:26" s="333" customFormat="1" ht="11.45" customHeight="1">
      <c r="A8" s="338"/>
      <c r="B8" s="211"/>
      <c r="C8" s="211"/>
      <c r="D8" s="209"/>
      <c r="E8" s="209"/>
      <c r="F8" s="211"/>
      <c r="G8" s="211"/>
      <c r="H8" s="209"/>
      <c r="I8" s="209"/>
      <c r="J8" s="211" t="s">
        <v>1334</v>
      </c>
      <c r="K8" s="211"/>
      <c r="L8" s="211"/>
      <c r="M8" s="211"/>
      <c r="N8" s="211"/>
      <c r="O8" s="211"/>
      <c r="P8" s="209"/>
      <c r="Q8" s="339" t="s">
        <v>1855</v>
      </c>
      <c r="R8" s="339">
        <v>1800000</v>
      </c>
      <c r="S8" s="209"/>
      <c r="T8" s="209"/>
      <c r="U8" s="209"/>
      <c r="V8" s="340"/>
      <c r="W8" s="340"/>
      <c r="X8" s="212"/>
    </row>
    <row r="9" spans="1:26" s="333" customFormat="1" ht="11.45" customHeight="1">
      <c r="A9" s="211"/>
      <c r="B9" s="211"/>
      <c r="C9" s="211"/>
      <c r="D9" s="209"/>
      <c r="E9" s="209"/>
      <c r="F9" s="211" t="s">
        <v>2572</v>
      </c>
      <c r="G9" s="211"/>
      <c r="H9" s="209"/>
      <c r="I9" s="209"/>
      <c r="J9" s="211" t="s">
        <v>1887</v>
      </c>
      <c r="K9" s="211"/>
      <c r="L9" s="211"/>
      <c r="M9" s="211"/>
      <c r="N9" s="211"/>
      <c r="O9" s="211"/>
      <c r="P9" s="209"/>
      <c r="Q9" s="339">
        <v>1000000</v>
      </c>
      <c r="R9" s="339">
        <v>2500000</v>
      </c>
      <c r="S9" s="341"/>
      <c r="T9" s="341"/>
      <c r="U9" s="209"/>
      <c r="V9" s="342"/>
      <c r="W9" s="342"/>
      <c r="X9" s="342"/>
    </row>
    <row r="10" spans="1:26" s="333" customFormat="1" ht="11.45" customHeight="1">
      <c r="A10" s="338"/>
      <c r="B10" s="211"/>
      <c r="C10" s="211"/>
      <c r="D10" s="209"/>
      <c r="E10" s="209"/>
      <c r="F10" s="211"/>
      <c r="G10" s="211"/>
      <c r="H10" s="209"/>
      <c r="I10" s="209"/>
      <c r="J10" s="211" t="s">
        <v>2540</v>
      </c>
      <c r="K10" s="211"/>
      <c r="L10" s="211"/>
      <c r="M10" s="211"/>
      <c r="N10" s="211"/>
      <c r="O10" s="211"/>
      <c r="P10" s="209"/>
      <c r="Q10" s="339" t="s">
        <v>1855</v>
      </c>
      <c r="R10" s="351">
        <v>0.25</v>
      </c>
      <c r="S10" s="209"/>
      <c r="T10" s="209"/>
      <c r="U10" s="209"/>
      <c r="V10" s="340"/>
      <c r="W10" s="340"/>
      <c r="X10" s="212"/>
    </row>
    <row r="11" spans="1:26" s="333" customFormat="1" ht="11.45" customHeight="1">
      <c r="A11" s="211"/>
      <c r="B11" s="211"/>
      <c r="C11" s="211"/>
      <c r="D11" s="209"/>
      <c r="E11" s="209"/>
      <c r="F11" s="211"/>
      <c r="G11" s="211"/>
      <c r="H11" s="209"/>
      <c r="I11" s="209"/>
      <c r="J11" s="343" t="s">
        <v>516</v>
      </c>
      <c r="K11" s="343" t="s">
        <v>2604</v>
      </c>
      <c r="L11" s="343" t="s">
        <v>2605</v>
      </c>
      <c r="M11" s="343" t="s">
        <v>2606</v>
      </c>
      <c r="N11" s="343" t="s">
        <v>2607</v>
      </c>
      <c r="O11" s="211"/>
      <c r="P11" s="209"/>
      <c r="Q11" s="344"/>
      <c r="R11" s="344"/>
      <c r="S11" s="341"/>
      <c r="T11" s="341"/>
      <c r="U11" s="209"/>
      <c r="V11" s="342"/>
      <c r="W11" s="342"/>
      <c r="X11" s="342"/>
    </row>
    <row r="12" spans="1:26" s="333" customFormat="1" ht="11.45" customHeight="1">
      <c r="A12" s="211"/>
      <c r="B12" s="211"/>
      <c r="C12" s="211"/>
      <c r="D12" s="209"/>
      <c r="E12" s="209"/>
      <c r="F12" s="211" t="s">
        <v>1335</v>
      </c>
      <c r="G12" s="211"/>
      <c r="H12" s="209"/>
      <c r="I12" s="209"/>
      <c r="J12" s="345">
        <v>110481</v>
      </c>
      <c r="K12" s="345">
        <v>126647</v>
      </c>
      <c r="L12" s="345">
        <v>154003</v>
      </c>
      <c r="M12" s="345">
        <v>199229</v>
      </c>
      <c r="N12" s="345">
        <v>199229</v>
      </c>
      <c r="O12" s="211"/>
      <c r="Q12" s="339" t="s">
        <v>1855</v>
      </c>
      <c r="R12" s="339">
        <f>'Part VI-Revenues &amp; Expenses'!$H$62*$J12+'Part VI-Revenues &amp; Expenses'!$I$62*$K12+'Part VI-Revenues &amp; Expenses'!$J$62*$L12+'Part VI-Revenues &amp; Expenses'!$K$62*$M12+'Part VI-Revenues &amp; Expenses'!$L$62*$N12</f>
        <v>11526845</v>
      </c>
      <c r="S12" s="360" t="s">
        <v>824</v>
      </c>
      <c r="T12" s="341"/>
      <c r="U12" s="209"/>
      <c r="V12" s="342"/>
      <c r="W12" s="342"/>
      <c r="X12" s="342"/>
    </row>
    <row r="13" spans="1:26" s="333" customFormat="1" ht="11.45" customHeight="1">
      <c r="A13" s="211"/>
      <c r="B13" s="211"/>
      <c r="C13" s="211"/>
      <c r="D13" s="209"/>
      <c r="E13" s="209"/>
      <c r="F13" s="211" t="s">
        <v>1336</v>
      </c>
      <c r="G13" s="211"/>
      <c r="H13" s="209"/>
      <c r="I13" s="209"/>
      <c r="J13" s="345">
        <v>121529</v>
      </c>
      <c r="K13" s="345">
        <v>139312</v>
      </c>
      <c r="L13" s="345">
        <v>169403</v>
      </c>
      <c r="M13" s="345">
        <v>219152</v>
      </c>
      <c r="N13" s="345">
        <v>219152</v>
      </c>
      <c r="O13" s="211"/>
      <c r="Q13" s="339" t="s">
        <v>1855</v>
      </c>
      <c r="R13" s="339">
        <f>'Part VI-Revenues &amp; Expenses'!$H$62*$J13+'Part VI-Revenues &amp; Expenses'!$I$62*$K13+'Part VI-Revenues &amp; Expenses'!$J$62*$L13+'Part VI-Revenues &amp; Expenses'!$K$62*$M13+'Part VI-Revenues &amp; Expenses'!$L$62*$N13</f>
        <v>12679527</v>
      </c>
      <c r="S13" s="360" t="s">
        <v>824</v>
      </c>
      <c r="T13" s="209"/>
      <c r="U13" s="209"/>
      <c r="V13" s="342"/>
      <c r="W13" s="342"/>
      <c r="X13" s="342"/>
    </row>
    <row r="14" spans="1:26" s="333" customFormat="1" ht="3" customHeight="1">
      <c r="A14" s="211"/>
      <c r="B14" s="211"/>
      <c r="C14" s="211"/>
      <c r="D14" s="211"/>
      <c r="E14" s="209"/>
      <c r="F14" s="211"/>
      <c r="G14" s="211"/>
      <c r="H14" s="346"/>
      <c r="I14" s="209"/>
      <c r="J14" s="211"/>
      <c r="K14" s="347"/>
      <c r="L14" s="347"/>
      <c r="M14" s="347"/>
      <c r="N14" s="347"/>
      <c r="O14" s="211"/>
      <c r="P14" s="209"/>
      <c r="Q14" s="344"/>
      <c r="R14" s="344"/>
      <c r="S14" s="209"/>
      <c r="T14" s="209"/>
      <c r="U14" s="209"/>
    </row>
    <row r="15" spans="1:26" s="333" customFormat="1" ht="12" customHeight="1">
      <c r="A15" s="338" t="s">
        <v>1267</v>
      </c>
      <c r="B15" s="334"/>
      <c r="C15" s="334"/>
      <c r="D15" s="334"/>
      <c r="E15" s="209"/>
      <c r="F15" s="334"/>
      <c r="G15" s="334"/>
      <c r="H15" s="334"/>
      <c r="I15" s="209"/>
      <c r="J15" s="211"/>
      <c r="K15" s="334"/>
      <c r="L15" s="334"/>
      <c r="M15" s="334"/>
      <c r="N15" s="334"/>
      <c r="O15" s="334"/>
      <c r="P15" s="209"/>
      <c r="Q15" s="335"/>
      <c r="R15" s="336"/>
      <c r="S15" s="337"/>
    </row>
    <row r="16" spans="1:26" s="333" customFormat="1" ht="11.45" customHeight="1">
      <c r="A16" s="209"/>
      <c r="B16" s="211" t="s">
        <v>1267</v>
      </c>
      <c r="C16" s="211"/>
      <c r="D16" s="209"/>
      <c r="E16" s="209"/>
      <c r="F16" s="211" t="s">
        <v>1268</v>
      </c>
      <c r="G16" s="211" t="s">
        <v>1282</v>
      </c>
      <c r="H16" s="209"/>
      <c r="I16" s="209"/>
      <c r="J16" s="211" t="s">
        <v>1636</v>
      </c>
      <c r="K16" s="211"/>
      <c r="L16" s="211"/>
      <c r="M16" s="211"/>
      <c r="N16" s="211"/>
      <c r="O16" s="211"/>
      <c r="P16" s="209"/>
      <c r="Q16" s="213">
        <v>4500</v>
      </c>
      <c r="R16" s="348" t="s">
        <v>1855</v>
      </c>
      <c r="S16" s="349"/>
    </row>
    <row r="17" spans="1:21" s="333" customFormat="1" ht="11.45" customHeight="1">
      <c r="A17" s="209"/>
      <c r="B17" s="211"/>
      <c r="C17" s="211"/>
      <c r="D17" s="209"/>
      <c r="E17" s="209"/>
      <c r="F17" s="211"/>
      <c r="G17" s="211" t="s">
        <v>1710</v>
      </c>
      <c r="H17" s="209"/>
      <c r="I17" s="209"/>
      <c r="J17" s="211" t="s">
        <v>1636</v>
      </c>
      <c r="K17" s="211"/>
      <c r="L17" s="211"/>
      <c r="M17" s="211"/>
      <c r="N17" s="211"/>
      <c r="O17" s="211"/>
      <c r="P17" s="209"/>
      <c r="Q17" s="213">
        <v>4000</v>
      </c>
      <c r="R17" s="348" t="s">
        <v>1855</v>
      </c>
      <c r="S17" s="349"/>
    </row>
    <row r="18" spans="1:21" s="333" customFormat="1" ht="11.45" customHeight="1">
      <c r="A18" s="211"/>
      <c r="B18" s="211"/>
      <c r="C18" s="211"/>
      <c r="D18" s="209"/>
      <c r="E18" s="209"/>
      <c r="F18" s="211" t="s">
        <v>2040</v>
      </c>
      <c r="G18" s="211"/>
      <c r="H18" s="209"/>
      <c r="I18" s="209"/>
      <c r="J18" s="211" t="s">
        <v>1636</v>
      </c>
      <c r="K18" s="211"/>
      <c r="L18" s="211"/>
      <c r="M18" s="211"/>
      <c r="N18" s="211"/>
      <c r="O18" s="211"/>
      <c r="P18" s="209"/>
      <c r="Q18" s="213">
        <v>3000</v>
      </c>
      <c r="R18" s="348" t="s">
        <v>1855</v>
      </c>
      <c r="S18" s="349"/>
    </row>
    <row r="19" spans="1:21" s="333" customFormat="1" ht="11.45" customHeight="1">
      <c r="A19" s="211"/>
      <c r="B19" s="211"/>
      <c r="C19" s="211"/>
      <c r="D19" s="209"/>
      <c r="E19" s="209"/>
      <c r="F19" s="211" t="s">
        <v>2884</v>
      </c>
      <c r="G19" s="211"/>
      <c r="H19" s="209"/>
      <c r="I19" s="209"/>
      <c r="J19" s="211" t="s">
        <v>1636</v>
      </c>
      <c r="K19" s="211"/>
      <c r="L19" s="211"/>
      <c r="M19" s="211"/>
      <c r="N19" s="211"/>
      <c r="O19" s="211"/>
      <c r="P19" s="209"/>
      <c r="Q19" s="213">
        <v>3000</v>
      </c>
      <c r="R19" s="348" t="s">
        <v>1855</v>
      </c>
      <c r="S19" s="349"/>
      <c r="T19" s="349"/>
      <c r="U19" s="349"/>
    </row>
    <row r="20" spans="1:21" s="333" customFormat="1" ht="11.45" customHeight="1">
      <c r="A20" s="211"/>
      <c r="B20" s="211" t="s">
        <v>1269</v>
      </c>
      <c r="C20" s="211"/>
      <c r="D20" s="209"/>
      <c r="E20" s="209"/>
      <c r="F20" s="211" t="s">
        <v>291</v>
      </c>
      <c r="G20" s="211"/>
      <c r="H20" s="209"/>
      <c r="I20" s="209"/>
      <c r="J20" s="211" t="s">
        <v>1636</v>
      </c>
      <c r="K20" s="211"/>
      <c r="L20" s="211"/>
      <c r="M20" s="211"/>
      <c r="N20" s="211"/>
      <c r="O20" s="211"/>
      <c r="P20" s="209"/>
      <c r="Q20" s="350">
        <v>350</v>
      </c>
      <c r="R20" s="348" t="s">
        <v>1855</v>
      </c>
      <c r="S20" s="349"/>
      <c r="T20" s="349"/>
      <c r="U20" s="349"/>
    </row>
    <row r="21" spans="1:21" s="333" customFormat="1" ht="11.45" customHeight="1">
      <c r="A21" s="211"/>
      <c r="B21" s="211"/>
      <c r="C21" s="211"/>
      <c r="D21" s="209"/>
      <c r="E21" s="209"/>
      <c r="F21" s="211" t="s">
        <v>1270</v>
      </c>
      <c r="G21" s="211"/>
      <c r="H21" s="209"/>
      <c r="I21" s="209"/>
      <c r="J21" s="211" t="s">
        <v>1636</v>
      </c>
      <c r="K21" s="211"/>
      <c r="L21" s="211"/>
      <c r="M21" s="211"/>
      <c r="N21" s="211"/>
      <c r="O21" s="211"/>
      <c r="P21" s="209"/>
      <c r="Q21" s="350">
        <v>250</v>
      </c>
      <c r="R21" s="348" t="s">
        <v>1855</v>
      </c>
      <c r="S21" s="349"/>
      <c r="T21" s="349"/>
      <c r="U21" s="349"/>
    </row>
    <row r="22" spans="1:21" s="333" customFormat="1" ht="11.45" customHeight="1">
      <c r="A22" s="211"/>
      <c r="B22" s="211"/>
      <c r="C22" s="211"/>
      <c r="D22" s="211"/>
      <c r="E22" s="209"/>
      <c r="F22" s="211" t="s">
        <v>1271</v>
      </c>
      <c r="G22" s="211"/>
      <c r="H22" s="209"/>
      <c r="I22" s="209"/>
      <c r="J22" s="211" t="s">
        <v>1636</v>
      </c>
      <c r="K22" s="211"/>
      <c r="L22" s="211"/>
      <c r="M22" s="211"/>
      <c r="N22" s="211"/>
      <c r="O22" s="211"/>
      <c r="P22" s="209"/>
      <c r="Q22" s="350">
        <v>420</v>
      </c>
      <c r="R22" s="348" t="s">
        <v>1855</v>
      </c>
      <c r="S22" s="349"/>
      <c r="T22" s="349"/>
      <c r="U22" s="349"/>
    </row>
    <row r="23" spans="1:21" s="333" customFormat="1" ht="11.45" customHeight="1">
      <c r="A23" s="211"/>
      <c r="B23" s="211"/>
      <c r="C23" s="211"/>
      <c r="D23" s="211"/>
      <c r="E23" s="209"/>
      <c r="F23" s="211" t="s">
        <v>1223</v>
      </c>
      <c r="G23" s="211"/>
      <c r="H23" s="209"/>
      <c r="I23" s="209"/>
      <c r="J23" s="211" t="s">
        <v>1636</v>
      </c>
      <c r="K23" s="211"/>
      <c r="L23" s="211"/>
      <c r="M23" s="211"/>
      <c r="N23" s="211"/>
      <c r="O23" s="211"/>
      <c r="P23" s="209"/>
      <c r="Q23" s="350">
        <v>420</v>
      </c>
      <c r="R23" s="348" t="s">
        <v>1855</v>
      </c>
      <c r="S23" s="349"/>
      <c r="T23" s="349"/>
      <c r="U23" s="349"/>
    </row>
    <row r="24" spans="1:21" s="333" customFormat="1" ht="3" customHeight="1">
      <c r="A24" s="209"/>
      <c r="B24" s="211"/>
      <c r="C24" s="211"/>
      <c r="D24" s="211"/>
      <c r="E24" s="209"/>
      <c r="F24" s="211"/>
      <c r="G24" s="211"/>
      <c r="H24" s="209"/>
      <c r="I24" s="209"/>
      <c r="J24" s="211"/>
      <c r="K24" s="211"/>
      <c r="L24" s="211"/>
      <c r="M24" s="211"/>
      <c r="N24" s="211"/>
      <c r="O24" s="211"/>
      <c r="P24" s="209"/>
      <c r="Q24" s="211"/>
      <c r="R24" s="343"/>
      <c r="S24" s="349"/>
      <c r="T24" s="349"/>
      <c r="U24" s="349"/>
    </row>
    <row r="25" spans="1:21" s="333" customFormat="1" ht="12" customHeight="1">
      <c r="A25" s="338" t="s">
        <v>1272</v>
      </c>
      <c r="B25" s="211"/>
      <c r="C25" s="211"/>
      <c r="D25" s="211"/>
      <c r="E25" s="209"/>
      <c r="F25" s="211"/>
      <c r="G25" s="211"/>
      <c r="H25" s="209"/>
      <c r="I25" s="209"/>
      <c r="J25" s="211"/>
      <c r="K25" s="211"/>
      <c r="L25" s="211"/>
      <c r="M25" s="211"/>
      <c r="N25" s="211"/>
      <c r="O25" s="211"/>
      <c r="P25" s="209"/>
      <c r="Q25" s="211"/>
      <c r="R25" s="343"/>
      <c r="S25" s="349"/>
      <c r="T25" s="349"/>
      <c r="U25" s="349"/>
    </row>
    <row r="26" spans="1:21" s="333" customFormat="1" ht="11.45" customHeight="1">
      <c r="A26" s="211"/>
      <c r="B26" s="211" t="s">
        <v>1273</v>
      </c>
      <c r="C26" s="211"/>
      <c r="D26" s="211"/>
      <c r="E26" s="209"/>
      <c r="F26" s="214" t="s">
        <v>1274</v>
      </c>
      <c r="G26" s="211"/>
      <c r="H26" s="209"/>
      <c r="I26" s="209"/>
      <c r="J26" s="211" t="s">
        <v>1275</v>
      </c>
      <c r="K26" s="211"/>
      <c r="L26" s="211"/>
      <c r="M26" s="211"/>
      <c r="N26" s="211"/>
      <c r="O26" s="211"/>
      <c r="P26" s="209"/>
      <c r="Q26" s="1572">
        <v>6500</v>
      </c>
      <c r="R26" s="1573"/>
      <c r="S26" s="349"/>
      <c r="T26" s="349"/>
      <c r="U26" s="349"/>
    </row>
    <row r="27" spans="1:21" s="333" customFormat="1" ht="11.45" customHeight="1">
      <c r="A27" s="211"/>
      <c r="B27" s="211"/>
      <c r="C27" s="211"/>
      <c r="D27" s="211"/>
      <c r="E27" s="209"/>
      <c r="F27" s="214" t="s">
        <v>1274</v>
      </c>
      <c r="G27" s="211"/>
      <c r="H27" s="209"/>
      <c r="I27" s="209"/>
      <c r="J27" s="211" t="s">
        <v>1276</v>
      </c>
      <c r="K27" s="211"/>
      <c r="L27" s="211"/>
      <c r="M27" s="211"/>
      <c r="N27" s="211"/>
      <c r="O27" s="211"/>
      <c r="P27" s="209"/>
      <c r="Q27" s="1572">
        <v>5500</v>
      </c>
      <c r="R27" s="1573"/>
      <c r="S27" s="349"/>
      <c r="T27" s="349"/>
      <c r="U27" s="349"/>
    </row>
    <row r="28" spans="1:21" s="333" customFormat="1" ht="11.45" customHeight="1">
      <c r="A28" s="209"/>
      <c r="B28" s="209"/>
      <c r="C28" s="211"/>
      <c r="D28" s="211"/>
      <c r="E28" s="209"/>
      <c r="F28" s="214" t="s">
        <v>1277</v>
      </c>
      <c r="G28" s="211"/>
      <c r="H28" s="209"/>
      <c r="I28" s="209"/>
      <c r="J28" s="211" t="s">
        <v>1275</v>
      </c>
      <c r="K28" s="211"/>
      <c r="L28" s="211"/>
      <c r="M28" s="211"/>
      <c r="N28" s="211"/>
      <c r="O28" s="211"/>
      <c r="P28" s="209"/>
      <c r="Q28" s="1572">
        <v>1000</v>
      </c>
      <c r="R28" s="1573"/>
      <c r="S28" s="349"/>
      <c r="T28" s="349"/>
      <c r="U28" s="349"/>
    </row>
    <row r="29" spans="1:21" s="333" customFormat="1" ht="11.45" customHeight="1">
      <c r="A29" s="211"/>
      <c r="B29" s="211"/>
      <c r="C29" s="211"/>
      <c r="D29" s="211"/>
      <c r="E29" s="209"/>
      <c r="F29" s="214" t="s">
        <v>1277</v>
      </c>
      <c r="G29" s="211"/>
      <c r="H29" s="209"/>
      <c r="I29" s="209"/>
      <c r="J29" s="211" t="s">
        <v>1276</v>
      </c>
      <c r="K29" s="211"/>
      <c r="L29" s="211"/>
      <c r="M29" s="211"/>
      <c r="N29" s="211"/>
      <c r="O29" s="211"/>
      <c r="P29" s="209"/>
      <c r="Q29" s="1572">
        <v>500</v>
      </c>
      <c r="R29" s="1573"/>
      <c r="S29" s="349"/>
      <c r="T29" s="349"/>
      <c r="U29" s="349"/>
    </row>
    <row r="30" spans="1:21" s="333" customFormat="1" ht="11.45" customHeight="1">
      <c r="A30" s="211"/>
      <c r="B30" s="211"/>
      <c r="C30" s="211"/>
      <c r="D30" s="211"/>
      <c r="E30" s="209"/>
      <c r="F30" s="214" t="s">
        <v>810</v>
      </c>
      <c r="G30" s="211"/>
      <c r="H30" s="209"/>
      <c r="I30" s="209"/>
      <c r="J30" s="211" t="s">
        <v>1275</v>
      </c>
      <c r="K30" s="211"/>
      <c r="L30" s="211"/>
      <c r="M30" s="211"/>
      <c r="N30" s="211"/>
      <c r="O30" s="211"/>
      <c r="P30" s="209"/>
      <c r="Q30" s="1572">
        <v>7000</v>
      </c>
      <c r="R30" s="1573"/>
      <c r="S30" s="349"/>
      <c r="T30" s="349"/>
      <c r="U30" s="349"/>
    </row>
    <row r="31" spans="1:21" s="333" customFormat="1" ht="11.45" customHeight="1">
      <c r="A31" s="211"/>
      <c r="B31" s="211"/>
      <c r="C31" s="211"/>
      <c r="D31" s="211"/>
      <c r="E31" s="209"/>
      <c r="F31" s="214" t="s">
        <v>810</v>
      </c>
      <c r="G31" s="211"/>
      <c r="H31" s="209"/>
      <c r="I31" s="209"/>
      <c r="J31" s="211" t="s">
        <v>1276</v>
      </c>
      <c r="K31" s="211"/>
      <c r="L31" s="211"/>
      <c r="M31" s="211"/>
      <c r="N31" s="211"/>
      <c r="O31" s="211"/>
      <c r="P31" s="209"/>
      <c r="Q31" s="1572">
        <v>6000</v>
      </c>
      <c r="R31" s="1573"/>
      <c r="S31" s="349"/>
      <c r="T31" s="349"/>
      <c r="U31" s="349"/>
    </row>
    <row r="32" spans="1:21" s="333" customFormat="1" ht="11.45" customHeight="1">
      <c r="A32" s="211"/>
      <c r="B32" s="211" t="s">
        <v>811</v>
      </c>
      <c r="C32" s="211"/>
      <c r="D32" s="209"/>
      <c r="E32" s="209"/>
      <c r="F32" s="211" t="s">
        <v>291</v>
      </c>
      <c r="G32" s="211"/>
      <c r="H32" s="209"/>
      <c r="I32" s="209"/>
      <c r="J32" s="211" t="s">
        <v>2953</v>
      </c>
      <c r="K32" s="211"/>
      <c r="L32" s="211"/>
      <c r="M32" s="211"/>
      <c r="N32" s="211"/>
      <c r="O32" s="211"/>
      <c r="P32" s="209"/>
      <c r="Q32" s="339">
        <v>25000</v>
      </c>
      <c r="R32" s="348" t="s">
        <v>539</v>
      </c>
      <c r="S32" s="349"/>
      <c r="T32" s="349"/>
      <c r="U32" s="349"/>
    </row>
    <row r="33" spans="1:21" s="333" customFormat="1" ht="11.45" customHeight="1">
      <c r="A33" s="211"/>
      <c r="B33" s="211" t="s">
        <v>2096</v>
      </c>
      <c r="C33" s="211"/>
      <c r="D33" s="209"/>
      <c r="E33" s="209"/>
      <c r="F33" s="211" t="s">
        <v>1270</v>
      </c>
      <c r="G33" s="211"/>
      <c r="H33" s="209"/>
      <c r="I33" s="209"/>
      <c r="J33" s="211" t="s">
        <v>1028</v>
      </c>
      <c r="K33" s="211"/>
      <c r="L33" s="211"/>
      <c r="M33" s="211"/>
      <c r="N33" s="211"/>
      <c r="O33" s="211"/>
      <c r="P33" s="209"/>
      <c r="Q33" s="351" t="s">
        <v>1029</v>
      </c>
      <c r="R33" s="351">
        <v>0.05</v>
      </c>
      <c r="S33" s="349"/>
      <c r="T33" s="349"/>
      <c r="U33" s="349"/>
    </row>
    <row r="34" spans="1:21" s="333" customFormat="1" ht="11.45" customHeight="1">
      <c r="A34" s="211"/>
      <c r="B34" s="211"/>
      <c r="C34" s="211"/>
      <c r="D34" s="209"/>
      <c r="E34" s="209"/>
      <c r="F34" s="211"/>
      <c r="G34" s="211"/>
      <c r="H34" s="209"/>
      <c r="I34" s="209"/>
      <c r="J34" s="211" t="s">
        <v>2168</v>
      </c>
      <c r="K34" s="211"/>
      <c r="L34" s="211"/>
      <c r="M34" s="211"/>
      <c r="N34" s="211"/>
      <c r="O34" s="211"/>
      <c r="P34" s="209"/>
      <c r="Q34" s="351" t="s">
        <v>1029</v>
      </c>
      <c r="R34" s="339">
        <v>500000</v>
      </c>
      <c r="S34" s="349"/>
      <c r="T34" s="349"/>
      <c r="U34" s="349"/>
    </row>
    <row r="35" spans="1:21" s="333" customFormat="1" ht="11.45" customHeight="1">
      <c r="A35" s="211"/>
      <c r="B35" s="211"/>
      <c r="C35" s="211"/>
      <c r="D35" s="209"/>
      <c r="E35" s="209"/>
      <c r="F35" s="211" t="s">
        <v>291</v>
      </c>
      <c r="G35" s="211"/>
      <c r="H35" s="209"/>
      <c r="I35" s="209"/>
      <c r="J35" s="211" t="s">
        <v>1028</v>
      </c>
      <c r="K35" s="211"/>
      <c r="L35" s="211"/>
      <c r="M35" s="211"/>
      <c r="N35" s="211"/>
      <c r="O35" s="211"/>
      <c r="P35" s="209"/>
      <c r="Q35" s="351" t="s">
        <v>1029</v>
      </c>
      <c r="R35" s="351">
        <v>7.0000000000000007E-2</v>
      </c>
      <c r="S35" s="349"/>
      <c r="T35" s="349"/>
      <c r="U35" s="349"/>
    </row>
    <row r="36" spans="1:21" s="333" customFormat="1" ht="11.45" customHeight="1">
      <c r="A36" s="211"/>
      <c r="B36" s="211"/>
      <c r="C36" s="211"/>
      <c r="D36" s="209"/>
      <c r="E36" s="209"/>
      <c r="F36" s="211"/>
      <c r="G36" s="211"/>
      <c r="H36" s="209"/>
      <c r="I36" s="209"/>
      <c r="J36" s="211" t="s">
        <v>2168</v>
      </c>
      <c r="K36" s="211"/>
      <c r="L36" s="211"/>
      <c r="M36" s="211"/>
      <c r="N36" s="211"/>
      <c r="O36" s="211"/>
      <c r="P36" s="209"/>
      <c r="Q36" s="351" t="s">
        <v>1029</v>
      </c>
      <c r="R36" s="339">
        <v>500000</v>
      </c>
      <c r="S36" s="349"/>
      <c r="T36" s="349"/>
      <c r="U36" s="349"/>
    </row>
    <row r="37" spans="1:21" s="333" customFormat="1" ht="11.45" customHeight="1">
      <c r="A37" s="211"/>
      <c r="B37" s="211" t="s">
        <v>2175</v>
      </c>
      <c r="C37" s="211"/>
      <c r="D37" s="209"/>
      <c r="E37" s="209"/>
      <c r="F37" s="211" t="s">
        <v>1855</v>
      </c>
      <c r="G37" s="211"/>
      <c r="H37" s="209"/>
      <c r="I37" s="209"/>
      <c r="J37" s="211" t="s">
        <v>376</v>
      </c>
      <c r="K37" s="211"/>
      <c r="L37" s="211"/>
      <c r="M37" s="211"/>
      <c r="N37" s="211"/>
      <c r="O37" s="211"/>
      <c r="P37" s="209"/>
      <c r="Q37" s="348" t="s">
        <v>1855</v>
      </c>
      <c r="R37" s="351">
        <v>0.06</v>
      </c>
      <c r="S37" s="349"/>
      <c r="T37" s="349"/>
      <c r="U37" s="349"/>
    </row>
    <row r="38" spans="1:21" s="333" customFormat="1" ht="11.45" customHeight="1">
      <c r="A38" s="211"/>
      <c r="B38" s="211" t="s">
        <v>2176</v>
      </c>
      <c r="C38" s="211"/>
      <c r="D38" s="209"/>
      <c r="E38" s="209"/>
      <c r="F38" s="211" t="s">
        <v>1855</v>
      </c>
      <c r="G38" s="211"/>
      <c r="H38" s="209"/>
      <c r="I38" s="209"/>
      <c r="J38" s="211" t="s">
        <v>376</v>
      </c>
      <c r="K38" s="211"/>
      <c r="L38" s="211"/>
      <c r="M38" s="211"/>
      <c r="N38" s="211"/>
      <c r="O38" s="211"/>
      <c r="P38" s="209"/>
      <c r="Q38" s="348" t="s">
        <v>1855</v>
      </c>
      <c r="R38" s="351">
        <v>0.02</v>
      </c>
      <c r="S38" s="349"/>
      <c r="T38" s="349"/>
      <c r="U38" s="349"/>
    </row>
    <row r="39" spans="1:21" s="333" customFormat="1" ht="11.45" customHeight="1">
      <c r="A39" s="211"/>
      <c r="B39" s="211" t="s">
        <v>3291</v>
      </c>
      <c r="C39" s="211"/>
      <c r="D39" s="209"/>
      <c r="E39" s="209"/>
      <c r="F39" s="211" t="s">
        <v>1855</v>
      </c>
      <c r="G39" s="211"/>
      <c r="H39" s="209"/>
      <c r="I39" s="209"/>
      <c r="J39" s="211" t="s">
        <v>376</v>
      </c>
      <c r="K39" s="211"/>
      <c r="L39" s="211"/>
      <c r="M39" s="211"/>
      <c r="N39" s="211"/>
      <c r="O39" s="211"/>
      <c r="P39" s="209"/>
      <c r="Q39" s="348" t="s">
        <v>1855</v>
      </c>
      <c r="R39" s="351">
        <v>0.06</v>
      </c>
      <c r="S39" s="349"/>
      <c r="T39" s="349"/>
      <c r="U39" s="349"/>
    </row>
    <row r="40" spans="1:21" s="333" customFormat="1" ht="11.45" customHeight="1">
      <c r="A40" s="211"/>
      <c r="B40" s="214" t="s">
        <v>1004</v>
      </c>
      <c r="C40" s="211"/>
      <c r="D40" s="209"/>
      <c r="E40" s="209"/>
      <c r="F40" s="211" t="s">
        <v>1005</v>
      </c>
      <c r="G40" s="211"/>
      <c r="H40" s="209"/>
      <c r="I40" s="209"/>
      <c r="J40" s="211" t="s">
        <v>1006</v>
      </c>
      <c r="K40" s="211"/>
      <c r="L40" s="211"/>
      <c r="M40" s="211"/>
      <c r="N40" s="211"/>
      <c r="O40" s="211"/>
      <c r="P40" s="209"/>
      <c r="Q40" s="1568">
        <v>0.08</v>
      </c>
      <c r="R40" s="1568"/>
      <c r="S40" s="349"/>
      <c r="T40" s="349"/>
      <c r="U40" s="349"/>
    </row>
    <row r="41" spans="1:21" s="333" customFormat="1" ht="11.45" customHeight="1">
      <c r="A41" s="211"/>
      <c r="B41" s="214" t="s">
        <v>1007</v>
      </c>
      <c r="C41" s="211"/>
      <c r="D41" s="209"/>
      <c r="E41" s="209"/>
      <c r="F41" s="211" t="s">
        <v>1005</v>
      </c>
      <c r="G41" s="211"/>
      <c r="H41" s="209"/>
      <c r="I41" s="209"/>
      <c r="J41" s="211" t="s">
        <v>1006</v>
      </c>
      <c r="K41" s="211"/>
      <c r="L41" s="211"/>
      <c r="M41" s="211"/>
      <c r="N41" s="211"/>
      <c r="O41" s="211"/>
      <c r="P41" s="209"/>
      <c r="Q41" s="1568">
        <v>0.08</v>
      </c>
      <c r="R41" s="1568"/>
      <c r="S41" s="349"/>
      <c r="T41" s="349"/>
      <c r="U41" s="349"/>
    </row>
    <row r="42" spans="1:21" s="333" customFormat="1" ht="11.45" customHeight="1">
      <c r="A42" s="211"/>
      <c r="B42" s="214" t="s">
        <v>496</v>
      </c>
      <c r="C42" s="211"/>
      <c r="D42" s="209"/>
      <c r="E42" s="209"/>
      <c r="F42" s="211"/>
      <c r="G42" s="211"/>
      <c r="H42" s="209"/>
      <c r="I42" s="209"/>
      <c r="J42" s="211"/>
      <c r="K42" s="211"/>
      <c r="L42" s="211"/>
      <c r="M42" s="211"/>
      <c r="N42" s="211"/>
      <c r="O42" s="211"/>
      <c r="P42" s="209"/>
      <c r="Q42" s="1572">
        <v>2700</v>
      </c>
      <c r="R42" s="1573"/>
      <c r="S42" s="349"/>
      <c r="T42" s="349"/>
      <c r="U42" s="349"/>
    </row>
    <row r="43" spans="1:21" s="333" customFormat="1" ht="11.45" customHeight="1">
      <c r="A43" s="211"/>
      <c r="B43" s="214" t="s">
        <v>2949</v>
      </c>
      <c r="C43" s="211"/>
      <c r="D43" s="209"/>
      <c r="E43" s="209"/>
      <c r="F43" s="211"/>
      <c r="G43" s="211"/>
      <c r="H43" s="209"/>
      <c r="I43" s="209"/>
      <c r="J43" s="211"/>
      <c r="K43" s="211"/>
      <c r="L43" s="211"/>
      <c r="M43" s="211"/>
      <c r="N43" s="211"/>
      <c r="O43" s="211"/>
      <c r="P43" s="209"/>
      <c r="Q43" s="1572">
        <v>1500</v>
      </c>
      <c r="R43" s="1573"/>
      <c r="S43" s="349"/>
      <c r="T43" s="349"/>
      <c r="U43" s="349"/>
    </row>
    <row r="44" spans="1:21" s="333" customFormat="1" ht="11.45" customHeight="1">
      <c r="A44" s="211"/>
      <c r="B44" s="211" t="s">
        <v>1008</v>
      </c>
      <c r="C44" s="211"/>
      <c r="D44" s="209"/>
      <c r="E44" s="209"/>
      <c r="F44" s="211" t="s">
        <v>1720</v>
      </c>
      <c r="G44" s="211"/>
      <c r="H44" s="209"/>
      <c r="I44" s="209"/>
      <c r="J44" s="211" t="s">
        <v>1636</v>
      </c>
      <c r="K44" s="211"/>
      <c r="L44" s="211"/>
      <c r="M44" s="211"/>
      <c r="N44" s="211"/>
      <c r="O44" s="211"/>
      <c r="P44" s="209"/>
      <c r="Q44" s="348">
        <v>800</v>
      </c>
      <c r="R44" s="348" t="s">
        <v>1855</v>
      </c>
      <c r="S44" s="349"/>
      <c r="T44" s="349"/>
      <c r="U44" s="349"/>
    </row>
    <row r="45" spans="1:21" s="333" customFormat="1" ht="11.45" customHeight="1">
      <c r="A45" s="211"/>
      <c r="B45" s="211"/>
      <c r="C45" s="211"/>
      <c r="D45" s="209"/>
      <c r="E45" s="209"/>
      <c r="F45" s="211" t="s">
        <v>2887</v>
      </c>
      <c r="G45" s="211"/>
      <c r="H45" s="209"/>
      <c r="I45" s="209"/>
      <c r="J45" s="211" t="s">
        <v>1636</v>
      </c>
      <c r="K45" s="211"/>
      <c r="L45" s="211"/>
      <c r="M45" s="211"/>
      <c r="N45" s="211"/>
      <c r="O45" s="211"/>
      <c r="P45" s="209"/>
      <c r="Q45" s="348">
        <v>400</v>
      </c>
      <c r="R45" s="348" t="s">
        <v>1855</v>
      </c>
      <c r="S45" s="349"/>
      <c r="T45" s="349"/>
      <c r="U45" s="349"/>
    </row>
    <row r="46" spans="1:21" s="333" customFormat="1" ht="11.45" customHeight="1">
      <c r="A46" s="211"/>
      <c r="B46" s="211"/>
      <c r="C46" s="211"/>
      <c r="D46" s="209"/>
      <c r="E46" s="209"/>
      <c r="F46" s="211" t="s">
        <v>3297</v>
      </c>
      <c r="G46" s="211"/>
      <c r="H46" s="209"/>
      <c r="I46" s="209"/>
      <c r="J46" s="211" t="s">
        <v>2885</v>
      </c>
      <c r="K46" s="211"/>
      <c r="L46" s="211"/>
      <c r="M46" s="211"/>
      <c r="N46" s="211"/>
      <c r="O46" s="211"/>
      <c r="P46" s="209"/>
      <c r="Q46" s="348">
        <v>1500</v>
      </c>
      <c r="R46" s="348" t="s">
        <v>1855</v>
      </c>
      <c r="S46" s="349"/>
      <c r="T46" s="349"/>
      <c r="U46" s="349"/>
    </row>
    <row r="47" spans="1:21" s="333" customFormat="1" ht="11.45" customHeight="1">
      <c r="A47" s="211"/>
      <c r="B47" s="214"/>
      <c r="C47" s="211"/>
      <c r="D47" s="209"/>
      <c r="E47" s="209"/>
      <c r="F47" s="211" t="s">
        <v>3295</v>
      </c>
      <c r="G47" s="211"/>
      <c r="H47" s="209"/>
      <c r="I47" s="209"/>
      <c r="J47" s="211" t="s">
        <v>1636</v>
      </c>
      <c r="K47" s="211"/>
      <c r="L47" s="211" t="s">
        <v>3296</v>
      </c>
      <c r="M47" s="211"/>
      <c r="N47" s="211"/>
      <c r="O47" s="211"/>
      <c r="P47" s="209"/>
      <c r="Q47" s="1572">
        <v>55</v>
      </c>
      <c r="R47" s="1573"/>
      <c r="S47" s="349"/>
      <c r="T47" s="349"/>
      <c r="U47" s="349"/>
    </row>
    <row r="48" spans="1:21" s="333" customFormat="1" ht="11.45" customHeight="1">
      <c r="A48" s="211"/>
      <c r="B48" s="211" t="s">
        <v>1991</v>
      </c>
      <c r="C48" s="211"/>
      <c r="D48" s="209"/>
      <c r="E48" s="209"/>
      <c r="F48" s="211"/>
      <c r="G48" s="211"/>
      <c r="H48" s="211"/>
      <c r="I48" s="209"/>
      <c r="J48" s="211" t="s">
        <v>1852</v>
      </c>
      <c r="K48" s="211"/>
      <c r="L48" s="211"/>
      <c r="M48" s="211"/>
      <c r="N48" s="211"/>
      <c r="O48" s="211"/>
      <c r="P48" s="209"/>
      <c r="Q48" s="1572">
        <v>1800000</v>
      </c>
      <c r="R48" s="1573"/>
      <c r="S48" s="349"/>
      <c r="T48" s="349"/>
      <c r="U48" s="349"/>
    </row>
    <row r="49" spans="1:21" s="333" customFormat="1" ht="11.45" customHeight="1">
      <c r="A49" s="211"/>
      <c r="B49" s="211"/>
      <c r="C49" s="211"/>
      <c r="D49" s="209"/>
      <c r="E49" s="209"/>
      <c r="F49" s="211" t="s">
        <v>1834</v>
      </c>
      <c r="G49" s="211"/>
      <c r="H49" s="211" t="s">
        <v>2444</v>
      </c>
      <c r="I49" s="209"/>
      <c r="J49" s="211" t="s">
        <v>1035</v>
      </c>
      <c r="K49" s="211"/>
      <c r="L49" s="211"/>
      <c r="M49" s="211"/>
      <c r="N49" s="211"/>
      <c r="O49" s="211"/>
      <c r="P49" s="209"/>
      <c r="Q49" s="1568">
        <v>0.15</v>
      </c>
      <c r="R49" s="1568"/>
      <c r="S49" s="349"/>
      <c r="T49" s="349"/>
      <c r="U49" s="349"/>
    </row>
    <row r="50" spans="1:21" s="333" customFormat="1" ht="11.45" customHeight="1">
      <c r="A50" s="211"/>
      <c r="B50" s="467"/>
      <c r="C50" s="211"/>
      <c r="D50" s="209"/>
      <c r="E50" s="209"/>
      <c r="F50" s="211"/>
      <c r="G50" s="211"/>
      <c r="H50" s="211" t="s">
        <v>1031</v>
      </c>
      <c r="I50" s="211" t="s">
        <v>1032</v>
      </c>
      <c r="J50" s="211" t="s">
        <v>1034</v>
      </c>
      <c r="K50" s="211"/>
      <c r="L50" s="211"/>
      <c r="M50" s="211"/>
      <c r="N50" s="211"/>
      <c r="O50" s="211"/>
      <c r="P50" s="209"/>
      <c r="Q50" s="1568">
        <v>0.15</v>
      </c>
      <c r="R50" s="1568"/>
      <c r="S50" s="349"/>
      <c r="T50" s="349"/>
      <c r="U50" s="349"/>
    </row>
    <row r="51" spans="1:21" s="333" customFormat="1" ht="11.45" customHeight="1">
      <c r="A51" s="211"/>
      <c r="B51" s="467"/>
      <c r="C51" s="211"/>
      <c r="D51" s="209"/>
      <c r="E51" s="209"/>
      <c r="F51" s="211"/>
      <c r="G51" s="211"/>
      <c r="H51" s="211"/>
      <c r="I51" s="211" t="s">
        <v>1033</v>
      </c>
      <c r="J51" s="211" t="s">
        <v>1036</v>
      </c>
      <c r="K51" s="211"/>
      <c r="L51" s="211"/>
      <c r="M51" s="211"/>
      <c r="N51" s="211"/>
      <c r="O51" s="211"/>
      <c r="P51" s="209"/>
      <c r="Q51" s="1568">
        <v>0.15</v>
      </c>
      <c r="R51" s="1568"/>
      <c r="S51" s="349"/>
      <c r="T51" s="349"/>
      <c r="U51" s="349"/>
    </row>
    <row r="52" spans="1:21" s="333" customFormat="1" ht="11.45" customHeight="1">
      <c r="A52" s="211"/>
      <c r="B52" s="467"/>
      <c r="C52" s="211"/>
      <c r="D52" s="209"/>
      <c r="E52" s="209"/>
      <c r="F52" s="211"/>
      <c r="G52" s="211"/>
      <c r="H52" s="211" t="s">
        <v>1030</v>
      </c>
      <c r="I52" s="209"/>
      <c r="J52" s="211" t="s">
        <v>1036</v>
      </c>
      <c r="K52" s="211"/>
      <c r="L52" s="211"/>
      <c r="M52" s="211"/>
      <c r="N52" s="211"/>
      <c r="O52" s="211"/>
      <c r="P52" s="209"/>
      <c r="Q52" s="1568">
        <v>0.15</v>
      </c>
      <c r="R52" s="1568"/>
      <c r="S52" s="349"/>
      <c r="T52" s="349"/>
      <c r="U52" s="349"/>
    </row>
    <row r="53" spans="1:21" s="333" customFormat="1" ht="11.45" customHeight="1">
      <c r="A53" s="211"/>
      <c r="B53" s="467"/>
      <c r="C53" s="211"/>
      <c r="D53" s="209"/>
      <c r="E53" s="209"/>
      <c r="F53" s="211"/>
      <c r="G53" s="211"/>
      <c r="H53" s="211"/>
      <c r="I53" s="211" t="s">
        <v>1037</v>
      </c>
      <c r="J53" s="211" t="s">
        <v>1038</v>
      </c>
      <c r="K53" s="211"/>
      <c r="L53" s="211"/>
      <c r="M53" s="211"/>
      <c r="N53" s="211"/>
      <c r="O53" s="211"/>
      <c r="P53" s="209"/>
      <c r="Q53" s="1568">
        <v>0.15</v>
      </c>
      <c r="R53" s="1568"/>
      <c r="S53" s="349"/>
      <c r="T53" s="349"/>
      <c r="U53" s="349"/>
    </row>
    <row r="54" spans="1:21" s="333" customFormat="1" ht="11.45" customHeight="1">
      <c r="A54" s="211"/>
      <c r="B54" s="467"/>
      <c r="C54" s="211"/>
      <c r="D54" s="209"/>
      <c r="E54" s="209"/>
      <c r="F54" s="211" t="s">
        <v>1882</v>
      </c>
      <c r="G54" s="211"/>
      <c r="H54" s="211"/>
      <c r="I54" s="209"/>
      <c r="J54" s="211" t="s">
        <v>2527</v>
      </c>
      <c r="K54" s="211"/>
      <c r="L54" s="211"/>
      <c r="M54" s="211"/>
      <c r="N54" s="211"/>
      <c r="O54" s="211"/>
      <c r="P54" s="209"/>
      <c r="Q54" s="1568">
        <v>0.15</v>
      </c>
      <c r="R54" s="1568"/>
      <c r="S54" s="349"/>
      <c r="T54" s="349"/>
      <c r="U54" s="349"/>
    </row>
    <row r="55" spans="1:21" s="333" customFormat="1" ht="11.45" customHeight="1">
      <c r="A55" s="211"/>
      <c r="B55" s="467"/>
      <c r="C55" s="211"/>
      <c r="D55" s="209"/>
      <c r="E55" s="209"/>
      <c r="G55" s="211"/>
      <c r="H55" s="211"/>
      <c r="I55" s="209"/>
      <c r="J55" s="211" t="s">
        <v>2528</v>
      </c>
      <c r="K55" s="211"/>
      <c r="L55" s="211"/>
      <c r="M55" s="211"/>
      <c r="N55" s="211"/>
      <c r="O55" s="211"/>
      <c r="P55" s="209"/>
      <c r="Q55" s="1568" t="s">
        <v>2529</v>
      </c>
      <c r="R55" s="1568"/>
      <c r="S55" s="349"/>
      <c r="T55" s="349"/>
      <c r="U55" s="349"/>
    </row>
    <row r="56" spans="1:21" s="333" customFormat="1" ht="11.45" customHeight="1">
      <c r="A56" s="211"/>
      <c r="B56" s="467"/>
      <c r="C56" s="211"/>
      <c r="D56" s="209"/>
      <c r="E56" s="209"/>
      <c r="F56" s="211" t="s">
        <v>2170</v>
      </c>
      <c r="G56" s="211"/>
      <c r="H56" s="211"/>
      <c r="I56" s="209"/>
      <c r="J56" s="211"/>
      <c r="K56" s="211"/>
      <c r="L56" s="211"/>
      <c r="M56" s="211"/>
      <c r="N56" s="211"/>
      <c r="O56" s="211"/>
      <c r="P56" s="209"/>
      <c r="Q56" s="469">
        <v>0</v>
      </c>
      <c r="R56" s="469">
        <v>15</v>
      </c>
      <c r="S56" s="349"/>
      <c r="T56" s="349"/>
      <c r="U56" s="349"/>
    </row>
    <row r="57" spans="1:21" s="333" customFormat="1" ht="11.45" customHeight="1">
      <c r="A57" s="211"/>
      <c r="B57" s="467"/>
      <c r="C57" s="211"/>
      <c r="D57" s="209"/>
      <c r="E57" s="209"/>
      <c r="F57" s="211" t="s">
        <v>2169</v>
      </c>
      <c r="G57" s="211"/>
      <c r="I57" s="209"/>
      <c r="J57" s="211"/>
      <c r="K57" s="211"/>
      <c r="L57" s="211"/>
      <c r="M57" s="211"/>
      <c r="N57" s="211"/>
      <c r="O57" s="211"/>
      <c r="P57" s="209"/>
      <c r="Q57" s="351">
        <v>0</v>
      </c>
      <c r="R57" s="351">
        <v>0.5</v>
      </c>
      <c r="S57" s="349"/>
      <c r="T57" s="349"/>
      <c r="U57" s="349"/>
    </row>
    <row r="58" spans="1:21" s="333" customFormat="1" ht="11.45" customHeight="1">
      <c r="A58" s="211"/>
      <c r="B58" s="211" t="s">
        <v>1883</v>
      </c>
      <c r="C58" s="211"/>
      <c r="D58" s="211"/>
      <c r="E58" s="211"/>
      <c r="F58" s="211"/>
      <c r="G58" s="211"/>
      <c r="H58" s="209"/>
      <c r="I58" s="209"/>
      <c r="J58" s="211" t="s">
        <v>1884</v>
      </c>
      <c r="K58" s="211"/>
      <c r="L58" s="211"/>
      <c r="M58" s="211"/>
      <c r="N58" s="211"/>
      <c r="O58" s="211"/>
      <c r="P58" s="209"/>
      <c r="Q58" s="352">
        <v>6</v>
      </c>
      <c r="R58" s="348" t="s">
        <v>1855</v>
      </c>
      <c r="S58" s="349"/>
      <c r="T58" s="349"/>
      <c r="U58" s="349"/>
    </row>
    <row r="59" spans="1:21" s="333" customFormat="1" ht="11.45" customHeight="1">
      <c r="A59" s="211"/>
      <c r="B59" s="211"/>
      <c r="C59" s="211"/>
      <c r="D59" s="211"/>
      <c r="E59" s="211"/>
      <c r="F59" s="211"/>
      <c r="G59" s="211"/>
      <c r="H59" s="209"/>
      <c r="I59" s="209"/>
      <c r="J59" s="211" t="s">
        <v>1885</v>
      </c>
      <c r="K59" s="211"/>
      <c r="L59" s="211"/>
      <c r="M59" s="211"/>
      <c r="N59" s="211"/>
      <c r="O59" s="211"/>
      <c r="P59" s="209"/>
      <c r="Q59" s="352">
        <v>6</v>
      </c>
      <c r="R59" s="348" t="s">
        <v>1855</v>
      </c>
      <c r="S59" s="349"/>
      <c r="T59" s="349"/>
      <c r="U59" s="349"/>
    </row>
    <row r="60" spans="1:21" s="333" customFormat="1" ht="11.45" customHeight="1">
      <c r="A60" s="211"/>
      <c r="B60" s="470" t="s">
        <v>2171</v>
      </c>
      <c r="C60" s="211"/>
      <c r="D60" s="209"/>
      <c r="E60" s="209"/>
      <c r="F60" s="211"/>
      <c r="G60" s="211"/>
      <c r="I60" s="209"/>
      <c r="J60" s="211" t="s">
        <v>2172</v>
      </c>
      <c r="K60" s="211"/>
      <c r="L60" s="211"/>
      <c r="M60" s="211"/>
      <c r="N60" s="211"/>
      <c r="O60" s="211"/>
      <c r="P60" s="209"/>
      <c r="Q60" s="352">
        <v>3</v>
      </c>
      <c r="R60" s="348" t="s">
        <v>1855</v>
      </c>
      <c r="S60" s="349"/>
      <c r="T60" s="349"/>
      <c r="U60" s="349"/>
    </row>
    <row r="61" spans="1:21" s="333" customFormat="1" ht="11.45" customHeight="1">
      <c r="A61" s="211"/>
      <c r="B61" s="214" t="s">
        <v>1886</v>
      </c>
      <c r="C61" s="211"/>
      <c r="D61" s="209"/>
      <c r="E61" s="211"/>
      <c r="F61" s="211"/>
      <c r="G61" s="211"/>
      <c r="H61" s="209"/>
      <c r="I61" s="209"/>
      <c r="J61" s="211" t="s">
        <v>1887</v>
      </c>
      <c r="K61" s="211"/>
      <c r="L61" s="211"/>
      <c r="M61" s="211"/>
      <c r="N61" s="211"/>
      <c r="O61" s="211"/>
      <c r="P61" s="209"/>
      <c r="Q61" s="1572">
        <v>3000</v>
      </c>
      <c r="R61" s="1573"/>
      <c r="S61" s="349"/>
      <c r="T61" s="349"/>
      <c r="U61" s="349"/>
    </row>
    <row r="62" spans="1:21" s="333" customFormat="1" ht="3" customHeight="1">
      <c r="A62" s="209"/>
      <c r="B62" s="211"/>
      <c r="C62" s="211"/>
      <c r="D62" s="211"/>
      <c r="E62" s="211"/>
      <c r="F62" s="211"/>
      <c r="G62" s="211"/>
      <c r="H62" s="211"/>
      <c r="I62" s="209"/>
      <c r="J62" s="211"/>
      <c r="K62" s="211"/>
      <c r="L62" s="211"/>
      <c r="M62" s="211"/>
      <c r="N62" s="211"/>
      <c r="O62" s="211"/>
      <c r="P62" s="209"/>
      <c r="Q62" s="211"/>
      <c r="R62" s="211"/>
      <c r="S62" s="349"/>
      <c r="T62" s="349"/>
      <c r="U62" s="349"/>
    </row>
    <row r="63" spans="1:21" s="333" customFormat="1" ht="12" customHeight="1">
      <c r="A63" s="338" t="s">
        <v>1888</v>
      </c>
      <c r="B63" s="211"/>
      <c r="C63" s="211"/>
      <c r="D63" s="211"/>
      <c r="E63" s="211"/>
      <c r="F63" s="211"/>
      <c r="G63" s="211"/>
      <c r="H63" s="211"/>
      <c r="I63" s="209"/>
      <c r="J63" s="211"/>
      <c r="K63" s="211"/>
      <c r="L63" s="211"/>
      <c r="M63" s="211"/>
      <c r="N63" s="211"/>
      <c r="O63" s="211"/>
      <c r="P63" s="209"/>
      <c r="Q63" s="211"/>
      <c r="R63" s="211"/>
      <c r="S63" s="349"/>
      <c r="T63" s="349"/>
      <c r="U63" s="349"/>
    </row>
    <row r="64" spans="1:21" ht="11.45" customHeight="1">
      <c r="B64" s="353" t="s">
        <v>2574</v>
      </c>
      <c r="C64" s="178"/>
      <c r="D64" s="178"/>
      <c r="E64" s="178"/>
      <c r="F64" s="178"/>
      <c r="G64" s="178"/>
      <c r="J64" s="354">
        <v>1</v>
      </c>
      <c r="K64" s="354">
        <v>2</v>
      </c>
      <c r="L64" s="354">
        <v>3</v>
      </c>
      <c r="M64" s="354">
        <v>4</v>
      </c>
      <c r="N64" s="354">
        <v>5</v>
      </c>
      <c r="O64" s="354">
        <v>6</v>
      </c>
      <c r="P64" s="354">
        <v>7</v>
      </c>
      <c r="Q64" s="354">
        <v>8</v>
      </c>
    </row>
    <row r="65" spans="1:26" ht="10.9" customHeight="1">
      <c r="B65" s="178"/>
      <c r="C65" s="178"/>
      <c r="D65" s="178"/>
      <c r="E65" s="178"/>
      <c r="F65" s="178"/>
      <c r="G65" s="178"/>
      <c r="J65" s="355">
        <v>0.7</v>
      </c>
      <c r="K65" s="355">
        <v>0.8</v>
      </c>
      <c r="L65" s="355">
        <v>0.9</v>
      </c>
      <c r="M65" s="354" t="s">
        <v>140</v>
      </c>
      <c r="N65" s="355">
        <v>1.08</v>
      </c>
      <c r="O65" s="355">
        <v>1.1599999999999999</v>
      </c>
      <c r="P65" s="355">
        <v>1.24</v>
      </c>
      <c r="Q65" s="355">
        <v>1.32</v>
      </c>
    </row>
    <row r="66" spans="1:26" s="349" customFormat="1" ht="11.45" customHeight="1">
      <c r="A66" s="211"/>
      <c r="B66" s="211" t="s">
        <v>1889</v>
      </c>
      <c r="C66" s="211"/>
      <c r="D66" s="211"/>
      <c r="E66" s="211"/>
      <c r="F66" s="211"/>
      <c r="G66" s="211"/>
      <c r="H66" s="211"/>
      <c r="J66" s="211" t="s">
        <v>1890</v>
      </c>
      <c r="K66" s="211"/>
      <c r="L66" s="211"/>
      <c r="M66" s="211"/>
      <c r="N66" s="211"/>
      <c r="O66" s="211"/>
      <c r="Q66" s="1568">
        <v>0.02</v>
      </c>
      <c r="R66" s="1568"/>
    </row>
    <row r="67" spans="1:26" s="349" customFormat="1" ht="11.45" customHeight="1">
      <c r="A67" s="211"/>
      <c r="B67" s="211" t="s">
        <v>1891</v>
      </c>
      <c r="C67" s="211"/>
      <c r="D67" s="211"/>
      <c r="E67" s="211"/>
      <c r="F67" s="211"/>
      <c r="G67" s="211"/>
      <c r="H67" s="211"/>
      <c r="J67" s="211" t="s">
        <v>1890</v>
      </c>
      <c r="K67" s="211"/>
      <c r="L67" s="211"/>
      <c r="M67" s="211"/>
      <c r="N67" s="211"/>
      <c r="O67" s="211"/>
      <c r="Q67" s="1568">
        <v>7.0000000000000007E-2</v>
      </c>
      <c r="R67" s="1568"/>
    </row>
    <row r="68" spans="1:26" s="349" customFormat="1" ht="11.45" customHeight="1">
      <c r="A68" s="211"/>
      <c r="B68" s="211" t="s">
        <v>1892</v>
      </c>
      <c r="C68" s="211"/>
      <c r="D68" s="211"/>
      <c r="E68" s="211"/>
      <c r="F68" s="211"/>
      <c r="G68" s="211"/>
      <c r="H68" s="211"/>
      <c r="J68" s="211" t="s">
        <v>1890</v>
      </c>
      <c r="K68" s="211"/>
      <c r="L68" s="211"/>
      <c r="M68" s="211"/>
      <c r="N68" s="211"/>
      <c r="O68" s="211"/>
      <c r="Q68" s="1568">
        <v>7.0000000000000007E-2</v>
      </c>
      <c r="R68" s="1568"/>
    </row>
    <row r="69" spans="1:26" s="333" customFormat="1" ht="11.45" customHeight="1">
      <c r="A69" s="211"/>
      <c r="B69" s="211" t="s">
        <v>137</v>
      </c>
      <c r="C69" s="211"/>
      <c r="D69" s="209"/>
      <c r="E69" s="209"/>
      <c r="F69" s="209"/>
      <c r="G69" s="211"/>
      <c r="H69" s="209"/>
      <c r="I69" s="209"/>
      <c r="J69" s="211" t="s">
        <v>1890</v>
      </c>
      <c r="K69" s="211"/>
      <c r="L69" s="211"/>
      <c r="M69" s="211"/>
      <c r="N69" s="211"/>
      <c r="O69" s="211"/>
      <c r="P69" s="209"/>
      <c r="Q69" s="1568">
        <v>0.03</v>
      </c>
      <c r="R69" s="1568"/>
      <c r="S69" s="349"/>
      <c r="T69" s="349"/>
      <c r="U69" s="349"/>
    </row>
    <row r="70" spans="1:26" s="333" customFormat="1" ht="11.45" customHeight="1">
      <c r="A70" s="211"/>
      <c r="B70" s="211" t="s">
        <v>138</v>
      </c>
      <c r="C70" s="211"/>
      <c r="D70" s="209"/>
      <c r="E70" s="209"/>
      <c r="F70" s="209"/>
      <c r="G70" s="211"/>
      <c r="H70" s="209"/>
      <c r="I70" s="209"/>
      <c r="J70" s="211" t="s">
        <v>1890</v>
      </c>
      <c r="K70" s="211"/>
      <c r="L70" s="211"/>
      <c r="M70" s="211"/>
      <c r="N70" s="211"/>
      <c r="O70" s="211"/>
      <c r="P70" s="209"/>
      <c r="Q70" s="1568">
        <v>0.03</v>
      </c>
      <c r="R70" s="1568"/>
      <c r="S70" s="349"/>
      <c r="T70" s="349"/>
      <c r="U70" s="349"/>
    </row>
    <row r="71" spans="1:26" s="333" customFormat="1" ht="11.45" customHeight="1">
      <c r="A71" s="211"/>
      <c r="B71" s="211" t="s">
        <v>139</v>
      </c>
      <c r="C71" s="211"/>
      <c r="D71" s="209"/>
      <c r="E71" s="209"/>
      <c r="F71" s="209"/>
      <c r="G71" s="211"/>
      <c r="H71" s="209"/>
      <c r="I71" s="209"/>
      <c r="J71" s="211" t="s">
        <v>1890</v>
      </c>
      <c r="K71" s="211"/>
      <c r="L71" s="211"/>
      <c r="M71" s="211"/>
      <c r="N71" s="211"/>
      <c r="O71" s="211"/>
      <c r="P71" s="209"/>
      <c r="Q71" s="1568">
        <v>0</v>
      </c>
      <c r="R71" s="1568"/>
      <c r="S71" s="349"/>
      <c r="T71" s="349"/>
      <c r="U71" s="349"/>
    </row>
    <row r="72" spans="1:26" s="333" customFormat="1" ht="4.1500000000000004" customHeight="1">
      <c r="A72" s="334"/>
      <c r="B72" s="334"/>
      <c r="C72" s="334"/>
      <c r="D72" s="334"/>
      <c r="E72" s="209"/>
      <c r="F72" s="334"/>
      <c r="G72" s="334"/>
      <c r="H72" s="209"/>
      <c r="I72" s="209"/>
      <c r="J72" s="334"/>
      <c r="K72" s="334"/>
      <c r="L72" s="334"/>
      <c r="M72" s="334"/>
      <c r="N72" s="334"/>
      <c r="O72" s="334"/>
      <c r="P72" s="209"/>
      <c r="Q72" s="335"/>
      <c r="R72" s="336"/>
      <c r="S72" s="209"/>
      <c r="T72" s="209"/>
      <c r="U72" s="209"/>
      <c r="W72" s="337"/>
      <c r="X72" s="337"/>
      <c r="Y72" s="337"/>
      <c r="Z72" s="337"/>
    </row>
    <row r="73" spans="1:26" s="333" customFormat="1" ht="11.45" customHeight="1">
      <c r="A73" s="338" t="s">
        <v>2880</v>
      </c>
      <c r="B73" s="211"/>
      <c r="C73" s="211"/>
      <c r="D73" s="209"/>
      <c r="E73" s="209"/>
      <c r="F73" s="211" t="s">
        <v>2782</v>
      </c>
      <c r="G73" s="211"/>
      <c r="H73" s="209"/>
      <c r="I73" s="209"/>
      <c r="J73" s="211" t="s">
        <v>2882</v>
      </c>
      <c r="K73" s="211"/>
      <c r="L73" s="211"/>
      <c r="M73" s="211"/>
      <c r="N73" s="211"/>
      <c r="O73" s="211"/>
      <c r="P73" s="209"/>
      <c r="Q73" s="1568">
        <v>0.1</v>
      </c>
      <c r="R73" s="1568"/>
      <c r="S73" s="209"/>
      <c r="T73" s="209"/>
      <c r="U73" s="209"/>
      <c r="V73" s="340"/>
      <c r="W73" s="340"/>
      <c r="X73" s="212"/>
    </row>
    <row r="74" spans="1:26" s="333" customFormat="1" ht="11.45" customHeight="1">
      <c r="A74" s="211"/>
      <c r="B74" s="211"/>
      <c r="C74" s="211"/>
      <c r="D74" s="209"/>
      <c r="E74" s="209"/>
      <c r="F74" s="211" t="s">
        <v>2881</v>
      </c>
      <c r="G74" s="211"/>
      <c r="H74" s="209"/>
      <c r="I74" s="209"/>
      <c r="J74" s="211" t="s">
        <v>2883</v>
      </c>
      <c r="K74" s="211"/>
      <c r="L74" s="211"/>
      <c r="M74" s="211"/>
      <c r="N74" s="211"/>
      <c r="O74" s="211"/>
      <c r="P74" s="209"/>
      <c r="Q74" s="1568">
        <v>0.15</v>
      </c>
      <c r="R74" s="1568"/>
      <c r="S74" s="341"/>
      <c r="T74" s="341"/>
      <c r="U74" s="209"/>
      <c r="V74" s="342"/>
      <c r="W74" s="342"/>
      <c r="X74" s="342"/>
    </row>
    <row r="75" spans="1:26" ht="4.5" customHeight="1"/>
    <row r="76" spans="1:26">
      <c r="A76" s="338" t="s">
        <v>3292</v>
      </c>
      <c r="F76" s="211" t="s">
        <v>2781</v>
      </c>
      <c r="G76" s="211"/>
      <c r="H76" s="209"/>
      <c r="I76" s="209"/>
      <c r="J76" s="211" t="s">
        <v>2882</v>
      </c>
      <c r="K76" s="211"/>
      <c r="L76" s="211"/>
      <c r="M76" s="211"/>
      <c r="N76" s="211"/>
      <c r="O76" s="211"/>
      <c r="P76" s="209"/>
      <c r="Q76" s="1568">
        <v>0.35</v>
      </c>
      <c r="R76" s="1568"/>
    </row>
    <row r="77" spans="1:26" s="333" customFormat="1" ht="12.75" customHeight="1">
      <c r="A77" s="338"/>
      <c r="B77" s="211"/>
      <c r="C77" s="211"/>
      <c r="D77" s="209"/>
      <c r="E77" s="209"/>
      <c r="F77" s="211" t="s">
        <v>3293</v>
      </c>
      <c r="G77" s="211"/>
      <c r="H77" s="209"/>
      <c r="I77" s="209"/>
      <c r="J77" s="211" t="s">
        <v>2882</v>
      </c>
      <c r="K77" s="211"/>
      <c r="L77" s="211"/>
      <c r="M77" s="211"/>
      <c r="N77" s="211"/>
      <c r="O77" s="211"/>
      <c r="P77" s="209"/>
      <c r="Q77" s="1568" t="s">
        <v>3294</v>
      </c>
      <c r="R77" s="1568"/>
      <c r="S77" s="209"/>
      <c r="T77" s="209"/>
      <c r="U77" s="209"/>
      <c r="V77" s="340"/>
      <c r="W77" s="340"/>
      <c r="X77" s="212"/>
    </row>
    <row r="78" spans="1:26" ht="13.15" customHeight="1">
      <c r="C78" s="356"/>
      <c r="D78" s="356"/>
      <c r="E78" s="356"/>
      <c r="F78" s="356"/>
      <c r="G78" s="356"/>
      <c r="H78" s="356"/>
      <c r="I78" s="356"/>
    </row>
    <row r="80" spans="1:26" ht="13.5">
      <c r="D80" s="488">
        <v>2014</v>
      </c>
      <c r="J80" s="464" t="s">
        <v>858</v>
      </c>
      <c r="K80" s="464"/>
      <c r="L80" s="331"/>
    </row>
    <row r="81" spans="3:12" ht="13.5">
      <c r="C81" s="640" t="s">
        <v>1359</v>
      </c>
      <c r="D81" s="463" t="s">
        <v>1097</v>
      </c>
      <c r="J81" s="465" t="s">
        <v>861</v>
      </c>
      <c r="K81" s="465" t="s">
        <v>859</v>
      </c>
      <c r="L81" s="466" t="s">
        <v>860</v>
      </c>
    </row>
    <row r="82" spans="3:12" ht="10.5" customHeight="1">
      <c r="C82" s="461" t="s">
        <v>1906</v>
      </c>
      <c r="D82" s="561">
        <v>41500</v>
      </c>
      <c r="E82" s="349"/>
      <c r="F82" s="349"/>
      <c r="J82" s="489">
        <v>0</v>
      </c>
      <c r="K82" s="489">
        <v>0.7</v>
      </c>
      <c r="L82" s="489">
        <v>1</v>
      </c>
    </row>
    <row r="83" spans="3:12" ht="10.5" customHeight="1">
      <c r="C83" s="461" t="s">
        <v>1289</v>
      </c>
      <c r="D83" s="561">
        <v>43700</v>
      </c>
      <c r="E83" s="349"/>
      <c r="F83" s="349"/>
      <c r="J83" s="489">
        <v>1</v>
      </c>
      <c r="K83" s="489">
        <v>0.75</v>
      </c>
      <c r="L83" s="489">
        <v>1.5</v>
      </c>
    </row>
    <row r="84" spans="3:12" ht="10.5" customHeight="1">
      <c r="C84" s="461" t="s">
        <v>1098</v>
      </c>
      <c r="D84" s="561">
        <v>55500</v>
      </c>
      <c r="E84" s="349"/>
      <c r="F84" s="349"/>
      <c r="J84" s="489">
        <v>2</v>
      </c>
      <c r="K84" s="489">
        <v>0.9</v>
      </c>
      <c r="L84" s="489">
        <v>3</v>
      </c>
    </row>
    <row r="85" spans="3:12" ht="10.5" customHeight="1">
      <c r="C85" s="461" t="s">
        <v>1902</v>
      </c>
      <c r="D85" s="561">
        <v>36700</v>
      </c>
      <c r="E85" s="349"/>
      <c r="F85" s="349"/>
      <c r="J85" s="489">
        <v>3</v>
      </c>
      <c r="K85" s="489">
        <v>1.04</v>
      </c>
      <c r="L85" s="489">
        <v>4.5</v>
      </c>
    </row>
    <row r="86" spans="3:12" ht="10.5" customHeight="1">
      <c r="C86" s="461" t="s">
        <v>815</v>
      </c>
      <c r="D86" s="561">
        <v>64400</v>
      </c>
      <c r="E86" s="349"/>
      <c r="F86" s="349"/>
      <c r="J86" s="489">
        <v>4</v>
      </c>
      <c r="K86" s="489">
        <v>1.1599999999999999</v>
      </c>
      <c r="L86" s="489">
        <v>6</v>
      </c>
    </row>
    <row r="87" spans="3:12" ht="10.5" customHeight="1">
      <c r="C87" s="461" t="s">
        <v>816</v>
      </c>
      <c r="D87" s="561">
        <v>55900</v>
      </c>
      <c r="E87" s="349"/>
      <c r="F87" s="349"/>
      <c r="J87" s="489">
        <v>5</v>
      </c>
      <c r="K87" s="489">
        <v>1.28</v>
      </c>
      <c r="L87" s="489">
        <v>7.5</v>
      </c>
    </row>
    <row r="88" spans="3:12" ht="10.5" customHeight="1">
      <c r="C88" s="461" t="s">
        <v>1904</v>
      </c>
      <c r="D88" s="561">
        <v>44500</v>
      </c>
      <c r="E88" s="349"/>
      <c r="F88" s="349"/>
    </row>
    <row r="89" spans="3:12" ht="10.5" customHeight="1">
      <c r="C89" s="461" t="s">
        <v>163</v>
      </c>
      <c r="D89" s="561">
        <v>51300</v>
      </c>
      <c r="E89" s="349"/>
      <c r="F89" s="349"/>
    </row>
    <row r="90" spans="3:12" ht="10.5" customHeight="1">
      <c r="C90" s="461" t="s">
        <v>1398</v>
      </c>
      <c r="D90" s="561">
        <v>51300</v>
      </c>
      <c r="E90" s="349"/>
      <c r="F90" s="349"/>
    </row>
    <row r="91" spans="3:12" ht="10.5" customHeight="1">
      <c r="C91" s="462" t="s">
        <v>1101</v>
      </c>
      <c r="D91" s="561">
        <v>39800</v>
      </c>
      <c r="E91" s="349"/>
      <c r="F91" s="349"/>
    </row>
    <row r="92" spans="3:12" ht="10.5" customHeight="1">
      <c r="C92" s="462" t="s">
        <v>1404</v>
      </c>
      <c r="D92" s="561">
        <v>43200</v>
      </c>
      <c r="E92" s="349"/>
      <c r="F92" s="349"/>
    </row>
    <row r="93" spans="3:12" ht="10.5" customHeight="1">
      <c r="C93" s="462" t="s">
        <v>1408</v>
      </c>
      <c r="D93" s="561">
        <v>53700</v>
      </c>
      <c r="E93" s="349"/>
      <c r="F93" s="349"/>
    </row>
    <row r="94" spans="3:12" ht="10.5" customHeight="1">
      <c r="C94" s="461" t="s">
        <v>12</v>
      </c>
      <c r="D94" s="561">
        <v>54800</v>
      </c>
      <c r="E94" s="349"/>
      <c r="F94" s="349"/>
    </row>
    <row r="95" spans="3:12" ht="10.5" customHeight="1">
      <c r="C95" s="462" t="s">
        <v>1414</v>
      </c>
      <c r="D95" s="561">
        <v>52700</v>
      </c>
      <c r="E95" s="349"/>
      <c r="F95" s="349"/>
    </row>
    <row r="96" spans="3:12" ht="10.5" customHeight="1">
      <c r="C96" s="461" t="s">
        <v>1099</v>
      </c>
      <c r="D96" s="561">
        <v>63500</v>
      </c>
      <c r="E96" s="349"/>
      <c r="F96" s="349"/>
    </row>
    <row r="97" spans="3:6" ht="10.5" customHeight="1">
      <c r="C97" s="462" t="s">
        <v>1419</v>
      </c>
      <c r="D97" s="561">
        <v>47300</v>
      </c>
      <c r="E97" s="349"/>
      <c r="F97" s="349"/>
    </row>
    <row r="98" spans="3:6" ht="10.5" customHeight="1">
      <c r="C98" s="462" t="s">
        <v>780</v>
      </c>
      <c r="D98" s="561">
        <v>62400</v>
      </c>
      <c r="E98" s="349"/>
      <c r="F98" s="349"/>
    </row>
    <row r="99" spans="3:6" ht="10.5" customHeight="1">
      <c r="C99" s="462" t="s">
        <v>782</v>
      </c>
      <c r="D99" s="561">
        <v>43100</v>
      </c>
      <c r="E99" s="349"/>
      <c r="F99" s="349"/>
    </row>
    <row r="100" spans="3:6" ht="10.5" customHeight="1">
      <c r="C100" s="461" t="s">
        <v>165</v>
      </c>
      <c r="D100" s="561">
        <v>50700</v>
      </c>
      <c r="E100" s="349"/>
      <c r="F100" s="349"/>
    </row>
    <row r="101" spans="3:6" ht="10.5" customHeight="1">
      <c r="C101" s="461" t="s">
        <v>1627</v>
      </c>
      <c r="D101" s="561">
        <v>54200</v>
      </c>
      <c r="E101" s="349"/>
      <c r="F101" s="349"/>
    </row>
    <row r="102" spans="3:6" ht="10.5" customHeight="1">
      <c r="C102" s="461" t="s">
        <v>170</v>
      </c>
      <c r="D102" s="561">
        <v>40700</v>
      </c>
      <c r="E102" s="349"/>
      <c r="F102" s="349"/>
    </row>
    <row r="103" spans="3:6" ht="10.5" customHeight="1">
      <c r="C103" s="461" t="s">
        <v>2650</v>
      </c>
      <c r="D103" s="561">
        <v>32600</v>
      </c>
      <c r="E103" s="349"/>
      <c r="F103" s="349"/>
    </row>
    <row r="104" spans="3:6" ht="10.5" customHeight="1">
      <c r="C104" s="462" t="s">
        <v>2653</v>
      </c>
      <c r="D104" s="561">
        <v>45300</v>
      </c>
      <c r="E104" s="349"/>
      <c r="F104" s="349"/>
    </row>
    <row r="105" spans="3:6" ht="10.5" customHeight="1">
      <c r="C105" s="462" t="s">
        <v>2656</v>
      </c>
      <c r="D105" s="561">
        <v>40800</v>
      </c>
      <c r="E105" s="349"/>
      <c r="F105" s="349"/>
    </row>
    <row r="106" spans="3:6" ht="10.5" customHeight="1">
      <c r="C106" s="462" t="s">
        <v>2700</v>
      </c>
      <c r="D106" s="561">
        <v>42600</v>
      </c>
      <c r="E106" s="349"/>
      <c r="F106" s="349"/>
    </row>
    <row r="107" spans="3:6" ht="10.5" customHeight="1">
      <c r="C107" s="461" t="s">
        <v>168</v>
      </c>
      <c r="D107" s="561">
        <v>51000</v>
      </c>
      <c r="E107" s="349"/>
      <c r="F107" s="349"/>
    </row>
    <row r="108" spans="3:6" ht="10.5" customHeight="1">
      <c r="C108" s="462" t="s">
        <v>2703</v>
      </c>
      <c r="D108" s="561">
        <v>47400</v>
      </c>
      <c r="E108" s="349"/>
      <c r="F108" s="349"/>
    </row>
    <row r="109" spans="3:6" ht="10.5" customHeight="1">
      <c r="C109" s="462" t="s">
        <v>201</v>
      </c>
      <c r="D109" s="561">
        <v>43900</v>
      </c>
      <c r="E109" s="349"/>
      <c r="F109" s="349"/>
    </row>
    <row r="110" spans="3:6" ht="10.5" customHeight="1">
      <c r="C110" s="462" t="s">
        <v>353</v>
      </c>
      <c r="D110" s="561">
        <v>40600</v>
      </c>
      <c r="E110" s="349"/>
      <c r="F110" s="349"/>
    </row>
    <row r="111" spans="3:6" ht="10.5" customHeight="1">
      <c r="C111" s="461" t="s">
        <v>205</v>
      </c>
      <c r="D111" s="561">
        <v>43200</v>
      </c>
      <c r="E111" s="349"/>
      <c r="F111" s="349"/>
    </row>
    <row r="112" spans="3:6" ht="10.5" customHeight="1">
      <c r="C112" s="461" t="s">
        <v>1009</v>
      </c>
      <c r="D112" s="561">
        <v>46300</v>
      </c>
      <c r="E112" s="349"/>
      <c r="F112" s="349"/>
    </row>
    <row r="113" spans="3:6" ht="10.5" customHeight="1">
      <c r="C113" s="462" t="s">
        <v>1011</v>
      </c>
      <c r="D113" s="561">
        <v>44400</v>
      </c>
      <c r="E113" s="349"/>
      <c r="F113" s="349"/>
    </row>
    <row r="114" spans="3:6" ht="10.5" customHeight="1">
      <c r="C114" s="461" t="s">
        <v>930</v>
      </c>
      <c r="D114" s="561">
        <v>42600</v>
      </c>
      <c r="E114" s="349"/>
      <c r="F114" s="349"/>
    </row>
    <row r="115" spans="3:6" ht="10.5" customHeight="1">
      <c r="C115" s="462" t="s">
        <v>934</v>
      </c>
      <c r="D115" s="561">
        <v>38900</v>
      </c>
      <c r="E115" s="349"/>
      <c r="F115" s="349"/>
    </row>
    <row r="116" spans="3:6" ht="10.5" customHeight="1">
      <c r="C116" s="462" t="s">
        <v>2391</v>
      </c>
      <c r="D116" s="561">
        <v>38700</v>
      </c>
      <c r="E116" s="349"/>
      <c r="F116" s="349"/>
    </row>
    <row r="117" spans="3:6" ht="10.5" customHeight="1">
      <c r="C117" s="462" t="s">
        <v>700</v>
      </c>
      <c r="D117" s="561">
        <v>46700</v>
      </c>
      <c r="E117" s="349"/>
      <c r="F117" s="349"/>
    </row>
    <row r="118" spans="3:6" ht="10.5" customHeight="1">
      <c r="C118" s="462" t="s">
        <v>702</v>
      </c>
      <c r="D118" s="561">
        <v>43700</v>
      </c>
      <c r="E118" s="349"/>
      <c r="F118" s="349"/>
    </row>
    <row r="119" spans="3:6" ht="10.5" customHeight="1">
      <c r="C119" s="462" t="s">
        <v>707</v>
      </c>
      <c r="D119" s="561">
        <v>45600</v>
      </c>
      <c r="E119" s="349"/>
      <c r="F119" s="349"/>
    </row>
    <row r="120" spans="3:6" ht="10.5" customHeight="1">
      <c r="C120" s="462" t="s">
        <v>1298</v>
      </c>
      <c r="D120" s="561">
        <v>56100</v>
      </c>
      <c r="E120" s="349"/>
      <c r="F120" s="349"/>
    </row>
    <row r="121" spans="3:6" ht="10.5" customHeight="1">
      <c r="C121" s="462" t="s">
        <v>709</v>
      </c>
      <c r="D121" s="561">
        <v>46200</v>
      </c>
      <c r="E121" s="349"/>
      <c r="F121" s="349"/>
    </row>
    <row r="122" spans="3:6" ht="10.5" customHeight="1">
      <c r="C122" s="462" t="s">
        <v>711</v>
      </c>
      <c r="D122" s="561">
        <v>50100</v>
      </c>
      <c r="E122" s="349"/>
      <c r="F122" s="349"/>
    </row>
    <row r="123" spans="3:6" ht="10.5" customHeight="1">
      <c r="C123" s="462" t="s">
        <v>714</v>
      </c>
      <c r="D123" s="561">
        <v>52000</v>
      </c>
      <c r="E123" s="349"/>
      <c r="F123" s="349"/>
    </row>
    <row r="124" spans="3:6" ht="10.5" customHeight="1">
      <c r="C124" s="462" t="s">
        <v>716</v>
      </c>
      <c r="D124" s="561">
        <v>42900</v>
      </c>
      <c r="E124" s="349"/>
      <c r="F124" s="349"/>
    </row>
    <row r="125" spans="3:6" ht="10.5" customHeight="1">
      <c r="C125" s="462" t="s">
        <v>718</v>
      </c>
      <c r="D125" s="561">
        <v>47000</v>
      </c>
      <c r="E125" s="349"/>
      <c r="F125" s="349"/>
    </row>
    <row r="126" spans="3:6" ht="10.5" customHeight="1">
      <c r="C126" s="462" t="s">
        <v>126</v>
      </c>
      <c r="D126" s="561">
        <v>52100</v>
      </c>
      <c r="E126" s="349"/>
      <c r="F126" s="349"/>
    </row>
    <row r="127" spans="3:6" ht="10.5" customHeight="1">
      <c r="C127" s="462" t="s">
        <v>331</v>
      </c>
      <c r="D127" s="561">
        <v>32900</v>
      </c>
      <c r="E127" s="349"/>
      <c r="F127" s="349"/>
    </row>
    <row r="128" spans="3:6" ht="10.5" customHeight="1">
      <c r="C128" s="462" t="s">
        <v>817</v>
      </c>
      <c r="D128" s="561">
        <v>46300</v>
      </c>
      <c r="E128" s="349"/>
      <c r="F128" s="349"/>
    </row>
    <row r="129" spans="3:6" ht="10.5" customHeight="1">
      <c r="C129" s="462" t="s">
        <v>335</v>
      </c>
      <c r="D129" s="561">
        <v>48900</v>
      </c>
      <c r="E129" s="349"/>
      <c r="F129" s="349"/>
    </row>
    <row r="130" spans="3:6" ht="10.5" customHeight="1">
      <c r="C130" s="462" t="s">
        <v>1100</v>
      </c>
      <c r="D130" s="561">
        <v>50000</v>
      </c>
      <c r="E130" s="349"/>
      <c r="F130" s="349"/>
    </row>
    <row r="131" spans="3:6" ht="10.5" customHeight="1">
      <c r="C131" s="462" t="s">
        <v>340</v>
      </c>
      <c r="D131" s="561">
        <v>52200</v>
      </c>
      <c r="E131" s="349"/>
      <c r="F131" s="349"/>
    </row>
    <row r="132" spans="3:6" ht="10.5" customHeight="1">
      <c r="C132" s="461" t="s">
        <v>342</v>
      </c>
      <c r="D132" s="561">
        <v>61500</v>
      </c>
      <c r="E132" s="349"/>
      <c r="F132" s="349"/>
    </row>
    <row r="133" spans="3:6" ht="10.5" customHeight="1">
      <c r="C133" s="462" t="s">
        <v>345</v>
      </c>
      <c r="D133" s="561">
        <v>45500</v>
      </c>
      <c r="E133" s="349"/>
      <c r="F133" s="349"/>
    </row>
    <row r="134" spans="3:6" ht="10.5" customHeight="1">
      <c r="C134" s="461" t="s">
        <v>347</v>
      </c>
      <c r="D134" s="561">
        <v>38600</v>
      </c>
      <c r="E134" s="349"/>
      <c r="F134" s="349"/>
    </row>
    <row r="135" spans="3:6" ht="10.5" customHeight="1">
      <c r="C135" s="462" t="s">
        <v>349</v>
      </c>
      <c r="D135" s="561">
        <v>27900</v>
      </c>
      <c r="E135" s="349"/>
      <c r="F135" s="349"/>
    </row>
    <row r="136" spans="3:6" ht="10.5" customHeight="1">
      <c r="C136" s="462" t="s">
        <v>351</v>
      </c>
      <c r="D136" s="561">
        <v>38900</v>
      </c>
      <c r="E136" s="349"/>
      <c r="F136" s="349"/>
    </row>
    <row r="137" spans="3:6" ht="10.5" customHeight="1">
      <c r="C137" s="462" t="s">
        <v>818</v>
      </c>
      <c r="D137" s="561">
        <v>46600</v>
      </c>
      <c r="E137" s="349"/>
      <c r="F137" s="349"/>
    </row>
    <row r="138" spans="3:6" ht="10.5" customHeight="1">
      <c r="C138" s="462" t="s">
        <v>1550</v>
      </c>
      <c r="D138" s="561">
        <v>47400</v>
      </c>
      <c r="E138" s="349"/>
      <c r="F138" s="349"/>
    </row>
    <row r="139" spans="3:6" ht="10.5" customHeight="1">
      <c r="C139" s="462" t="s">
        <v>1554</v>
      </c>
      <c r="D139" s="561">
        <v>46500</v>
      </c>
      <c r="E139" s="349"/>
      <c r="F139" s="349"/>
    </row>
    <row r="140" spans="3:6" ht="10.5" customHeight="1">
      <c r="C140" s="462" t="s">
        <v>1556</v>
      </c>
      <c r="D140" s="561">
        <v>49700</v>
      </c>
      <c r="E140" s="349"/>
      <c r="F140" s="349"/>
    </row>
    <row r="141" spans="3:6" ht="10.5" customHeight="1">
      <c r="C141" s="462" t="s">
        <v>184</v>
      </c>
      <c r="D141" s="561">
        <v>55200</v>
      </c>
      <c r="E141" s="349"/>
      <c r="F141" s="349"/>
    </row>
    <row r="142" spans="3:6" ht="10.5" customHeight="1">
      <c r="C142" s="462" t="s">
        <v>1406</v>
      </c>
      <c r="D142" s="561">
        <v>49800</v>
      </c>
      <c r="E142" s="349"/>
      <c r="F142" s="349"/>
    </row>
    <row r="143" spans="3:6" ht="10.5" customHeight="1">
      <c r="C143" s="462" t="s">
        <v>185</v>
      </c>
      <c r="D143" s="561">
        <v>38100</v>
      </c>
      <c r="E143" s="349"/>
      <c r="F143" s="349"/>
    </row>
    <row r="144" spans="3:6" ht="10.5" customHeight="1">
      <c r="C144" s="462" t="s">
        <v>820</v>
      </c>
      <c r="D144" s="561">
        <v>47500</v>
      </c>
      <c r="E144" s="349"/>
      <c r="F144" s="349"/>
    </row>
    <row r="145" spans="3:6" ht="10.5" customHeight="1">
      <c r="C145" s="462" t="s">
        <v>1743</v>
      </c>
      <c r="D145" s="561">
        <v>42800</v>
      </c>
      <c r="E145" s="349"/>
      <c r="F145" s="349"/>
    </row>
    <row r="146" spans="3:6" ht="10.5" customHeight="1">
      <c r="C146" s="462" t="s">
        <v>1745</v>
      </c>
      <c r="D146" s="561">
        <v>47700</v>
      </c>
      <c r="E146" s="349"/>
      <c r="F146" s="349"/>
    </row>
    <row r="147" spans="3:6" ht="10.5" customHeight="1">
      <c r="C147" s="462" t="s">
        <v>2180</v>
      </c>
      <c r="D147" s="561">
        <v>63200</v>
      </c>
      <c r="E147" s="349"/>
      <c r="F147" s="349"/>
    </row>
    <row r="148" spans="3:6" ht="10.5" customHeight="1">
      <c r="C148" s="462" t="s">
        <v>192</v>
      </c>
      <c r="D148" s="561">
        <v>46200</v>
      </c>
      <c r="E148" s="349"/>
      <c r="F148" s="349"/>
    </row>
    <row r="149" spans="3:6" ht="10.5" customHeight="1">
      <c r="C149" s="461" t="s">
        <v>2767</v>
      </c>
      <c r="D149" s="561">
        <v>62400</v>
      </c>
      <c r="E149" s="349"/>
      <c r="F149" s="349"/>
    </row>
    <row r="150" spans="3:6" ht="10.5" customHeight="1">
      <c r="C150" s="462" t="s">
        <v>2769</v>
      </c>
      <c r="D150" s="561">
        <v>44200</v>
      </c>
      <c r="E150" s="349"/>
      <c r="F150" s="349"/>
    </row>
    <row r="151" spans="3:6" ht="10.5" customHeight="1">
      <c r="C151" s="462" t="s">
        <v>1157</v>
      </c>
      <c r="D151" s="561">
        <v>55600</v>
      </c>
      <c r="E151" s="349"/>
      <c r="F151" s="349"/>
    </row>
    <row r="152" spans="3:6" ht="10.5" customHeight="1">
      <c r="C152" s="462" t="s">
        <v>1160</v>
      </c>
      <c r="D152" s="561">
        <v>48700</v>
      </c>
      <c r="E152" s="349"/>
      <c r="F152" s="349"/>
    </row>
    <row r="153" spans="3:6" ht="10.5" customHeight="1">
      <c r="C153" s="462" t="s">
        <v>1163</v>
      </c>
      <c r="D153" s="561">
        <v>49100</v>
      </c>
      <c r="E153" s="349"/>
      <c r="F153" s="349"/>
    </row>
    <row r="154" spans="3:6" ht="10.5" customHeight="1">
      <c r="C154" s="461" t="s">
        <v>1165</v>
      </c>
      <c r="D154" s="561">
        <v>47500</v>
      </c>
      <c r="E154" s="349"/>
      <c r="F154" s="349"/>
    </row>
    <row r="155" spans="3:6" ht="10.5" customHeight="1">
      <c r="C155" s="462" t="s">
        <v>1167</v>
      </c>
      <c r="D155" s="561">
        <v>51100</v>
      </c>
      <c r="E155" s="349"/>
      <c r="F155" s="349"/>
    </row>
    <row r="156" spans="3:6" ht="10.5" customHeight="1">
      <c r="C156" s="462" t="s">
        <v>1169</v>
      </c>
      <c r="D156" s="561">
        <v>38300</v>
      </c>
      <c r="E156" s="349"/>
      <c r="F156" s="349"/>
    </row>
    <row r="157" spans="3:6" ht="10.5" customHeight="1">
      <c r="C157" s="462" t="s">
        <v>1171</v>
      </c>
      <c r="D157" s="561">
        <v>52300</v>
      </c>
      <c r="E157" s="349"/>
      <c r="F157" s="349"/>
    </row>
    <row r="158" spans="3:6" ht="10.5" customHeight="1">
      <c r="C158" s="461" t="s">
        <v>1173</v>
      </c>
      <c r="D158" s="561">
        <v>36600</v>
      </c>
      <c r="E158" s="349"/>
      <c r="F158" s="349"/>
    </row>
    <row r="159" spans="3:6" ht="10.5" customHeight="1">
      <c r="C159" s="461" t="s">
        <v>2416</v>
      </c>
      <c r="D159" s="561">
        <v>52300</v>
      </c>
      <c r="E159" s="349"/>
      <c r="F159" s="349"/>
    </row>
    <row r="160" spans="3:6" ht="10.5" customHeight="1">
      <c r="C160" s="462" t="s">
        <v>1412</v>
      </c>
      <c r="D160" s="561">
        <v>58500</v>
      </c>
      <c r="E160" s="349"/>
      <c r="F160" s="349"/>
    </row>
    <row r="161" spans="3:6" ht="10.5" customHeight="1">
      <c r="C161" s="462" t="s">
        <v>2307</v>
      </c>
      <c r="D161" s="561">
        <v>51500</v>
      </c>
      <c r="E161" s="349"/>
      <c r="F161" s="349"/>
    </row>
    <row r="162" spans="3:6" ht="10.5" customHeight="1">
      <c r="C162" s="462" t="s">
        <v>2309</v>
      </c>
      <c r="D162" s="561">
        <v>46700</v>
      </c>
      <c r="E162" s="349"/>
      <c r="F162" s="349"/>
    </row>
    <row r="163" spans="3:6" ht="10.5" customHeight="1">
      <c r="C163" s="462" t="s">
        <v>2311</v>
      </c>
      <c r="D163" s="561">
        <v>40400</v>
      </c>
      <c r="E163" s="349"/>
      <c r="F163" s="349"/>
    </row>
    <row r="164" spans="3:6" ht="10.5" customHeight="1">
      <c r="C164" s="462" t="s">
        <v>2314</v>
      </c>
      <c r="D164" s="561">
        <v>49300</v>
      </c>
      <c r="E164" s="349"/>
      <c r="F164" s="349"/>
    </row>
    <row r="165" spans="3:6" ht="10.5" customHeight="1">
      <c r="C165" s="461" t="s">
        <v>2316</v>
      </c>
      <c r="D165" s="561">
        <v>41100</v>
      </c>
      <c r="E165" s="349"/>
      <c r="F165" s="349"/>
    </row>
    <row r="166" spans="3:6" ht="10.5" customHeight="1">
      <c r="C166" s="461" t="s">
        <v>2318</v>
      </c>
      <c r="D166" s="561">
        <v>45200</v>
      </c>
      <c r="E166" s="349"/>
      <c r="F166" s="349"/>
    </row>
    <row r="167" spans="3:6" ht="10.5" customHeight="1">
      <c r="C167" s="462" t="s">
        <v>2320</v>
      </c>
      <c r="D167" s="561">
        <v>46100</v>
      </c>
      <c r="E167" s="349"/>
      <c r="F167" s="349"/>
    </row>
    <row r="168" spans="3:6" ht="10.5" customHeight="1">
      <c r="C168" s="462" t="s">
        <v>2322</v>
      </c>
      <c r="D168" s="561">
        <v>32300</v>
      </c>
      <c r="E168" s="349"/>
      <c r="F168" s="349"/>
    </row>
    <row r="169" spans="3:6" ht="10.5" customHeight="1">
      <c r="C169" s="462" t="s">
        <v>2324</v>
      </c>
      <c r="D169" s="561">
        <v>46900</v>
      </c>
      <c r="E169" s="349"/>
      <c r="F169" s="349"/>
    </row>
    <row r="170" spans="3:6" ht="10.5" customHeight="1">
      <c r="C170" s="462" t="s">
        <v>925</v>
      </c>
      <c r="D170" s="561">
        <v>40400</v>
      </c>
      <c r="E170" s="349"/>
      <c r="F170" s="349"/>
    </row>
    <row r="171" spans="3:6" ht="10.5" customHeight="1">
      <c r="C171" s="462" t="s">
        <v>927</v>
      </c>
      <c r="D171" s="561">
        <v>32900</v>
      </c>
      <c r="E171" s="349"/>
      <c r="F171" s="349"/>
    </row>
    <row r="172" spans="3:6" ht="10.5" customHeight="1">
      <c r="C172" s="462" t="s">
        <v>1780</v>
      </c>
      <c r="D172" s="561">
        <v>47100</v>
      </c>
      <c r="E172" s="349"/>
      <c r="F172" s="349"/>
    </row>
    <row r="173" spans="3:6" ht="10.5" customHeight="1">
      <c r="C173" s="462" t="s">
        <v>2042</v>
      </c>
      <c r="D173" s="561">
        <v>48800</v>
      </c>
      <c r="E173" s="349"/>
      <c r="F173" s="349"/>
    </row>
    <row r="174" spans="3:6" ht="10.5" customHeight="1">
      <c r="C174" s="461" t="s">
        <v>2044</v>
      </c>
      <c r="D174" s="561">
        <v>47500</v>
      </c>
      <c r="E174" s="349"/>
      <c r="F174" s="349"/>
    </row>
    <row r="175" spans="3:6" ht="10.5" customHeight="1">
      <c r="C175" s="461" t="s">
        <v>2046</v>
      </c>
      <c r="D175" s="561">
        <v>51400</v>
      </c>
      <c r="E175" s="349"/>
      <c r="F175" s="349"/>
    </row>
    <row r="176" spans="3:6" ht="10.5" customHeight="1">
      <c r="C176" s="461" t="s">
        <v>2048</v>
      </c>
      <c r="D176" s="561">
        <v>46100</v>
      </c>
      <c r="E176" s="349"/>
      <c r="F176" s="349"/>
    </row>
    <row r="177" spans="3:6" ht="10.5" customHeight="1">
      <c r="C177" s="461" t="s">
        <v>2050</v>
      </c>
      <c r="D177" s="561">
        <v>49000</v>
      </c>
      <c r="E177" s="349"/>
      <c r="F177" s="349"/>
    </row>
    <row r="178" spans="3:6" ht="10.5" customHeight="1">
      <c r="C178" s="461" t="s">
        <v>2052</v>
      </c>
      <c r="D178" s="561">
        <v>43600</v>
      </c>
      <c r="E178" s="349"/>
      <c r="F178" s="349"/>
    </row>
    <row r="179" spans="3:6" ht="10.5" customHeight="1">
      <c r="C179" s="462" t="s">
        <v>2055</v>
      </c>
      <c r="D179" s="561">
        <v>52800</v>
      </c>
      <c r="E179" s="349"/>
      <c r="F179" s="349"/>
    </row>
    <row r="180" spans="3:6" ht="10.5" customHeight="1">
      <c r="C180" s="461" t="s">
        <v>2142</v>
      </c>
      <c r="D180" s="561">
        <v>44600</v>
      </c>
      <c r="E180" s="349"/>
      <c r="F180" s="349"/>
    </row>
    <row r="181" spans="3:6" ht="10.5" customHeight="1">
      <c r="C181" s="461" t="s">
        <v>1815</v>
      </c>
      <c r="D181" s="561">
        <v>45200</v>
      </c>
      <c r="E181" s="349"/>
      <c r="F181" s="349"/>
    </row>
    <row r="182" spans="3:6" ht="10.5" customHeight="1">
      <c r="C182" s="462" t="s">
        <v>106</v>
      </c>
      <c r="D182" s="561">
        <v>48900</v>
      </c>
      <c r="E182" s="349"/>
      <c r="F182" s="349"/>
    </row>
    <row r="183" spans="3:6" ht="10.5" customHeight="1">
      <c r="C183" s="461" t="s">
        <v>1828</v>
      </c>
      <c r="D183" s="561">
        <v>64400</v>
      </c>
      <c r="E183" s="349"/>
      <c r="F183" s="349"/>
    </row>
    <row r="184" spans="3:6" ht="10.5" customHeight="1">
      <c r="C184" s="461" t="s">
        <v>108</v>
      </c>
      <c r="D184" s="561">
        <v>42000</v>
      </c>
      <c r="E184" s="349"/>
      <c r="F184" s="349"/>
    </row>
    <row r="185" spans="3:6" ht="10.5" customHeight="1">
      <c r="C185" s="461" t="s">
        <v>110</v>
      </c>
      <c r="D185" s="561">
        <v>46400</v>
      </c>
      <c r="E185" s="349"/>
      <c r="F185" s="349"/>
    </row>
    <row r="186" spans="3:6" ht="10.5" customHeight="1">
      <c r="C186" s="461" t="s">
        <v>112</v>
      </c>
      <c r="D186" s="561">
        <v>49900</v>
      </c>
      <c r="E186" s="349"/>
      <c r="F186" s="349"/>
    </row>
    <row r="187" spans="3:6" ht="10.5" customHeight="1">
      <c r="C187" s="461" t="s">
        <v>114</v>
      </c>
      <c r="D187" s="561">
        <v>47100</v>
      </c>
      <c r="E187" s="349"/>
      <c r="F187" s="349"/>
    </row>
    <row r="188" spans="3:6" ht="10.5" customHeight="1">
      <c r="C188" s="461" t="s">
        <v>116</v>
      </c>
      <c r="D188" s="561">
        <v>41500</v>
      </c>
      <c r="E188" s="349"/>
      <c r="F188" s="349"/>
    </row>
    <row r="189" spans="3:6" ht="10.5" customHeight="1">
      <c r="C189" s="461" t="s">
        <v>118</v>
      </c>
      <c r="D189" s="561">
        <v>53500</v>
      </c>
      <c r="E189" s="349"/>
      <c r="F189" s="349"/>
    </row>
    <row r="190" spans="3:6" ht="10.5" customHeight="1">
      <c r="C190" s="461" t="s">
        <v>2555</v>
      </c>
      <c r="D190" s="561">
        <v>40900</v>
      </c>
      <c r="E190" s="349"/>
      <c r="F190" s="349"/>
    </row>
    <row r="191" spans="3:6" ht="10.5" customHeight="1">
      <c r="C191" s="461" t="s">
        <v>2557</v>
      </c>
      <c r="D191" s="561">
        <v>38900</v>
      </c>
      <c r="E191" s="349"/>
      <c r="F191" s="349"/>
    </row>
    <row r="192" spans="3:6" ht="10.5" customHeight="1">
      <c r="C192" s="461" t="s">
        <v>2559</v>
      </c>
      <c r="D192" s="561">
        <v>46700</v>
      </c>
      <c r="E192" s="349"/>
      <c r="F192" s="349"/>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7"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activeCell="B2" sqref="B2"/>
    </sheetView>
  </sheetViews>
  <sheetFormatPr defaultRowHeight="12.75"/>
  <cols>
    <col min="1" max="16384" width="9.140625" style="1072"/>
  </cols>
  <sheetData>
    <row r="1" spans="1:1" ht="15.75">
      <c r="A1" s="1028" t="s">
        <v>1039</v>
      </c>
    </row>
    <row r="2" spans="1:1" ht="16.5">
      <c r="A2" s="1029" t="str">
        <f>'Part I-Project Information'!F23</f>
        <v>Willingham Village II</v>
      </c>
    </row>
    <row r="3" spans="1:1" ht="16.5">
      <c r="A3" s="1029" t="str">
        <f>CONCATENATE('Part I-Project Information'!F27,", ", 'Part I-Project Information'!J28," County")</f>
        <v>Rome, Floyd County</v>
      </c>
    </row>
    <row r="5" spans="1:1">
      <c r="A5" s="1709" t="str">
        <f>'Project Narrative'!A5</f>
        <v xml:space="preserve">The property was built in 1972 and consists of single story, single-family, duplex, and quadplex structures with unit sizes ranging from one to five bedrooms and consists of a total of 172 units.  Willingham Village is central to downtown Rome and nearby hospitals with access to public transportation and within two miles of big box retailers, grocery stores, schools, parks, restaurants, banks, a post office, pharmacy, church, public playground, and licensed day-care center.  Willingham Village will be developed in two phases; Phase 1 will consist of 97 units, 2014 DCA HOME NOFA funding, and Phase 2 will consist of gut rehabbing the remaining 75 units, applying for 2014 DCA 9% Low Income Housing Tax Credits.
The rehabilitation scope for the 75 units consists of a complete gutting of the interiors to allow for a new layout with larger bedrooms, baths, laundry room, and an open-plan living, dining and kitchen area.  New electrical, HVAC, and plumbing are planned.  All windows will be replaced with new energy code compliant units.  The roofs have already been replaced to address storm damage.  All fascias, soffits will be re-faced with pre-finished aluminum and new gutters and downspouts will be added.  Any wood siding will be replaced with cementitious siding.  A new construction community building will also be developed.
Existing parking lots, parking pads, and sidewalks will be replaced as required for damage and accessibility conflicts.  Existing sanitary sewer lines will be replaced manhole-to-manhole and from the units to the outfall points as necessary. Existing water lines will be replaced from the meter to the units as necessary.  Finally, the storm water management system, to include pipes and catch basins, will be improved where ponding and flooding is a problem.
Willingham Village has recently received RAD approval from HUD and was issued a CHAP ("Commitment to Enter into a Housing Assistance Payments) and we are waiting for HUD’s approval of Willingham Village to be converted as RAD multi-phased development.    The NWGHA will enter into a Project Based Voucher agreement with the partnership to provide the specified Contract Rents for a minimum period of 15 years.    The Northwest Georgia Housing Authority will ground lease the land to the Partnership for a nominal ($1,000) up-front payment for a term of 50 years.  The improvements will be sold to the Partnership for Fair Market Value and the proceeds will be used to pay off the existing CFFP Loan (loan secured by the assets and capital funds of the NWGHA).  The surplus proceeds from the sale will be loaned into the Partnership by the NWGHA as a seller note  Finally, at RAD conversion (closing), the Contract Rents as specified in Exhibit A to the CHAP will be paid to the project for occupied and vacant units to be used as an additional source of funds for the project.  As demonstrated in the attached application, the project is very well capitalized and represents an efficient use of Federal and Georgia LIHTC resources.
Amenities associated with the development of Willingham Village Phase II will consist of a community building, exterior gathering area, on site laundry, equipped playground, computer business center, wellness center, gazebo and picnic area.
The NWGHA will provide supportive services to the community and its residents.  These empowerment activities and services will provide adult literacy and financial literacy classes to residents, child care services, as well as include a self-sufficiency program, computer training program.  See below.
Additionally, the Board of the NWGHA adopted a resolution to allow for a target population preference to include "people with severe, chronic developmental disabilities who currently live in institutions or are at serious risk of institutionalization, people with persistent mental illness or reside in state hospitals, are at serious risk of institutionalization or are chronically homeless due to their disabilities, and persons qualifying for participation in the Money Follows the person program.
The NWGHA offers to its residents the following supportive services:
• ROSS Neighborhood Networks Program, 
• ROSS Elderly and Family Program, 
• Resident Associations, 
• ROSS Family Self Sufficiency,
• The House of the Children Academy, a state of the art licensed learning center.
</v>
      </c>
    </row>
    <row r="6" spans="1:1">
      <c r="A6" s="1709"/>
    </row>
    <row r="7" spans="1:1">
      <c r="A7" s="1709"/>
    </row>
    <row r="8" spans="1:1">
      <c r="A8" s="1709"/>
    </row>
    <row r="9" spans="1:1">
      <c r="A9" s="1709"/>
    </row>
    <row r="10" spans="1:1">
      <c r="A10" s="1709"/>
    </row>
    <row r="11" spans="1:1">
      <c r="A11" s="1709"/>
    </row>
    <row r="12" spans="1:1">
      <c r="A12" s="1709"/>
    </row>
    <row r="13" spans="1:1">
      <c r="A13" s="1709"/>
    </row>
    <row r="14" spans="1:1">
      <c r="A14" s="1709"/>
    </row>
    <row r="15" spans="1:1">
      <c r="A15" s="1709"/>
    </row>
    <row r="16" spans="1:1">
      <c r="A16" s="1709"/>
    </row>
    <row r="17" spans="1:16">
      <c r="A17" s="1709"/>
    </row>
    <row r="18" spans="1:16">
      <c r="A18" s="1709"/>
    </row>
    <row r="19" spans="1:16">
      <c r="A19" s="1709"/>
    </row>
    <row r="20" spans="1:16">
      <c r="A20" s="1709"/>
    </row>
    <row r="21" spans="1:16">
      <c r="A21" s="1709"/>
    </row>
    <row r="22" spans="1:16">
      <c r="A22" s="1709"/>
    </row>
    <row r="23" spans="1:16">
      <c r="A23" s="1709"/>
    </row>
    <row r="25" spans="1:16">
      <c r="A25" s="1657" t="str">
        <f>CONCATENATE("PART ONE - PROJECT INFORMATION"," - ",$O$4," ",$F$23,", ",'Part I-Project Information'!F51,", ",'Part I-Project Information'!J52," County")</f>
        <v>PART ONE - PROJECT INFORMATION -  , ,  County</v>
      </c>
      <c r="B25" s="1657"/>
      <c r="C25" s="1657"/>
      <c r="D25" s="1657"/>
      <c r="E25" s="1657"/>
      <c r="F25" s="1657"/>
      <c r="G25" s="1657"/>
      <c r="H25" s="1657"/>
      <c r="I25" s="1657"/>
      <c r="J25" s="1657"/>
      <c r="K25" s="1657"/>
      <c r="L25" s="1657"/>
      <c r="M25" s="1657"/>
      <c r="N25" s="1657"/>
      <c r="O25" s="1657"/>
      <c r="P25" s="1657"/>
    </row>
    <row r="26" spans="1:16">
      <c r="A26" s="1086"/>
      <c r="B26" s="1086"/>
      <c r="C26" s="1086"/>
      <c r="D26" s="1086"/>
      <c r="E26" s="1086"/>
      <c r="F26" s="1086"/>
      <c r="G26" s="1086"/>
      <c r="H26" s="1086"/>
      <c r="I26" s="1086"/>
      <c r="J26" s="1086"/>
      <c r="K26" s="1086"/>
      <c r="L26" s="1086"/>
      <c r="M26" s="1086"/>
      <c r="N26" s="1086"/>
      <c r="O26" s="1086"/>
      <c r="P26" s="1086"/>
    </row>
    <row r="27" spans="1:16" ht="13.5">
      <c r="A27" s="1102"/>
      <c r="B27" s="1086"/>
      <c r="C27" s="836" t="s">
        <v>2518</v>
      </c>
      <c r="D27" s="1102"/>
      <c r="E27" s="1102"/>
      <c r="F27" s="1086"/>
      <c r="G27" s="1088" t="s">
        <v>3640</v>
      </c>
      <c r="H27" s="1102"/>
      <c r="I27" s="1102"/>
      <c r="J27" s="1102"/>
      <c r="K27" s="1102"/>
      <c r="L27" s="1086"/>
      <c r="M27" s="1102"/>
      <c r="N27" s="1102"/>
      <c r="O27" s="1657" t="s">
        <v>2892</v>
      </c>
      <c r="P27" s="1657"/>
    </row>
    <row r="28" spans="1:16" ht="13.5">
      <c r="A28" s="1086"/>
      <c r="B28" s="837"/>
      <c r="C28" s="837"/>
      <c r="D28" s="1102"/>
      <c r="E28" s="1102"/>
      <c r="F28" s="1086"/>
      <c r="G28" s="1088" t="s">
        <v>3641</v>
      </c>
      <c r="H28" s="1089"/>
      <c r="I28" s="1089"/>
      <c r="J28" s="1089"/>
      <c r="K28" s="1102"/>
      <c r="L28" s="1102"/>
      <c r="M28" s="1102"/>
      <c r="N28" s="1102"/>
      <c r="O28" s="1657" t="str">
        <f>'Part I-Project Information'!O4</f>
        <v>2014-039</v>
      </c>
      <c r="P28" s="1657"/>
    </row>
    <row r="29" spans="1:16">
      <c r="A29" s="1086"/>
      <c r="B29" s="837"/>
      <c r="C29" s="837"/>
      <c r="D29" s="837"/>
      <c r="E29" s="1089"/>
      <c r="F29" s="1102"/>
      <c r="G29" s="1102"/>
      <c r="H29" s="1089"/>
      <c r="I29" s="1089"/>
      <c r="J29" s="1089"/>
      <c r="K29" s="836"/>
      <c r="L29" s="1102"/>
      <c r="M29" s="1089"/>
      <c r="N29" s="1102"/>
      <c r="O29" s="1102"/>
      <c r="P29" s="1102"/>
    </row>
    <row r="30" spans="1:16">
      <c r="A30" s="837" t="s">
        <v>657</v>
      </c>
      <c r="B30" s="837" t="s">
        <v>2531</v>
      </c>
      <c r="C30" s="1102"/>
      <c r="D30" s="1097"/>
      <c r="E30" s="838"/>
      <c r="F30" s="1087" t="s">
        <v>1836</v>
      </c>
      <c r="G30" s="1102"/>
      <c r="H30" s="1102"/>
      <c r="I30" s="1102"/>
      <c r="J30" s="1710">
        <f>'Part IV-Uses of Funds'!J197</f>
        <v>0</v>
      </c>
      <c r="K30" s="1710"/>
      <c r="L30" s="1102"/>
      <c r="M30" s="1089"/>
      <c r="N30" s="1102"/>
      <c r="O30" s="1102"/>
      <c r="P30" s="1102"/>
    </row>
    <row r="31" spans="1:16">
      <c r="A31" s="586"/>
      <c r="B31" s="586"/>
      <c r="C31" s="583"/>
      <c r="E31" s="839"/>
      <c r="F31" s="1102" t="s">
        <v>1369</v>
      </c>
      <c r="G31" s="583"/>
      <c r="H31" s="583"/>
      <c r="I31" s="583"/>
      <c r="J31" s="1711">
        <f>'Part III-Sources of Funds'!P28</f>
        <v>0</v>
      </c>
      <c r="K31" s="1711"/>
      <c r="L31" s="1102"/>
      <c r="M31" s="1089"/>
      <c r="N31" s="1102"/>
      <c r="O31" s="1102"/>
      <c r="P31" s="1102"/>
    </row>
    <row r="32" spans="1:16">
      <c r="A32" s="837"/>
      <c r="B32" s="837"/>
      <c r="C32" s="1102"/>
      <c r="D32" s="1097"/>
      <c r="E32" s="838"/>
      <c r="F32" s="838"/>
      <c r="G32" s="1102"/>
      <c r="H32" s="1102"/>
      <c r="I32" s="836"/>
      <c r="J32" s="1102"/>
      <c r="K32" s="1102"/>
      <c r="L32" s="1102"/>
      <c r="M32" s="1102"/>
      <c r="N32" s="840"/>
      <c r="O32" s="1102"/>
      <c r="P32" s="1102"/>
    </row>
    <row r="33" spans="1:16" ht="13.5">
      <c r="A33" s="836" t="s">
        <v>790</v>
      </c>
      <c r="B33" s="837" t="s">
        <v>2178</v>
      </c>
      <c r="C33" s="1102"/>
      <c r="D33" s="1102"/>
      <c r="E33" s="1102"/>
      <c r="F33" s="1701" t="str">
        <f>'Part I-Project Information'!F9</f>
        <v>Competitive Round</v>
      </c>
      <c r="G33" s="1701"/>
      <c r="H33" s="1701"/>
      <c r="I33" s="1092"/>
      <c r="J33" s="837" t="s">
        <v>3642</v>
      </c>
      <c r="K33" s="837"/>
      <c r="L33" s="1089"/>
      <c r="M33" s="1102"/>
      <c r="N33" s="1102"/>
      <c r="O33" s="1639" t="str">
        <f>'Part I-Project Information'!O9</f>
        <v>2014PA-017</v>
      </c>
      <c r="P33" s="1639"/>
    </row>
    <row r="34" spans="1:16">
      <c r="A34" s="1086"/>
      <c r="B34" s="1102"/>
      <c r="C34" s="1102"/>
      <c r="D34" s="1102"/>
      <c r="E34" s="1102"/>
      <c r="F34" s="1102"/>
      <c r="G34" s="1102"/>
      <c r="H34" s="1089"/>
      <c r="I34" s="1102"/>
      <c r="J34" s="1087" t="s">
        <v>2999</v>
      </c>
      <c r="K34" s="836"/>
      <c r="L34" s="1102"/>
      <c r="M34" s="1089"/>
      <c r="N34" s="1102"/>
      <c r="O34" s="1639" t="str">
        <f>'Part I-Project Information'!O10</f>
        <v>No</v>
      </c>
      <c r="P34" s="1639"/>
    </row>
    <row r="35" spans="1:16">
      <c r="A35" s="1102"/>
      <c r="B35" s="1102"/>
      <c r="C35" s="1102"/>
      <c r="D35" s="1102"/>
      <c r="E35" s="1102"/>
      <c r="F35" s="1102"/>
      <c r="G35" s="1102"/>
      <c r="H35" s="1102"/>
      <c r="I35" s="1097"/>
      <c r="J35" s="1097"/>
      <c r="K35" s="1097"/>
      <c r="L35" s="1097"/>
      <c r="M35" s="1097"/>
      <c r="N35" s="1097"/>
      <c r="O35" s="1097"/>
      <c r="P35" s="1097"/>
    </row>
    <row r="36" spans="1:16">
      <c r="A36" s="836" t="s">
        <v>792</v>
      </c>
      <c r="B36" s="837" t="s">
        <v>1571</v>
      </c>
      <c r="C36" s="1102"/>
      <c r="D36" s="1087"/>
      <c r="E36" s="838"/>
      <c r="F36" s="1102"/>
      <c r="G36" s="838"/>
      <c r="H36" s="838"/>
      <c r="I36" s="838"/>
      <c r="J36" s="1102"/>
      <c r="K36" s="840"/>
      <c r="L36" s="840"/>
      <c r="M36" s="1102"/>
      <c r="N36" s="1102"/>
      <c r="O36" s="1102"/>
      <c r="P36" s="1102"/>
    </row>
    <row r="37" spans="1:16">
      <c r="A37" s="836"/>
      <c r="B37" s="838"/>
      <c r="C37" s="837"/>
      <c r="D37" s="1087"/>
      <c r="E37" s="838"/>
      <c r="F37" s="1102"/>
      <c r="G37" s="838"/>
      <c r="H37" s="838"/>
      <c r="I37" s="838"/>
      <c r="J37" s="1102"/>
      <c r="K37" s="840"/>
      <c r="L37" s="840"/>
      <c r="M37" s="1102"/>
      <c r="N37" s="1102"/>
      <c r="O37" s="1086"/>
      <c r="P37" s="1102"/>
    </row>
    <row r="38" spans="1:16">
      <c r="A38" s="1102"/>
      <c r="B38" s="1102" t="s">
        <v>2450</v>
      </c>
      <c r="C38" s="1102"/>
      <c r="D38" s="1102"/>
      <c r="E38" s="1102"/>
      <c r="F38" s="1650" t="str">
        <f>'Part I-Project Information'!F14</f>
        <v>Jay Ronca</v>
      </c>
      <c r="G38" s="1650"/>
      <c r="H38" s="1650"/>
      <c r="I38" s="1650"/>
      <c r="J38" s="1650"/>
      <c r="K38" s="1650"/>
      <c r="L38" s="1650"/>
      <c r="M38" s="1087" t="s">
        <v>2115</v>
      </c>
      <c r="N38" s="1650" t="str">
        <f>'Part I-Project Information'!N14</f>
        <v>Vice President</v>
      </c>
      <c r="O38" s="1650"/>
      <c r="P38" s="1650"/>
    </row>
    <row r="39" spans="1:16">
      <c r="A39" s="1102"/>
      <c r="B39" s="1087" t="s">
        <v>2116</v>
      </c>
      <c r="C39" s="1102"/>
      <c r="D39" s="1102"/>
      <c r="E39" s="1102"/>
      <c r="F39" s="1650" t="str">
        <f>'Part I-Project Information'!F15</f>
        <v>1544 South Main Street</v>
      </c>
      <c r="G39" s="1650"/>
      <c r="H39" s="1650"/>
      <c r="I39" s="1650"/>
      <c r="J39" s="1650"/>
      <c r="K39" s="1650"/>
      <c r="L39" s="1650"/>
      <c r="M39" s="1087" t="s">
        <v>1842</v>
      </c>
      <c r="N39" s="1102"/>
      <c r="O39" s="1684">
        <f>'Part I-Project Information'!O15</f>
        <v>2564174920</v>
      </c>
      <c r="P39" s="1684"/>
    </row>
    <row r="40" spans="1:16">
      <c r="A40" s="1102"/>
      <c r="B40" s="1087" t="s">
        <v>659</v>
      </c>
      <c r="C40" s="1102"/>
      <c r="D40" s="1102"/>
      <c r="E40" s="1102"/>
      <c r="F40" s="1650" t="str">
        <f>'Part I-Project Information'!F16</f>
        <v>Fyffe</v>
      </c>
      <c r="G40" s="1650"/>
      <c r="H40" s="1650"/>
      <c r="I40" s="1102"/>
      <c r="J40" s="1102"/>
      <c r="K40" s="1102"/>
      <c r="L40" s="1102"/>
      <c r="M40" s="1087" t="s">
        <v>1926</v>
      </c>
      <c r="N40" s="1102"/>
      <c r="O40" s="1684">
        <f>'Part I-Project Information'!O16</f>
        <v>2566233944</v>
      </c>
      <c r="P40" s="1684"/>
    </row>
    <row r="41" spans="1:16">
      <c r="A41" s="1102"/>
      <c r="B41" s="1087" t="s">
        <v>1923</v>
      </c>
      <c r="C41" s="1102"/>
      <c r="D41" s="1102"/>
      <c r="E41" s="1102"/>
      <c r="F41" s="1094" t="str">
        <f>'Part I-Project Information'!F17</f>
        <v>AL</v>
      </c>
      <c r="G41" s="1102"/>
      <c r="H41" s="1102"/>
      <c r="I41" s="1089" t="s">
        <v>2375</v>
      </c>
      <c r="J41" s="1694">
        <f>'Part I-Project Information'!J17</f>
        <v>359713484</v>
      </c>
      <c r="K41" s="1694"/>
      <c r="L41" s="1102"/>
      <c r="M41" s="1087" t="s">
        <v>2114</v>
      </c>
      <c r="N41" s="1102"/>
      <c r="O41" s="1684">
        <f>'Part I-Project Information'!O17</f>
        <v>4047887162</v>
      </c>
      <c r="P41" s="1684"/>
    </row>
    <row r="42" spans="1:16">
      <c r="A42" s="1102"/>
      <c r="B42" s="1087" t="s">
        <v>1841</v>
      </c>
      <c r="C42" s="1102"/>
      <c r="D42" s="1102"/>
      <c r="E42" s="1102"/>
      <c r="F42" s="1684">
        <f>'Part I-Project Information'!F18</f>
        <v>2564174920</v>
      </c>
      <c r="G42" s="1684"/>
      <c r="H42" s="1684"/>
      <c r="I42" s="1089" t="s">
        <v>1840</v>
      </c>
      <c r="J42" s="1089">
        <f>'Part I-Project Information'!J18</f>
        <v>224</v>
      </c>
      <c r="K42" s="1089" t="s">
        <v>2119</v>
      </c>
      <c r="L42" s="1650" t="str">
        <f>'Part I-Project Information'!L18</f>
        <v>jronca@thevantagegroup.biz</v>
      </c>
      <c r="M42" s="1650"/>
      <c r="N42" s="1650"/>
      <c r="O42" s="1650"/>
      <c r="P42" s="1650"/>
    </row>
    <row r="43" spans="1:16" ht="13.5">
      <c r="A43" s="837"/>
      <c r="B43" s="1088" t="s">
        <v>699</v>
      </c>
      <c r="C43" s="1102"/>
      <c r="D43" s="838"/>
      <c r="E43" s="1102"/>
      <c r="F43" s="1102"/>
      <c r="G43" s="838"/>
      <c r="H43" s="838"/>
      <c r="I43" s="838"/>
      <c r="J43" s="1102"/>
      <c r="K43" s="1102"/>
      <c r="L43" s="1102"/>
      <c r="M43" s="1102"/>
      <c r="N43" s="1102"/>
      <c r="O43" s="1102"/>
      <c r="P43" s="1102"/>
    </row>
    <row r="44" spans="1:16">
      <c r="A44" s="1086"/>
      <c r="B44" s="1086"/>
      <c r="C44" s="1097"/>
      <c r="D44" s="1102"/>
      <c r="E44" s="1102"/>
      <c r="F44" s="1102"/>
      <c r="G44" s="1102"/>
      <c r="H44" s="1089"/>
      <c r="I44" s="1102"/>
      <c r="J44" s="1097"/>
      <c r="K44" s="1102"/>
      <c r="L44" s="1102"/>
      <c r="M44" s="1102"/>
      <c r="N44" s="1102"/>
      <c r="O44" s="1102"/>
      <c r="P44" s="1099"/>
    </row>
    <row r="45" spans="1:16">
      <c r="A45" s="836" t="s">
        <v>1916</v>
      </c>
      <c r="B45" s="837" t="s">
        <v>1572</v>
      </c>
      <c r="C45" s="1102"/>
      <c r="D45" s="1097"/>
      <c r="E45" s="838"/>
      <c r="F45" s="838"/>
      <c r="G45" s="1087"/>
      <c r="H45" s="838"/>
      <c r="I45" s="838"/>
      <c r="J45" s="838"/>
      <c r="K45" s="1102"/>
      <c r="L45" s="840"/>
      <c r="M45" s="840"/>
      <c r="N45" s="1102"/>
      <c r="O45" s="1102"/>
      <c r="P45" s="1102"/>
    </row>
    <row r="46" spans="1:16">
      <c r="A46" s="836"/>
      <c r="B46" s="837"/>
      <c r="C46" s="1102"/>
      <c r="D46" s="1097"/>
      <c r="E46" s="838"/>
      <c r="F46" s="838"/>
      <c r="G46" s="1087"/>
      <c r="H46" s="838"/>
      <c r="I46" s="838"/>
      <c r="J46" s="838"/>
      <c r="K46" s="1102"/>
      <c r="L46" s="840"/>
      <c r="M46" s="1102"/>
      <c r="N46" s="1102"/>
      <c r="O46" s="1102"/>
      <c r="P46" s="1102"/>
    </row>
    <row r="47" spans="1:16">
      <c r="A47" s="837"/>
      <c r="B47" s="1102" t="s">
        <v>658</v>
      </c>
      <c r="C47" s="1102"/>
      <c r="D47" s="837"/>
      <c r="E47" s="1102"/>
      <c r="F47" s="1650" t="str">
        <f>'Part I-Project Information'!F23</f>
        <v>Willingham Village II</v>
      </c>
      <c r="G47" s="1650"/>
      <c r="H47" s="1650"/>
      <c r="I47" s="1650"/>
      <c r="J47" s="1650"/>
      <c r="K47" s="1650"/>
      <c r="L47" s="1650"/>
      <c r="M47" s="1087" t="s">
        <v>2332</v>
      </c>
      <c r="N47" s="1102"/>
      <c r="O47" s="1650" t="str">
        <f>'Part I-Project Information'!O23</f>
        <v>Yes - no Master Plan</v>
      </c>
      <c r="P47" s="1650"/>
    </row>
    <row r="48" spans="1:16">
      <c r="A48" s="841"/>
      <c r="B48" s="1102" t="s">
        <v>2931</v>
      </c>
      <c r="C48" s="1102"/>
      <c r="D48" s="840"/>
      <c r="E48" s="1102"/>
      <c r="F48" s="1650" t="str">
        <f>'Part I-Project Information'!F24</f>
        <v>15 Brookwood Avenue</v>
      </c>
      <c r="G48" s="1650"/>
      <c r="H48" s="1650"/>
      <c r="I48" s="1650"/>
      <c r="J48" s="1650"/>
      <c r="K48" s="1650"/>
      <c r="L48" s="1650"/>
      <c r="M48" s="1087" t="s">
        <v>2188</v>
      </c>
      <c r="N48" s="1102"/>
      <c r="O48" s="1650" t="str">
        <f>'Part I-Project Information'!O24</f>
        <v>No</v>
      </c>
      <c r="P48" s="1650"/>
    </row>
    <row r="49" spans="1:16">
      <c r="A49" s="841"/>
      <c r="B49" s="1102" t="s">
        <v>3643</v>
      </c>
      <c r="C49" s="1102"/>
      <c r="D49" s="840"/>
      <c r="E49" s="1102"/>
      <c r="F49" s="1650">
        <f>'Part I-Project Information'!F25</f>
        <v>0</v>
      </c>
      <c r="G49" s="1650"/>
      <c r="H49" s="1650"/>
      <c r="I49" s="1650"/>
      <c r="J49" s="1650"/>
      <c r="K49" s="1650"/>
      <c r="L49" s="1650"/>
      <c r="M49" s="1087" t="s">
        <v>3005</v>
      </c>
      <c r="N49" s="1102"/>
      <c r="O49" s="1712">
        <f>'Part I-Project Information'!O25</f>
        <v>0</v>
      </c>
      <c r="P49" s="1712"/>
    </row>
    <row r="50" spans="1:16">
      <c r="A50" s="841"/>
      <c r="B50" s="1102" t="s">
        <v>3233</v>
      </c>
      <c r="C50" s="1102"/>
      <c r="D50" s="840"/>
      <c r="E50" s="1102"/>
      <c r="F50" s="1650" t="str">
        <f>'Part I-Project Information'!F26</f>
        <v>Lat: 34 16'20.06"N  Long:85 12'8.29" W</v>
      </c>
      <c r="G50" s="1650"/>
      <c r="H50" s="1650"/>
      <c r="I50" s="1650"/>
      <c r="J50" s="1650"/>
      <c r="K50" s="1650"/>
      <c r="L50" s="1650"/>
      <c r="M50" s="1087" t="s">
        <v>2431</v>
      </c>
      <c r="N50" s="1102"/>
      <c r="O50" s="1708">
        <f>'Part I-Project Information'!O26</f>
        <v>29.956</v>
      </c>
      <c r="P50" s="1708"/>
    </row>
    <row r="51" spans="1:16" ht="16.5">
      <c r="A51" s="1086"/>
      <c r="B51" s="1102" t="s">
        <v>659</v>
      </c>
      <c r="C51" s="1102"/>
      <c r="D51" s="1102"/>
      <c r="E51" s="1102"/>
      <c r="F51" s="1650" t="str">
        <f>'Part I-Project Information'!F27</f>
        <v>Rome</v>
      </c>
      <c r="G51" s="1650"/>
      <c r="H51" s="1650"/>
      <c r="I51" s="1092" t="s">
        <v>3644</v>
      </c>
      <c r="J51" s="1694">
        <f>'Part I-Project Information'!J27</f>
        <v>301652319</v>
      </c>
      <c r="K51" s="1694"/>
      <c r="L51" s="837" t="str">
        <f>IF(AND(NOT(F47=""),NOT(F51="Select from list"),J51=""),"Enter Zip!","")</f>
        <v/>
      </c>
      <c r="M51" s="1093" t="s">
        <v>2443</v>
      </c>
      <c r="N51" s="1102"/>
      <c r="O51" s="1650" t="str">
        <f>'Part I-Project Information'!O27</f>
        <v>5.00</v>
      </c>
      <c r="P51" s="1650"/>
    </row>
    <row r="52" spans="1:16">
      <c r="A52" s="1086"/>
      <c r="B52" s="1102" t="s">
        <v>3208</v>
      </c>
      <c r="C52" s="1102"/>
      <c r="D52" s="1102"/>
      <c r="E52" s="1102"/>
      <c r="F52" s="1650" t="str">
        <f>'Part I-Project Information'!F28</f>
        <v>Within City Limits</v>
      </c>
      <c r="G52" s="1650"/>
      <c r="H52" s="1650"/>
      <c r="I52" s="842" t="s">
        <v>660</v>
      </c>
      <c r="J52" s="1686" t="str">
        <f>'Part I-Project Information'!J28</f>
        <v>Floyd</v>
      </c>
      <c r="K52" s="1686"/>
      <c r="L52" s="1102"/>
      <c r="M52" s="1087" t="s">
        <v>475</v>
      </c>
      <c r="N52" s="876" t="str">
        <f>'Part I-Project Information'!N28</f>
        <v>Yes</v>
      </c>
      <c r="O52" s="840" t="s">
        <v>476</v>
      </c>
      <c r="P52" s="876" t="str">
        <f>'Part I-Project Information'!P28</f>
        <v>No</v>
      </c>
    </row>
    <row r="53" spans="1:16">
      <c r="A53" s="1086"/>
      <c r="B53" s="837"/>
      <c r="C53" s="1102" t="s">
        <v>1666</v>
      </c>
      <c r="D53" s="1102"/>
      <c r="E53" s="1102"/>
      <c r="F53" s="1087" t="str">
        <f>'Part I-Project Information'!F29</f>
        <v>No</v>
      </c>
      <c r="G53" s="1639" t="s">
        <v>3234</v>
      </c>
      <c r="H53" s="1639"/>
      <c r="I53" s="1089">
        <f>'Part I-Project Information'!I2</f>
        <v>0</v>
      </c>
      <c r="J53" s="1089" t="s">
        <v>3258</v>
      </c>
      <c r="K53" s="1089" t="str">
        <f>IF(OR(F53="Yes",I53="Yes"),"Rural","Urban")</f>
        <v>Urban</v>
      </c>
      <c r="L53" s="1102"/>
      <c r="M53" s="1087" t="s">
        <v>2794</v>
      </c>
      <c r="N53" s="1086" t="str">
        <f>'Part I-Project Information'!N29</f>
        <v>MSA</v>
      </c>
      <c r="O53" s="1650" t="str">
        <f>'Part I-Project Information'!O29</f>
        <v>Rome</v>
      </c>
      <c r="P53" s="1650"/>
    </row>
    <row r="54" spans="1:16">
      <c r="A54" s="1086"/>
      <c r="B54" s="837"/>
      <c r="C54" s="837"/>
      <c r="D54" s="1102"/>
      <c r="E54" s="1102"/>
      <c r="F54" s="1102"/>
      <c r="G54" s="1102"/>
      <c r="H54" s="1102"/>
      <c r="I54" s="1087"/>
      <c r="J54" s="1102"/>
      <c r="K54" s="1102"/>
      <c r="L54" s="1110"/>
      <c r="M54" s="1110"/>
      <c r="N54" s="1110"/>
      <c r="O54" s="1110"/>
      <c r="P54" s="1110"/>
    </row>
    <row r="55" spans="1:16" ht="13.5">
      <c r="A55" s="1086"/>
      <c r="B55" s="1102"/>
      <c r="C55" s="1102" t="s">
        <v>3645</v>
      </c>
      <c r="D55" s="1102"/>
      <c r="E55" s="1102"/>
      <c r="F55" s="1695" t="s">
        <v>3151</v>
      </c>
      <c r="G55" s="1695"/>
      <c r="H55" s="1639" t="s">
        <v>786</v>
      </c>
      <c r="I55" s="1639"/>
      <c r="J55" s="1639" t="s">
        <v>787</v>
      </c>
      <c r="K55" s="1639"/>
      <c r="L55" s="843" t="s">
        <v>3632</v>
      </c>
      <c r="M55" s="1102"/>
      <c r="N55" s="1102"/>
      <c r="O55" s="1102"/>
      <c r="P55" s="1102"/>
    </row>
    <row r="56" spans="1:16">
      <c r="A56" s="1086"/>
      <c r="B56" s="1102" t="s">
        <v>3646</v>
      </c>
      <c r="C56" s="1102"/>
      <c r="D56" s="837"/>
      <c r="E56" s="1102"/>
      <c r="F56" s="1705">
        <f>'Part I-Project Information'!F32</f>
        <v>14</v>
      </c>
      <c r="G56" s="1705"/>
      <c r="H56" s="1705">
        <f>'Part I-Project Information'!H32</f>
        <v>53</v>
      </c>
      <c r="I56" s="1705"/>
      <c r="J56" s="1705">
        <f>'Part I-Project Information'!J32</f>
        <v>3</v>
      </c>
      <c r="K56" s="1705"/>
      <c r="L56" s="844" t="s">
        <v>1364</v>
      </c>
      <c r="M56" s="1102"/>
      <c r="N56" s="1707" t="s">
        <v>1365</v>
      </c>
      <c r="O56" s="1707"/>
      <c r="P56" s="1707"/>
    </row>
    <row r="57" spans="1:16">
      <c r="A57" s="1086"/>
      <c r="B57" s="1087" t="s">
        <v>788</v>
      </c>
      <c r="C57" s="1102"/>
      <c r="D57" s="1102"/>
      <c r="E57" s="1102"/>
      <c r="F57" s="1705">
        <f>'Part I-Project Information'!F33</f>
        <v>0</v>
      </c>
      <c r="G57" s="1705"/>
      <c r="H57" s="1705">
        <f>'Part I-Project Information'!H33</f>
        <v>0</v>
      </c>
      <c r="I57" s="1705"/>
      <c r="J57" s="1705">
        <f>'Part I-Project Information'!J33</f>
        <v>0</v>
      </c>
      <c r="K57" s="1705"/>
      <c r="L57" s="844" t="s">
        <v>3149</v>
      </c>
      <c r="M57" s="1102"/>
      <c r="N57" s="1706" t="s">
        <v>3148</v>
      </c>
      <c r="O57" s="1706"/>
      <c r="P57" s="1102"/>
    </row>
    <row r="58" spans="1:16">
      <c r="A58" s="1086"/>
      <c r="B58" s="1102"/>
      <c r="C58" s="1102"/>
      <c r="D58" s="1102"/>
      <c r="E58" s="1102"/>
      <c r="F58" s="1102"/>
      <c r="G58" s="1102"/>
      <c r="H58" s="1102"/>
      <c r="I58" s="1110"/>
      <c r="J58" s="1110"/>
      <c r="K58" s="1110"/>
      <c r="L58" s="1102"/>
      <c r="M58" s="1102"/>
      <c r="N58" s="1102"/>
      <c r="O58" s="1102"/>
      <c r="P58" s="1102"/>
    </row>
    <row r="59" spans="1:16">
      <c r="A59" s="1086"/>
      <c r="B59" s="837" t="s">
        <v>678</v>
      </c>
      <c r="C59" s="1102"/>
      <c r="D59" s="1102"/>
      <c r="E59" s="1102"/>
      <c r="F59" s="1704" t="str">
        <f>'Part I-Project Information'!F35</f>
        <v>City of Rome</v>
      </c>
      <c r="G59" s="1704"/>
      <c r="H59" s="1704"/>
      <c r="I59" s="1704"/>
      <c r="J59" s="1704"/>
      <c r="K59" s="1704"/>
      <c r="L59" s="1102"/>
      <c r="M59" s="1091" t="s">
        <v>2944</v>
      </c>
      <c r="N59" s="1650" t="str">
        <f>'Part I-Project Information'!N35</f>
        <v>www.romefloyd.com</v>
      </c>
      <c r="O59" s="1650"/>
      <c r="P59" s="1650"/>
    </row>
    <row r="60" spans="1:16">
      <c r="A60" s="1086"/>
      <c r="B60" s="1102" t="s">
        <v>679</v>
      </c>
      <c r="C60" s="1102"/>
      <c r="D60" s="1102"/>
      <c r="E60" s="1102"/>
      <c r="F60" s="1650" t="str">
        <f>'Part I-Project Information'!F36</f>
        <v>Mayor Jamie Doss</v>
      </c>
      <c r="G60" s="1650"/>
      <c r="H60" s="1650"/>
      <c r="I60" s="1089" t="s">
        <v>2115</v>
      </c>
      <c r="J60" s="1650" t="str">
        <f>'Part I-Project Information'!J36</f>
        <v>Mayor</v>
      </c>
      <c r="K60" s="1650"/>
      <c r="L60" s="1650"/>
      <c r="M60" s="1087" t="s">
        <v>1924</v>
      </c>
      <c r="N60" s="1650" t="str">
        <f>'Part I-Project Information'!N36</f>
        <v>jdoss@romega.us</v>
      </c>
      <c r="O60" s="1650"/>
      <c r="P60" s="1650"/>
    </row>
    <row r="61" spans="1:16">
      <c r="A61" s="1086"/>
      <c r="B61" s="1102" t="s">
        <v>2116</v>
      </c>
      <c r="C61" s="1102"/>
      <c r="D61" s="1102"/>
      <c r="E61" s="1102"/>
      <c r="F61" s="1704" t="str">
        <f>'Part I-Project Information'!F37</f>
        <v>601 Broad Street</v>
      </c>
      <c r="G61" s="1704"/>
      <c r="H61" s="1704"/>
      <c r="I61" s="1704"/>
      <c r="J61" s="1704"/>
      <c r="K61" s="1704"/>
      <c r="L61" s="1102"/>
      <c r="M61" s="1087" t="s">
        <v>659</v>
      </c>
      <c r="N61" s="1650" t="str">
        <f>'Part I-Project Information'!N37</f>
        <v>Rome</v>
      </c>
      <c r="O61" s="1650"/>
      <c r="P61" s="1650"/>
    </row>
    <row r="62" spans="1:16">
      <c r="A62" s="1086"/>
      <c r="B62" s="1087" t="s">
        <v>2375</v>
      </c>
      <c r="C62" s="1102"/>
      <c r="D62" s="1102"/>
      <c r="E62" s="1102"/>
      <c r="F62" s="1694">
        <f>'Part I-Project Information'!F38</f>
        <v>301621433</v>
      </c>
      <c r="G62" s="1694"/>
      <c r="H62" s="1089" t="s">
        <v>2117</v>
      </c>
      <c r="I62" s="1685">
        <f>'Part I-Project Information'!I38</f>
        <v>7062364400</v>
      </c>
      <c r="J62" s="1685"/>
      <c r="K62" s="1685"/>
      <c r="L62" s="1102"/>
      <c r="M62" s="1087" t="s">
        <v>1926</v>
      </c>
      <c r="N62" s="1684">
        <f>'Part I-Project Information'!N38</f>
        <v>7062364405</v>
      </c>
      <c r="O62" s="1684"/>
      <c r="P62" s="1102"/>
    </row>
    <row r="63" spans="1:16">
      <c r="A63" s="1086"/>
      <c r="B63" s="1086"/>
      <c r="C63" s="845"/>
      <c r="D63" s="1092"/>
      <c r="E63" s="1092"/>
      <c r="F63" s="1089"/>
      <c r="G63" s="1089"/>
      <c r="H63" s="1089"/>
      <c r="I63" s="1089"/>
      <c r="J63" s="1092"/>
      <c r="K63" s="1089"/>
      <c r="L63" s="1089"/>
      <c r="M63" s="1102"/>
      <c r="N63" s="1102"/>
      <c r="O63" s="1102"/>
      <c r="P63" s="1099"/>
    </row>
    <row r="64" spans="1:16">
      <c r="A64" s="836" t="s">
        <v>1918</v>
      </c>
      <c r="B64" s="837" t="s">
        <v>1573</v>
      </c>
      <c r="C64" s="1102"/>
      <c r="D64" s="1102"/>
      <c r="E64" s="1102"/>
      <c r="F64" s="846"/>
      <c r="G64" s="1102"/>
      <c r="H64" s="1102"/>
      <c r="I64" s="1087"/>
      <c r="J64" s="1102"/>
      <c r="K64" s="1102"/>
      <c r="L64" s="1102"/>
      <c r="M64" s="1102"/>
      <c r="N64" s="1102"/>
      <c r="O64" s="1102"/>
      <c r="P64" s="1102"/>
    </row>
    <row r="65" spans="1:16">
      <c r="A65" s="1086"/>
      <c r="B65" s="837"/>
      <c r="C65" s="837"/>
      <c r="D65" s="1102"/>
      <c r="E65" s="1102"/>
      <c r="F65" s="1102"/>
      <c r="G65" s="1102"/>
      <c r="H65" s="1102"/>
      <c r="I65" s="1087"/>
      <c r="J65" s="1102"/>
      <c r="K65" s="1102"/>
      <c r="L65" s="1102"/>
      <c r="M65" s="1102"/>
      <c r="N65" s="1102"/>
      <c r="O65" s="1102"/>
      <c r="P65" s="1102"/>
    </row>
    <row r="66" spans="1:16">
      <c r="A66" s="1086"/>
      <c r="B66" s="1086" t="s">
        <v>2118</v>
      </c>
      <c r="C66" s="837" t="s">
        <v>3647</v>
      </c>
      <c r="D66" s="1102"/>
      <c r="E66" s="1102"/>
      <c r="F66" s="1102"/>
      <c r="G66" s="1102"/>
      <c r="H66" s="1102"/>
      <c r="I66" s="1102"/>
      <c r="J66" s="1102"/>
      <c r="K66" s="844"/>
      <c r="L66" s="1102"/>
      <c r="M66" s="847"/>
      <c r="N66" s="847"/>
      <c r="O66" s="847"/>
      <c r="P66" s="847"/>
    </row>
    <row r="67" spans="1:16">
      <c r="A67" s="1097"/>
      <c r="B67" s="1086"/>
      <c r="C67" s="1102" t="s">
        <v>2444</v>
      </c>
      <c r="D67" s="1102"/>
      <c r="E67" s="1102"/>
      <c r="F67" s="1103">
        <f>'Part I-Project Information'!F43</f>
        <v>0</v>
      </c>
      <c r="G67" s="1097"/>
      <c r="H67" s="1087" t="s">
        <v>384</v>
      </c>
      <c r="I67" s="1097"/>
      <c r="J67" s="1102"/>
      <c r="K67" s="1097"/>
      <c r="L67" s="1097"/>
      <c r="M67" s="1090">
        <f>'Part VI-Revenues &amp; Expenses'!$M$81</f>
        <v>0</v>
      </c>
      <c r="N67" s="1097"/>
      <c r="O67" s="1097"/>
      <c r="P67" s="1097"/>
    </row>
    <row r="68" spans="1:16">
      <c r="A68" s="1086"/>
      <c r="B68" s="1086"/>
      <c r="C68" s="848" t="s">
        <v>365</v>
      </c>
      <c r="D68" s="1102"/>
      <c r="E68" s="1102"/>
      <c r="F68" s="1090">
        <f>'Part VI-Revenues &amp; Expenses'!$M$80</f>
        <v>0</v>
      </c>
      <c r="G68" s="1102"/>
      <c r="H68" s="848" t="s">
        <v>385</v>
      </c>
      <c r="I68" s="1102"/>
      <c r="J68" s="1102"/>
      <c r="K68" s="1102"/>
      <c r="L68" s="1102"/>
      <c r="M68" s="1090">
        <f>'Part VI-Revenues &amp; Expenses'!$M$82</f>
        <v>0</v>
      </c>
      <c r="N68" s="1102"/>
      <c r="O68" s="1102"/>
      <c r="P68" s="1102"/>
    </row>
    <row r="69" spans="1:16">
      <c r="A69" s="1102"/>
      <c r="B69" s="1086"/>
      <c r="C69" s="1087" t="s">
        <v>364</v>
      </c>
      <c r="D69" s="1102"/>
      <c r="E69" s="1102"/>
      <c r="F69" s="1090">
        <f>'Part VI-Revenues &amp; Expenses'!$M$77</f>
        <v>75</v>
      </c>
      <c r="G69" s="849" t="s">
        <v>3001</v>
      </c>
      <c r="H69" s="1102" t="s">
        <v>366</v>
      </c>
      <c r="I69" s="1102"/>
      <c r="J69" s="1102"/>
      <c r="K69" s="1102"/>
      <c r="L69" s="1102"/>
      <c r="M69" s="1030">
        <f>'Part I-Project Information'!M45</f>
        <v>26633</v>
      </c>
      <c r="N69" s="1102"/>
      <c r="O69" s="1102"/>
      <c r="P69" s="1102"/>
    </row>
    <row r="70" spans="1:16">
      <c r="A70" s="1086"/>
      <c r="B70" s="1102"/>
      <c r="C70" s="1102"/>
      <c r="D70" s="1102"/>
      <c r="E70" s="1102"/>
      <c r="F70" s="1102"/>
      <c r="G70" s="1102"/>
      <c r="H70" s="1102"/>
      <c r="I70" s="1102"/>
      <c r="J70" s="1102"/>
      <c r="K70" s="1102"/>
      <c r="L70" s="1102"/>
      <c r="M70" s="1102"/>
      <c r="N70" s="1102"/>
      <c r="O70" s="1102"/>
      <c r="P70" s="1102"/>
    </row>
    <row r="71" spans="1:16">
      <c r="A71" s="1086"/>
      <c r="B71" s="1086" t="s">
        <v>2121</v>
      </c>
      <c r="C71" s="837" t="s">
        <v>2445</v>
      </c>
      <c r="D71" s="1102"/>
      <c r="E71" s="1102"/>
      <c r="F71" s="1089" t="str">
        <f>'Part I-Project Information'!F47</f>
        <v>No</v>
      </c>
      <c r="G71" s="1102"/>
      <c r="H71" s="1102"/>
      <c r="I71" s="1102"/>
      <c r="J71" s="1102"/>
      <c r="K71" s="1102"/>
      <c r="L71" s="1102"/>
      <c r="M71" s="847"/>
      <c r="N71" s="847"/>
      <c r="O71" s="847"/>
      <c r="P71" s="844"/>
    </row>
    <row r="72" spans="1:16">
      <c r="A72" s="1086"/>
      <c r="B72" s="1102"/>
      <c r="C72" s="1102"/>
      <c r="D72" s="1102"/>
      <c r="E72" s="1102"/>
      <c r="F72" s="1102"/>
      <c r="G72" s="1102"/>
      <c r="H72" s="1102"/>
      <c r="I72" s="1102"/>
      <c r="J72" s="844"/>
      <c r="K72" s="850"/>
      <c r="L72" s="844"/>
      <c r="M72" s="850"/>
      <c r="N72" s="850"/>
      <c r="O72" s="850"/>
      <c r="P72" s="850"/>
    </row>
    <row r="73" spans="1:16">
      <c r="A73" s="1086"/>
      <c r="B73" s="841" t="s">
        <v>799</v>
      </c>
      <c r="C73" s="837" t="s">
        <v>2424</v>
      </c>
      <c r="D73" s="1102"/>
      <c r="E73" s="1102"/>
      <c r="F73" s="1102"/>
      <c r="G73" s="1102"/>
      <c r="H73" s="1102"/>
      <c r="I73" s="1675" t="s">
        <v>1511</v>
      </c>
      <c r="J73" s="841" t="s">
        <v>2253</v>
      </c>
      <c r="K73" s="851" t="s">
        <v>2451</v>
      </c>
      <c r="L73" s="1102"/>
      <c r="M73" s="1102"/>
      <c r="N73" s="1102"/>
      <c r="O73" s="1102"/>
      <c r="P73" s="1089"/>
    </row>
    <row r="74" spans="1:16">
      <c r="A74" s="1086"/>
      <c r="B74" s="1094"/>
      <c r="C74" s="1097" t="s">
        <v>2425</v>
      </c>
      <c r="D74" s="1102"/>
      <c r="E74" s="1102"/>
      <c r="F74" s="1102"/>
      <c r="G74" s="1102"/>
      <c r="H74" s="1103">
        <f>SUM(H75:H76)</f>
        <v>75</v>
      </c>
      <c r="I74" s="1703"/>
      <c r="J74" s="1086"/>
      <c r="K74" s="1097" t="s">
        <v>3223</v>
      </c>
      <c r="L74" s="1102"/>
      <c r="M74" s="1102"/>
      <c r="N74" s="1102"/>
      <c r="O74" s="1102"/>
      <c r="P74" s="1103">
        <f>'Part VI-Revenues &amp; Expenses'!$M$96</f>
        <v>75294</v>
      </c>
    </row>
    <row r="75" spans="1:16">
      <c r="A75" s="1086"/>
      <c r="B75" s="1097"/>
      <c r="C75" s="1102"/>
      <c r="D75" s="852" t="s">
        <v>404</v>
      </c>
      <c r="E75" s="1102"/>
      <c r="F75" s="1102"/>
      <c r="G75" s="1102"/>
      <c r="H75" s="1103">
        <f>'Part VI-Revenues &amp; Expenses'!$M$57</f>
        <v>0</v>
      </c>
      <c r="I75" s="1103">
        <f>'Part VI-Revenues &amp; Expenses'!$M$65</f>
        <v>0</v>
      </c>
      <c r="J75" s="1102"/>
      <c r="K75" s="1097" t="s">
        <v>3224</v>
      </c>
      <c r="L75" s="1102"/>
      <c r="M75" s="1102"/>
      <c r="N75" s="1102"/>
      <c r="O75" s="1102"/>
      <c r="P75" s="1103">
        <f>'Part VI-Revenues &amp; Expenses'!$M$97</f>
        <v>0</v>
      </c>
    </row>
    <row r="76" spans="1:16">
      <c r="A76" s="1086"/>
      <c r="B76" s="1102"/>
      <c r="C76" s="1102"/>
      <c r="D76" s="852" t="s">
        <v>1949</v>
      </c>
      <c r="E76" s="852"/>
      <c r="F76" s="1102"/>
      <c r="G76" s="1102"/>
      <c r="H76" s="1103">
        <f>'Part VI-Revenues &amp; Expenses'!$M$56</f>
        <v>75</v>
      </c>
      <c r="I76" s="1103">
        <f>'Part VI-Revenues &amp; Expenses'!$M$64</f>
        <v>75</v>
      </c>
      <c r="J76" s="1102"/>
      <c r="K76" s="1097" t="s">
        <v>3225</v>
      </c>
      <c r="L76" s="1102"/>
      <c r="M76" s="1102"/>
      <c r="N76" s="1102"/>
      <c r="O76" s="1102"/>
      <c r="P76" s="1103">
        <f>+P74+P75</f>
        <v>75294</v>
      </c>
    </row>
    <row r="77" spans="1:16">
      <c r="A77" s="1086"/>
      <c r="B77" s="1102"/>
      <c r="C77" s="1097" t="s">
        <v>266</v>
      </c>
      <c r="D77" s="1102"/>
      <c r="E77" s="1102"/>
      <c r="F77" s="1102"/>
      <c r="G77" s="1102"/>
      <c r="H77" s="1103">
        <f>'Part VI-Revenues &amp; Expenses'!$M$59</f>
        <v>0</v>
      </c>
      <c r="I77" s="1102"/>
      <c r="J77" s="1086"/>
      <c r="K77" s="1097" t="s">
        <v>3226</v>
      </c>
      <c r="L77" s="1102"/>
      <c r="M77" s="1102"/>
      <c r="N77" s="1102"/>
      <c r="O77" s="1102"/>
      <c r="P77" s="1103">
        <f>'Part VI-Revenues &amp; Expenses'!$M$99</f>
        <v>0</v>
      </c>
    </row>
    <row r="78" spans="1:16">
      <c r="A78" s="1086"/>
      <c r="B78" s="1102"/>
      <c r="C78" s="1097" t="s">
        <v>2570</v>
      </c>
      <c r="D78" s="1102"/>
      <c r="E78" s="1102"/>
      <c r="F78" s="1102"/>
      <c r="G78" s="1102"/>
      <c r="H78" s="1103">
        <f>+H74+H77</f>
        <v>75</v>
      </c>
      <c r="I78" s="1102"/>
      <c r="J78" s="1086"/>
      <c r="K78" s="1097" t="s">
        <v>1513</v>
      </c>
      <c r="L78" s="1102"/>
      <c r="M78" s="1102"/>
      <c r="N78" s="1102"/>
      <c r="O78" s="1102"/>
      <c r="P78" s="1103">
        <f>+P76+P77</f>
        <v>75294</v>
      </c>
    </row>
    <row r="79" spans="1:16">
      <c r="A79" s="1086"/>
      <c r="B79" s="1102"/>
      <c r="C79" s="1097" t="s">
        <v>2571</v>
      </c>
      <c r="D79" s="1102"/>
      <c r="E79" s="1102"/>
      <c r="F79" s="1102"/>
      <c r="G79" s="1102"/>
      <c r="H79" s="1103">
        <f>'Part VI-Revenues &amp; Expenses'!$M$61</f>
        <v>0</v>
      </c>
      <c r="I79" s="1102"/>
      <c r="J79" s="1086"/>
      <c r="K79" s="1102"/>
      <c r="L79" s="1102"/>
      <c r="M79" s="1102"/>
      <c r="N79" s="1102"/>
      <c r="O79" s="1102"/>
      <c r="P79" s="1102"/>
    </row>
    <row r="80" spans="1:16">
      <c r="A80" s="1086"/>
      <c r="B80" s="1102"/>
      <c r="C80" s="1097" t="s">
        <v>1917</v>
      </c>
      <c r="D80" s="1102"/>
      <c r="E80" s="1102"/>
      <c r="F80" s="1102"/>
      <c r="G80" s="1102"/>
      <c r="H80" s="1103">
        <f>+H78+H79</f>
        <v>75</v>
      </c>
      <c r="I80" s="1102"/>
      <c r="J80" s="1102"/>
      <c r="K80" s="1102"/>
      <c r="L80" s="1102"/>
      <c r="M80" s="1102"/>
      <c r="N80" s="1102"/>
      <c r="O80" s="1102"/>
      <c r="P80" s="1102"/>
    </row>
    <row r="81" spans="1:16">
      <c r="A81" s="1086"/>
      <c r="B81" s="1102"/>
      <c r="C81" s="1102"/>
      <c r="D81" s="1102"/>
      <c r="E81" s="1102"/>
      <c r="F81" s="1102"/>
      <c r="G81" s="1102"/>
      <c r="H81" s="1102"/>
      <c r="I81" s="1089"/>
      <c r="J81" s="1102"/>
      <c r="K81" s="1102"/>
      <c r="L81" s="1089"/>
      <c r="M81" s="1089"/>
      <c r="N81" s="1102"/>
      <c r="O81" s="1102"/>
      <c r="P81" s="1099"/>
    </row>
    <row r="82" spans="1:16">
      <c r="A82" s="1086"/>
      <c r="B82" s="1086" t="s">
        <v>1857</v>
      </c>
      <c r="C82" s="837" t="s">
        <v>2446</v>
      </c>
      <c r="D82" s="852" t="s">
        <v>2132</v>
      </c>
      <c r="E82" s="1102"/>
      <c r="F82" s="1102"/>
      <c r="G82" s="1102"/>
      <c r="H82" s="1103">
        <f>'Part I-Project Information'!H58</f>
        <v>38</v>
      </c>
      <c r="I82" s="1102"/>
      <c r="J82" s="1102"/>
      <c r="K82" s="1097" t="s">
        <v>1192</v>
      </c>
      <c r="L82" s="1102"/>
      <c r="M82" s="1102"/>
      <c r="N82" s="1102"/>
      <c r="O82" s="1102"/>
      <c r="P82" s="1103">
        <f>'Part I-Project Information'!P58</f>
        <v>0</v>
      </c>
    </row>
    <row r="83" spans="1:16">
      <c r="A83" s="1086"/>
      <c r="B83" s="1086"/>
      <c r="C83" s="1102"/>
      <c r="D83" s="1094" t="s">
        <v>2133</v>
      </c>
      <c r="E83" s="1102"/>
      <c r="F83" s="1102"/>
      <c r="G83" s="1102"/>
      <c r="H83" s="1103">
        <f>'Part I-Project Information'!H59</f>
        <v>1</v>
      </c>
      <c r="I83" s="1102"/>
      <c r="J83" s="1102"/>
      <c r="K83" s="1097" t="s">
        <v>265</v>
      </c>
      <c r="L83" s="1102"/>
      <c r="M83" s="1102"/>
      <c r="N83" s="1102"/>
      <c r="O83" s="1102"/>
      <c r="P83" s="1103">
        <f>+P78+P82</f>
        <v>75294</v>
      </c>
    </row>
    <row r="84" spans="1:16">
      <c r="A84" s="1086"/>
      <c r="B84" s="1086"/>
      <c r="C84" s="1102"/>
      <c r="D84" s="1094" t="s">
        <v>2134</v>
      </c>
      <c r="E84" s="1102"/>
      <c r="F84" s="1102"/>
      <c r="G84" s="1102"/>
      <c r="H84" s="1103">
        <f>+H82+H83</f>
        <v>39</v>
      </c>
      <c r="I84" s="1102"/>
      <c r="J84" s="1102"/>
      <c r="K84" s="1102"/>
      <c r="L84" s="1102"/>
      <c r="M84" s="1102"/>
      <c r="N84" s="1102"/>
      <c r="O84" s="1102"/>
      <c r="P84" s="1102"/>
    </row>
    <row r="85" spans="1:16">
      <c r="A85" s="1086"/>
      <c r="B85" s="1086"/>
      <c r="C85" s="1102"/>
      <c r="D85" s="1102"/>
      <c r="E85" s="1102"/>
      <c r="F85" s="1102"/>
      <c r="G85" s="1089"/>
      <c r="H85" s="1102"/>
      <c r="I85" s="1097"/>
      <c r="J85" s="1102"/>
      <c r="K85" s="1102"/>
      <c r="L85" s="1102"/>
      <c r="M85" s="1102"/>
      <c r="N85" s="1102"/>
      <c r="O85" s="1102"/>
      <c r="P85" s="1099"/>
    </row>
    <row r="86" spans="1:16">
      <c r="A86" s="1086"/>
      <c r="B86" s="1086" t="s">
        <v>1858</v>
      </c>
      <c r="C86" s="837" t="s">
        <v>3392</v>
      </c>
      <c r="D86" s="1102"/>
      <c r="E86" s="1102"/>
      <c r="F86" s="1102"/>
      <c r="G86" s="1102"/>
      <c r="H86" s="1103">
        <f>'Part I-Project Information'!H62</f>
        <v>113</v>
      </c>
      <c r="I86" s="1102"/>
      <c r="J86" s="1102"/>
      <c r="K86" s="1102" t="s">
        <v>3399</v>
      </c>
      <c r="L86" s="1102"/>
      <c r="M86" s="1102"/>
      <c r="N86" s="1102"/>
      <c r="O86" s="1102"/>
      <c r="P86" s="1102"/>
    </row>
    <row r="87" spans="1:16">
      <c r="A87" s="1086"/>
      <c r="B87" s="1086"/>
      <c r="C87" s="1097"/>
      <c r="D87" s="1102"/>
      <c r="E87" s="1102"/>
      <c r="F87" s="1102"/>
      <c r="G87" s="1089"/>
      <c r="H87" s="1102"/>
      <c r="I87" s="1097"/>
      <c r="J87" s="1097"/>
      <c r="K87" s="1102"/>
      <c r="L87" s="1102"/>
      <c r="M87" s="1102"/>
      <c r="N87" s="1102"/>
      <c r="O87" s="1102"/>
      <c r="P87" s="1099"/>
    </row>
    <row r="88" spans="1:16">
      <c r="A88" s="1086" t="s">
        <v>563</v>
      </c>
      <c r="B88" s="853" t="s">
        <v>1262</v>
      </c>
      <c r="C88" s="1102"/>
      <c r="D88" s="853"/>
      <c r="E88" s="853"/>
      <c r="F88" s="1102"/>
      <c r="G88" s="1089"/>
      <c r="H88" s="1102"/>
      <c r="I88" s="1102"/>
      <c r="J88" s="1102"/>
      <c r="K88" s="1102"/>
      <c r="L88" s="1102"/>
      <c r="M88" s="1102"/>
      <c r="N88" s="1102"/>
      <c r="O88" s="1102"/>
      <c r="P88" s="1099"/>
    </row>
    <row r="89" spans="1:16">
      <c r="A89" s="1086"/>
      <c r="B89" s="1102"/>
      <c r="C89" s="1098"/>
      <c r="D89" s="1098"/>
      <c r="E89" s="1098"/>
      <c r="F89" s="1102"/>
      <c r="G89" s="1089"/>
      <c r="H89" s="1102"/>
      <c r="I89" s="1102"/>
      <c r="J89" s="1102"/>
      <c r="K89" s="1102"/>
      <c r="L89" s="1102"/>
      <c r="M89" s="1102"/>
      <c r="N89" s="1102"/>
      <c r="O89" s="1102"/>
      <c r="P89" s="1099"/>
    </row>
    <row r="90" spans="1:16">
      <c r="A90" s="1086"/>
      <c r="B90" s="1086" t="s">
        <v>2118</v>
      </c>
      <c r="C90" s="836" t="s">
        <v>3648</v>
      </c>
      <c r="D90" s="1098"/>
      <c r="E90" s="1098"/>
      <c r="F90" s="1102"/>
      <c r="G90" s="1089"/>
      <c r="H90" s="1700" t="str">
        <f>'Part I-Project Information'!H66</f>
        <v>Family</v>
      </c>
      <c r="I90" s="1700"/>
      <c r="J90" s="1102"/>
      <c r="K90" s="1650" t="s">
        <v>1896</v>
      </c>
      <c r="L90" s="1650"/>
      <c r="M90" s="1102"/>
      <c r="N90" s="1650">
        <f>'Part I-Project Information'!N66</f>
        <v>0</v>
      </c>
      <c r="O90" s="1650"/>
      <c r="P90" s="1650"/>
    </row>
    <row r="91" spans="1:16">
      <c r="A91" s="1086"/>
      <c r="B91" s="1086"/>
      <c r="C91" s="1102"/>
      <c r="D91" s="1094"/>
      <c r="E91" s="1094"/>
      <c r="F91" s="1094"/>
      <c r="G91" s="1094"/>
      <c r="H91" s="1102"/>
      <c r="I91" s="1089"/>
      <c r="J91" s="1102"/>
      <c r="K91" s="1087"/>
      <c r="L91" s="1087"/>
      <c r="M91" s="1089"/>
      <c r="N91" s="1102"/>
      <c r="O91" s="1102"/>
      <c r="P91" s="1099"/>
    </row>
    <row r="92" spans="1:16">
      <c r="A92" s="1086"/>
      <c r="B92" s="1086" t="s">
        <v>2121</v>
      </c>
      <c r="C92" s="837" t="s">
        <v>1503</v>
      </c>
      <c r="D92" s="1102"/>
      <c r="E92" s="852"/>
      <c r="F92" s="1094" t="s">
        <v>850</v>
      </c>
      <c r="G92" s="1102"/>
      <c r="H92" s="1103">
        <f>'Part I-Project Information'!H68</f>
        <v>4</v>
      </c>
      <c r="I92" s="1102"/>
      <c r="J92" s="1102"/>
      <c r="K92" s="1650" t="s">
        <v>553</v>
      </c>
      <c r="L92" s="1650"/>
      <c r="M92" s="1102"/>
      <c r="N92" s="1102"/>
      <c r="O92" s="1102"/>
      <c r="P92" s="854">
        <f>IF('Part VI-Revenues &amp; Expenses'!$M$62=0,0,H92/'Part VI-Revenues &amp; Expenses'!$M$62)</f>
        <v>5.3333333333333337E-2</v>
      </c>
    </row>
    <row r="93" spans="1:16">
      <c r="A93" s="1086"/>
      <c r="B93" s="1086"/>
      <c r="C93" s="1102"/>
      <c r="D93" s="1094" t="s">
        <v>3390</v>
      </c>
      <c r="E93" s="1094"/>
      <c r="F93" s="1094" t="s">
        <v>850</v>
      </c>
      <c r="G93" s="1102"/>
      <c r="H93" s="1103">
        <f>'Part I-Project Information'!H69</f>
        <v>0</v>
      </c>
      <c r="I93" s="1102"/>
      <c r="J93" s="1102"/>
      <c r="K93" s="1102" t="s">
        <v>3391</v>
      </c>
      <c r="L93" s="1102"/>
      <c r="M93" s="1102"/>
      <c r="N93" s="1102"/>
      <c r="O93" s="1102"/>
      <c r="P93" s="854">
        <f>IF(H92=0,0,H93/H92)</f>
        <v>0</v>
      </c>
    </row>
    <row r="94" spans="1:16">
      <c r="A94" s="1086"/>
      <c r="B94" s="1086"/>
      <c r="C94" s="1102"/>
      <c r="D94" s="1094"/>
      <c r="E94" s="1094"/>
      <c r="F94" s="1094"/>
      <c r="G94" s="1102"/>
      <c r="H94" s="1102"/>
      <c r="I94" s="1089"/>
      <c r="J94" s="1102"/>
      <c r="K94" s="1087"/>
      <c r="L94" s="1087"/>
      <c r="M94" s="1089"/>
      <c r="N94" s="1102"/>
      <c r="O94" s="1102"/>
      <c r="P94" s="1089"/>
    </row>
    <row r="95" spans="1:16">
      <c r="A95" s="1086"/>
      <c r="B95" s="1086" t="s">
        <v>799</v>
      </c>
      <c r="C95" s="837" t="s">
        <v>1972</v>
      </c>
      <c r="D95" s="852"/>
      <c r="E95" s="852"/>
      <c r="F95" s="1094" t="s">
        <v>850</v>
      </c>
      <c r="G95" s="1102"/>
      <c r="H95" s="1103">
        <f>'Part I-Project Information'!H71</f>
        <v>2</v>
      </c>
      <c r="I95" s="1102"/>
      <c r="J95" s="1102"/>
      <c r="K95" s="1650" t="s">
        <v>553</v>
      </c>
      <c r="L95" s="1650"/>
      <c r="M95" s="1102"/>
      <c r="N95" s="1102"/>
      <c r="O95" s="1102"/>
      <c r="P95" s="854">
        <f>IF('Part VI-Revenues &amp; Expenses'!$M$62=0,0,H95/'Part VI-Revenues &amp; Expenses'!$M$62)</f>
        <v>2.6666666666666668E-2</v>
      </c>
    </row>
    <row r="96" spans="1:16">
      <c r="A96" s="1086"/>
      <c r="B96" s="1086"/>
      <c r="C96" s="1102"/>
      <c r="D96" s="1094"/>
      <c r="E96" s="1094"/>
      <c r="F96" s="1094"/>
      <c r="G96" s="1094"/>
      <c r="H96" s="1102"/>
      <c r="I96" s="1089"/>
      <c r="J96" s="1089"/>
      <c r="K96" s="1089"/>
      <c r="L96" s="1089"/>
      <c r="M96" s="1089"/>
      <c r="N96" s="1102"/>
      <c r="O96" s="1102"/>
      <c r="P96" s="1099"/>
    </row>
    <row r="97" spans="1:16">
      <c r="A97" s="851" t="s">
        <v>823</v>
      </c>
      <c r="B97" s="1098" t="s">
        <v>2533</v>
      </c>
      <c r="C97" s="1102"/>
      <c r="D97" s="1094"/>
      <c r="E97" s="1094"/>
      <c r="F97" s="1094"/>
      <c r="G97" s="1094"/>
      <c r="H97" s="1094"/>
      <c r="I97" s="1089"/>
      <c r="J97" s="1102"/>
      <c r="K97" s="1102"/>
      <c r="L97" s="1102"/>
      <c r="M97" s="1089"/>
      <c r="N97" s="1102"/>
      <c r="O97" s="1102"/>
      <c r="P97" s="1099"/>
    </row>
    <row r="98" spans="1:16">
      <c r="A98" s="1086"/>
      <c r="B98" s="1086"/>
      <c r="C98" s="1098"/>
      <c r="D98" s="1094"/>
      <c r="E98" s="1094"/>
      <c r="F98" s="1094"/>
      <c r="G98" s="1102"/>
      <c r="H98" s="1102"/>
      <c r="I98" s="1102"/>
      <c r="J98" s="1102"/>
      <c r="K98" s="1102"/>
      <c r="L98" s="1089"/>
      <c r="M98" s="1089"/>
      <c r="N98" s="1102"/>
      <c r="O98" s="1102"/>
      <c r="P98" s="1099"/>
    </row>
    <row r="99" spans="1:16">
      <c r="A99" s="1086"/>
      <c r="B99" s="1086" t="s">
        <v>2118</v>
      </c>
      <c r="C99" s="836" t="s">
        <v>2532</v>
      </c>
      <c r="D99" s="1094"/>
      <c r="E99" s="1094"/>
      <c r="F99" s="1094"/>
      <c r="G99" s="1102"/>
      <c r="H99" s="1700" t="s">
        <v>924</v>
      </c>
      <c r="I99" s="1700"/>
      <c r="J99" s="1700"/>
      <c r="K99" s="1102"/>
      <c r="L99" s="1102"/>
      <c r="M99" s="1089"/>
      <c r="N99" s="1102"/>
      <c r="O99" s="1102"/>
      <c r="P99" s="1099"/>
    </row>
    <row r="100" spans="1:16">
      <c r="A100" s="1086"/>
      <c r="B100" s="1086"/>
      <c r="C100" s="1102"/>
      <c r="D100" s="1094"/>
      <c r="E100" s="1094"/>
      <c r="F100" s="1094"/>
      <c r="G100" s="1094"/>
      <c r="H100" s="1102"/>
      <c r="I100" s="1089"/>
      <c r="J100" s="1089"/>
      <c r="K100" s="1089"/>
      <c r="L100" s="1089"/>
      <c r="M100" s="1089"/>
      <c r="N100" s="1102"/>
      <c r="O100" s="1102"/>
      <c r="P100" s="1099"/>
    </row>
    <row r="101" spans="1:16">
      <c r="A101" s="1102"/>
      <c r="B101" s="1086" t="s">
        <v>2121</v>
      </c>
      <c r="C101" s="837" t="s">
        <v>1640</v>
      </c>
      <c r="D101" s="1102"/>
      <c r="E101" s="1102"/>
      <c r="F101" s="1102"/>
      <c r="G101" s="1102"/>
      <c r="H101" s="1102"/>
      <c r="I101" s="1102"/>
      <c r="J101" s="1102"/>
      <c r="K101" s="1087" t="s">
        <v>923</v>
      </c>
      <c r="L101" s="1102"/>
      <c r="M101" s="1102"/>
      <c r="N101" s="855"/>
      <c r="O101" s="1102"/>
      <c r="P101" s="1089">
        <f>'Part I-Project Information'!P77</f>
        <v>0</v>
      </c>
    </row>
    <row r="102" spans="1:16">
      <c r="A102" s="1086"/>
      <c r="B102" s="1086"/>
      <c r="C102" s="837"/>
      <c r="D102" s="1094"/>
      <c r="E102" s="1094"/>
      <c r="F102" s="1094"/>
      <c r="G102" s="1094"/>
      <c r="H102" s="1102"/>
      <c r="I102" s="1089"/>
      <c r="J102" s="1089"/>
      <c r="K102" s="1089"/>
      <c r="L102" s="1089"/>
      <c r="M102" s="1089"/>
      <c r="N102" s="1102"/>
      <c r="O102" s="1102"/>
      <c r="P102" s="1099"/>
    </row>
    <row r="103" spans="1:16">
      <c r="A103" s="851" t="s">
        <v>308</v>
      </c>
      <c r="B103" s="1098" t="s">
        <v>2179</v>
      </c>
      <c r="C103" s="1102"/>
      <c r="D103" s="1094"/>
      <c r="E103" s="1102"/>
      <c r="F103" s="1102"/>
      <c r="G103" s="1102"/>
      <c r="H103" s="1102"/>
      <c r="I103" s="1102"/>
      <c r="J103" s="1102"/>
      <c r="K103" s="1102"/>
      <c r="L103" s="1102"/>
      <c r="M103" s="1102"/>
      <c r="N103" s="1102"/>
      <c r="O103" s="1102"/>
      <c r="P103" s="1102"/>
    </row>
    <row r="104" spans="1:16">
      <c r="A104" s="1086"/>
      <c r="B104" s="1086"/>
      <c r="C104" s="1102"/>
      <c r="D104" s="1094"/>
      <c r="E104" s="1102"/>
      <c r="F104" s="1102"/>
      <c r="G104" s="1102"/>
      <c r="H104" s="1102"/>
      <c r="I104" s="1102"/>
      <c r="J104" s="1102"/>
      <c r="K104" s="1102"/>
      <c r="L104" s="1102"/>
      <c r="M104" s="1102"/>
      <c r="N104" s="1102"/>
      <c r="O104" s="1102"/>
      <c r="P104" s="1099"/>
    </row>
    <row r="105" spans="1:16">
      <c r="A105" s="851"/>
      <c r="B105" s="1086" t="s">
        <v>2118</v>
      </c>
      <c r="C105" s="837" t="s">
        <v>2950</v>
      </c>
      <c r="D105" s="1102"/>
      <c r="E105" s="1102"/>
      <c r="F105" s="852" t="s">
        <v>2782</v>
      </c>
      <c r="G105" s="1102"/>
      <c r="H105" s="1089" t="str">
        <f>'Part I-Project Information'!H81</f>
        <v>No</v>
      </c>
      <c r="I105" s="1102"/>
      <c r="J105" s="1102"/>
      <c r="K105" s="1102"/>
      <c r="L105" s="1102"/>
      <c r="M105" s="1102"/>
      <c r="N105" s="1102"/>
      <c r="O105" s="1102"/>
      <c r="P105" s="1102"/>
    </row>
    <row r="106" spans="1:16">
      <c r="A106" s="1086"/>
      <c r="B106" s="1086"/>
      <c r="C106" s="1098"/>
      <c r="D106" s="1102"/>
      <c r="E106" s="1102"/>
      <c r="F106" s="1094"/>
      <c r="G106" s="1102"/>
      <c r="H106" s="1094"/>
      <c r="I106" s="1102"/>
      <c r="J106" s="1089"/>
      <c r="K106" s="1089"/>
      <c r="L106" s="1089"/>
      <c r="M106" s="1089"/>
      <c r="N106" s="1089"/>
      <c r="O106" s="1102"/>
      <c r="P106" s="1099"/>
    </row>
    <row r="107" spans="1:16">
      <c r="A107" s="851"/>
      <c r="B107" s="1086" t="s">
        <v>2121</v>
      </c>
      <c r="C107" s="837" t="s">
        <v>2951</v>
      </c>
      <c r="D107" s="1102"/>
      <c r="E107" s="1102"/>
      <c r="F107" s="1087" t="s">
        <v>2881</v>
      </c>
      <c r="G107" s="1102"/>
      <c r="H107" s="1089" t="str">
        <f>'Part I-Project Information'!H83</f>
        <v>No</v>
      </c>
      <c r="I107" s="856" t="s">
        <v>2952</v>
      </c>
      <c r="J107" s="1089"/>
      <c r="K107" s="1089"/>
      <c r="L107" s="1089"/>
      <c r="M107" s="1089"/>
      <c r="N107" s="1089"/>
      <c r="O107" s="1089"/>
      <c r="P107" s="1102"/>
    </row>
    <row r="108" spans="1:16">
      <c r="A108" s="1086"/>
      <c r="B108" s="1086"/>
      <c r="C108" s="837"/>
      <c r="D108" s="1094"/>
      <c r="E108" s="1094"/>
      <c r="F108" s="1094"/>
      <c r="G108" s="1094"/>
      <c r="H108" s="1102"/>
      <c r="I108" s="1089"/>
      <c r="J108" s="1089"/>
      <c r="K108" s="1089"/>
      <c r="L108" s="1089"/>
      <c r="M108" s="1089"/>
      <c r="N108" s="1102"/>
      <c r="O108" s="1102"/>
      <c r="P108" s="1099"/>
    </row>
    <row r="109" spans="1:16">
      <c r="A109" s="851" t="s">
        <v>445</v>
      </c>
      <c r="B109" s="1098" t="s">
        <v>3236</v>
      </c>
      <c r="C109" s="1102"/>
      <c r="D109" s="1094"/>
      <c r="E109" s="1102"/>
      <c r="F109" s="1102"/>
      <c r="G109" s="1102"/>
      <c r="H109" s="1650" t="str">
        <f>'Part I-Project Information'!H85</f>
        <v>Flexible</v>
      </c>
      <c r="I109" s="1650"/>
      <c r="J109" s="1089"/>
      <c r="K109" s="1102"/>
      <c r="L109" s="1102"/>
      <c r="M109" s="1102"/>
      <c r="N109" s="1102"/>
      <c r="O109" s="1102"/>
      <c r="P109" s="1102"/>
    </row>
    <row r="110" spans="1:16">
      <c r="A110" s="1086"/>
      <c r="B110" s="1102"/>
      <c r="C110" s="1102"/>
      <c r="D110" s="1092"/>
      <c r="E110" s="1102"/>
      <c r="F110" s="1102"/>
      <c r="G110" s="1102"/>
      <c r="H110" s="1102"/>
      <c r="I110" s="1092"/>
      <c r="J110" s="1097"/>
      <c r="K110" s="1102"/>
      <c r="L110" s="1102"/>
      <c r="M110" s="1102"/>
      <c r="N110" s="1102"/>
      <c r="O110" s="1102"/>
      <c r="P110" s="1099"/>
    </row>
    <row r="111" spans="1:16">
      <c r="A111" s="851" t="s">
        <v>381</v>
      </c>
      <c r="B111" s="851" t="s">
        <v>1260</v>
      </c>
      <c r="C111" s="1102"/>
      <c r="D111" s="1102"/>
      <c r="E111" s="1102"/>
      <c r="F111" s="1102"/>
      <c r="G111" s="1102"/>
      <c r="H111" s="1102"/>
      <c r="I111" s="1092"/>
      <c r="J111" s="1097"/>
      <c r="K111" s="1102"/>
      <c r="L111" s="1102"/>
      <c r="M111" s="1102"/>
      <c r="N111" s="1102"/>
      <c r="O111" s="1102"/>
      <c r="P111" s="1099"/>
    </row>
    <row r="112" spans="1:16">
      <c r="A112" s="851"/>
      <c r="B112" s="1086"/>
      <c r="C112" s="851"/>
      <c r="D112" s="1102"/>
      <c r="E112" s="1102"/>
      <c r="F112" s="1102"/>
      <c r="G112" s="1102"/>
      <c r="H112" s="1102"/>
      <c r="I112" s="1092"/>
      <c r="J112" s="1097"/>
      <c r="K112" s="1102"/>
      <c r="L112" s="1102"/>
      <c r="M112" s="1102"/>
      <c r="N112" s="1102"/>
      <c r="O112" s="1102"/>
      <c r="P112" s="1102"/>
    </row>
    <row r="113" spans="1:16">
      <c r="A113" s="1086"/>
      <c r="B113" s="1086"/>
      <c r="C113" s="1097" t="s">
        <v>585</v>
      </c>
      <c r="D113" s="1102"/>
      <c r="E113" s="1650">
        <f>'Part I-Project Information'!E89</f>
        <v>0</v>
      </c>
      <c r="F113" s="1650"/>
      <c r="G113" s="1650"/>
      <c r="H113" s="1650"/>
      <c r="I113" s="1650"/>
      <c r="J113" s="1650"/>
      <c r="K113" s="1650"/>
      <c r="L113" s="1650"/>
      <c r="M113" s="1700" t="s">
        <v>586</v>
      </c>
      <c r="N113" s="1700"/>
      <c r="O113" s="1696">
        <f>'Part I-Project Information'!O89</f>
        <v>0</v>
      </c>
      <c r="P113" s="1696"/>
    </row>
    <row r="114" spans="1:16">
      <c r="A114" s="1102"/>
      <c r="B114" s="1102"/>
      <c r="C114" s="1087" t="s">
        <v>1083</v>
      </c>
      <c r="D114" s="840"/>
      <c r="E114" s="1650">
        <f>'Part I-Project Information'!E90</f>
        <v>0</v>
      </c>
      <c r="F114" s="1650"/>
      <c r="G114" s="1650"/>
      <c r="H114" s="1650"/>
      <c r="I114" s="1650"/>
      <c r="J114" s="1650"/>
      <c r="K114" s="1650"/>
      <c r="L114" s="1650"/>
      <c r="M114" s="1700" t="s">
        <v>862</v>
      </c>
      <c r="N114" s="1700"/>
      <c r="O114" s="1686">
        <f>'Part I-Project Information'!O90</f>
        <v>0</v>
      </c>
      <c r="P114" s="1686"/>
    </row>
    <row r="115" spans="1:16">
      <c r="A115" s="1102"/>
      <c r="B115" s="1102"/>
      <c r="C115" s="1087" t="s">
        <v>659</v>
      </c>
      <c r="D115" s="1102"/>
      <c r="E115" s="1650">
        <f>'Part I-Project Information'!E91</f>
        <v>0</v>
      </c>
      <c r="F115" s="1650"/>
      <c r="G115" s="1650"/>
      <c r="H115" s="1089" t="s">
        <v>1923</v>
      </c>
      <c r="I115" s="1089">
        <f>'Part I-Project Information'!I91</f>
        <v>0</v>
      </c>
      <c r="J115" s="1089" t="s">
        <v>2375</v>
      </c>
      <c r="K115" s="1694">
        <f>'Part I-Project Information'!K91</f>
        <v>0</v>
      </c>
      <c r="L115" s="1694"/>
      <c r="M115" s="1097"/>
      <c r="N115" s="1097"/>
      <c r="O115" s="1097"/>
      <c r="P115" s="1097"/>
    </row>
    <row r="116" spans="1:16">
      <c r="A116" s="1102"/>
      <c r="B116" s="1102"/>
      <c r="C116" s="1102" t="s">
        <v>2334</v>
      </c>
      <c r="D116" s="1102"/>
      <c r="E116" s="1650">
        <f>'Part I-Project Information'!E92</f>
        <v>0</v>
      </c>
      <c r="F116" s="1650"/>
      <c r="G116" s="1650"/>
      <c r="H116" s="1089" t="s">
        <v>2115</v>
      </c>
      <c r="I116" s="1650">
        <f>'Part I-Project Information'!I92</f>
        <v>0</v>
      </c>
      <c r="J116" s="1663"/>
      <c r="K116" s="1663"/>
      <c r="L116" s="1089" t="s">
        <v>2119</v>
      </c>
      <c r="M116" s="1650">
        <f>'Part I-Project Information'!M92</f>
        <v>0</v>
      </c>
      <c r="N116" s="1663"/>
      <c r="O116" s="1663"/>
      <c r="P116" s="1663"/>
    </row>
    <row r="117" spans="1:16">
      <c r="A117" s="1102"/>
      <c r="B117" s="1102"/>
      <c r="C117" s="1087" t="s">
        <v>2333</v>
      </c>
      <c r="D117" s="1102"/>
      <c r="E117" s="1684">
        <f>'Part I-Project Information'!E93</f>
        <v>0</v>
      </c>
      <c r="F117" s="1684"/>
      <c r="G117" s="1684"/>
      <c r="H117" s="1089" t="s">
        <v>1926</v>
      </c>
      <c r="I117" s="1684">
        <f>'Part I-Project Information'!I93</f>
        <v>0</v>
      </c>
      <c r="J117" s="1684"/>
      <c r="K117" s="1089" t="s">
        <v>1927</v>
      </c>
      <c r="L117" s="1684">
        <f>'Part I-Project Information'!L93</f>
        <v>0</v>
      </c>
      <c r="M117" s="1684"/>
      <c r="N117" s="1089" t="s">
        <v>2114</v>
      </c>
      <c r="O117" s="1684">
        <f>'Part I-Project Information'!O93</f>
        <v>0</v>
      </c>
      <c r="P117" s="1684"/>
    </row>
    <row r="118" spans="1:16">
      <c r="A118" s="1086"/>
      <c r="B118" s="1086"/>
      <c r="C118" s="1102"/>
      <c r="D118" s="1102"/>
      <c r="E118" s="1102"/>
      <c r="F118" s="1102"/>
      <c r="G118" s="1092"/>
      <c r="H118" s="1089"/>
      <c r="I118" s="1089"/>
      <c r="J118" s="1102"/>
      <c r="K118" s="1102"/>
      <c r="L118" s="1102"/>
      <c r="M118" s="1099"/>
      <c r="N118" s="1102"/>
      <c r="O118" s="1102"/>
      <c r="P118" s="1102"/>
    </row>
    <row r="119" spans="1:16">
      <c r="A119" s="851" t="s">
        <v>382</v>
      </c>
      <c r="B119" s="1098" t="s">
        <v>1782</v>
      </c>
      <c r="C119" s="1102"/>
      <c r="D119" s="1092"/>
      <c r="E119" s="1092"/>
      <c r="F119" s="1089"/>
      <c r="G119" s="1089"/>
      <c r="H119" s="1089"/>
      <c r="I119" s="1089"/>
      <c r="J119" s="1092"/>
      <c r="K119" s="1089"/>
      <c r="L119" s="1089"/>
      <c r="M119" s="1102"/>
      <c r="N119" s="1102"/>
      <c r="O119" s="1102"/>
      <c r="P119" s="1099"/>
    </row>
    <row r="120" spans="1:16">
      <c r="A120" s="851"/>
      <c r="B120" s="1098"/>
      <c r="C120" s="1102"/>
      <c r="D120" s="1092"/>
      <c r="E120" s="1092"/>
      <c r="F120" s="1089"/>
      <c r="G120" s="1089"/>
      <c r="H120" s="1089"/>
      <c r="I120" s="1089"/>
      <c r="J120" s="1092"/>
      <c r="K120" s="1089"/>
      <c r="L120" s="1089"/>
      <c r="M120" s="1102"/>
      <c r="N120" s="1102"/>
      <c r="O120" s="1102"/>
      <c r="P120" s="1099"/>
    </row>
    <row r="121" spans="1:16">
      <c r="A121" s="1102"/>
      <c r="B121" s="852" t="s">
        <v>2291</v>
      </c>
      <c r="C121" s="1102"/>
      <c r="D121" s="1095"/>
      <c r="E121" s="1095"/>
      <c r="F121" s="1095"/>
      <c r="G121" s="1095"/>
      <c r="H121" s="1095"/>
      <c r="I121" s="1095"/>
      <c r="J121" s="1095"/>
      <c r="K121" s="1095"/>
      <c r="L121" s="1095"/>
      <c r="M121" s="1095"/>
      <c r="N121" s="1095"/>
      <c r="O121" s="1095"/>
      <c r="P121" s="1095"/>
    </row>
    <row r="122" spans="1:16">
      <c r="A122" s="1086"/>
      <c r="B122" s="1086"/>
      <c r="C122" s="1104"/>
      <c r="D122" s="1104"/>
      <c r="E122" s="1104"/>
      <c r="F122" s="1104"/>
      <c r="G122" s="1104"/>
      <c r="H122" s="1104"/>
      <c r="I122" s="1104"/>
      <c r="J122" s="1104"/>
      <c r="K122" s="1104"/>
      <c r="L122" s="1104"/>
      <c r="M122" s="1104"/>
      <c r="N122" s="1104"/>
      <c r="O122" s="1104"/>
      <c r="P122" s="1104"/>
    </row>
    <row r="123" spans="1:16">
      <c r="A123" s="1086"/>
      <c r="B123" s="1086" t="s">
        <v>2118</v>
      </c>
      <c r="C123" s="1098" t="s">
        <v>1504</v>
      </c>
      <c r="D123" s="1094"/>
      <c r="E123" s="1094"/>
      <c r="F123" s="1089"/>
      <c r="G123" s="1089"/>
      <c r="H123" s="1103">
        <f>'Part I-Project Information'!H99</f>
        <v>1</v>
      </c>
      <c r="I123" s="1102"/>
      <c r="J123" s="1102"/>
      <c r="K123" s="1102"/>
      <c r="L123" s="1102"/>
      <c r="M123" s="1102"/>
      <c r="N123" s="1102"/>
      <c r="O123" s="1102"/>
      <c r="P123" s="1102"/>
    </row>
    <row r="124" spans="1:16">
      <c r="A124" s="1086"/>
      <c r="B124" s="1086"/>
      <c r="C124" s="1104"/>
      <c r="D124" s="1104"/>
      <c r="E124" s="1104"/>
      <c r="F124" s="1104"/>
      <c r="G124" s="1104"/>
      <c r="H124" s="1104"/>
      <c r="I124" s="1102"/>
      <c r="J124" s="1104"/>
      <c r="K124" s="1102"/>
      <c r="L124" s="1102"/>
      <c r="M124" s="1104"/>
      <c r="N124" s="1104"/>
      <c r="O124" s="1104"/>
      <c r="P124" s="1102"/>
    </row>
    <row r="125" spans="1:16">
      <c r="A125" s="1086"/>
      <c r="B125" s="1086" t="s">
        <v>2121</v>
      </c>
      <c r="C125" s="1098" t="s">
        <v>435</v>
      </c>
      <c r="D125" s="1094"/>
      <c r="E125" s="1094"/>
      <c r="F125" s="1089"/>
      <c r="G125" s="1089"/>
      <c r="H125" s="1103">
        <f>'Part I-Project Information'!H101</f>
        <v>888110</v>
      </c>
      <c r="I125" s="1102"/>
      <c r="J125" s="1092"/>
      <c r="K125" s="1087"/>
      <c r="L125" s="1102"/>
      <c r="M125" s="1102"/>
      <c r="N125" s="1102"/>
      <c r="O125" s="1102"/>
      <c r="P125" s="1102"/>
    </row>
    <row r="126" spans="1:16">
      <c r="A126" s="1086"/>
      <c r="B126" s="1086"/>
      <c r="C126" s="1104"/>
      <c r="D126" s="1104"/>
      <c r="E126" s="1104"/>
      <c r="F126" s="1104"/>
      <c r="G126" s="1104"/>
      <c r="H126" s="1104"/>
      <c r="I126" s="1104"/>
      <c r="J126" s="1104"/>
      <c r="K126" s="1104"/>
      <c r="L126" s="1102"/>
      <c r="M126" s="1104"/>
      <c r="N126" s="1104"/>
      <c r="O126" s="1104"/>
      <c r="P126" s="1104"/>
    </row>
    <row r="127" spans="1:16">
      <c r="A127" s="1102"/>
      <c r="B127" s="1086" t="s">
        <v>799</v>
      </c>
      <c r="C127" s="1098" t="s">
        <v>318</v>
      </c>
      <c r="D127" s="1094"/>
      <c r="E127" s="1094"/>
      <c r="F127" s="1089"/>
      <c r="G127" s="1089"/>
      <c r="H127" s="1089"/>
      <c r="I127" s="1089"/>
      <c r="J127" s="1092"/>
      <c r="K127" s="1089"/>
      <c r="L127" s="1089"/>
      <c r="M127" s="1102"/>
      <c r="N127" s="1102"/>
      <c r="O127" s="1102"/>
      <c r="P127" s="1102"/>
    </row>
    <row r="128" spans="1:16">
      <c r="A128" s="1102"/>
      <c r="B128" s="1086"/>
      <c r="C128" s="1094" t="s">
        <v>2273</v>
      </c>
      <c r="D128" s="1094"/>
      <c r="E128" s="1102"/>
      <c r="F128" s="1094" t="s">
        <v>1202</v>
      </c>
      <c r="G128" s="1089"/>
      <c r="H128" s="1089"/>
      <c r="I128" s="1089"/>
      <c r="J128" s="1094" t="s">
        <v>2273</v>
      </c>
      <c r="K128" s="1094"/>
      <c r="L128" s="1102"/>
      <c r="M128" s="1094" t="s">
        <v>1202</v>
      </c>
      <c r="N128" s="1089"/>
      <c r="O128" s="1089"/>
      <c r="P128" s="1089"/>
    </row>
    <row r="129" spans="1:16" ht="13.5">
      <c r="A129" s="1086"/>
      <c r="B129" s="1086"/>
      <c r="C129" s="1701" t="str">
        <f>'Part I-Project Information'!C105</f>
        <v>1 The Vantage Group, LLC</v>
      </c>
      <c r="D129" s="1701"/>
      <c r="E129" s="1701"/>
      <c r="F129" s="1701" t="str">
        <f>'Part I-Project Information'!F105</f>
        <v>Willingham Village II</v>
      </c>
      <c r="G129" s="1701"/>
      <c r="H129" s="1701"/>
      <c r="I129" s="1701"/>
      <c r="J129" s="1701" t="str">
        <f>'Part I-Project Information'!J105</f>
        <v>6 Vantage Partners 2014 GA Phase II, LLC</v>
      </c>
      <c r="K129" s="1701"/>
      <c r="L129" s="1701"/>
      <c r="M129" s="1701" t="str">
        <f>'Part I-Project Information'!M105</f>
        <v>Willingham Village II</v>
      </c>
      <c r="N129" s="1701"/>
      <c r="O129" s="1701"/>
      <c r="P129" s="1701"/>
    </row>
    <row r="130" spans="1:16" ht="13.5">
      <c r="A130" s="1086"/>
      <c r="B130" s="1086"/>
      <c r="C130" s="1701" t="str">
        <f>'Part I-Project Information'!C106</f>
        <v>2 Barron Group, Inc.</v>
      </c>
      <c r="D130" s="1701"/>
      <c r="E130" s="1701"/>
      <c r="F130" s="1701" t="str">
        <f>'Part I-Project Information'!F106</f>
        <v>Willingham Village II</v>
      </c>
      <c r="G130" s="1701"/>
      <c r="H130" s="1701"/>
      <c r="I130" s="1701"/>
      <c r="J130" s="1701" t="str">
        <f>'Part I-Project Information'!J106</f>
        <v>7 Willingham 2014 GA Phase II, LLC</v>
      </c>
      <c r="K130" s="1701"/>
      <c r="L130" s="1701"/>
      <c r="M130" s="1701" t="str">
        <f>'Part I-Project Information'!M106</f>
        <v>Willingham Village II</v>
      </c>
      <c r="N130" s="1701"/>
      <c r="O130" s="1701"/>
      <c r="P130" s="1701"/>
    </row>
    <row r="131" spans="1:16" ht="13.5">
      <c r="A131" s="1086"/>
      <c r="B131" s="1086"/>
      <c r="C131" s="1701" t="str">
        <f>'Part I-Project Information'!C107</f>
        <v>3 Vantage Development, LLC</v>
      </c>
      <c r="D131" s="1701"/>
      <c r="E131" s="1701"/>
      <c r="F131" s="1701" t="str">
        <f>'Part I-Project Information'!F107</f>
        <v>Willingham Village II</v>
      </c>
      <c r="G131" s="1701"/>
      <c r="H131" s="1701"/>
      <c r="I131" s="1701"/>
      <c r="J131" s="1701">
        <f>'Part I-Project Information'!J107</f>
        <v>8</v>
      </c>
      <c r="K131" s="1701"/>
      <c r="L131" s="1701"/>
      <c r="M131" s="1701">
        <f>'Part I-Project Information'!M107</f>
        <v>0</v>
      </c>
      <c r="N131" s="1701"/>
      <c r="O131" s="1701"/>
      <c r="P131" s="1701"/>
    </row>
    <row r="132" spans="1:16" ht="13.5">
      <c r="A132" s="1086"/>
      <c r="B132" s="1086"/>
      <c r="C132" s="1701" t="str">
        <f>'Part I-Project Information'!C108</f>
        <v>4 Northwest Georgia Housing Authority, LLC</v>
      </c>
      <c r="D132" s="1701"/>
      <c r="E132" s="1701"/>
      <c r="F132" s="1701" t="str">
        <f>'Part I-Project Information'!F108</f>
        <v>Willingham Village II</v>
      </c>
      <c r="G132" s="1701"/>
      <c r="H132" s="1701"/>
      <c r="I132" s="1701"/>
      <c r="J132" s="1701">
        <f>'Part I-Project Information'!J108</f>
        <v>9</v>
      </c>
      <c r="K132" s="1701"/>
      <c r="L132" s="1701"/>
      <c r="M132" s="1701">
        <f>'Part I-Project Information'!M108</f>
        <v>0</v>
      </c>
      <c r="N132" s="1701"/>
      <c r="O132" s="1701"/>
      <c r="P132" s="1701"/>
    </row>
    <row r="133" spans="1:16" ht="13.5">
      <c r="A133" s="1086"/>
      <c r="B133" s="1086"/>
      <c r="C133" s="1701" t="str">
        <f>'Part I-Project Information'!C109</f>
        <v>5 Willingham Development, LLC</v>
      </c>
      <c r="D133" s="1701"/>
      <c r="E133" s="1701"/>
      <c r="F133" s="1701" t="str">
        <f>'Part I-Project Information'!F109</f>
        <v>Willingham Village II</v>
      </c>
      <c r="G133" s="1701"/>
      <c r="H133" s="1701"/>
      <c r="I133" s="1701"/>
      <c r="J133" s="1701">
        <f>'Part I-Project Information'!J109</f>
        <v>10</v>
      </c>
      <c r="K133" s="1701"/>
      <c r="L133" s="1701"/>
      <c r="M133" s="1701">
        <f>'Part I-Project Information'!M109</f>
        <v>0</v>
      </c>
      <c r="N133" s="1701"/>
      <c r="O133" s="1701"/>
      <c r="P133" s="1701"/>
    </row>
    <row r="134" spans="1:16">
      <c r="A134" s="1086"/>
      <c r="B134" s="1086"/>
      <c r="C134" s="1104"/>
      <c r="D134" s="1104"/>
      <c r="E134" s="1104"/>
      <c r="F134" s="1104"/>
      <c r="G134" s="1104"/>
      <c r="H134" s="1104"/>
      <c r="I134" s="1104"/>
      <c r="J134" s="1104"/>
      <c r="K134" s="1104"/>
      <c r="L134" s="1104"/>
      <c r="M134" s="1104"/>
      <c r="N134" s="1104"/>
      <c r="O134" s="1104"/>
      <c r="P134" s="1104"/>
    </row>
    <row r="135" spans="1:16">
      <c r="A135" s="1086"/>
      <c r="B135" s="1086" t="s">
        <v>2253</v>
      </c>
      <c r="C135" s="1702" t="s">
        <v>1976</v>
      </c>
      <c r="D135" s="1702"/>
      <c r="E135" s="1702"/>
      <c r="F135" s="1702"/>
      <c r="G135" s="1702"/>
      <c r="H135" s="1702"/>
      <c r="I135" s="1702"/>
      <c r="J135" s="1702"/>
      <c r="K135" s="1702"/>
      <c r="L135" s="1702"/>
      <c r="M135" s="1702"/>
      <c r="N135" s="1702"/>
      <c r="O135" s="1702"/>
      <c r="P135" s="1702"/>
    </row>
    <row r="136" spans="1:16">
      <c r="A136" s="1086"/>
      <c r="B136" s="1086"/>
      <c r="C136" s="1702"/>
      <c r="D136" s="1702"/>
      <c r="E136" s="1702"/>
      <c r="F136" s="1702"/>
      <c r="G136" s="1702"/>
      <c r="H136" s="1702"/>
      <c r="I136" s="1702"/>
      <c r="J136" s="1702"/>
      <c r="K136" s="1702"/>
      <c r="L136" s="1702"/>
      <c r="M136" s="1702"/>
      <c r="N136" s="1702"/>
      <c r="O136" s="1702"/>
      <c r="P136" s="1702"/>
    </row>
    <row r="137" spans="1:16">
      <c r="A137" s="1102"/>
      <c r="B137" s="1086"/>
      <c r="C137" s="1094" t="s">
        <v>2273</v>
      </c>
      <c r="D137" s="1094"/>
      <c r="E137" s="1102"/>
      <c r="F137" s="1094" t="s">
        <v>1202</v>
      </c>
      <c r="G137" s="1089"/>
      <c r="H137" s="1089"/>
      <c r="I137" s="1089"/>
      <c r="J137" s="1094" t="s">
        <v>2273</v>
      </c>
      <c r="K137" s="1094"/>
      <c r="L137" s="1102"/>
      <c r="M137" s="1094" t="s">
        <v>1202</v>
      </c>
      <c r="N137" s="1089"/>
      <c r="O137" s="1089"/>
      <c r="P137" s="1089"/>
    </row>
    <row r="138" spans="1:16" ht="13.5">
      <c r="A138" s="1086"/>
      <c r="B138" s="1086"/>
      <c r="C138" s="1701" t="str">
        <f>'Part I-Project Information'!C114</f>
        <v>1 The Vantage Group, LLC</v>
      </c>
      <c r="D138" s="1701"/>
      <c r="E138" s="1701"/>
      <c r="F138" s="1701" t="str">
        <f>'Part I-Project Information'!F114</f>
        <v>Willingham Village II</v>
      </c>
      <c r="G138" s="1701"/>
      <c r="H138" s="1701"/>
      <c r="I138" s="1701"/>
      <c r="J138" s="1701" t="str">
        <f>'Part I-Project Information'!J114</f>
        <v>6 Vantage Partners 2014 GA Phase II, LLC</v>
      </c>
      <c r="K138" s="1701"/>
      <c r="L138" s="1701"/>
      <c r="M138" s="1701" t="str">
        <f>'Part I-Project Information'!M114</f>
        <v>Willingham Village II</v>
      </c>
      <c r="N138" s="1701"/>
      <c r="O138" s="1701"/>
      <c r="P138" s="1701"/>
    </row>
    <row r="139" spans="1:16" ht="13.5">
      <c r="A139" s="1086"/>
      <c r="B139" s="1086"/>
      <c r="C139" s="1701" t="str">
        <f>'Part I-Project Information'!C115</f>
        <v>2 Barron Group, Inc.</v>
      </c>
      <c r="D139" s="1701"/>
      <c r="E139" s="1701"/>
      <c r="F139" s="1701" t="str">
        <f>'Part I-Project Information'!F115</f>
        <v>Willingham Village II</v>
      </c>
      <c r="G139" s="1701"/>
      <c r="H139" s="1701"/>
      <c r="I139" s="1701"/>
      <c r="J139" s="1701" t="str">
        <f>'Part I-Project Information'!J115</f>
        <v>7 Willingham 2014 GA Phase II, LLC</v>
      </c>
      <c r="K139" s="1701"/>
      <c r="L139" s="1701"/>
      <c r="M139" s="1701" t="str">
        <f>'Part I-Project Information'!M115</f>
        <v>Willingham Village II</v>
      </c>
      <c r="N139" s="1701"/>
      <c r="O139" s="1701"/>
      <c r="P139" s="1701"/>
    </row>
    <row r="140" spans="1:16" ht="13.5">
      <c r="A140" s="1086"/>
      <c r="B140" s="1086"/>
      <c r="C140" s="1701" t="str">
        <f>'Part I-Project Information'!C116</f>
        <v>3 Vantage Development, LLC</v>
      </c>
      <c r="D140" s="1701"/>
      <c r="E140" s="1701"/>
      <c r="F140" s="1701" t="str">
        <f>'Part I-Project Information'!F116</f>
        <v>Willingham Village II</v>
      </c>
      <c r="G140" s="1701"/>
      <c r="H140" s="1701"/>
      <c r="I140" s="1701"/>
      <c r="J140" s="1701">
        <f>'Part I-Project Information'!J116</f>
        <v>8</v>
      </c>
      <c r="K140" s="1701"/>
      <c r="L140" s="1701"/>
      <c r="M140" s="1701">
        <f>'Part I-Project Information'!M116</f>
        <v>0</v>
      </c>
      <c r="N140" s="1701"/>
      <c r="O140" s="1701"/>
      <c r="P140" s="1701"/>
    </row>
    <row r="141" spans="1:16" ht="13.5">
      <c r="A141" s="1086"/>
      <c r="B141" s="1086"/>
      <c r="C141" s="1701" t="str">
        <f>'Part I-Project Information'!C117</f>
        <v>4 Northwest Georgia Housing Authority, LLC</v>
      </c>
      <c r="D141" s="1701"/>
      <c r="E141" s="1701"/>
      <c r="F141" s="1701" t="str">
        <f>'Part I-Project Information'!F117</f>
        <v>Willingham Village II</v>
      </c>
      <c r="G141" s="1701"/>
      <c r="H141" s="1701"/>
      <c r="I141" s="1701"/>
      <c r="J141" s="1701">
        <f>'Part I-Project Information'!J117</f>
        <v>9</v>
      </c>
      <c r="K141" s="1701"/>
      <c r="L141" s="1701"/>
      <c r="M141" s="1701">
        <f>'Part I-Project Information'!M117</f>
        <v>0</v>
      </c>
      <c r="N141" s="1701"/>
      <c r="O141" s="1701"/>
      <c r="P141" s="1701"/>
    </row>
    <row r="142" spans="1:16" ht="13.5">
      <c r="A142" s="1086"/>
      <c r="B142" s="1086"/>
      <c r="C142" s="1701" t="str">
        <f>'Part I-Project Information'!C118</f>
        <v>5 Willingham Development, LLC</v>
      </c>
      <c r="D142" s="1701"/>
      <c r="E142" s="1701"/>
      <c r="F142" s="1701" t="str">
        <f>'Part I-Project Information'!F118</f>
        <v>Willingham Village II</v>
      </c>
      <c r="G142" s="1701"/>
      <c r="H142" s="1701"/>
      <c r="I142" s="1701"/>
      <c r="J142" s="1701">
        <f>'Part I-Project Information'!J118</f>
        <v>10</v>
      </c>
      <c r="K142" s="1701"/>
      <c r="L142" s="1701"/>
      <c r="M142" s="1701">
        <f>'Part I-Project Information'!M118</f>
        <v>0</v>
      </c>
      <c r="N142" s="1701"/>
      <c r="O142" s="1701"/>
      <c r="P142" s="1701"/>
    </row>
    <row r="143" spans="1:16">
      <c r="A143" s="1086"/>
      <c r="B143" s="1086"/>
      <c r="C143" s="1094"/>
      <c r="D143" s="1094"/>
      <c r="E143" s="1094"/>
      <c r="F143" s="1089"/>
      <c r="G143" s="1089"/>
      <c r="H143" s="1089"/>
      <c r="I143" s="1089"/>
      <c r="J143" s="1092"/>
      <c r="K143" s="1089"/>
      <c r="L143" s="1089"/>
      <c r="M143" s="1102"/>
      <c r="N143" s="1102"/>
      <c r="O143" s="1102"/>
      <c r="P143" s="1099"/>
    </row>
    <row r="144" spans="1:16">
      <c r="A144" s="851" t="s">
        <v>383</v>
      </c>
      <c r="B144" s="853" t="s">
        <v>2582</v>
      </c>
      <c r="C144" s="1102"/>
      <c r="D144" s="853"/>
      <c r="E144" s="853"/>
      <c r="F144" s="853"/>
      <c r="G144" s="1102"/>
      <c r="H144" s="1089" t="str">
        <f>'Part I-Project Information'!H120</f>
        <v>No</v>
      </c>
      <c r="I144" s="1102"/>
      <c r="J144" s="1102"/>
      <c r="K144" s="1102"/>
      <c r="L144" s="1102"/>
      <c r="M144" s="1089"/>
      <c r="N144" s="1102"/>
      <c r="O144" s="1102"/>
      <c r="P144" s="1099"/>
    </row>
    <row r="145" spans="1:16">
      <c r="A145" s="851"/>
      <c r="B145" s="1086"/>
      <c r="C145" s="1098"/>
      <c r="D145" s="1098"/>
      <c r="E145" s="1098"/>
      <c r="F145" s="1098"/>
      <c r="G145" s="1089"/>
      <c r="H145" s="1102"/>
      <c r="I145" s="1102"/>
      <c r="J145" s="1102"/>
      <c r="K145" s="1102"/>
      <c r="L145" s="1102"/>
      <c r="M145" s="1089"/>
      <c r="N145" s="1102"/>
      <c r="O145" s="1102"/>
      <c r="P145" s="1102"/>
    </row>
    <row r="146" spans="1:16">
      <c r="A146" s="1086"/>
      <c r="B146" s="1086" t="s">
        <v>2118</v>
      </c>
      <c r="C146" s="836" t="s">
        <v>1832</v>
      </c>
      <c r="D146" s="1102"/>
      <c r="E146" s="1102"/>
      <c r="F146" s="1102"/>
      <c r="G146" s="1102"/>
      <c r="H146" s="1089">
        <f>'Part I-Project Information'!H122</f>
        <v>0</v>
      </c>
      <c r="I146" s="1102"/>
      <c r="J146" s="1102"/>
      <c r="K146" s="1102"/>
      <c r="L146" s="1102"/>
      <c r="M146" s="1089"/>
      <c r="N146" s="1102"/>
      <c r="O146" s="1102"/>
      <c r="P146" s="1099"/>
    </row>
    <row r="147" spans="1:16">
      <c r="A147" s="1086"/>
      <c r="B147" s="1086"/>
      <c r="C147" s="1094" t="s">
        <v>2584</v>
      </c>
      <c r="D147" s="1094"/>
      <c r="E147" s="1094"/>
      <c r="F147" s="1089"/>
      <c r="G147" s="1102"/>
      <c r="H147" s="1031">
        <f>'Part I-Project Information'!H123</f>
        <v>0</v>
      </c>
      <c r="I147" s="1102"/>
      <c r="J147" s="1102"/>
      <c r="K147" s="1102"/>
      <c r="L147" s="1102"/>
      <c r="M147" s="1102"/>
      <c r="N147" s="1102"/>
      <c r="O147" s="1102"/>
      <c r="P147" s="1099"/>
    </row>
    <row r="148" spans="1:16">
      <c r="A148" s="1086"/>
      <c r="B148" s="1086"/>
      <c r="C148" s="1101" t="s">
        <v>1831</v>
      </c>
      <c r="D148" s="1087"/>
      <c r="E148" s="1102"/>
      <c r="F148" s="1102"/>
      <c r="G148" s="1102"/>
      <c r="H148" s="1650">
        <f>'Part I-Project Information'!H124</f>
        <v>0</v>
      </c>
      <c r="I148" s="1650"/>
      <c r="J148" s="1102"/>
      <c r="K148" s="1102"/>
      <c r="L148" s="1102"/>
      <c r="M148" s="1102"/>
      <c r="N148" s="1102"/>
      <c r="O148" s="1102"/>
      <c r="P148" s="1099"/>
    </row>
    <row r="149" spans="1:16">
      <c r="A149" s="1086"/>
      <c r="B149" s="1086"/>
      <c r="C149" s="1094" t="s">
        <v>2585</v>
      </c>
      <c r="D149" s="1094"/>
      <c r="E149" s="1094"/>
      <c r="F149" s="1089"/>
      <c r="G149" s="1102"/>
      <c r="H149" s="1031">
        <f>'Part I-Project Information'!H125</f>
        <v>0</v>
      </c>
      <c r="I149" s="1102"/>
      <c r="J149" s="1102"/>
      <c r="K149" s="1097" t="s">
        <v>2393</v>
      </c>
      <c r="L149" s="1102"/>
      <c r="M149" s="1102"/>
      <c r="N149" s="1102"/>
      <c r="O149" s="1650" t="str">
        <f>'Part I-Project Information'!O125</f>
        <v>GA-</v>
      </c>
      <c r="P149" s="1650"/>
    </row>
    <row r="150" spans="1:16">
      <c r="A150" s="1086"/>
      <c r="B150" s="1086"/>
      <c r="C150" s="1094" t="s">
        <v>2583</v>
      </c>
      <c r="D150" s="1102"/>
      <c r="E150" s="1102"/>
      <c r="F150" s="1089"/>
      <c r="G150" s="1102"/>
      <c r="H150" s="1092">
        <f>'Part I-Project Information'!H126</f>
        <v>0</v>
      </c>
      <c r="I150" s="1102"/>
      <c r="J150" s="1102"/>
      <c r="K150" s="1097" t="s">
        <v>2394</v>
      </c>
      <c r="L150" s="1102"/>
      <c r="M150" s="1102"/>
      <c r="N150" s="1102"/>
      <c r="O150" s="1650" t="str">
        <f>'Part I-Project Information'!O126</f>
        <v>GA-</v>
      </c>
      <c r="P150" s="1650"/>
    </row>
    <row r="151" spans="1:16">
      <c r="A151" s="1086"/>
      <c r="B151" s="1086"/>
      <c r="C151" s="1094" t="s">
        <v>2305</v>
      </c>
      <c r="D151" s="1094"/>
      <c r="E151" s="1094"/>
      <c r="F151" s="1089"/>
      <c r="G151" s="1102"/>
      <c r="H151" s="1696">
        <f>'Part I-Project Information'!H127</f>
        <v>0</v>
      </c>
      <c r="I151" s="1696"/>
      <c r="J151" s="1102"/>
      <c r="K151" s="1102"/>
      <c r="L151" s="1102"/>
      <c r="M151" s="1102"/>
      <c r="N151" s="1102"/>
      <c r="O151" s="1102"/>
      <c r="P151" s="1099"/>
    </row>
    <row r="152" spans="1:16">
      <c r="A152" s="1086"/>
      <c r="B152" s="1086"/>
      <c r="C152" s="1094"/>
      <c r="D152" s="1094"/>
      <c r="E152" s="1094"/>
      <c r="F152" s="1089"/>
      <c r="G152" s="1102"/>
      <c r="H152" s="1102"/>
      <c r="I152" s="1102"/>
      <c r="J152" s="1102"/>
      <c r="K152" s="1102"/>
      <c r="L152" s="1102"/>
      <c r="M152" s="1102"/>
      <c r="N152" s="1102"/>
      <c r="O152" s="1102"/>
      <c r="P152" s="1099"/>
    </row>
    <row r="153" spans="1:16">
      <c r="A153" s="1086"/>
      <c r="B153" s="1086" t="s">
        <v>2121</v>
      </c>
      <c r="C153" s="1098" t="s">
        <v>2658</v>
      </c>
      <c r="D153" s="1094"/>
      <c r="E153" s="1094"/>
      <c r="F153" s="1089"/>
      <c r="G153" s="1102"/>
      <c r="H153" s="1089" t="str">
        <f>'Part I-Project Information'!H129</f>
        <v>No</v>
      </c>
      <c r="I153" s="1102"/>
      <c r="J153" s="1102"/>
      <c r="K153" s="1102"/>
      <c r="L153" s="1102"/>
      <c r="M153" s="1102"/>
      <c r="N153" s="1102"/>
      <c r="O153" s="1102"/>
      <c r="P153" s="1099"/>
    </row>
    <row r="154" spans="1:16">
      <c r="A154" s="1086"/>
      <c r="B154" s="1086"/>
      <c r="C154" s="1094"/>
      <c r="D154" s="1094"/>
      <c r="E154" s="1094"/>
      <c r="F154" s="1089"/>
      <c r="G154" s="1089"/>
      <c r="H154" s="1102"/>
      <c r="I154" s="1102"/>
      <c r="J154" s="1102"/>
      <c r="K154" s="1102"/>
      <c r="L154" s="1102"/>
      <c r="M154" s="1089"/>
      <c r="N154" s="1102"/>
      <c r="O154" s="1102"/>
      <c r="P154" s="1099"/>
    </row>
    <row r="155" spans="1:16">
      <c r="A155" s="1086"/>
      <c r="B155" s="1086" t="s">
        <v>799</v>
      </c>
      <c r="C155" s="1098" t="s">
        <v>2934</v>
      </c>
      <c r="D155" s="1094"/>
      <c r="E155" s="1094"/>
      <c r="F155" s="1089"/>
      <c r="G155" s="1089"/>
      <c r="H155" s="1102"/>
      <c r="I155" s="1102"/>
      <c r="J155" s="1102"/>
      <c r="K155" s="1102"/>
      <c r="L155" s="1102"/>
      <c r="M155" s="1102"/>
      <c r="N155" s="1102"/>
      <c r="O155" s="1102"/>
      <c r="P155" s="1099"/>
    </row>
    <row r="156" spans="1:16">
      <c r="A156" s="1086"/>
      <c r="B156" s="1086"/>
      <c r="C156" s="1094" t="s">
        <v>3649</v>
      </c>
      <c r="D156" s="1094"/>
      <c r="E156" s="1094"/>
      <c r="F156" s="1089"/>
      <c r="G156" s="1089"/>
      <c r="H156" s="1089" t="str">
        <f>'Part I-Project Information'!H132</f>
        <v>No</v>
      </c>
      <c r="I156" s="1102"/>
      <c r="J156" s="1102"/>
      <c r="K156" s="1094" t="s">
        <v>1641</v>
      </c>
      <c r="L156" s="1094"/>
      <c r="M156" s="1089"/>
      <c r="N156" s="1089"/>
      <c r="O156" s="1089" t="str">
        <f>'Part I-Project Information'!O132</f>
        <v>No</v>
      </c>
      <c r="P156" s="1099"/>
    </row>
    <row r="157" spans="1:16">
      <c r="A157" s="1086"/>
      <c r="B157" s="1086"/>
      <c r="C157" s="1094"/>
      <c r="D157" s="1094"/>
      <c r="E157" s="1094"/>
      <c r="F157" s="1089"/>
      <c r="G157" s="1089"/>
      <c r="H157" s="1089"/>
      <c r="I157" s="1089"/>
      <c r="J157" s="1092"/>
      <c r="K157" s="1089"/>
      <c r="L157" s="1089"/>
      <c r="M157" s="1102"/>
      <c r="N157" s="1102"/>
      <c r="O157" s="1102"/>
      <c r="P157" s="1099"/>
    </row>
    <row r="158" spans="1:16">
      <c r="A158" s="851" t="s">
        <v>1847</v>
      </c>
      <c r="B158" s="853" t="s">
        <v>1261</v>
      </c>
      <c r="C158" s="1102"/>
      <c r="D158" s="853"/>
      <c r="E158" s="853"/>
      <c r="F158" s="853"/>
      <c r="G158" s="1089"/>
      <c r="H158" s="1089"/>
      <c r="I158" s="1089"/>
      <c r="J158" s="1092"/>
      <c r="K158" s="1089"/>
      <c r="L158" s="1089"/>
      <c r="M158" s="1102"/>
      <c r="N158" s="1102"/>
      <c r="O158" s="1102"/>
      <c r="P158" s="1099"/>
    </row>
    <row r="159" spans="1:16">
      <c r="A159" s="851"/>
      <c r="B159" s="1086"/>
      <c r="C159" s="1098"/>
      <c r="D159" s="1098"/>
      <c r="E159" s="1098"/>
      <c r="F159" s="1098"/>
      <c r="G159" s="1089"/>
      <c r="H159" s="1089"/>
      <c r="I159" s="1089"/>
      <c r="J159" s="1092"/>
      <c r="K159" s="1089"/>
      <c r="L159" s="1089"/>
      <c r="M159" s="1102"/>
      <c r="N159" s="1102"/>
      <c r="O159" s="1102"/>
      <c r="P159" s="1102"/>
    </row>
    <row r="160" spans="1:16">
      <c r="A160" s="1086"/>
      <c r="B160" s="1086" t="s">
        <v>2118</v>
      </c>
      <c r="C160" s="845" t="s">
        <v>1950</v>
      </c>
      <c r="D160" s="1102"/>
      <c r="E160" s="1102"/>
      <c r="F160" s="1089"/>
      <c r="G160" s="1089"/>
      <c r="H160" s="1089"/>
      <c r="I160" s="1089"/>
      <c r="J160" s="1092"/>
      <c r="K160" s="1089"/>
      <c r="L160" s="1089"/>
      <c r="M160" s="1102"/>
      <c r="N160" s="1102"/>
      <c r="O160" s="1102"/>
      <c r="P160" s="1099"/>
    </row>
    <row r="161" spans="1:16">
      <c r="A161" s="1086"/>
      <c r="B161" s="1086"/>
      <c r="C161" s="852" t="s">
        <v>1633</v>
      </c>
      <c r="D161" s="1092"/>
      <c r="E161" s="1092"/>
      <c r="F161" s="1089"/>
      <c r="G161" s="1089"/>
      <c r="H161" s="1089"/>
      <c r="I161" s="1089"/>
      <c r="J161" s="1102"/>
      <c r="K161" s="1089" t="str">
        <f>'Part I-Project Information'!K137</f>
        <v>Yes</v>
      </c>
      <c r="L161" s="1102"/>
      <c r="M161" s="1102"/>
      <c r="N161" s="1102"/>
      <c r="O161" s="1102"/>
      <c r="P161" s="1099"/>
    </row>
    <row r="162" spans="1:16">
      <c r="A162" s="1086"/>
      <c r="B162" s="1086"/>
      <c r="C162" s="1102" t="s">
        <v>656</v>
      </c>
      <c r="D162" s="1102"/>
      <c r="E162" s="1102"/>
      <c r="F162" s="1102"/>
      <c r="G162" s="1102"/>
      <c r="H162" s="1102"/>
      <c r="I162" s="1102"/>
      <c r="J162" s="1102"/>
      <c r="K162" s="1103">
        <f>'Part I-Project Information'!K138</f>
        <v>75</v>
      </c>
      <c r="L162" s="1087" t="s">
        <v>1919</v>
      </c>
      <c r="M162" s="1102"/>
      <c r="N162" s="1102"/>
      <c r="O162" s="1102"/>
      <c r="P162" s="857">
        <f>IF('Part VI-Revenues &amp; Expenses'!$M$60=0,0,K162/'Part VI-Revenues &amp; Expenses'!$M$60)</f>
        <v>1</v>
      </c>
    </row>
    <row r="163" spans="1:16">
      <c r="A163" s="1086"/>
      <c r="B163" s="1086"/>
      <c r="C163" s="1102" t="s">
        <v>2306</v>
      </c>
      <c r="D163" s="1102"/>
      <c r="E163" s="1102"/>
      <c r="F163" s="1102"/>
      <c r="G163" s="1102"/>
      <c r="H163" s="1102"/>
      <c r="I163" s="1102"/>
      <c r="J163" s="1102"/>
      <c r="K163" s="1103">
        <f>'Part I-Project Information'!K139</f>
        <v>75</v>
      </c>
      <c r="L163" s="1087" t="s">
        <v>1919</v>
      </c>
      <c r="M163" s="1102"/>
      <c r="N163" s="1102"/>
      <c r="O163" s="1102"/>
      <c r="P163" s="857">
        <f>IF('Part VI-Revenues &amp; Expenses'!$M$60=0,0,K163/'Part VI-Revenues &amp; Expenses'!$M$60)</f>
        <v>1</v>
      </c>
    </row>
    <row r="164" spans="1:16">
      <c r="A164" s="1086"/>
      <c r="B164" s="1086"/>
      <c r="C164" s="1102" t="s">
        <v>1920</v>
      </c>
      <c r="D164" s="1102"/>
      <c r="E164" s="1650" t="str">
        <f>'Part I-Project Information'!E140</f>
        <v>Northwest Georgia Housing Authority</v>
      </c>
      <c r="F164" s="1650"/>
      <c r="G164" s="1650"/>
      <c r="H164" s="1650"/>
      <c r="I164" s="1650"/>
      <c r="J164" s="1650"/>
      <c r="K164" s="1650"/>
      <c r="L164" s="1087" t="s">
        <v>1921</v>
      </c>
      <c r="M164" s="1650" t="str">
        <f>'Part I-Project Information'!M140</f>
        <v>Sandra Hudson</v>
      </c>
      <c r="N164" s="1650"/>
      <c r="O164" s="1650"/>
      <c r="P164" s="1650"/>
    </row>
    <row r="165" spans="1:16">
      <c r="A165" s="1086"/>
      <c r="B165" s="1086"/>
      <c r="C165" s="1087" t="s">
        <v>1922</v>
      </c>
      <c r="D165" s="840"/>
      <c r="E165" s="1650" t="str">
        <f>'Part I-Project Information'!E141</f>
        <v>800 N. Fifth Avenue</v>
      </c>
      <c r="F165" s="1650"/>
      <c r="G165" s="1650"/>
      <c r="H165" s="1650"/>
      <c r="I165" s="1650"/>
      <c r="J165" s="1650"/>
      <c r="K165" s="1650"/>
      <c r="L165" s="1087" t="s">
        <v>1924</v>
      </c>
      <c r="M165" s="1650" t="str">
        <f>'Part I-Project Information'!M141</f>
        <v>shudson@nwgha.com</v>
      </c>
      <c r="N165" s="1650"/>
      <c r="O165" s="1650"/>
      <c r="P165" s="1650"/>
    </row>
    <row r="166" spans="1:16">
      <c r="A166" s="1086"/>
      <c r="B166" s="1086"/>
      <c r="C166" s="1087" t="s">
        <v>659</v>
      </c>
      <c r="D166" s="1102"/>
      <c r="E166" s="1650" t="str">
        <f>'Part I-Project Information'!E142</f>
        <v>Rome</v>
      </c>
      <c r="F166" s="1650"/>
      <c r="G166" s="1650"/>
      <c r="H166" s="1650"/>
      <c r="I166" s="1089" t="s">
        <v>2375</v>
      </c>
      <c r="J166" s="1694">
        <f>'Part I-Project Information'!J142</f>
        <v>301621428</v>
      </c>
      <c r="K166" s="1694"/>
      <c r="L166" s="1087" t="s">
        <v>1927</v>
      </c>
      <c r="M166" s="1684">
        <f>'Part I-Project Information'!M142</f>
        <v>7063783940</v>
      </c>
      <c r="N166" s="1684"/>
      <c r="O166" s="1684"/>
      <c r="P166" s="1102"/>
    </row>
    <row r="167" spans="1:16">
      <c r="A167" s="1086"/>
      <c r="B167" s="1086"/>
      <c r="C167" s="1087" t="s">
        <v>1925</v>
      </c>
      <c r="D167" s="1102"/>
      <c r="E167" s="1684">
        <f>'Part I-Project Information'!E143</f>
        <v>7062910780</v>
      </c>
      <c r="F167" s="1684"/>
      <c r="G167" s="1684"/>
      <c r="H167" s="1089" t="s">
        <v>1926</v>
      </c>
      <c r="I167" s="1684">
        <f>'Part I-Project Information'!I143</f>
        <v>7062950376</v>
      </c>
      <c r="J167" s="1684"/>
      <c r="K167" s="1684"/>
      <c r="L167" s="1087" t="s">
        <v>2114</v>
      </c>
      <c r="M167" s="1684">
        <f>'Part I-Project Information'!M143</f>
        <v>7062524635</v>
      </c>
      <c r="N167" s="1684"/>
      <c r="O167" s="1684"/>
      <c r="P167" s="1102"/>
    </row>
    <row r="168" spans="1:16">
      <c r="A168" s="1086"/>
      <c r="B168" s="1086"/>
      <c r="C168" s="1087"/>
      <c r="D168" s="1102"/>
      <c r="E168" s="1096"/>
      <c r="F168" s="1096"/>
      <c r="G168" s="1096"/>
      <c r="H168" s="1089"/>
      <c r="I168" s="1096"/>
      <c r="J168" s="1096"/>
      <c r="K168" s="1089"/>
      <c r="L168" s="1096"/>
      <c r="M168" s="1096"/>
      <c r="N168" s="1089"/>
      <c r="O168" s="1096"/>
      <c r="P168" s="1096"/>
    </row>
    <row r="169" spans="1:16">
      <c r="A169" s="1086"/>
      <c r="B169" s="1086" t="s">
        <v>2121</v>
      </c>
      <c r="C169" s="1098" t="s">
        <v>2942</v>
      </c>
      <c r="D169" s="1098"/>
      <c r="E169" s="1098"/>
      <c r="F169" s="1098"/>
      <c r="G169" s="1098"/>
      <c r="H169" s="1102"/>
      <c r="I169" s="1089" t="str">
        <f>'Part I-Project Information'!I145</f>
        <v>No</v>
      </c>
      <c r="J169" s="1695" t="s">
        <v>812</v>
      </c>
      <c r="K169" s="1695"/>
      <c r="L169" s="1031">
        <f>'Part I-Project Information'!L145</f>
        <v>0</v>
      </c>
      <c r="M169" s="1639" t="s">
        <v>2475</v>
      </c>
      <c r="N169" s="1639"/>
      <c r="O169" s="1639"/>
      <c r="P169" s="1103">
        <f>'Part I-Project Information'!P145</f>
        <v>0</v>
      </c>
    </row>
    <row r="170" spans="1:16">
      <c r="A170" s="1086"/>
      <c r="B170" s="1086"/>
      <c r="C170" s="1098"/>
      <c r="D170" s="1098"/>
      <c r="E170" s="837"/>
      <c r="F170" s="1098"/>
      <c r="G170" s="1098"/>
      <c r="H170" s="1102"/>
      <c r="I170" s="1102"/>
      <c r="J170" s="1097"/>
      <c r="K170" s="1092"/>
      <c r="L170" s="1102"/>
      <c r="M170" s="1102"/>
      <c r="N170" s="1102"/>
      <c r="O170" s="1089"/>
      <c r="P170" s="1099"/>
    </row>
    <row r="171" spans="1:16">
      <c r="A171" s="1086"/>
      <c r="B171" s="1086"/>
      <c r="C171" s="1098" t="s">
        <v>2943</v>
      </c>
      <c r="D171" s="1098"/>
      <c r="E171" s="1098"/>
      <c r="F171" s="1098"/>
      <c r="G171" s="1098"/>
      <c r="H171" s="1102"/>
      <c r="I171" s="1089" t="str">
        <f>'Part I-Project Information'!I147</f>
        <v>Yes</v>
      </c>
      <c r="J171" s="1695" t="s">
        <v>812</v>
      </c>
      <c r="K171" s="1695"/>
      <c r="L171" s="1031">
        <f>'Part I-Project Information'!L147</f>
        <v>2036</v>
      </c>
      <c r="M171" s="1639" t="s">
        <v>2475</v>
      </c>
      <c r="N171" s="1639"/>
      <c r="O171" s="1639"/>
      <c r="P171" s="1103">
        <f>'Part I-Project Information'!P147</f>
        <v>5</v>
      </c>
    </row>
    <row r="172" spans="1:16">
      <c r="A172" s="1086"/>
      <c r="B172" s="1086"/>
      <c r="C172" s="1098"/>
      <c r="D172" s="1098"/>
      <c r="E172" s="837"/>
      <c r="F172" s="1098"/>
      <c r="G172" s="1098"/>
      <c r="H172" s="1102"/>
      <c r="I172" s="1102"/>
      <c r="J172" s="1097"/>
      <c r="K172" s="1092"/>
      <c r="L172" s="1102"/>
      <c r="M172" s="1102"/>
      <c r="N172" s="1102"/>
      <c r="O172" s="1089"/>
      <c r="P172" s="1099"/>
    </row>
    <row r="173" spans="1:16">
      <c r="A173" s="1086"/>
      <c r="B173" s="1086" t="s">
        <v>799</v>
      </c>
      <c r="C173" s="1098" t="s">
        <v>1880</v>
      </c>
      <c r="D173" s="1098"/>
      <c r="E173" s="1098"/>
      <c r="F173" s="1098"/>
      <c r="G173" s="1098"/>
      <c r="H173" s="1102"/>
      <c r="I173" s="1089" t="str">
        <f>'Part I-Project Information'!I149</f>
        <v>No</v>
      </c>
      <c r="J173" s="1102"/>
      <c r="K173" s="1102"/>
      <c r="L173" s="1097"/>
      <c r="M173" s="1097"/>
      <c r="N173" s="1102"/>
      <c r="O173" s="1102"/>
      <c r="P173" s="1099"/>
    </row>
    <row r="174" spans="1:16">
      <c r="A174" s="1086"/>
      <c r="B174" s="1086"/>
      <c r="C174" s="1087"/>
      <c r="D174" s="1102"/>
      <c r="E174" s="1096"/>
      <c r="F174" s="1096"/>
      <c r="G174" s="1096"/>
      <c r="H174" s="1102"/>
      <c r="I174" s="1096"/>
      <c r="J174" s="1096"/>
      <c r="K174" s="1089"/>
      <c r="L174" s="1096"/>
      <c r="M174" s="1096"/>
      <c r="N174" s="1089"/>
      <c r="O174" s="1096"/>
      <c r="P174" s="1096"/>
    </row>
    <row r="175" spans="1:16">
      <c r="A175" s="1086"/>
      <c r="B175" s="1086" t="s">
        <v>2253</v>
      </c>
      <c r="C175" s="1699" t="s">
        <v>2113</v>
      </c>
      <c r="D175" s="1699"/>
      <c r="E175" s="1699"/>
      <c r="F175" s="1699"/>
      <c r="G175" s="1098"/>
      <c r="H175" s="1102"/>
      <c r="I175" s="1089" t="str">
        <f>'Part I-Project Information'!I151</f>
        <v>Yes</v>
      </c>
      <c r="J175" s="858" t="s">
        <v>3135</v>
      </c>
      <c r="K175" s="1102"/>
      <c r="L175" s="1700" t="s">
        <v>1574</v>
      </c>
      <c r="M175" s="1700"/>
      <c r="N175" s="1098"/>
      <c r="O175" s="1098"/>
      <c r="P175" s="1103">
        <f>'Part I-Project Information'!P151</f>
        <v>75</v>
      </c>
    </row>
    <row r="176" spans="1:16">
      <c r="A176" s="1102"/>
      <c r="B176" s="1086"/>
      <c r="C176" s="1102"/>
      <c r="D176" s="1102"/>
      <c r="E176" s="1102"/>
      <c r="F176" s="1102"/>
      <c r="G176" s="1102"/>
      <c r="H176" s="1102"/>
      <c r="I176" s="1102"/>
      <c r="J176" s="1102"/>
      <c r="K176" s="1102"/>
      <c r="L176" s="1650" t="s">
        <v>851</v>
      </c>
      <c r="M176" s="1650"/>
      <c r="N176" s="1098"/>
      <c r="O176" s="1098"/>
      <c r="P176" s="1103">
        <f>'Part I-Project Information'!P152</f>
        <v>75</v>
      </c>
    </row>
    <row r="177" spans="1:16">
      <c r="A177" s="1086"/>
      <c r="B177" s="1086"/>
      <c r="C177" s="1102"/>
      <c r="D177" s="1102"/>
      <c r="E177" s="1102"/>
      <c r="F177" s="1102"/>
      <c r="G177" s="1102"/>
      <c r="H177" s="1102"/>
      <c r="I177" s="1102"/>
      <c r="J177" s="1102"/>
      <c r="K177" s="1102"/>
      <c r="L177" s="1650" t="s">
        <v>1915</v>
      </c>
      <c r="M177" s="1650"/>
      <c r="N177" s="1098"/>
      <c r="O177" s="1098"/>
      <c r="P177" s="859">
        <f>IF(P175="","",P176/P175)</f>
        <v>1</v>
      </c>
    </row>
    <row r="178" spans="1:16">
      <c r="A178" s="1086"/>
      <c r="B178" s="1086" t="s">
        <v>1857</v>
      </c>
      <c r="C178" s="836" t="s">
        <v>1718</v>
      </c>
      <c r="D178" s="1094"/>
      <c r="E178" s="1094"/>
      <c r="F178" s="1094"/>
      <c r="G178" s="1094"/>
      <c r="H178" s="1089"/>
      <c r="I178" s="1102"/>
      <c r="J178" s="1097"/>
      <c r="K178" s="1092"/>
      <c r="L178" s="1102"/>
      <c r="M178" s="1102"/>
      <c r="N178" s="1102"/>
      <c r="O178" s="1089"/>
      <c r="P178" s="1099"/>
    </row>
    <row r="179" spans="1:16">
      <c r="A179" s="1086"/>
      <c r="B179" s="1086"/>
      <c r="C179" s="1102" t="s">
        <v>2355</v>
      </c>
      <c r="D179" s="837"/>
      <c r="E179" s="1102"/>
      <c r="F179" s="1102"/>
      <c r="G179" s="1102"/>
      <c r="H179" s="1102"/>
      <c r="I179" s="1089" t="str">
        <f>'Part I-Project Information'!I155</f>
        <v>No</v>
      </c>
      <c r="J179" s="1102"/>
      <c r="K179" s="1102"/>
      <c r="L179" s="1102" t="s">
        <v>1719</v>
      </c>
      <c r="M179" s="1102"/>
      <c r="N179" s="1102"/>
      <c r="O179" s="1102"/>
      <c r="P179" s="1089" t="str">
        <f>'Part I-Project Information'!P155</f>
        <v>Yes</v>
      </c>
    </row>
    <row r="180" spans="1:16">
      <c r="A180" s="1086"/>
      <c r="B180" s="1086"/>
      <c r="C180" s="1102" t="s">
        <v>2357</v>
      </c>
      <c r="D180" s="1102"/>
      <c r="E180" s="1102"/>
      <c r="F180" s="1102"/>
      <c r="G180" s="1102"/>
      <c r="H180" s="1102"/>
      <c r="I180" s="1089" t="str">
        <f>'Part I-Project Information'!I156</f>
        <v>Yes</v>
      </c>
      <c r="J180" s="1102"/>
      <c r="K180" s="1102"/>
      <c r="L180" s="1102" t="s">
        <v>3407</v>
      </c>
      <c r="M180" s="1102"/>
      <c r="N180" s="1102"/>
      <c r="O180" s="1102"/>
      <c r="P180" s="1089" t="str">
        <f>'Part I-Project Information'!P156</f>
        <v>No</v>
      </c>
    </row>
    <row r="181" spans="1:16" ht="13.5">
      <c r="A181" s="1086"/>
      <c r="B181" s="1102"/>
      <c r="C181" s="1102" t="s">
        <v>2977</v>
      </c>
      <c r="D181" s="1102"/>
      <c r="E181" s="1102"/>
      <c r="F181" s="1102"/>
      <c r="G181" s="1102"/>
      <c r="H181" s="1102"/>
      <c r="I181" s="1089" t="str">
        <f>'Part I-Project Information'!I157</f>
        <v>No</v>
      </c>
      <c r="J181" s="1102"/>
      <c r="K181" s="1102"/>
      <c r="L181" s="1102" t="s">
        <v>2919</v>
      </c>
      <c r="M181" s="1102"/>
      <c r="N181" s="1697">
        <f>'Part I-Project Information'!N157</f>
        <v>0</v>
      </c>
      <c r="O181" s="1697"/>
      <c r="P181" s="1089" t="str">
        <f>'Part I-Project Information'!P157</f>
        <v>No</v>
      </c>
    </row>
    <row r="182" spans="1:16" ht="13.5">
      <c r="A182" s="1086"/>
      <c r="B182" s="1086"/>
      <c r="C182" s="1102" t="s">
        <v>1368</v>
      </c>
      <c r="D182" s="860"/>
      <c r="E182" s="1102"/>
      <c r="F182" s="1102"/>
      <c r="G182" s="1102"/>
      <c r="H182" s="1102"/>
      <c r="I182" s="1089" t="str">
        <f>'Part I-Project Information'!I158</f>
        <v>No</v>
      </c>
      <c r="J182" s="1102"/>
      <c r="K182" s="837"/>
    </row>
    <row r="183" spans="1:16">
      <c r="A183" s="1086"/>
      <c r="B183" s="837"/>
      <c r="C183" s="1102" t="s">
        <v>1934</v>
      </c>
      <c r="D183" s="1102"/>
      <c r="E183" s="1102"/>
      <c r="F183" s="1102"/>
      <c r="G183" s="1102"/>
      <c r="H183" s="1102"/>
      <c r="I183" s="1089" t="str">
        <f>'Part I-Project Information'!I159</f>
        <v>No</v>
      </c>
      <c r="J183" s="858" t="s">
        <v>3136</v>
      </c>
      <c r="K183" s="1102"/>
      <c r="L183" s="1102"/>
      <c r="M183" s="1102"/>
      <c r="N183" s="1102"/>
      <c r="O183" s="1698">
        <f>'Part I-Project Information'!O159</f>
        <v>0</v>
      </c>
      <c r="P183" s="1698"/>
    </row>
    <row r="184" spans="1:16">
      <c r="A184" s="1086"/>
      <c r="B184" s="1086"/>
      <c r="C184" s="1102" t="s">
        <v>3577</v>
      </c>
      <c r="D184" s="1102"/>
      <c r="E184" s="1102"/>
      <c r="F184" s="1102"/>
      <c r="G184" s="1102"/>
      <c r="H184" s="1102"/>
      <c r="I184" s="1089" t="str">
        <f>'Part I-Project Information'!I160</f>
        <v>No</v>
      </c>
      <c r="J184" s="858" t="s">
        <v>3136</v>
      </c>
      <c r="K184" s="1102"/>
      <c r="L184" s="1102"/>
      <c r="M184" s="1102"/>
      <c r="N184" s="1102"/>
      <c r="O184" s="1698">
        <f>'Part I-Project Information'!O160</f>
        <v>0</v>
      </c>
      <c r="P184" s="1698"/>
    </row>
    <row r="185" spans="1:16">
      <c r="A185" s="1086"/>
      <c r="B185" s="1086"/>
      <c r="C185" s="1102" t="s">
        <v>3578</v>
      </c>
      <c r="D185" s="1102"/>
      <c r="E185" s="1102"/>
      <c r="F185" s="1102"/>
      <c r="G185" s="1102"/>
      <c r="H185" s="1102"/>
      <c r="I185" s="1089" t="str">
        <f>'Part I-Project Information'!I161</f>
        <v>No</v>
      </c>
      <c r="J185" s="858" t="s">
        <v>3136</v>
      </c>
      <c r="K185" s="1102"/>
      <c r="L185" s="1102"/>
      <c r="M185" s="1102"/>
      <c r="N185" s="1102"/>
      <c r="O185" s="1698">
        <f>'Part I-Project Information'!O161</f>
        <v>0</v>
      </c>
      <c r="P185" s="1698"/>
    </row>
    <row r="186" spans="1:16">
      <c r="A186" s="1086"/>
      <c r="B186" s="1086"/>
      <c r="C186" s="1102"/>
      <c r="D186" s="1102"/>
      <c r="E186" s="1102"/>
      <c r="F186" s="1102"/>
      <c r="G186" s="1102"/>
      <c r="H186" s="1102"/>
      <c r="I186" s="1102"/>
      <c r="J186" s="1102"/>
      <c r="K186" s="1102"/>
      <c r="L186" s="1102"/>
      <c r="M186" s="1102"/>
      <c r="N186" s="1102"/>
      <c r="O186" s="1102"/>
      <c r="P186" s="1097"/>
    </row>
    <row r="187" spans="1:16">
      <c r="A187" s="1102"/>
      <c r="B187" s="1086" t="s">
        <v>1858</v>
      </c>
      <c r="C187" s="836" t="s">
        <v>789</v>
      </c>
      <c r="D187" s="1102"/>
      <c r="E187" s="1102"/>
      <c r="F187" s="1102"/>
      <c r="G187" s="1102"/>
      <c r="H187" s="1102"/>
      <c r="I187" s="1102"/>
      <c r="J187" s="1102"/>
      <c r="K187" s="1102"/>
      <c r="L187" s="1102"/>
      <c r="M187" s="1102"/>
      <c r="N187" s="1102"/>
      <c r="O187" s="1102"/>
      <c r="P187" s="1102"/>
    </row>
    <row r="188" spans="1:16">
      <c r="A188" s="1086"/>
      <c r="B188" s="1086"/>
      <c r="C188" s="1087" t="s">
        <v>680</v>
      </c>
      <c r="D188" s="1094"/>
      <c r="E188" s="1094"/>
      <c r="F188" s="1089"/>
      <c r="G188" s="1089"/>
      <c r="H188" s="1696">
        <f>'Part I-Project Information'!H164</f>
        <v>42216</v>
      </c>
      <c r="I188" s="1696"/>
      <c r="J188" s="1102"/>
      <c r="K188" s="1102"/>
      <c r="L188" s="1102"/>
      <c r="M188" s="1102"/>
      <c r="N188" s="1102"/>
      <c r="O188" s="1102"/>
      <c r="P188" s="1099"/>
    </row>
    <row r="189" spans="1:16">
      <c r="A189" s="1086"/>
      <c r="B189" s="1086"/>
      <c r="C189" s="1087" t="s">
        <v>291</v>
      </c>
      <c r="D189" s="1094"/>
      <c r="E189" s="1094"/>
      <c r="F189" s="1089"/>
      <c r="G189" s="1089"/>
      <c r="H189" s="1696">
        <f>'Part I-Project Information'!H165</f>
        <v>42735</v>
      </c>
      <c r="I189" s="1696"/>
      <c r="J189" s="1102"/>
      <c r="K189" s="1102"/>
      <c r="L189" s="1102"/>
      <c r="M189" s="1102"/>
      <c r="N189" s="1102"/>
      <c r="O189" s="1102"/>
      <c r="P189" s="1099"/>
    </row>
    <row r="190" spans="1:16">
      <c r="A190" s="1086"/>
      <c r="B190" s="1086"/>
      <c r="C190" s="1087" t="s">
        <v>2444</v>
      </c>
      <c r="D190" s="1094"/>
      <c r="E190" s="1094"/>
      <c r="F190" s="1089"/>
      <c r="G190" s="1089"/>
      <c r="H190" s="1696">
        <f>'Part I-Project Information'!H166</f>
        <v>0</v>
      </c>
      <c r="I190" s="1696"/>
      <c r="J190" s="1102"/>
      <c r="K190" s="1102"/>
      <c r="L190" s="1102"/>
      <c r="M190" s="1102"/>
      <c r="N190" s="1102"/>
      <c r="O190" s="1102"/>
      <c r="P190" s="1099"/>
    </row>
    <row r="191" spans="1:16">
      <c r="A191" s="1102"/>
      <c r="B191" s="837"/>
      <c r="C191" s="1102"/>
      <c r="D191" s="1102"/>
      <c r="E191" s="1102"/>
      <c r="F191" s="1102"/>
      <c r="G191" s="1102"/>
      <c r="H191" s="1102"/>
      <c r="I191" s="1102"/>
      <c r="J191" s="1102"/>
      <c r="K191" s="1102"/>
      <c r="L191" s="1097"/>
      <c r="M191" s="1097"/>
      <c r="N191" s="1097"/>
      <c r="O191" s="1097"/>
      <c r="P191" s="840"/>
    </row>
    <row r="192" spans="1:16">
      <c r="A192" s="851" t="s">
        <v>3235</v>
      </c>
      <c r="B192" s="853"/>
      <c r="C192" s="851" t="s">
        <v>608</v>
      </c>
      <c r="D192" s="1097"/>
      <c r="E192" s="1097"/>
      <c r="F192" s="1097"/>
      <c r="G192" s="1097"/>
      <c r="H192" s="1097"/>
      <c r="I192" s="1097"/>
      <c r="J192" s="1097"/>
      <c r="K192" s="851" t="s">
        <v>2399</v>
      </c>
      <c r="L192" s="851" t="s">
        <v>82</v>
      </c>
      <c r="M192" s="1097"/>
      <c r="N192" s="1097"/>
      <c r="O192" s="1097"/>
      <c r="P192" s="1097"/>
    </row>
    <row r="193" spans="1:19" ht="13.5">
      <c r="A193" s="1617">
        <f>'Part I-Project Information'!A169</f>
        <v>0</v>
      </c>
      <c r="B193" s="1617"/>
      <c r="C193" s="1617"/>
      <c r="D193" s="1617"/>
      <c r="E193" s="1617"/>
      <c r="F193" s="1617"/>
      <c r="G193" s="1617"/>
      <c r="H193" s="1617"/>
      <c r="I193" s="1617"/>
      <c r="J193" s="1617"/>
      <c r="K193" s="1617">
        <f>'Part I-Project Information'!K169</f>
        <v>0</v>
      </c>
      <c r="L193" s="1617"/>
      <c r="M193" s="1617"/>
      <c r="N193" s="1617"/>
      <c r="O193" s="1617"/>
      <c r="P193" s="1617"/>
    </row>
    <row r="196" spans="1:19">
      <c r="A196" s="1657" t="str">
        <f>CONCATENATE("PART TWO - DEVELOPMENT TEAM INFORMATION","  -  ",'Part I-Project Information'!$O$4," ",'Part I-Project Information'!$F$23,", ",'Part I-Project Information'!F222,", ",'Part I-Project Information'!J223," County")</f>
        <v>PART TWO - DEVELOPMENT TEAM INFORMATION  -  2014-039 Willingham Village II, MSA, City of Alpharetta Development Authority County</v>
      </c>
      <c r="B196" s="1657"/>
      <c r="C196" s="1657"/>
      <c r="D196" s="1657"/>
      <c r="E196" s="1657"/>
      <c r="F196" s="1657"/>
      <c r="G196" s="1657"/>
      <c r="H196" s="1657"/>
      <c r="I196" s="1657"/>
      <c r="J196" s="1657"/>
      <c r="K196" s="1657"/>
      <c r="L196" s="1657"/>
      <c r="M196" s="1657"/>
      <c r="N196" s="1657"/>
      <c r="O196" s="1657"/>
      <c r="P196" s="1657"/>
      <c r="Q196" s="1657"/>
      <c r="R196" s="1657"/>
      <c r="S196" s="1657"/>
    </row>
    <row r="197" spans="1:19">
      <c r="A197" s="1097"/>
      <c r="B197" s="1097"/>
      <c r="C197" s="1097"/>
      <c r="D197" s="1097"/>
      <c r="E197" s="1097"/>
      <c r="F197" s="1097"/>
      <c r="G197" s="1097"/>
      <c r="H197" s="1097"/>
      <c r="I197" s="1097"/>
      <c r="J197" s="1097"/>
      <c r="K197" s="1097"/>
      <c r="L197" s="1097"/>
      <c r="M197" s="1097"/>
      <c r="N197" s="1097"/>
      <c r="O197" s="1097"/>
      <c r="P197" s="1097"/>
      <c r="Q197" s="1097"/>
      <c r="R197" s="1097"/>
      <c r="S197" s="1097"/>
    </row>
    <row r="198" spans="1:19">
      <c r="A198" s="837" t="s">
        <v>657</v>
      </c>
      <c r="B198" s="836" t="s">
        <v>1987</v>
      </c>
      <c r="C198" s="836"/>
      <c r="D198" s="1102"/>
      <c r="E198" s="836"/>
      <c r="F198" s="836"/>
      <c r="G198" s="836"/>
      <c r="H198" s="836"/>
      <c r="I198" s="836"/>
      <c r="J198" s="836"/>
      <c r="K198" s="836"/>
      <c r="L198" s="836"/>
      <c r="M198" s="836"/>
      <c r="N198" s="1102"/>
      <c r="O198" s="1102"/>
      <c r="P198" s="1102"/>
      <c r="Q198" s="1102"/>
      <c r="R198" s="1102"/>
      <c r="S198" s="1102"/>
    </row>
    <row r="199" spans="1:19">
      <c r="A199" s="837"/>
      <c r="B199" s="837"/>
      <c r="C199" s="837"/>
      <c r="D199" s="836"/>
      <c r="E199" s="836"/>
      <c r="F199" s="836"/>
      <c r="G199" s="836"/>
      <c r="H199" s="836"/>
      <c r="I199" s="836"/>
      <c r="J199" s="836"/>
      <c r="K199" s="1102"/>
      <c r="L199" s="1102"/>
      <c r="M199" s="1102"/>
      <c r="N199" s="1102"/>
      <c r="O199" s="1102"/>
      <c r="P199" s="1102"/>
      <c r="Q199" s="1102"/>
      <c r="R199" s="1102"/>
      <c r="S199" s="1102"/>
    </row>
    <row r="200" spans="1:19">
      <c r="A200" s="1102"/>
      <c r="B200" s="837" t="s">
        <v>2118</v>
      </c>
      <c r="C200" s="836" t="s">
        <v>1983</v>
      </c>
      <c r="D200" s="1102"/>
      <c r="E200" s="1102"/>
      <c r="F200" s="1102"/>
      <c r="G200" s="1102"/>
      <c r="H200" s="1650" t="str">
        <f>'Part II-Development Team'!H5</f>
        <v>Willingham Village Apartments Phase II, LP</v>
      </c>
      <c r="I200" s="1663"/>
      <c r="J200" s="1663"/>
      <c r="K200" s="1663"/>
      <c r="L200" s="1663"/>
      <c r="M200" s="1663"/>
      <c r="N200" s="1663"/>
      <c r="O200" s="1087" t="s">
        <v>2125</v>
      </c>
      <c r="P200" s="1087"/>
      <c r="Q200" s="1650" t="str">
        <f>'Part II-Development Team'!Q5</f>
        <v>Lowell R. Barron, II</v>
      </c>
      <c r="R200" s="1663"/>
      <c r="S200" s="1663"/>
    </row>
    <row r="201" spans="1:19">
      <c r="A201" s="1102"/>
      <c r="B201" s="1102"/>
      <c r="C201" s="1102"/>
      <c r="D201" s="861"/>
      <c r="E201" s="1087" t="s">
        <v>1083</v>
      </c>
      <c r="F201" s="840"/>
      <c r="G201" s="1102"/>
      <c r="H201" s="1650" t="str">
        <f>'Part II-Development Team'!H6</f>
        <v>1544 South Main Street</v>
      </c>
      <c r="I201" s="1663"/>
      <c r="J201" s="1663"/>
      <c r="K201" s="1663"/>
      <c r="L201" s="1663"/>
      <c r="M201" s="1663"/>
      <c r="N201" s="1663"/>
      <c r="O201" s="1087" t="s">
        <v>1870</v>
      </c>
      <c r="P201" s="1102"/>
      <c r="Q201" s="1650" t="str">
        <f>'Part II-Development Team'!Q6</f>
        <v>President of GP</v>
      </c>
      <c r="R201" s="1663"/>
      <c r="S201" s="1663"/>
    </row>
    <row r="202" spans="1:19">
      <c r="A202" s="1102"/>
      <c r="B202" s="1102"/>
      <c r="C202" s="1102"/>
      <c r="D202" s="861"/>
      <c r="E202" s="1087" t="s">
        <v>659</v>
      </c>
      <c r="F202" s="1102"/>
      <c r="G202" s="1102"/>
      <c r="H202" s="1650" t="str">
        <f>'Part II-Development Team'!H7</f>
        <v>Fyffe</v>
      </c>
      <c r="I202" s="1663"/>
      <c r="J202" s="1663"/>
      <c r="K202" s="1089" t="s">
        <v>813</v>
      </c>
      <c r="L202" s="1650" t="str">
        <f>'Part II-Development Team'!L7</f>
        <v>To Be Applied For</v>
      </c>
      <c r="M202" s="1663"/>
      <c r="N202" s="1663"/>
      <c r="O202" s="1087" t="s">
        <v>1927</v>
      </c>
      <c r="P202" s="1102"/>
      <c r="Q202" s="1684">
        <f>'Part II-Development Team'!Q7</f>
        <v>2564174920</v>
      </c>
      <c r="R202" s="1684"/>
      <c r="S202" s="1684"/>
    </row>
    <row r="203" spans="1:19" ht="13.5">
      <c r="A203" s="1102"/>
      <c r="B203" s="1102"/>
      <c r="C203" s="1102"/>
      <c r="D203" s="861"/>
      <c r="E203" s="1087" t="s">
        <v>1923</v>
      </c>
      <c r="F203" s="1102"/>
      <c r="G203" s="1102"/>
      <c r="H203" s="1089" t="str">
        <f>'Part II-Development Team'!H8</f>
        <v>AL</v>
      </c>
      <c r="I203" s="1089" t="s">
        <v>3650</v>
      </c>
      <c r="J203" s="1694">
        <f>'Part II-Development Team'!J8</f>
        <v>359713484</v>
      </c>
      <c r="K203" s="1663"/>
      <c r="L203" s="862" t="s">
        <v>3003</v>
      </c>
      <c r="M203" s="1695">
        <f>'Part II-Development Team'!M8</f>
        <v>9605</v>
      </c>
      <c r="N203" s="1695"/>
      <c r="O203" s="1087" t="s">
        <v>2114</v>
      </c>
      <c r="P203" s="1102"/>
      <c r="Q203" s="1684">
        <f>'Part II-Development Team'!Q8</f>
        <v>2569976659</v>
      </c>
      <c r="R203" s="1684"/>
      <c r="S203" s="1684"/>
    </row>
    <row r="204" spans="1:19">
      <c r="A204" s="1102"/>
      <c r="B204" s="1102"/>
      <c r="C204" s="1102"/>
      <c r="D204" s="861"/>
      <c r="E204" s="1087" t="s">
        <v>2120</v>
      </c>
      <c r="F204" s="1102"/>
      <c r="G204" s="1102"/>
      <c r="H204" s="1684">
        <f>'Part II-Development Team'!H9</f>
        <v>2564174920</v>
      </c>
      <c r="I204" s="1684"/>
      <c r="J204" s="1092">
        <f>'Part II-Development Team'!J9</f>
        <v>295</v>
      </c>
      <c r="K204" s="1089" t="s">
        <v>1926</v>
      </c>
      <c r="L204" s="1685">
        <f>'Part II-Development Team'!L9</f>
        <v>2566233944</v>
      </c>
      <c r="M204" s="1663"/>
      <c r="N204" s="840" t="s">
        <v>2119</v>
      </c>
      <c r="O204" s="1686" t="str">
        <f>'Part II-Development Team'!O9</f>
        <v>lbarron@thevantagegroup.biz</v>
      </c>
      <c r="P204" s="1686"/>
      <c r="Q204" s="1686"/>
      <c r="R204" s="1686"/>
      <c r="S204" s="1686"/>
    </row>
    <row r="205" spans="1:19" ht="13.5">
      <c r="A205" s="1102"/>
      <c r="B205" s="1102"/>
      <c r="C205" s="1102"/>
      <c r="D205" s="861"/>
      <c r="E205" s="1088" t="s">
        <v>3002</v>
      </c>
      <c r="F205" s="1102"/>
      <c r="G205" s="1102"/>
      <c r="H205" s="1096"/>
      <c r="I205" s="1102"/>
      <c r="J205" s="1102"/>
      <c r="K205" s="862"/>
      <c r="L205" s="1102"/>
      <c r="M205" s="1102"/>
      <c r="N205" s="837" t="s">
        <v>3633</v>
      </c>
      <c r="O205" s="1102"/>
      <c r="P205" s="1102"/>
      <c r="Q205" s="1089"/>
      <c r="R205" s="1102"/>
      <c r="S205" s="1102"/>
    </row>
    <row r="206" spans="1:19">
      <c r="A206" s="1102"/>
      <c r="B206" s="1102"/>
      <c r="C206" s="1102"/>
      <c r="D206" s="863"/>
      <c r="E206" s="1087"/>
      <c r="F206" s="836"/>
      <c r="G206" s="836"/>
      <c r="H206" s="836"/>
      <c r="I206" s="836"/>
      <c r="J206" s="836"/>
      <c r="K206" s="1102"/>
      <c r="L206" s="1102"/>
      <c r="M206" s="1102"/>
      <c r="N206" s="836"/>
      <c r="O206" s="836"/>
      <c r="P206" s="836"/>
      <c r="Q206" s="836"/>
      <c r="R206" s="836"/>
      <c r="S206" s="836"/>
    </row>
    <row r="207" spans="1:19" ht="13.5">
      <c r="A207" s="1102"/>
      <c r="B207" s="853" t="s">
        <v>2121</v>
      </c>
      <c r="C207" s="836" t="s">
        <v>1984</v>
      </c>
      <c r="D207" s="1102"/>
      <c r="E207" s="1102"/>
      <c r="F207" s="836"/>
      <c r="G207" s="836"/>
      <c r="H207" s="836"/>
      <c r="I207" s="836"/>
      <c r="J207" s="836"/>
      <c r="K207" s="1102"/>
      <c r="L207" s="1102"/>
      <c r="M207" s="1102"/>
      <c r="N207" s="862" t="s">
        <v>3651</v>
      </c>
      <c r="O207" s="1102"/>
      <c r="P207" s="1032" t="s">
        <v>1365</v>
      </c>
      <c r="Q207" s="1102"/>
      <c r="R207" s="1102"/>
      <c r="S207" s="1102"/>
    </row>
    <row r="208" spans="1:19" ht="13.5">
      <c r="A208" s="1102"/>
      <c r="B208" s="1102"/>
      <c r="C208" s="1102"/>
      <c r="D208" s="863"/>
      <c r="E208" s="1087"/>
      <c r="F208" s="836"/>
      <c r="G208" s="836"/>
      <c r="H208" s="836"/>
      <c r="I208" s="836"/>
      <c r="J208" s="836"/>
      <c r="K208" s="1102"/>
      <c r="L208" s="1102"/>
      <c r="M208" s="1102"/>
      <c r="N208" s="1033"/>
      <c r="O208" s="1102"/>
      <c r="P208" s="860"/>
      <c r="Q208" s="1102"/>
      <c r="R208" s="1102"/>
      <c r="S208" s="1102"/>
    </row>
    <row r="209" spans="1:19" ht="13.5">
      <c r="A209" s="1102"/>
      <c r="B209" s="1102"/>
      <c r="C209" s="864" t="s">
        <v>2122</v>
      </c>
      <c r="D209" s="853" t="s">
        <v>2123</v>
      </c>
      <c r="E209" s="1102"/>
      <c r="F209" s="1102"/>
      <c r="G209" s="1102"/>
      <c r="H209" s="1102"/>
      <c r="I209" s="1102"/>
      <c r="J209" s="1102"/>
      <c r="K209" s="1102"/>
      <c r="L209" s="1102"/>
      <c r="M209" s="1102"/>
      <c r="N209" s="862"/>
      <c r="O209" s="1102"/>
      <c r="P209" s="1102"/>
      <c r="Q209" s="1102"/>
      <c r="R209" s="1102"/>
      <c r="S209" s="1102"/>
    </row>
    <row r="210" spans="1:19">
      <c r="A210" s="1102"/>
      <c r="B210" s="1102"/>
      <c r="C210" s="1102"/>
      <c r="D210" s="864"/>
      <c r="E210" s="852"/>
      <c r="F210" s="1102"/>
      <c r="G210" s="1102"/>
      <c r="H210" s="1034"/>
      <c r="I210" s="1034"/>
      <c r="J210" s="1034"/>
      <c r="K210" s="1089"/>
      <c r="L210" s="1034"/>
      <c r="M210" s="1034"/>
      <c r="N210" s="1089"/>
      <c r="O210" s="1034"/>
      <c r="P210" s="1034"/>
      <c r="Q210" s="1089"/>
      <c r="R210" s="1034"/>
      <c r="S210" s="1034"/>
    </row>
    <row r="211" spans="1:19">
      <c r="A211" s="1102"/>
      <c r="B211" s="1102"/>
      <c r="C211" s="1102"/>
      <c r="D211" s="837" t="s">
        <v>2254</v>
      </c>
      <c r="E211" s="1102" t="s">
        <v>1985</v>
      </c>
      <c r="F211" s="1102"/>
      <c r="G211" s="1102"/>
      <c r="H211" s="1650" t="str">
        <f>'Part II-Development Team'!H16</f>
        <v>Vantage Partners 2014 GA Phase II, LLC</v>
      </c>
      <c r="I211" s="1663"/>
      <c r="J211" s="1663"/>
      <c r="K211" s="1663"/>
      <c r="L211" s="1663"/>
      <c r="M211" s="1663"/>
      <c r="N211" s="1663"/>
      <c r="O211" s="1087" t="s">
        <v>2125</v>
      </c>
      <c r="P211" s="1087"/>
      <c r="Q211" s="1650" t="str">
        <f>'Part II-Development Team'!Q16</f>
        <v>Lowell R. Barron, II</v>
      </c>
      <c r="R211" s="1663"/>
      <c r="S211" s="1663"/>
    </row>
    <row r="212" spans="1:19">
      <c r="A212" s="1102"/>
      <c r="B212" s="1102"/>
      <c r="C212" s="1102"/>
      <c r="D212" s="861"/>
      <c r="E212" s="1087" t="s">
        <v>1083</v>
      </c>
      <c r="F212" s="840"/>
      <c r="G212" s="1102"/>
      <c r="H212" s="1650" t="str">
        <f>'Part II-Development Team'!H17</f>
        <v>1544 South Main Street</v>
      </c>
      <c r="I212" s="1663"/>
      <c r="J212" s="1663"/>
      <c r="K212" s="1663"/>
      <c r="L212" s="1663"/>
      <c r="M212" s="1663"/>
      <c r="N212" s="1663"/>
      <c r="O212" s="1087" t="s">
        <v>1870</v>
      </c>
      <c r="P212" s="1102"/>
      <c r="Q212" s="1650" t="str">
        <f>'Part II-Development Team'!Q17</f>
        <v>President</v>
      </c>
      <c r="R212" s="1663"/>
      <c r="S212" s="1663"/>
    </row>
    <row r="213" spans="1:19">
      <c r="A213" s="1102"/>
      <c r="B213" s="1102"/>
      <c r="C213" s="1102"/>
      <c r="D213" s="861"/>
      <c r="E213" s="1087" t="s">
        <v>659</v>
      </c>
      <c r="F213" s="1102"/>
      <c r="G213" s="1102"/>
      <c r="H213" s="1650" t="str">
        <f>'Part II-Development Team'!H18</f>
        <v>Fyffe</v>
      </c>
      <c r="I213" s="1663"/>
      <c r="J213" s="1663"/>
      <c r="K213" s="1089" t="s">
        <v>2944</v>
      </c>
      <c r="L213" s="1650" t="str">
        <f>'Part II-Development Team'!L18</f>
        <v>N/A</v>
      </c>
      <c r="M213" s="1663"/>
      <c r="N213" s="1663"/>
      <c r="O213" s="1087" t="s">
        <v>1927</v>
      </c>
      <c r="P213" s="1102"/>
      <c r="Q213" s="1684">
        <f>'Part II-Development Team'!Q18</f>
        <v>2564174920</v>
      </c>
      <c r="R213" s="1684"/>
      <c r="S213" s="1684"/>
    </row>
    <row r="214" spans="1:19">
      <c r="A214" s="1102"/>
      <c r="B214" s="1102"/>
      <c r="C214" s="1102"/>
      <c r="D214" s="837"/>
      <c r="E214" s="1087" t="s">
        <v>1923</v>
      </c>
      <c r="F214" s="1102"/>
      <c r="G214" s="1102"/>
      <c r="H214" s="1089" t="str">
        <f>'Part II-Development Team'!H19</f>
        <v>AL</v>
      </c>
      <c r="I214" s="1089" t="s">
        <v>3650</v>
      </c>
      <c r="J214" s="1694">
        <f>'Part II-Development Team'!J19</f>
        <v>359713484</v>
      </c>
      <c r="K214" s="1663"/>
      <c r="L214" s="1102"/>
      <c r="M214" s="1102"/>
      <c r="N214" s="1102"/>
      <c r="O214" s="1087" t="s">
        <v>2114</v>
      </c>
      <c r="P214" s="1102"/>
      <c r="Q214" s="1684">
        <f>'Part II-Development Team'!Q19</f>
        <v>2569976659</v>
      </c>
      <c r="R214" s="1684"/>
      <c r="S214" s="1684"/>
    </row>
    <row r="215" spans="1:19">
      <c r="A215" s="1102"/>
      <c r="B215" s="1102"/>
      <c r="C215" s="1102"/>
      <c r="D215" s="861"/>
      <c r="E215" s="1087" t="s">
        <v>2120</v>
      </c>
      <c r="F215" s="1102"/>
      <c r="G215" s="1102"/>
      <c r="H215" s="1684">
        <f>'Part II-Development Team'!H20</f>
        <v>2564174920</v>
      </c>
      <c r="I215" s="1684"/>
      <c r="J215" s="1092">
        <f>'Part II-Development Team'!J20</f>
        <v>295</v>
      </c>
      <c r="K215" s="1089" t="s">
        <v>1926</v>
      </c>
      <c r="L215" s="1685">
        <f>'Part II-Development Team'!L20</f>
        <v>2566233944</v>
      </c>
      <c r="M215" s="1663"/>
      <c r="N215" s="840" t="s">
        <v>2119</v>
      </c>
      <c r="O215" s="1686" t="str">
        <f>'Part II-Development Team'!O20</f>
        <v>lbarron@thevantagegroup.biz</v>
      </c>
      <c r="P215" s="1686"/>
      <c r="Q215" s="1686"/>
      <c r="R215" s="1686"/>
      <c r="S215" s="1686"/>
    </row>
    <row r="216" spans="1:19">
      <c r="A216" s="1097"/>
      <c r="B216" s="1097"/>
      <c r="C216" s="1097"/>
      <c r="D216" s="851"/>
      <c r="E216" s="1097"/>
      <c r="F216" s="1097"/>
      <c r="G216" s="1097"/>
      <c r="H216" s="1034"/>
      <c r="I216" s="1034"/>
      <c r="J216" s="1034"/>
      <c r="K216" s="1089"/>
      <c r="L216" s="1034"/>
      <c r="M216" s="1034"/>
      <c r="N216" s="1089"/>
      <c r="O216" s="1034"/>
      <c r="P216" s="1034"/>
      <c r="Q216" s="1089"/>
      <c r="R216" s="1034"/>
      <c r="S216" s="1034"/>
    </row>
    <row r="217" spans="1:19">
      <c r="A217" s="1102"/>
      <c r="B217" s="1102"/>
      <c r="C217" s="1102"/>
      <c r="D217" s="837" t="s">
        <v>2255</v>
      </c>
      <c r="E217" s="1102" t="s">
        <v>1986</v>
      </c>
      <c r="F217" s="1102"/>
      <c r="G217" s="1102"/>
      <c r="H217" s="1650" t="str">
        <f>'Part II-Development Team'!H22</f>
        <v>Willingham 2014 GA Phase II, LLC</v>
      </c>
      <c r="I217" s="1663"/>
      <c r="J217" s="1663"/>
      <c r="K217" s="1663"/>
      <c r="L217" s="1663"/>
      <c r="M217" s="1663"/>
      <c r="N217" s="1663"/>
      <c r="O217" s="1087" t="s">
        <v>2125</v>
      </c>
      <c r="P217" s="1087"/>
      <c r="Q217" s="1650" t="str">
        <f>'Part II-Development Team'!Q22</f>
        <v>Sandra Hudson</v>
      </c>
      <c r="R217" s="1663"/>
      <c r="S217" s="1663"/>
    </row>
    <row r="218" spans="1:19">
      <c r="A218" s="1102"/>
      <c r="B218" s="1102"/>
      <c r="C218" s="1102"/>
      <c r="D218" s="861"/>
      <c r="E218" s="1087" t="s">
        <v>1083</v>
      </c>
      <c r="F218" s="840"/>
      <c r="G218" s="1102"/>
      <c r="H218" s="1650" t="str">
        <f>'Part II-Development Team'!H23</f>
        <v>800 N. Fifth Avenue</v>
      </c>
      <c r="I218" s="1663"/>
      <c r="J218" s="1663"/>
      <c r="K218" s="1663"/>
      <c r="L218" s="1663"/>
      <c r="M218" s="1663"/>
      <c r="N218" s="1663"/>
      <c r="O218" s="1087" t="s">
        <v>1870</v>
      </c>
      <c r="P218" s="1102"/>
      <c r="Q218" s="1650" t="str">
        <f>'Part II-Development Team'!Q23</f>
        <v>Director</v>
      </c>
      <c r="R218" s="1663"/>
      <c r="S218" s="1663"/>
    </row>
    <row r="219" spans="1:19">
      <c r="A219" s="1102"/>
      <c r="B219" s="1102"/>
      <c r="C219" s="1102"/>
      <c r="D219" s="861"/>
      <c r="E219" s="1087" t="s">
        <v>659</v>
      </c>
      <c r="F219" s="1102"/>
      <c r="G219" s="1102"/>
      <c r="H219" s="1650" t="str">
        <f>'Part II-Development Team'!H24</f>
        <v>Rome</v>
      </c>
      <c r="I219" s="1663"/>
      <c r="J219" s="1663"/>
      <c r="K219" s="1089" t="s">
        <v>2944</v>
      </c>
      <c r="L219" s="1650" t="str">
        <f>'Part II-Development Team'!L24</f>
        <v>N/A</v>
      </c>
      <c r="M219" s="1663"/>
      <c r="N219" s="1663"/>
      <c r="O219" s="1087" t="s">
        <v>1927</v>
      </c>
      <c r="P219" s="1102"/>
      <c r="Q219" s="1684">
        <f>'Part II-Development Team'!Q24</f>
        <v>7063783940</v>
      </c>
      <c r="R219" s="1684"/>
      <c r="S219" s="1684"/>
    </row>
    <row r="220" spans="1:19">
      <c r="A220" s="1102"/>
      <c r="B220" s="1102"/>
      <c r="C220" s="1102"/>
      <c r="D220" s="1102"/>
      <c r="E220" s="1087" t="s">
        <v>1923</v>
      </c>
      <c r="F220" s="1102"/>
      <c r="G220" s="1102"/>
      <c r="H220" s="1089" t="str">
        <f>'Part II-Development Team'!H25</f>
        <v>GA</v>
      </c>
      <c r="I220" s="1089" t="s">
        <v>3650</v>
      </c>
      <c r="J220" s="1694">
        <f>'Part II-Development Team'!J25</f>
        <v>301621428</v>
      </c>
      <c r="K220" s="1663"/>
      <c r="L220" s="1102"/>
      <c r="M220" s="1102"/>
      <c r="N220" s="1102"/>
      <c r="O220" s="1087" t="s">
        <v>2114</v>
      </c>
      <c r="P220" s="1102"/>
      <c r="Q220" s="1684">
        <f>'Part II-Development Team'!Q25</f>
        <v>7062524635</v>
      </c>
      <c r="R220" s="1684"/>
      <c r="S220" s="1684"/>
    </row>
    <row r="221" spans="1:19">
      <c r="A221" s="1102"/>
      <c r="B221" s="1102"/>
      <c r="C221" s="1102"/>
      <c r="D221" s="861"/>
      <c r="E221" s="1087" t="s">
        <v>2120</v>
      </c>
      <c r="F221" s="1102"/>
      <c r="G221" s="1102"/>
      <c r="H221" s="1684">
        <f>'Part II-Development Team'!H26</f>
        <v>7062910780</v>
      </c>
      <c r="I221" s="1684"/>
      <c r="J221" s="1092">
        <f>'Part II-Development Team'!J26</f>
        <v>0</v>
      </c>
      <c r="K221" s="1089" t="s">
        <v>1926</v>
      </c>
      <c r="L221" s="1685">
        <f>'Part II-Development Team'!L26</f>
        <v>7062950376</v>
      </c>
      <c r="M221" s="1663"/>
      <c r="N221" s="840" t="s">
        <v>2119</v>
      </c>
      <c r="O221" s="1686" t="str">
        <f>'Part II-Development Team'!O26</f>
        <v>shudson@nwgha.com</v>
      </c>
      <c r="P221" s="1686"/>
      <c r="Q221" s="1686"/>
      <c r="R221" s="1686"/>
      <c r="S221" s="1686"/>
    </row>
    <row r="222" spans="1:19">
      <c r="A222" s="1102"/>
      <c r="B222" s="1102"/>
      <c r="C222" s="1102"/>
      <c r="D222" s="861"/>
      <c r="E222" s="1102"/>
      <c r="F222" s="1102"/>
      <c r="G222" s="1087"/>
      <c r="H222" s="1034"/>
      <c r="I222" s="1034"/>
      <c r="J222" s="1034"/>
      <c r="K222" s="1089"/>
      <c r="L222" s="1034"/>
      <c r="M222" s="1034"/>
      <c r="N222" s="1089"/>
      <c r="O222" s="1034"/>
      <c r="P222" s="1034"/>
      <c r="Q222" s="1089"/>
      <c r="R222" s="1034"/>
      <c r="S222" s="1034"/>
    </row>
    <row r="223" spans="1:19">
      <c r="A223" s="1102"/>
      <c r="B223" s="1102"/>
      <c r="C223" s="1102"/>
      <c r="D223" s="837" t="s">
        <v>1856</v>
      </c>
      <c r="E223" s="1102" t="s">
        <v>1986</v>
      </c>
      <c r="F223" s="1102"/>
      <c r="G223" s="1102"/>
      <c r="H223" s="1650">
        <f>'Part II-Development Team'!H28</f>
        <v>0</v>
      </c>
      <c r="I223" s="1663"/>
      <c r="J223" s="1663"/>
      <c r="K223" s="1663"/>
      <c r="L223" s="1663"/>
      <c r="M223" s="1663"/>
      <c r="N223" s="1663"/>
      <c r="O223" s="1087" t="s">
        <v>2125</v>
      </c>
      <c r="P223" s="1087"/>
      <c r="Q223" s="1650">
        <f>'Part II-Development Team'!Q28</f>
        <v>0</v>
      </c>
      <c r="R223" s="1663"/>
      <c r="S223" s="1663"/>
    </row>
    <row r="224" spans="1:19">
      <c r="A224" s="1102"/>
      <c r="B224" s="1102"/>
      <c r="C224" s="1102"/>
      <c r="D224" s="861"/>
      <c r="E224" s="1087" t="s">
        <v>1083</v>
      </c>
      <c r="F224" s="840"/>
      <c r="G224" s="1102"/>
      <c r="H224" s="1650">
        <f>'Part II-Development Team'!H29</f>
        <v>0</v>
      </c>
      <c r="I224" s="1663"/>
      <c r="J224" s="1663"/>
      <c r="K224" s="1663"/>
      <c r="L224" s="1663"/>
      <c r="M224" s="1663"/>
      <c r="N224" s="1663"/>
      <c r="O224" s="1087" t="s">
        <v>1870</v>
      </c>
      <c r="P224" s="1102"/>
      <c r="Q224" s="1650">
        <f>'Part II-Development Team'!Q29</f>
        <v>0</v>
      </c>
      <c r="R224" s="1663"/>
      <c r="S224" s="1663"/>
    </row>
    <row r="225" spans="1:19">
      <c r="A225" s="1102"/>
      <c r="B225" s="1102"/>
      <c r="C225" s="1102"/>
      <c r="D225" s="861"/>
      <c r="E225" s="1087" t="s">
        <v>659</v>
      </c>
      <c r="F225" s="1102"/>
      <c r="G225" s="1102"/>
      <c r="H225" s="1650">
        <f>'Part II-Development Team'!H30</f>
        <v>0</v>
      </c>
      <c r="I225" s="1663"/>
      <c r="J225" s="1663"/>
      <c r="K225" s="1089" t="s">
        <v>2944</v>
      </c>
      <c r="L225" s="1650">
        <f>'Part II-Development Team'!L30</f>
        <v>0</v>
      </c>
      <c r="M225" s="1663"/>
      <c r="N225" s="1663"/>
      <c r="O225" s="1087" t="s">
        <v>1927</v>
      </c>
      <c r="P225" s="1102"/>
      <c r="Q225" s="1684">
        <f>'Part II-Development Team'!Q30</f>
        <v>0</v>
      </c>
      <c r="R225" s="1684"/>
      <c r="S225" s="1684"/>
    </row>
    <row r="226" spans="1:19">
      <c r="A226" s="1102"/>
      <c r="B226" s="1102"/>
      <c r="C226" s="1102"/>
      <c r="D226" s="1102"/>
      <c r="E226" s="1087" t="s">
        <v>1923</v>
      </c>
      <c r="F226" s="1102"/>
      <c r="G226" s="1102"/>
      <c r="H226" s="1089">
        <f>'Part II-Development Team'!H31</f>
        <v>0</v>
      </c>
      <c r="I226" s="1089" t="s">
        <v>3650</v>
      </c>
      <c r="J226" s="1694">
        <f>'Part II-Development Team'!J31</f>
        <v>0</v>
      </c>
      <c r="K226" s="1663"/>
      <c r="L226" s="1102"/>
      <c r="M226" s="1102"/>
      <c r="N226" s="1102"/>
      <c r="O226" s="1087" t="s">
        <v>2114</v>
      </c>
      <c r="P226" s="1102"/>
      <c r="Q226" s="1684">
        <f>'Part II-Development Team'!Q31</f>
        <v>0</v>
      </c>
      <c r="R226" s="1684"/>
      <c r="S226" s="1684"/>
    </row>
    <row r="227" spans="1:19">
      <c r="A227" s="1102"/>
      <c r="B227" s="1102"/>
      <c r="C227" s="1102"/>
      <c r="D227" s="861"/>
      <c r="E227" s="1087" t="s">
        <v>2120</v>
      </c>
      <c r="F227" s="1102"/>
      <c r="G227" s="1102"/>
      <c r="H227" s="1684">
        <f>'Part II-Development Team'!H32</f>
        <v>0</v>
      </c>
      <c r="I227" s="1684"/>
      <c r="J227" s="1092">
        <f>'Part II-Development Team'!J32</f>
        <v>0</v>
      </c>
      <c r="K227" s="1089" t="s">
        <v>1926</v>
      </c>
      <c r="L227" s="1685">
        <f>'Part II-Development Team'!L32</f>
        <v>0</v>
      </c>
      <c r="M227" s="1663"/>
      <c r="N227" s="840" t="s">
        <v>2119</v>
      </c>
      <c r="O227" s="1686">
        <f>'Part II-Development Team'!O32</f>
        <v>0</v>
      </c>
      <c r="P227" s="1686"/>
      <c r="Q227" s="1686"/>
      <c r="R227" s="1686"/>
      <c r="S227" s="1686"/>
    </row>
    <row r="228" spans="1:19">
      <c r="A228" s="1097"/>
      <c r="B228" s="1097"/>
      <c r="C228" s="1097"/>
      <c r="D228" s="1097"/>
      <c r="E228" s="1097"/>
      <c r="F228" s="1097"/>
      <c r="G228" s="1097"/>
      <c r="H228" s="1097"/>
      <c r="I228" s="1097"/>
      <c r="J228" s="1097"/>
      <c r="K228" s="1097"/>
      <c r="L228" s="1097"/>
      <c r="M228" s="1097"/>
      <c r="N228" s="1097"/>
      <c r="O228" s="1097"/>
      <c r="P228" s="1097"/>
      <c r="Q228" s="1097"/>
      <c r="R228" s="1097"/>
      <c r="S228" s="1097"/>
    </row>
    <row r="229" spans="1:19">
      <c r="A229" s="1102"/>
      <c r="B229" s="1102"/>
      <c r="C229" s="864" t="s">
        <v>2124</v>
      </c>
      <c r="D229" s="853" t="s">
        <v>1988</v>
      </c>
      <c r="E229" s="1102"/>
      <c r="F229" s="1102"/>
      <c r="G229" s="1102"/>
      <c r="H229" s="1102"/>
      <c r="I229" s="1102"/>
      <c r="J229" s="1102"/>
      <c r="K229" s="1102"/>
      <c r="L229" s="1102"/>
      <c r="M229" s="1102"/>
      <c r="N229" s="1102"/>
      <c r="O229" s="1102"/>
      <c r="P229" s="1102"/>
      <c r="Q229" s="1102"/>
      <c r="R229" s="1102"/>
      <c r="S229" s="1102"/>
    </row>
    <row r="230" spans="1:19">
      <c r="A230" s="1102"/>
      <c r="B230" s="1102"/>
      <c r="C230" s="865"/>
      <c r="D230" s="853"/>
      <c r="E230" s="1102"/>
      <c r="F230" s="1102"/>
      <c r="G230" s="1102"/>
      <c r="H230" s="1034"/>
      <c r="I230" s="1034"/>
      <c r="J230" s="1034"/>
      <c r="K230" s="1089"/>
      <c r="L230" s="1034"/>
      <c r="M230" s="1034"/>
      <c r="N230" s="1089"/>
      <c r="O230" s="1034"/>
      <c r="P230" s="1034"/>
      <c r="Q230" s="1089"/>
      <c r="R230" s="1034"/>
      <c r="S230" s="1034"/>
    </row>
    <row r="231" spans="1:19">
      <c r="A231" s="1102"/>
      <c r="B231" s="1102"/>
      <c r="C231" s="1102"/>
      <c r="D231" s="837" t="s">
        <v>2254</v>
      </c>
      <c r="E231" s="1102" t="s">
        <v>800</v>
      </c>
      <c r="F231" s="1102"/>
      <c r="G231" s="1102"/>
      <c r="H231" s="1650" t="str">
        <f>'Part II-Development Team'!H36</f>
        <v>RBC Capital Markets - Tax Equity Group</v>
      </c>
      <c r="I231" s="1663"/>
      <c r="J231" s="1663"/>
      <c r="K231" s="1663"/>
      <c r="L231" s="1663"/>
      <c r="M231" s="1663"/>
      <c r="N231" s="1663"/>
      <c r="O231" s="1087" t="s">
        <v>2125</v>
      </c>
      <c r="P231" s="1087"/>
      <c r="Q231" s="1650" t="str">
        <f>'Part II-Development Team'!Q36</f>
        <v>David J. Urban</v>
      </c>
      <c r="R231" s="1663"/>
      <c r="S231" s="1663"/>
    </row>
    <row r="232" spans="1:19">
      <c r="A232" s="1102"/>
      <c r="B232" s="1102"/>
      <c r="C232" s="1102"/>
      <c r="D232" s="861"/>
      <c r="E232" s="1087" t="s">
        <v>1083</v>
      </c>
      <c r="F232" s="840"/>
      <c r="G232" s="1102"/>
      <c r="H232" s="1650" t="str">
        <f>'Part II-Development Team'!H37</f>
        <v>One Piedmont Town Center Suite 240</v>
      </c>
      <c r="I232" s="1663"/>
      <c r="J232" s="1663"/>
      <c r="K232" s="1663"/>
      <c r="L232" s="1663"/>
      <c r="M232" s="1663"/>
      <c r="N232" s="1663"/>
      <c r="O232" s="1087" t="s">
        <v>1870</v>
      </c>
      <c r="P232" s="1102"/>
      <c r="Q232" s="1650" t="str">
        <f>'Part II-Development Team'!Q37</f>
        <v>Director</v>
      </c>
      <c r="R232" s="1663"/>
      <c r="S232" s="1663"/>
    </row>
    <row r="233" spans="1:19">
      <c r="A233" s="1102"/>
      <c r="B233" s="1102"/>
      <c r="C233" s="1102"/>
      <c r="D233" s="861"/>
      <c r="E233" s="1087" t="s">
        <v>659</v>
      </c>
      <c r="F233" s="1102"/>
      <c r="G233" s="1102"/>
      <c r="H233" s="1650" t="str">
        <f>'Part II-Development Team'!H38</f>
        <v>Charlotte</v>
      </c>
      <c r="I233" s="1663"/>
      <c r="J233" s="1663"/>
      <c r="K233" s="1089" t="s">
        <v>2944</v>
      </c>
      <c r="L233" s="1650">
        <f>'Part II-Development Team'!L38</f>
        <v>0</v>
      </c>
      <c r="M233" s="1663"/>
      <c r="N233" s="1663"/>
      <c r="O233" s="1087" t="s">
        <v>1927</v>
      </c>
      <c r="P233" s="1102"/>
      <c r="Q233" s="1684">
        <f>'Part II-Development Team'!Q38</f>
        <v>9802336437</v>
      </c>
      <c r="R233" s="1684"/>
      <c r="S233" s="1684"/>
    </row>
    <row r="234" spans="1:19">
      <c r="A234" s="1102"/>
      <c r="B234" s="1102"/>
      <c r="C234" s="1102"/>
      <c r="D234" s="1102"/>
      <c r="E234" s="1087" t="s">
        <v>1923</v>
      </c>
      <c r="F234" s="1102"/>
      <c r="G234" s="1102"/>
      <c r="H234" s="1089" t="str">
        <f>'Part II-Development Team'!H39</f>
        <v>NC</v>
      </c>
      <c r="I234" s="1089" t="s">
        <v>3650</v>
      </c>
      <c r="J234" s="1694">
        <f>'Part II-Development Team'!J39</f>
        <v>282100427</v>
      </c>
      <c r="K234" s="1663"/>
      <c r="L234" s="1102"/>
      <c r="M234" s="1102"/>
      <c r="N234" s="1102"/>
      <c r="O234" s="1087" t="s">
        <v>2114</v>
      </c>
      <c r="P234" s="1102"/>
      <c r="Q234" s="1684">
        <f>'Part II-Development Team'!Q39</f>
        <v>2165444223</v>
      </c>
      <c r="R234" s="1684"/>
      <c r="S234" s="1684"/>
    </row>
    <row r="235" spans="1:19">
      <c r="A235" s="1102"/>
      <c r="B235" s="1102"/>
      <c r="C235" s="1102"/>
      <c r="D235" s="861"/>
      <c r="E235" s="1087" t="s">
        <v>2120</v>
      </c>
      <c r="F235" s="1102"/>
      <c r="G235" s="1102"/>
      <c r="H235" s="1684">
        <f>'Part II-Development Team'!H40</f>
        <v>9802336437</v>
      </c>
      <c r="I235" s="1684"/>
      <c r="J235" s="1092">
        <f>'Part II-Development Team'!J40</f>
        <v>0</v>
      </c>
      <c r="K235" s="1089" t="s">
        <v>1926</v>
      </c>
      <c r="L235" s="1685">
        <f>'Part II-Development Team'!L40</f>
        <v>0</v>
      </c>
      <c r="M235" s="1663"/>
      <c r="N235" s="840" t="s">
        <v>2119</v>
      </c>
      <c r="O235" s="1686" t="str">
        <f>'Part II-Development Team'!O40</f>
        <v>david.urban@rbc.com</v>
      </c>
      <c r="P235" s="1686"/>
      <c r="Q235" s="1686"/>
      <c r="R235" s="1686"/>
      <c r="S235" s="1686"/>
    </row>
    <row r="236" spans="1:19">
      <c r="A236" s="1097"/>
      <c r="B236" s="1097"/>
      <c r="C236" s="1097"/>
      <c r="D236" s="1097"/>
      <c r="E236" s="1097"/>
      <c r="F236" s="1097"/>
      <c r="G236" s="1097"/>
      <c r="H236" s="1034"/>
      <c r="I236" s="1034"/>
      <c r="J236" s="1034"/>
      <c r="K236" s="1089"/>
      <c r="L236" s="1034"/>
      <c r="M236" s="1034"/>
      <c r="N236" s="1089"/>
      <c r="O236" s="1034"/>
      <c r="P236" s="1034"/>
      <c r="Q236" s="1089"/>
      <c r="R236" s="1034"/>
      <c r="S236" s="1034"/>
    </row>
    <row r="237" spans="1:19">
      <c r="A237" s="1102"/>
      <c r="B237" s="1102"/>
      <c r="C237" s="1102"/>
      <c r="D237" s="837" t="s">
        <v>2255</v>
      </c>
      <c r="E237" s="1102" t="s">
        <v>801</v>
      </c>
      <c r="F237" s="837"/>
      <c r="G237" s="1102"/>
      <c r="H237" s="1650" t="str">
        <f>'Part II-Development Team'!H42</f>
        <v>RBC Capital Markets - Tax Equity Group</v>
      </c>
      <c r="I237" s="1663"/>
      <c r="J237" s="1663"/>
      <c r="K237" s="1663"/>
      <c r="L237" s="1663"/>
      <c r="M237" s="1663"/>
      <c r="N237" s="1663"/>
      <c r="O237" s="1087" t="s">
        <v>2125</v>
      </c>
      <c r="P237" s="1087"/>
      <c r="Q237" s="1650" t="str">
        <f>'Part II-Development Team'!Q42</f>
        <v>David J. Urban</v>
      </c>
      <c r="R237" s="1663"/>
      <c r="S237" s="1663"/>
    </row>
    <row r="238" spans="1:19">
      <c r="A238" s="1102"/>
      <c r="B238" s="1102"/>
      <c r="C238" s="1102"/>
      <c r="D238" s="861"/>
      <c r="E238" s="1087" t="s">
        <v>1083</v>
      </c>
      <c r="F238" s="840"/>
      <c r="G238" s="1102"/>
      <c r="H238" s="1650" t="str">
        <f>'Part II-Development Team'!H43</f>
        <v>One Piedmont Town Center Suite 240</v>
      </c>
      <c r="I238" s="1663"/>
      <c r="J238" s="1663"/>
      <c r="K238" s="1663"/>
      <c r="L238" s="1663"/>
      <c r="M238" s="1663"/>
      <c r="N238" s="1663"/>
      <c r="O238" s="1087" t="s">
        <v>1870</v>
      </c>
      <c r="P238" s="1102"/>
      <c r="Q238" s="1650" t="str">
        <f>'Part II-Development Team'!Q43</f>
        <v>Director</v>
      </c>
      <c r="R238" s="1663"/>
      <c r="S238" s="1663"/>
    </row>
    <row r="239" spans="1:19">
      <c r="A239" s="1102"/>
      <c r="B239" s="1102"/>
      <c r="C239" s="1102"/>
      <c r="D239" s="861"/>
      <c r="E239" s="1087" t="s">
        <v>659</v>
      </c>
      <c r="F239" s="1102"/>
      <c r="G239" s="1102"/>
      <c r="H239" s="1650" t="str">
        <f>'Part II-Development Team'!H44</f>
        <v>Charlotte</v>
      </c>
      <c r="I239" s="1663"/>
      <c r="J239" s="1663"/>
      <c r="K239" s="1089" t="s">
        <v>2944</v>
      </c>
      <c r="L239" s="1650">
        <f>'Part II-Development Team'!L44</f>
        <v>0</v>
      </c>
      <c r="M239" s="1663"/>
      <c r="N239" s="1663"/>
      <c r="O239" s="1087" t="s">
        <v>1927</v>
      </c>
      <c r="P239" s="1102"/>
      <c r="Q239" s="1684">
        <f>'Part II-Development Team'!Q44</f>
        <v>9802336437</v>
      </c>
      <c r="R239" s="1684"/>
      <c r="S239" s="1684"/>
    </row>
    <row r="240" spans="1:19">
      <c r="A240" s="1102"/>
      <c r="B240" s="1102"/>
      <c r="C240" s="1102"/>
      <c r="D240" s="837"/>
      <c r="E240" s="1087" t="s">
        <v>1923</v>
      </c>
      <c r="F240" s="1102"/>
      <c r="G240" s="1102"/>
      <c r="H240" s="1089" t="str">
        <f>'Part II-Development Team'!H45</f>
        <v>NC</v>
      </c>
      <c r="I240" s="1089" t="s">
        <v>3650</v>
      </c>
      <c r="J240" s="1694">
        <f>'Part II-Development Team'!J45</f>
        <v>282100427</v>
      </c>
      <c r="K240" s="1663"/>
      <c r="L240" s="1102"/>
      <c r="M240" s="1102"/>
      <c r="N240" s="1102"/>
      <c r="O240" s="1087" t="s">
        <v>2114</v>
      </c>
      <c r="P240" s="1102"/>
      <c r="Q240" s="1684">
        <f>'Part II-Development Team'!Q45</f>
        <v>2165444223</v>
      </c>
      <c r="R240" s="1684"/>
      <c r="S240" s="1684"/>
    </row>
    <row r="241" spans="1:19">
      <c r="A241" s="1102"/>
      <c r="B241" s="1102"/>
      <c r="C241" s="1102"/>
      <c r="D241" s="861"/>
      <c r="E241" s="1087" t="s">
        <v>2120</v>
      </c>
      <c r="F241" s="1102"/>
      <c r="G241" s="1102"/>
      <c r="H241" s="1684">
        <f>'Part II-Development Team'!H46</f>
        <v>9802336437</v>
      </c>
      <c r="I241" s="1684"/>
      <c r="J241" s="1092">
        <f>'Part II-Development Team'!J46</f>
        <v>0</v>
      </c>
      <c r="K241" s="1089" t="s">
        <v>1926</v>
      </c>
      <c r="L241" s="1685">
        <f>'Part II-Development Team'!L46</f>
        <v>0</v>
      </c>
      <c r="M241" s="1663"/>
      <c r="N241" s="840" t="s">
        <v>2119</v>
      </c>
      <c r="O241" s="1686" t="str">
        <f>'Part II-Development Team'!O46</f>
        <v>david.urban@rbc.com</v>
      </c>
      <c r="P241" s="1686"/>
      <c r="Q241" s="1686"/>
      <c r="R241" s="1686"/>
      <c r="S241" s="1686"/>
    </row>
    <row r="242" spans="1:19">
      <c r="A242" s="1102"/>
      <c r="B242" s="1102"/>
      <c r="C242" s="1102"/>
      <c r="D242" s="861"/>
      <c r="E242" s="1087"/>
      <c r="F242" s="837"/>
      <c r="G242" s="1102"/>
      <c r="H242" s="1096"/>
      <c r="I242" s="1096"/>
      <c r="J242" s="1031"/>
      <c r="K242" s="1089"/>
      <c r="L242" s="1096"/>
      <c r="M242" s="1096"/>
      <c r="N242" s="1089"/>
      <c r="O242" s="1096"/>
      <c r="P242" s="1096"/>
      <c r="Q242" s="1089"/>
      <c r="R242" s="1096"/>
      <c r="S242" s="1096"/>
    </row>
    <row r="243" spans="1:19">
      <c r="A243" s="1102"/>
      <c r="B243" s="1102"/>
      <c r="C243" s="865" t="s">
        <v>2707</v>
      </c>
      <c r="D243" s="853" t="s">
        <v>696</v>
      </c>
      <c r="E243" s="1102"/>
      <c r="F243" s="1102"/>
      <c r="G243" s="1102"/>
      <c r="H243" s="1102"/>
      <c r="I243" s="1102"/>
      <c r="J243" s="1102"/>
      <c r="K243" s="1102"/>
      <c r="L243" s="1102"/>
      <c r="M243" s="1102"/>
      <c r="N243" s="1102"/>
      <c r="O243" s="1102"/>
      <c r="P243" s="1102"/>
      <c r="Q243" s="1102"/>
      <c r="R243" s="1102"/>
      <c r="S243" s="1102"/>
    </row>
    <row r="244" spans="1:19">
      <c r="A244" s="1102"/>
      <c r="B244" s="1102"/>
      <c r="C244" s="1102"/>
      <c r="D244" s="865"/>
      <c r="E244" s="852"/>
      <c r="F244" s="1102"/>
      <c r="G244" s="1102"/>
      <c r="H244" s="1034"/>
      <c r="I244" s="1034"/>
      <c r="J244" s="1034"/>
      <c r="K244" s="1089"/>
      <c r="L244" s="1034"/>
      <c r="M244" s="1034"/>
      <c r="N244" s="1089"/>
      <c r="O244" s="1034"/>
      <c r="P244" s="1034"/>
      <c r="Q244" s="1089"/>
      <c r="R244" s="1034"/>
      <c r="S244" s="1034"/>
    </row>
    <row r="245" spans="1:19">
      <c r="A245" s="1102"/>
      <c r="B245" s="1102"/>
      <c r="C245" s="1102"/>
      <c r="D245" s="1102"/>
      <c r="E245" s="1102" t="s">
        <v>95</v>
      </c>
      <c r="F245" s="1102"/>
      <c r="G245" s="1102"/>
      <c r="H245" s="1650">
        <f>'Part II-Development Team'!H50</f>
        <v>0</v>
      </c>
      <c r="I245" s="1663"/>
      <c r="J245" s="1663"/>
      <c r="K245" s="1663"/>
      <c r="L245" s="1663"/>
      <c r="M245" s="1663"/>
      <c r="N245" s="1663"/>
      <c r="O245" s="1087" t="s">
        <v>2125</v>
      </c>
      <c r="P245" s="1087"/>
      <c r="Q245" s="1650">
        <f>'Part II-Development Team'!Q50</f>
        <v>0</v>
      </c>
      <c r="R245" s="1663"/>
      <c r="S245" s="1663"/>
    </row>
    <row r="246" spans="1:19">
      <c r="A246" s="1102"/>
      <c r="B246" s="1102"/>
      <c r="C246" s="1102"/>
      <c r="D246" s="861"/>
      <c r="E246" s="1087" t="s">
        <v>1083</v>
      </c>
      <c r="F246" s="840"/>
      <c r="G246" s="1102"/>
      <c r="H246" s="1650">
        <f>'Part II-Development Team'!H51</f>
        <v>0</v>
      </c>
      <c r="I246" s="1663"/>
      <c r="J246" s="1663"/>
      <c r="K246" s="1663"/>
      <c r="L246" s="1663"/>
      <c r="M246" s="1663"/>
      <c r="N246" s="1663"/>
      <c r="O246" s="1087" t="s">
        <v>1870</v>
      </c>
      <c r="P246" s="1102"/>
      <c r="Q246" s="1650">
        <f>'Part II-Development Team'!Q51</f>
        <v>0</v>
      </c>
      <c r="R246" s="1663"/>
      <c r="S246" s="1663"/>
    </row>
    <row r="247" spans="1:19">
      <c r="A247" s="1102"/>
      <c r="B247" s="1102"/>
      <c r="C247" s="1102"/>
      <c r="D247" s="861"/>
      <c r="E247" s="1087" t="s">
        <v>659</v>
      </c>
      <c r="F247" s="1102"/>
      <c r="G247" s="1102"/>
      <c r="H247" s="1650">
        <f>'Part II-Development Team'!H52</f>
        <v>0</v>
      </c>
      <c r="I247" s="1663"/>
      <c r="J247" s="1663"/>
      <c r="K247" s="1089" t="s">
        <v>2944</v>
      </c>
      <c r="L247" s="1650">
        <f>'Part II-Development Team'!L52</f>
        <v>0</v>
      </c>
      <c r="M247" s="1663"/>
      <c r="N247" s="1663"/>
      <c r="O247" s="1087" t="s">
        <v>1927</v>
      </c>
      <c r="P247" s="1102"/>
      <c r="Q247" s="1684">
        <f>'Part II-Development Team'!Q52</f>
        <v>0</v>
      </c>
      <c r="R247" s="1684"/>
      <c r="S247" s="1684"/>
    </row>
    <row r="248" spans="1:19">
      <c r="A248" s="1102"/>
      <c r="B248" s="1102"/>
      <c r="C248" s="1102"/>
      <c r="D248" s="1102"/>
      <c r="E248" s="1087" t="s">
        <v>1923</v>
      </c>
      <c r="F248" s="1102"/>
      <c r="G248" s="1102"/>
      <c r="H248" s="1089">
        <f>'Part II-Development Team'!H53</f>
        <v>0</v>
      </c>
      <c r="I248" s="1089" t="s">
        <v>3650</v>
      </c>
      <c r="J248" s="1694">
        <f>'Part II-Development Team'!J53</f>
        <v>0</v>
      </c>
      <c r="K248" s="1663"/>
      <c r="L248" s="1102"/>
      <c r="M248" s="1102"/>
      <c r="N248" s="1102"/>
      <c r="O248" s="1087" t="s">
        <v>2114</v>
      </c>
      <c r="P248" s="1102"/>
      <c r="Q248" s="1684">
        <f>'Part II-Development Team'!Q53</f>
        <v>0</v>
      </c>
      <c r="R248" s="1684"/>
      <c r="S248" s="1684"/>
    </row>
    <row r="249" spans="1:19">
      <c r="A249" s="1102"/>
      <c r="B249" s="1102"/>
      <c r="C249" s="1102"/>
      <c r="D249" s="861"/>
      <c r="E249" s="1087" t="s">
        <v>2120</v>
      </c>
      <c r="F249" s="1102"/>
      <c r="G249" s="1102"/>
      <c r="H249" s="1684">
        <f>'Part II-Development Team'!H54</f>
        <v>0</v>
      </c>
      <c r="I249" s="1684"/>
      <c r="J249" s="1092">
        <f>'Part II-Development Team'!J54</f>
        <v>0</v>
      </c>
      <c r="K249" s="1089" t="s">
        <v>1926</v>
      </c>
      <c r="L249" s="1685">
        <f>'Part II-Development Team'!L54</f>
        <v>0</v>
      </c>
      <c r="M249" s="1663"/>
      <c r="N249" s="840" t="s">
        <v>2119</v>
      </c>
      <c r="O249" s="1686">
        <f>'Part II-Development Team'!O54</f>
        <v>0</v>
      </c>
      <c r="P249" s="1686"/>
      <c r="Q249" s="1686"/>
      <c r="R249" s="1686"/>
      <c r="S249" s="1686"/>
    </row>
    <row r="250" spans="1:19">
      <c r="A250" s="1097"/>
      <c r="B250" s="1097"/>
      <c r="C250" s="1097"/>
      <c r="D250" s="1097"/>
      <c r="E250" s="1097"/>
      <c r="F250" s="1097"/>
      <c r="G250" s="1097"/>
      <c r="H250" s="1097"/>
      <c r="I250" s="1097"/>
      <c r="J250" s="1097"/>
      <c r="K250" s="1097"/>
      <c r="L250" s="1097"/>
      <c r="M250" s="1097"/>
      <c r="N250" s="1097"/>
      <c r="O250" s="1097"/>
      <c r="P250" s="1097"/>
      <c r="Q250" s="1097"/>
      <c r="R250" s="1097"/>
      <c r="S250" s="1097"/>
    </row>
    <row r="251" spans="1:19">
      <c r="A251" s="837" t="s">
        <v>790</v>
      </c>
      <c r="B251" s="837" t="s">
        <v>697</v>
      </c>
      <c r="C251" s="1102"/>
      <c r="D251" s="1102"/>
      <c r="E251" s="1102"/>
      <c r="F251" s="837"/>
      <c r="G251" s="1089"/>
      <c r="H251" s="1089"/>
      <c r="I251" s="1089"/>
      <c r="J251" s="1102"/>
      <c r="K251" s="1102"/>
      <c r="L251" s="1102"/>
      <c r="M251" s="1102"/>
      <c r="N251" s="1102"/>
      <c r="O251" s="1102"/>
      <c r="P251" s="1102"/>
      <c r="Q251" s="1102"/>
      <c r="R251" s="1102"/>
      <c r="S251" s="1102"/>
    </row>
    <row r="252" spans="1:19">
      <c r="A252" s="837"/>
      <c r="B252" s="837"/>
      <c r="C252" s="1102"/>
      <c r="D252" s="1102"/>
      <c r="E252" s="1102"/>
      <c r="F252" s="837"/>
      <c r="G252" s="1089"/>
      <c r="H252" s="1034"/>
      <c r="I252" s="1034"/>
      <c r="J252" s="1034"/>
      <c r="K252" s="1089"/>
      <c r="L252" s="1034"/>
      <c r="M252" s="1034"/>
      <c r="N252" s="1089"/>
      <c r="O252" s="1034"/>
      <c r="P252" s="1034"/>
      <c r="Q252" s="1089"/>
      <c r="R252" s="1034"/>
      <c r="S252" s="1034"/>
    </row>
    <row r="253" spans="1:19">
      <c r="A253" s="1102"/>
      <c r="B253" s="837" t="s">
        <v>2118</v>
      </c>
      <c r="C253" s="837" t="s">
        <v>298</v>
      </c>
      <c r="D253" s="1102"/>
      <c r="E253" s="1102"/>
      <c r="F253" s="1102"/>
      <c r="G253" s="1102"/>
      <c r="H253" s="1650" t="str">
        <f>'Part II-Development Team'!H58</f>
        <v>Vantage Development, LLC</v>
      </c>
      <c r="I253" s="1663"/>
      <c r="J253" s="1663"/>
      <c r="K253" s="1663"/>
      <c r="L253" s="1663"/>
      <c r="M253" s="1663"/>
      <c r="N253" s="1663"/>
      <c r="O253" s="1087" t="s">
        <v>2125</v>
      </c>
      <c r="P253" s="1087"/>
      <c r="Q253" s="1650" t="str">
        <f>'Part II-Development Team'!Q58</f>
        <v>Lowell R. Barron, II</v>
      </c>
      <c r="R253" s="1663"/>
      <c r="S253" s="1663"/>
    </row>
    <row r="254" spans="1:19">
      <c r="A254" s="1102"/>
      <c r="B254" s="1102"/>
      <c r="C254" s="1102"/>
      <c r="D254" s="861"/>
      <c r="E254" s="1087" t="s">
        <v>1083</v>
      </c>
      <c r="F254" s="840"/>
      <c r="G254" s="1102"/>
      <c r="H254" s="1650" t="str">
        <f>'Part II-Development Team'!H59</f>
        <v>1544 South Main Street</v>
      </c>
      <c r="I254" s="1663"/>
      <c r="J254" s="1663"/>
      <c r="K254" s="1663"/>
      <c r="L254" s="1663"/>
      <c r="M254" s="1663"/>
      <c r="N254" s="1663"/>
      <c r="O254" s="1087" t="s">
        <v>1870</v>
      </c>
      <c r="P254" s="1102"/>
      <c r="Q254" s="1650" t="str">
        <f>'Part II-Development Team'!Q59</f>
        <v>President</v>
      </c>
      <c r="R254" s="1663"/>
      <c r="S254" s="1663"/>
    </row>
    <row r="255" spans="1:19">
      <c r="A255" s="1102"/>
      <c r="B255" s="1102"/>
      <c r="C255" s="1102"/>
      <c r="D255" s="861"/>
      <c r="E255" s="1087" t="s">
        <v>659</v>
      </c>
      <c r="F255" s="1102"/>
      <c r="G255" s="1102"/>
      <c r="H255" s="1650" t="str">
        <f>'Part II-Development Team'!H60</f>
        <v>Fyffe</v>
      </c>
      <c r="I255" s="1663"/>
      <c r="J255" s="1663"/>
      <c r="K255" s="1089" t="s">
        <v>2944</v>
      </c>
      <c r="L255" s="1650" t="str">
        <f>'Part II-Development Team'!L60</f>
        <v>www.thevantagegroup.biz</v>
      </c>
      <c r="M255" s="1663"/>
      <c r="N255" s="1663"/>
      <c r="O255" s="1087" t="s">
        <v>1927</v>
      </c>
      <c r="P255" s="1102"/>
      <c r="Q255" s="1684">
        <f>'Part II-Development Team'!Q60</f>
        <v>2564174920</v>
      </c>
      <c r="R255" s="1684"/>
      <c r="S255" s="1684"/>
    </row>
    <row r="256" spans="1:19">
      <c r="A256" s="1102"/>
      <c r="B256" s="1102"/>
      <c r="C256" s="1102"/>
      <c r="D256" s="1102"/>
      <c r="E256" s="1087" t="s">
        <v>1923</v>
      </c>
      <c r="F256" s="1102"/>
      <c r="G256" s="1102"/>
      <c r="H256" s="1089" t="str">
        <f>'Part II-Development Team'!H61</f>
        <v>AL</v>
      </c>
      <c r="I256" s="1089" t="s">
        <v>3650</v>
      </c>
      <c r="J256" s="1694">
        <f>'Part II-Development Team'!J61</f>
        <v>359713484</v>
      </c>
      <c r="K256" s="1663"/>
      <c r="L256" s="1102"/>
      <c r="M256" s="1102"/>
      <c r="N256" s="1102"/>
      <c r="O256" s="1087" t="s">
        <v>2114</v>
      </c>
      <c r="P256" s="1102"/>
      <c r="Q256" s="1684">
        <f>'Part II-Development Team'!Q61</f>
        <v>2569976659</v>
      </c>
      <c r="R256" s="1684"/>
      <c r="S256" s="1684"/>
    </row>
    <row r="257" spans="1:19">
      <c r="A257" s="1102"/>
      <c r="B257" s="1102"/>
      <c r="C257" s="1102"/>
      <c r="D257" s="861"/>
      <c r="E257" s="1087" t="s">
        <v>2120</v>
      </c>
      <c r="F257" s="1102"/>
      <c r="G257" s="1102"/>
      <c r="H257" s="1684">
        <f>'Part II-Development Team'!H62</f>
        <v>2564174920</v>
      </c>
      <c r="I257" s="1684"/>
      <c r="J257" s="1092">
        <f>'Part II-Development Team'!J62</f>
        <v>0</v>
      </c>
      <c r="K257" s="1089" t="s">
        <v>1926</v>
      </c>
      <c r="L257" s="1685">
        <f>'Part II-Development Team'!L62</f>
        <v>2566233944</v>
      </c>
      <c r="M257" s="1663"/>
      <c r="N257" s="840" t="s">
        <v>2119</v>
      </c>
      <c r="O257" s="1686" t="str">
        <f>'Part II-Development Team'!O62</f>
        <v>lbarron@thevantagegroup.biz</v>
      </c>
      <c r="P257" s="1686"/>
      <c r="Q257" s="1686"/>
      <c r="R257" s="1686"/>
      <c r="S257" s="1686"/>
    </row>
    <row r="258" spans="1:19">
      <c r="A258" s="1102"/>
      <c r="B258" s="1102"/>
      <c r="C258" s="1102"/>
      <c r="D258" s="861"/>
      <c r="E258" s="1102"/>
      <c r="F258" s="1102"/>
      <c r="G258" s="1087"/>
      <c r="H258" s="1034"/>
      <c r="I258" s="1034"/>
      <c r="J258" s="1034"/>
      <c r="K258" s="1089"/>
      <c r="L258" s="1034"/>
      <c r="M258" s="1034"/>
      <c r="N258" s="1089"/>
      <c r="O258" s="1034"/>
      <c r="P258" s="1034"/>
      <c r="Q258" s="1089"/>
      <c r="R258" s="1034"/>
      <c r="S258" s="1034"/>
    </row>
    <row r="259" spans="1:19">
      <c r="A259" s="1102"/>
      <c r="B259" s="837" t="s">
        <v>2121</v>
      </c>
      <c r="C259" s="837" t="s">
        <v>299</v>
      </c>
      <c r="D259" s="1102"/>
      <c r="E259" s="1102"/>
      <c r="F259" s="1102"/>
      <c r="G259" s="1102"/>
      <c r="H259" s="1650" t="str">
        <f>'Part II-Development Team'!H64</f>
        <v>Willingham Development, LLC</v>
      </c>
      <c r="I259" s="1663"/>
      <c r="J259" s="1663"/>
      <c r="K259" s="1663"/>
      <c r="L259" s="1663"/>
      <c r="M259" s="1663"/>
      <c r="N259" s="1663"/>
      <c r="O259" s="1087" t="s">
        <v>2125</v>
      </c>
      <c r="P259" s="1087"/>
      <c r="Q259" s="1650" t="str">
        <f>'Part II-Development Team'!Q64</f>
        <v>Sandra Hudson</v>
      </c>
      <c r="R259" s="1663"/>
      <c r="S259" s="1663"/>
    </row>
    <row r="260" spans="1:19">
      <c r="A260" s="1102"/>
      <c r="B260" s="1102"/>
      <c r="C260" s="1102"/>
      <c r="D260" s="861"/>
      <c r="E260" s="1087" t="s">
        <v>1083</v>
      </c>
      <c r="F260" s="840"/>
      <c r="G260" s="1102"/>
      <c r="H260" s="1650" t="str">
        <f>'Part II-Development Team'!H65</f>
        <v>800 N. Fifth Avenue</v>
      </c>
      <c r="I260" s="1663"/>
      <c r="J260" s="1663"/>
      <c r="K260" s="1663"/>
      <c r="L260" s="1663"/>
      <c r="M260" s="1663"/>
      <c r="N260" s="1663"/>
      <c r="O260" s="1087" t="s">
        <v>1870</v>
      </c>
      <c r="P260" s="1102"/>
      <c r="Q260" s="1650" t="str">
        <f>'Part II-Development Team'!Q65</f>
        <v>Director</v>
      </c>
      <c r="R260" s="1663"/>
      <c r="S260" s="1663"/>
    </row>
    <row r="261" spans="1:19">
      <c r="A261" s="1102"/>
      <c r="B261" s="1102"/>
      <c r="C261" s="1102"/>
      <c r="D261" s="861"/>
      <c r="E261" s="1087" t="s">
        <v>659</v>
      </c>
      <c r="F261" s="1102"/>
      <c r="G261" s="1102"/>
      <c r="H261" s="1650" t="str">
        <f>'Part II-Development Team'!H66</f>
        <v>Rome</v>
      </c>
      <c r="I261" s="1663"/>
      <c r="J261" s="1663"/>
      <c r="K261" s="1089" t="s">
        <v>2944</v>
      </c>
      <c r="L261" s="1650" t="str">
        <f>'Part II-Development Team'!L66</f>
        <v>N/A</v>
      </c>
      <c r="M261" s="1663"/>
      <c r="N261" s="1663"/>
      <c r="O261" s="1087" t="s">
        <v>1927</v>
      </c>
      <c r="P261" s="1102"/>
      <c r="Q261" s="1684">
        <f>'Part II-Development Team'!Q66</f>
        <v>7063783940</v>
      </c>
      <c r="R261" s="1684"/>
      <c r="S261" s="1684"/>
    </row>
    <row r="262" spans="1:19">
      <c r="A262" s="1102"/>
      <c r="B262" s="1102"/>
      <c r="C262" s="1102"/>
      <c r="D262" s="1102"/>
      <c r="E262" s="1087" t="s">
        <v>1923</v>
      </c>
      <c r="F262" s="1102"/>
      <c r="G262" s="1102"/>
      <c r="H262" s="1089" t="str">
        <f>'Part II-Development Team'!H67</f>
        <v>GA</v>
      </c>
      <c r="I262" s="1089" t="s">
        <v>3650</v>
      </c>
      <c r="J262" s="1694">
        <f>'Part II-Development Team'!J67</f>
        <v>301621428</v>
      </c>
      <c r="K262" s="1663"/>
      <c r="L262" s="1102"/>
      <c r="M262" s="1102"/>
      <c r="N262" s="1102"/>
      <c r="O262" s="1087" t="s">
        <v>2114</v>
      </c>
      <c r="P262" s="1102"/>
      <c r="Q262" s="1684">
        <f>'Part II-Development Team'!Q67</f>
        <v>7062524635</v>
      </c>
      <c r="R262" s="1684"/>
      <c r="S262" s="1684"/>
    </row>
    <row r="263" spans="1:19">
      <c r="A263" s="1102"/>
      <c r="B263" s="1102"/>
      <c r="C263" s="1102"/>
      <c r="D263" s="861"/>
      <c r="E263" s="1087" t="s">
        <v>2120</v>
      </c>
      <c r="F263" s="1102"/>
      <c r="G263" s="1102"/>
      <c r="H263" s="1684">
        <f>'Part II-Development Team'!H68</f>
        <v>7062910780</v>
      </c>
      <c r="I263" s="1684"/>
      <c r="J263" s="1092">
        <f>'Part II-Development Team'!J68</f>
        <v>0</v>
      </c>
      <c r="K263" s="1089" t="s">
        <v>1926</v>
      </c>
      <c r="L263" s="1685">
        <f>'Part II-Development Team'!L68</f>
        <v>7062950376</v>
      </c>
      <c r="M263" s="1663"/>
      <c r="N263" s="840" t="s">
        <v>2119</v>
      </c>
      <c r="O263" s="1686">
        <f>'Part II-Development Team'!O68</f>
        <v>0</v>
      </c>
      <c r="P263" s="1686"/>
      <c r="Q263" s="1686"/>
      <c r="R263" s="1686"/>
      <c r="S263" s="1686"/>
    </row>
    <row r="264" spans="1:19">
      <c r="A264" s="1102"/>
      <c r="B264" s="1102"/>
      <c r="C264" s="1102"/>
      <c r="D264" s="861"/>
      <c r="E264" s="1102"/>
      <c r="F264" s="1102"/>
      <c r="G264" s="1087"/>
      <c r="H264" s="1034"/>
      <c r="I264" s="1034"/>
      <c r="J264" s="1034"/>
      <c r="K264" s="1089"/>
      <c r="L264" s="1034"/>
      <c r="M264" s="1034"/>
      <c r="N264" s="1089"/>
      <c r="O264" s="1034"/>
      <c r="P264" s="1034"/>
      <c r="Q264" s="1089"/>
      <c r="R264" s="1034"/>
      <c r="S264" s="1034"/>
    </row>
    <row r="265" spans="1:19">
      <c r="A265" s="1102"/>
      <c r="B265" s="837" t="s">
        <v>799</v>
      </c>
      <c r="C265" s="837" t="s">
        <v>1634</v>
      </c>
      <c r="D265" s="1102"/>
      <c r="E265" s="1102"/>
      <c r="F265" s="1102"/>
      <c r="G265" s="1102"/>
      <c r="H265" s="1650">
        <f>'Part II-Development Team'!H70</f>
        <v>0</v>
      </c>
      <c r="I265" s="1663"/>
      <c r="J265" s="1663"/>
      <c r="K265" s="1663"/>
      <c r="L265" s="1663"/>
      <c r="M265" s="1663"/>
      <c r="N265" s="1663"/>
      <c r="O265" s="1087" t="s">
        <v>2125</v>
      </c>
      <c r="P265" s="1087"/>
      <c r="Q265" s="1650">
        <f>'Part II-Development Team'!Q70</f>
        <v>0</v>
      </c>
      <c r="R265" s="1663"/>
      <c r="S265" s="1663"/>
    </row>
    <row r="266" spans="1:19">
      <c r="A266" s="1102"/>
      <c r="B266" s="1102"/>
      <c r="C266" s="1102"/>
      <c r="D266" s="861"/>
      <c r="E266" s="1087" t="s">
        <v>1083</v>
      </c>
      <c r="F266" s="840"/>
      <c r="G266" s="1102"/>
      <c r="H266" s="1650">
        <f>'Part II-Development Team'!H71</f>
        <v>0</v>
      </c>
      <c r="I266" s="1663"/>
      <c r="J266" s="1663"/>
      <c r="K266" s="1663"/>
      <c r="L266" s="1663"/>
      <c r="M266" s="1663"/>
      <c r="N266" s="1663"/>
      <c r="O266" s="1087" t="s">
        <v>1870</v>
      </c>
      <c r="P266" s="1102"/>
      <c r="Q266" s="1650">
        <f>'Part II-Development Team'!Q71</f>
        <v>0</v>
      </c>
      <c r="R266" s="1663"/>
      <c r="S266" s="1663"/>
    </row>
    <row r="267" spans="1:19">
      <c r="A267" s="1102"/>
      <c r="B267" s="1102"/>
      <c r="C267" s="1102"/>
      <c r="D267" s="861"/>
      <c r="E267" s="1087" t="s">
        <v>659</v>
      </c>
      <c r="F267" s="1102"/>
      <c r="G267" s="1102"/>
      <c r="H267" s="1650">
        <f>'Part II-Development Team'!H72</f>
        <v>0</v>
      </c>
      <c r="I267" s="1663"/>
      <c r="J267" s="1663"/>
      <c r="K267" s="1089" t="s">
        <v>2944</v>
      </c>
      <c r="L267" s="1650">
        <f>'Part II-Development Team'!L72</f>
        <v>0</v>
      </c>
      <c r="M267" s="1663"/>
      <c r="N267" s="1663"/>
      <c r="O267" s="1087" t="s">
        <v>1927</v>
      </c>
      <c r="P267" s="1102"/>
      <c r="Q267" s="1684">
        <f>'Part II-Development Team'!Q72</f>
        <v>0</v>
      </c>
      <c r="R267" s="1684"/>
      <c r="S267" s="1684"/>
    </row>
    <row r="268" spans="1:19">
      <c r="A268" s="1102"/>
      <c r="B268" s="1102"/>
      <c r="C268" s="1102"/>
      <c r="D268" s="1102"/>
      <c r="E268" s="1087" t="s">
        <v>1923</v>
      </c>
      <c r="F268" s="1102"/>
      <c r="G268" s="1102"/>
      <c r="H268" s="1089">
        <f>'Part II-Development Team'!H73</f>
        <v>0</v>
      </c>
      <c r="I268" s="1089" t="s">
        <v>3650</v>
      </c>
      <c r="J268" s="1694">
        <f>'Part II-Development Team'!J73</f>
        <v>0</v>
      </c>
      <c r="K268" s="1663"/>
      <c r="L268" s="1102"/>
      <c r="M268" s="1102"/>
      <c r="N268" s="1102"/>
      <c r="O268" s="1087" t="s">
        <v>2114</v>
      </c>
      <c r="P268" s="1102"/>
      <c r="Q268" s="1684">
        <f>'Part II-Development Team'!Q73</f>
        <v>0</v>
      </c>
      <c r="R268" s="1684"/>
      <c r="S268" s="1684"/>
    </row>
    <row r="269" spans="1:19">
      <c r="A269" s="1102"/>
      <c r="B269" s="1102"/>
      <c r="C269" s="1102"/>
      <c r="D269" s="861"/>
      <c r="E269" s="1087" t="s">
        <v>2120</v>
      </c>
      <c r="F269" s="1102"/>
      <c r="G269" s="1102"/>
      <c r="H269" s="1684">
        <f>'Part II-Development Team'!H74</f>
        <v>0</v>
      </c>
      <c r="I269" s="1684"/>
      <c r="J269" s="1092">
        <f>'Part II-Development Team'!J74</f>
        <v>0</v>
      </c>
      <c r="K269" s="1089" t="s">
        <v>1926</v>
      </c>
      <c r="L269" s="1685">
        <f>'Part II-Development Team'!L74</f>
        <v>0</v>
      </c>
      <c r="M269" s="1663"/>
      <c r="N269" s="840" t="s">
        <v>2119</v>
      </c>
      <c r="O269" s="1686">
        <f>'Part II-Development Team'!O74</f>
        <v>0</v>
      </c>
      <c r="P269" s="1686"/>
      <c r="Q269" s="1686"/>
      <c r="R269" s="1686"/>
      <c r="S269" s="1686"/>
    </row>
    <row r="270" spans="1:19">
      <c r="A270" s="1097"/>
      <c r="B270" s="1097"/>
      <c r="C270" s="1097"/>
      <c r="D270" s="1097"/>
      <c r="E270" s="1097"/>
      <c r="F270" s="1097"/>
      <c r="G270" s="1097"/>
      <c r="H270" s="1034"/>
      <c r="I270" s="1034"/>
      <c r="J270" s="1034"/>
      <c r="K270" s="1089"/>
      <c r="L270" s="1034"/>
      <c r="M270" s="1034"/>
      <c r="N270" s="1089"/>
      <c r="O270" s="1034"/>
      <c r="P270" s="1034"/>
      <c r="Q270" s="1089"/>
      <c r="R270" s="1034"/>
      <c r="S270" s="1034"/>
    </row>
    <row r="271" spans="1:19">
      <c r="A271" s="1102"/>
      <c r="B271" s="837" t="s">
        <v>2253</v>
      </c>
      <c r="C271" s="837" t="s">
        <v>300</v>
      </c>
      <c r="D271" s="1102"/>
      <c r="E271" s="1102"/>
      <c r="F271" s="1102"/>
      <c r="G271" s="1102"/>
      <c r="H271" s="1650">
        <f>'Part II-Development Team'!H76</f>
        <v>0</v>
      </c>
      <c r="I271" s="1663"/>
      <c r="J271" s="1663"/>
      <c r="K271" s="1663"/>
      <c r="L271" s="1663"/>
      <c r="M271" s="1663"/>
      <c r="N271" s="1663"/>
      <c r="O271" s="1087" t="s">
        <v>2125</v>
      </c>
      <c r="P271" s="1087"/>
      <c r="Q271" s="1650">
        <f>'Part II-Development Team'!Q76</f>
        <v>0</v>
      </c>
      <c r="R271" s="1663"/>
      <c r="S271" s="1663"/>
    </row>
    <row r="272" spans="1:19">
      <c r="A272" s="1102"/>
      <c r="B272" s="1102"/>
      <c r="C272" s="1102"/>
      <c r="D272" s="861"/>
      <c r="E272" s="1087" t="s">
        <v>1083</v>
      </c>
      <c r="F272" s="840"/>
      <c r="G272" s="1102"/>
      <c r="H272" s="1650">
        <f>'Part II-Development Team'!H77</f>
        <v>0</v>
      </c>
      <c r="I272" s="1663"/>
      <c r="J272" s="1663"/>
      <c r="K272" s="1663"/>
      <c r="L272" s="1663"/>
      <c r="M272" s="1663"/>
      <c r="N272" s="1663"/>
      <c r="O272" s="1087" t="s">
        <v>1870</v>
      </c>
      <c r="P272" s="1102"/>
      <c r="Q272" s="1650">
        <f>'Part II-Development Team'!Q77</f>
        <v>0</v>
      </c>
      <c r="R272" s="1663"/>
      <c r="S272" s="1663"/>
    </row>
    <row r="273" spans="1:19">
      <c r="A273" s="1102"/>
      <c r="B273" s="1102"/>
      <c r="C273" s="1102"/>
      <c r="D273" s="861"/>
      <c r="E273" s="1087" t="s">
        <v>659</v>
      </c>
      <c r="F273" s="1102"/>
      <c r="G273" s="1102"/>
      <c r="H273" s="1650">
        <f>'Part II-Development Team'!H78</f>
        <v>0</v>
      </c>
      <c r="I273" s="1663"/>
      <c r="J273" s="1663"/>
      <c r="K273" s="1089" t="s">
        <v>2944</v>
      </c>
      <c r="L273" s="1650">
        <f>'Part II-Development Team'!L78</f>
        <v>0</v>
      </c>
      <c r="M273" s="1663"/>
      <c r="N273" s="1663"/>
      <c r="O273" s="1087" t="s">
        <v>1927</v>
      </c>
      <c r="P273" s="1102"/>
      <c r="Q273" s="1684">
        <f>'Part II-Development Team'!Q78</f>
        <v>0</v>
      </c>
      <c r="R273" s="1684"/>
      <c r="S273" s="1684"/>
    </row>
    <row r="274" spans="1:19">
      <c r="A274" s="1102"/>
      <c r="B274" s="1102"/>
      <c r="C274" s="1102"/>
      <c r="D274" s="1102"/>
      <c r="E274" s="1087" t="s">
        <v>1923</v>
      </c>
      <c r="F274" s="1102"/>
      <c r="G274" s="1102"/>
      <c r="H274" s="1089">
        <f>'Part II-Development Team'!H79</f>
        <v>0</v>
      </c>
      <c r="I274" s="1089" t="s">
        <v>3650</v>
      </c>
      <c r="J274" s="1694">
        <f>'Part II-Development Team'!J79</f>
        <v>0</v>
      </c>
      <c r="K274" s="1663"/>
      <c r="L274" s="1102"/>
      <c r="M274" s="1102"/>
      <c r="N274" s="1102"/>
      <c r="O274" s="1087" t="s">
        <v>2114</v>
      </c>
      <c r="P274" s="1102"/>
      <c r="Q274" s="1684">
        <f>'Part II-Development Team'!Q79</f>
        <v>0</v>
      </c>
      <c r="R274" s="1684"/>
      <c r="S274" s="1684"/>
    </row>
    <row r="275" spans="1:19">
      <c r="A275" s="1102"/>
      <c r="B275" s="1102"/>
      <c r="C275" s="1102"/>
      <c r="D275" s="861"/>
      <c r="E275" s="1087" t="s">
        <v>2120</v>
      </c>
      <c r="F275" s="1102"/>
      <c r="G275" s="1102"/>
      <c r="H275" s="1684">
        <f>'Part II-Development Team'!H80</f>
        <v>0</v>
      </c>
      <c r="I275" s="1684"/>
      <c r="J275" s="1092">
        <f>'Part II-Development Team'!J80</f>
        <v>0</v>
      </c>
      <c r="K275" s="1089" t="s">
        <v>1926</v>
      </c>
      <c r="L275" s="1685">
        <f>'Part II-Development Team'!L80</f>
        <v>0</v>
      </c>
      <c r="M275" s="1663"/>
      <c r="N275" s="840" t="s">
        <v>2119</v>
      </c>
      <c r="O275" s="1686">
        <f>'Part II-Development Team'!O80</f>
        <v>0</v>
      </c>
      <c r="P275" s="1686"/>
      <c r="Q275" s="1686"/>
      <c r="R275" s="1686"/>
      <c r="S275" s="1686"/>
    </row>
    <row r="276" spans="1:19">
      <c r="A276" s="1097"/>
      <c r="B276" s="1097"/>
      <c r="C276" s="1097"/>
      <c r="D276" s="1097"/>
      <c r="E276" s="1097"/>
      <c r="F276" s="1097"/>
      <c r="G276" s="1097"/>
      <c r="H276" s="1097"/>
      <c r="I276" s="1097"/>
      <c r="J276" s="1097"/>
      <c r="K276" s="1097"/>
      <c r="L276" s="1097"/>
      <c r="M276" s="1097"/>
      <c r="N276" s="1097"/>
      <c r="O276" s="1097"/>
      <c r="P276" s="1097"/>
      <c r="Q276" s="1097"/>
      <c r="R276" s="1097"/>
      <c r="S276" s="1097"/>
    </row>
    <row r="277" spans="1:19">
      <c r="A277" s="836" t="s">
        <v>792</v>
      </c>
      <c r="B277" s="836" t="s">
        <v>301</v>
      </c>
      <c r="C277" s="1087"/>
      <c r="D277" s="836"/>
      <c r="E277" s="1087"/>
      <c r="F277" s="836"/>
      <c r="G277" s="836"/>
      <c r="H277" s="836"/>
      <c r="I277" s="836"/>
      <c r="J277" s="836"/>
      <c r="K277" s="836"/>
      <c r="L277" s="836"/>
      <c r="M277" s="836"/>
      <c r="N277" s="1087"/>
      <c r="O277" s="1087"/>
      <c r="P277" s="1087"/>
      <c r="Q277" s="1087"/>
      <c r="R277" s="1087"/>
      <c r="S277" s="1087"/>
    </row>
    <row r="278" spans="1:19">
      <c r="A278" s="836"/>
      <c r="B278" s="836"/>
      <c r="C278" s="1087"/>
      <c r="D278" s="836"/>
      <c r="E278" s="1087"/>
      <c r="F278" s="836"/>
      <c r="G278" s="836"/>
      <c r="H278" s="1034"/>
      <c r="I278" s="1034"/>
      <c r="J278" s="1034"/>
      <c r="K278" s="1089"/>
      <c r="L278" s="1034"/>
      <c r="M278" s="1034"/>
      <c r="N278" s="1089"/>
      <c r="O278" s="1034"/>
      <c r="P278" s="1034"/>
      <c r="Q278" s="1089"/>
      <c r="R278" s="1034"/>
      <c r="S278" s="1034"/>
    </row>
    <row r="279" spans="1:19">
      <c r="A279" s="1102"/>
      <c r="B279" s="837" t="s">
        <v>2118</v>
      </c>
      <c r="C279" s="837" t="s">
        <v>302</v>
      </c>
      <c r="D279" s="1102"/>
      <c r="E279" s="1102"/>
      <c r="F279" s="1102"/>
      <c r="G279" s="1102"/>
      <c r="H279" s="1650">
        <f>'Part II-Development Team'!H84</f>
        <v>0</v>
      </c>
      <c r="I279" s="1663"/>
      <c r="J279" s="1663"/>
      <c r="K279" s="1663"/>
      <c r="L279" s="1663"/>
      <c r="M279" s="1663"/>
      <c r="N279" s="1663"/>
      <c r="O279" s="1087" t="s">
        <v>2125</v>
      </c>
      <c r="P279" s="1087"/>
      <c r="Q279" s="1650">
        <f>'Part II-Development Team'!Q84</f>
        <v>0</v>
      </c>
      <c r="R279" s="1663"/>
      <c r="S279" s="1663"/>
    </row>
    <row r="280" spans="1:19">
      <c r="A280" s="1102"/>
      <c r="B280" s="1102"/>
      <c r="C280" s="1102"/>
      <c r="D280" s="861"/>
      <c r="E280" s="1087" t="s">
        <v>1083</v>
      </c>
      <c r="F280" s="840"/>
      <c r="G280" s="1102"/>
      <c r="H280" s="1650">
        <f>'Part II-Development Team'!H85</f>
        <v>0</v>
      </c>
      <c r="I280" s="1663"/>
      <c r="J280" s="1663"/>
      <c r="K280" s="1663"/>
      <c r="L280" s="1663"/>
      <c r="M280" s="1663"/>
      <c r="N280" s="1663"/>
      <c r="O280" s="1087" t="s">
        <v>1870</v>
      </c>
      <c r="P280" s="1102"/>
      <c r="Q280" s="1650">
        <f>'Part II-Development Team'!Q85</f>
        <v>0</v>
      </c>
      <c r="R280" s="1663"/>
      <c r="S280" s="1663"/>
    </row>
    <row r="281" spans="1:19">
      <c r="A281" s="1102"/>
      <c r="B281" s="1102"/>
      <c r="C281" s="1102"/>
      <c r="D281" s="861"/>
      <c r="E281" s="1087" t="s">
        <v>659</v>
      </c>
      <c r="F281" s="1102"/>
      <c r="G281" s="1102"/>
      <c r="H281" s="1650">
        <f>'Part II-Development Team'!H86</f>
        <v>0</v>
      </c>
      <c r="I281" s="1663"/>
      <c r="J281" s="1663"/>
      <c r="K281" s="1089" t="s">
        <v>2944</v>
      </c>
      <c r="L281" s="1650">
        <f>'Part II-Development Team'!L86</f>
        <v>0</v>
      </c>
      <c r="M281" s="1663"/>
      <c r="N281" s="1663"/>
      <c r="O281" s="1087" t="s">
        <v>1927</v>
      </c>
      <c r="P281" s="1102"/>
      <c r="Q281" s="1684">
        <f>'Part II-Development Team'!Q86</f>
        <v>0</v>
      </c>
      <c r="R281" s="1684"/>
      <c r="S281" s="1684"/>
    </row>
    <row r="282" spans="1:19">
      <c r="A282" s="1102"/>
      <c r="B282" s="1102"/>
      <c r="C282" s="1102"/>
      <c r="D282" s="1102"/>
      <c r="E282" s="1087" t="s">
        <v>1923</v>
      </c>
      <c r="F282" s="1102"/>
      <c r="G282" s="1102"/>
      <c r="H282" s="1089">
        <f>'Part II-Development Team'!H87</f>
        <v>0</v>
      </c>
      <c r="I282" s="1089" t="s">
        <v>3650</v>
      </c>
      <c r="J282" s="1694">
        <f>'Part II-Development Team'!J87</f>
        <v>0</v>
      </c>
      <c r="K282" s="1663"/>
      <c r="L282" s="1102"/>
      <c r="M282" s="1102"/>
      <c r="N282" s="1102"/>
      <c r="O282" s="1087" t="s">
        <v>2114</v>
      </c>
      <c r="P282" s="1102"/>
      <c r="Q282" s="1684">
        <f>'Part II-Development Team'!Q87</f>
        <v>0</v>
      </c>
      <c r="R282" s="1684"/>
      <c r="S282" s="1684"/>
    </row>
    <row r="283" spans="1:19">
      <c r="A283" s="1102"/>
      <c r="B283" s="1102"/>
      <c r="C283" s="1102"/>
      <c r="D283" s="861"/>
      <c r="E283" s="1087" t="s">
        <v>2120</v>
      </c>
      <c r="F283" s="1102"/>
      <c r="G283" s="1102"/>
      <c r="H283" s="1684">
        <f>'Part II-Development Team'!H88</f>
        <v>0</v>
      </c>
      <c r="I283" s="1684"/>
      <c r="J283" s="1092">
        <f>'Part II-Development Team'!J88</f>
        <v>0</v>
      </c>
      <c r="K283" s="1089" t="s">
        <v>1926</v>
      </c>
      <c r="L283" s="1685">
        <f>'Part II-Development Team'!L88</f>
        <v>0</v>
      </c>
      <c r="M283" s="1663"/>
      <c r="N283" s="840" t="s">
        <v>2119</v>
      </c>
      <c r="O283" s="1686">
        <f>'Part II-Development Team'!O88</f>
        <v>0</v>
      </c>
      <c r="P283" s="1686"/>
      <c r="Q283" s="1686"/>
      <c r="R283" s="1686"/>
      <c r="S283" s="1686"/>
    </row>
    <row r="284" spans="1:19">
      <c r="A284" s="1097"/>
      <c r="B284" s="1097"/>
      <c r="C284" s="1097"/>
      <c r="D284" s="1097"/>
      <c r="E284" s="1097"/>
      <c r="F284" s="1097"/>
      <c r="G284" s="1097"/>
      <c r="H284" s="1034"/>
      <c r="I284" s="1034"/>
      <c r="J284" s="1034"/>
      <c r="K284" s="1089"/>
      <c r="L284" s="1034"/>
      <c r="M284" s="1034"/>
      <c r="N284" s="1089"/>
      <c r="O284" s="1034"/>
      <c r="P284" s="1034"/>
      <c r="Q284" s="1089"/>
      <c r="R284" s="1034"/>
      <c r="S284" s="1034"/>
    </row>
    <row r="285" spans="1:19">
      <c r="A285" s="1102"/>
      <c r="B285" s="837" t="s">
        <v>2121</v>
      </c>
      <c r="C285" s="837" t="s">
        <v>303</v>
      </c>
      <c r="D285" s="1102"/>
      <c r="E285" s="1102"/>
      <c r="F285" s="1102"/>
      <c r="G285" s="1102"/>
      <c r="H285" s="1650" t="str">
        <f>'Part II-Development Team'!H90</f>
        <v>Fyffe Construction Company, Inc.</v>
      </c>
      <c r="I285" s="1663"/>
      <c r="J285" s="1663"/>
      <c r="K285" s="1663"/>
      <c r="L285" s="1663"/>
      <c r="M285" s="1663"/>
      <c r="N285" s="1663"/>
      <c r="O285" s="1087" t="s">
        <v>2125</v>
      </c>
      <c r="P285" s="1087"/>
      <c r="Q285" s="1650" t="str">
        <f>'Part II-Development Team'!Q90</f>
        <v>Lowell R. Barron, II</v>
      </c>
      <c r="R285" s="1663"/>
      <c r="S285" s="1663"/>
    </row>
    <row r="286" spans="1:19">
      <c r="A286" s="1102"/>
      <c r="B286" s="1102"/>
      <c r="C286" s="1102"/>
      <c r="D286" s="861"/>
      <c r="E286" s="1087" t="s">
        <v>1083</v>
      </c>
      <c r="F286" s="840"/>
      <c r="G286" s="1102"/>
      <c r="H286" s="1650" t="str">
        <f>'Part II-Development Team'!H91</f>
        <v>1544 South Main Street</v>
      </c>
      <c r="I286" s="1663"/>
      <c r="J286" s="1663"/>
      <c r="K286" s="1663"/>
      <c r="L286" s="1663"/>
      <c r="M286" s="1663"/>
      <c r="N286" s="1663"/>
      <c r="O286" s="1087" t="s">
        <v>1870</v>
      </c>
      <c r="P286" s="1102"/>
      <c r="Q286" s="1650" t="str">
        <f>'Part II-Development Team'!Q91</f>
        <v>President</v>
      </c>
      <c r="R286" s="1663"/>
      <c r="S286" s="1663"/>
    </row>
    <row r="287" spans="1:19">
      <c r="A287" s="1102"/>
      <c r="B287" s="1102"/>
      <c r="C287" s="1102"/>
      <c r="D287" s="861"/>
      <c r="E287" s="1087" t="s">
        <v>659</v>
      </c>
      <c r="F287" s="1102"/>
      <c r="G287" s="1102"/>
      <c r="H287" s="1650" t="str">
        <f>'Part II-Development Team'!H92</f>
        <v>Fyffe</v>
      </c>
      <c r="I287" s="1663"/>
      <c r="J287" s="1663"/>
      <c r="K287" s="1089" t="s">
        <v>2944</v>
      </c>
      <c r="L287" s="1650" t="str">
        <f>'Part II-Development Team'!L92</f>
        <v>www.thevantagegroup.biz</v>
      </c>
      <c r="M287" s="1663"/>
      <c r="N287" s="1663"/>
      <c r="O287" s="1087" t="s">
        <v>1927</v>
      </c>
      <c r="P287" s="1102"/>
      <c r="Q287" s="1684">
        <f>'Part II-Development Team'!Q92</f>
        <v>2564174920</v>
      </c>
      <c r="R287" s="1684"/>
      <c r="S287" s="1684"/>
    </row>
    <row r="288" spans="1:19">
      <c r="A288" s="1102"/>
      <c r="B288" s="1102"/>
      <c r="C288" s="1102"/>
      <c r="D288" s="1102"/>
      <c r="E288" s="1087" t="s">
        <v>1923</v>
      </c>
      <c r="F288" s="1102"/>
      <c r="G288" s="1102"/>
      <c r="H288" s="1089" t="str">
        <f>'Part II-Development Team'!H93</f>
        <v>AL</v>
      </c>
      <c r="I288" s="1089" t="s">
        <v>3650</v>
      </c>
      <c r="J288" s="1694">
        <f>'Part II-Development Team'!J93</f>
        <v>359713484</v>
      </c>
      <c r="K288" s="1663"/>
      <c r="L288" s="1102"/>
      <c r="M288" s="1102"/>
      <c r="N288" s="1102"/>
      <c r="O288" s="1087" t="s">
        <v>2114</v>
      </c>
      <c r="P288" s="1102"/>
      <c r="Q288" s="1684">
        <f>'Part II-Development Team'!Q93</f>
        <v>2569976659</v>
      </c>
      <c r="R288" s="1684"/>
      <c r="S288" s="1684"/>
    </row>
    <row r="289" spans="1:19">
      <c r="A289" s="1102"/>
      <c r="B289" s="1102"/>
      <c r="C289" s="1102"/>
      <c r="D289" s="861"/>
      <c r="E289" s="1087" t="s">
        <v>2120</v>
      </c>
      <c r="F289" s="1102"/>
      <c r="G289" s="1102"/>
      <c r="H289" s="1684">
        <f>'Part II-Development Team'!H94</f>
        <v>2564174922</v>
      </c>
      <c r="I289" s="1684"/>
      <c r="J289" s="1092">
        <f>'Part II-Development Team'!J94</f>
        <v>295</v>
      </c>
      <c r="K289" s="1089" t="s">
        <v>1926</v>
      </c>
      <c r="L289" s="1685">
        <f>'Part II-Development Team'!L94</f>
        <v>2566233944</v>
      </c>
      <c r="M289" s="1663"/>
      <c r="N289" s="840" t="s">
        <v>2119</v>
      </c>
      <c r="O289" s="1686" t="str">
        <f>'Part II-Development Team'!O94</f>
        <v>lbarron@thevantagegroup.biz</v>
      </c>
      <c r="P289" s="1686"/>
      <c r="Q289" s="1686"/>
      <c r="R289" s="1686"/>
      <c r="S289" s="1686"/>
    </row>
    <row r="290" spans="1:19">
      <c r="A290" s="1097"/>
      <c r="B290" s="1097"/>
      <c r="C290" s="1097"/>
      <c r="D290" s="1097"/>
      <c r="E290" s="1097"/>
      <c r="F290" s="1097"/>
      <c r="G290" s="1097"/>
      <c r="H290" s="1034"/>
      <c r="I290" s="1034"/>
      <c r="J290" s="1034"/>
      <c r="K290" s="1089"/>
      <c r="L290" s="1034"/>
      <c r="M290" s="1034"/>
      <c r="N290" s="1089"/>
      <c r="O290" s="1034"/>
      <c r="P290" s="1034"/>
      <c r="Q290" s="1089"/>
      <c r="R290" s="1034"/>
      <c r="S290" s="1034"/>
    </row>
    <row r="291" spans="1:19">
      <c r="A291" s="1102"/>
      <c r="B291" s="837" t="s">
        <v>799</v>
      </c>
      <c r="C291" s="837" t="s">
        <v>304</v>
      </c>
      <c r="D291" s="1102"/>
      <c r="E291" s="1102"/>
      <c r="F291" s="1097"/>
      <c r="G291" s="1102"/>
      <c r="H291" s="1650" t="str">
        <f>'Part II-Development Team'!H96</f>
        <v>Vantage Management, LLC</v>
      </c>
      <c r="I291" s="1663"/>
      <c r="J291" s="1663"/>
      <c r="K291" s="1663"/>
      <c r="L291" s="1663"/>
      <c r="M291" s="1663"/>
      <c r="N291" s="1663"/>
      <c r="O291" s="1087" t="s">
        <v>2125</v>
      </c>
      <c r="P291" s="1087"/>
      <c r="Q291" s="1650" t="str">
        <f>'Part II-Development Team'!Q96</f>
        <v>Lowell R. Barron, II</v>
      </c>
      <c r="R291" s="1663"/>
      <c r="S291" s="1663"/>
    </row>
    <row r="292" spans="1:19">
      <c r="A292" s="1102"/>
      <c r="B292" s="1102"/>
      <c r="C292" s="1102"/>
      <c r="D292" s="861"/>
      <c r="E292" s="1087" t="s">
        <v>1083</v>
      </c>
      <c r="F292" s="840"/>
      <c r="G292" s="1102"/>
      <c r="H292" s="1650" t="str">
        <f>'Part II-Development Team'!H97</f>
        <v>1544 South Main Street</v>
      </c>
      <c r="I292" s="1663"/>
      <c r="J292" s="1663"/>
      <c r="K292" s="1663"/>
      <c r="L292" s="1663"/>
      <c r="M292" s="1663"/>
      <c r="N292" s="1663"/>
      <c r="O292" s="1087" t="s">
        <v>1870</v>
      </c>
      <c r="P292" s="1102"/>
      <c r="Q292" s="1650" t="str">
        <f>'Part II-Development Team'!Q97</f>
        <v>President</v>
      </c>
      <c r="R292" s="1663"/>
      <c r="S292" s="1663"/>
    </row>
    <row r="293" spans="1:19">
      <c r="A293" s="1102"/>
      <c r="B293" s="1102"/>
      <c r="C293" s="1102"/>
      <c r="D293" s="861"/>
      <c r="E293" s="1087" t="s">
        <v>659</v>
      </c>
      <c r="F293" s="1102"/>
      <c r="G293" s="1102"/>
      <c r="H293" s="1650" t="str">
        <f>'Part II-Development Team'!H98</f>
        <v>Fyffe</v>
      </c>
      <c r="I293" s="1663"/>
      <c r="J293" s="1663"/>
      <c r="K293" s="1089" t="s">
        <v>2944</v>
      </c>
      <c r="L293" s="1650" t="str">
        <f>'Part II-Development Team'!L98</f>
        <v>www.thevantagegroup.biz</v>
      </c>
      <c r="M293" s="1663"/>
      <c r="N293" s="1663"/>
      <c r="O293" s="1087" t="s">
        <v>1927</v>
      </c>
      <c r="P293" s="1102"/>
      <c r="Q293" s="1684">
        <f>'Part II-Development Team'!Q98</f>
        <v>2564174920</v>
      </c>
      <c r="R293" s="1684"/>
      <c r="S293" s="1684"/>
    </row>
    <row r="294" spans="1:19">
      <c r="A294" s="1102"/>
      <c r="B294" s="1102"/>
      <c r="C294" s="1102"/>
      <c r="D294" s="861"/>
      <c r="E294" s="1087" t="s">
        <v>1923</v>
      </c>
      <c r="F294" s="1102"/>
      <c r="G294" s="1102"/>
      <c r="H294" s="1089" t="str">
        <f>'Part II-Development Team'!H99</f>
        <v>AL</v>
      </c>
      <c r="I294" s="1089" t="s">
        <v>3650</v>
      </c>
      <c r="J294" s="1694">
        <f>'Part II-Development Team'!J99</f>
        <v>359713484</v>
      </c>
      <c r="K294" s="1663"/>
      <c r="L294" s="1102"/>
      <c r="M294" s="1102"/>
      <c r="N294" s="1102"/>
      <c r="O294" s="1087" t="s">
        <v>2114</v>
      </c>
      <c r="P294" s="1102"/>
      <c r="Q294" s="1684">
        <f>'Part II-Development Team'!Q99</f>
        <v>2569976659</v>
      </c>
      <c r="R294" s="1684"/>
      <c r="S294" s="1684"/>
    </row>
    <row r="295" spans="1:19">
      <c r="A295" s="1102"/>
      <c r="B295" s="1102"/>
      <c r="C295" s="1102"/>
      <c r="D295" s="861"/>
      <c r="E295" s="1087" t="s">
        <v>2120</v>
      </c>
      <c r="F295" s="1102"/>
      <c r="G295" s="1102"/>
      <c r="H295" s="1684">
        <f>'Part II-Development Team'!H100</f>
        <v>2564174921</v>
      </c>
      <c r="I295" s="1684"/>
      <c r="J295" s="1092">
        <f>'Part II-Development Team'!J100</f>
        <v>295</v>
      </c>
      <c r="K295" s="1089" t="s">
        <v>1926</v>
      </c>
      <c r="L295" s="1685">
        <f>'Part II-Development Team'!L100</f>
        <v>2566233944</v>
      </c>
      <c r="M295" s="1663"/>
      <c r="N295" s="840" t="s">
        <v>2119</v>
      </c>
      <c r="O295" s="1686" t="str">
        <f>'Part II-Development Team'!O100</f>
        <v>lbarron@thevantagegroup.biz</v>
      </c>
      <c r="P295" s="1686"/>
      <c r="Q295" s="1686"/>
      <c r="R295" s="1686"/>
      <c r="S295" s="1686"/>
    </row>
    <row r="296" spans="1:19">
      <c r="A296" s="1097"/>
      <c r="B296" s="1097"/>
      <c r="C296" s="1097"/>
      <c r="D296" s="1097"/>
      <c r="E296" s="1097"/>
      <c r="F296" s="1097"/>
      <c r="G296" s="1097"/>
      <c r="H296" s="1034"/>
      <c r="I296" s="1034"/>
      <c r="J296" s="1034"/>
      <c r="K296" s="1089"/>
      <c r="L296" s="1034"/>
      <c r="M296" s="1034"/>
      <c r="N296" s="1089"/>
      <c r="O296" s="1034"/>
      <c r="P296" s="1034"/>
      <c r="Q296" s="1089"/>
      <c r="R296" s="1034"/>
      <c r="S296" s="1034"/>
    </row>
    <row r="297" spans="1:19">
      <c r="A297" s="1102"/>
      <c r="B297" s="837" t="s">
        <v>2253</v>
      </c>
      <c r="C297" s="837" t="s">
        <v>305</v>
      </c>
      <c r="D297" s="1102"/>
      <c r="E297" s="1102"/>
      <c r="F297" s="1102"/>
      <c r="G297" s="1102"/>
      <c r="H297" s="1650" t="str">
        <f>'Part II-Development Team'!H102</f>
        <v>Balch &amp; Bingham, LLP</v>
      </c>
      <c r="I297" s="1663"/>
      <c r="J297" s="1663"/>
      <c r="K297" s="1663"/>
      <c r="L297" s="1663"/>
      <c r="M297" s="1663"/>
      <c r="N297" s="1663"/>
      <c r="O297" s="1087" t="s">
        <v>2125</v>
      </c>
      <c r="P297" s="1087"/>
      <c r="Q297" s="1650" t="str">
        <f>'Part II-Development Team'!Q102</f>
        <v>Matt Aiken</v>
      </c>
      <c r="R297" s="1663"/>
      <c r="S297" s="1663"/>
    </row>
    <row r="298" spans="1:19">
      <c r="A298" s="1102"/>
      <c r="B298" s="1102"/>
      <c r="C298" s="1102"/>
      <c r="D298" s="861"/>
      <c r="E298" s="1087" t="s">
        <v>1083</v>
      </c>
      <c r="F298" s="840"/>
      <c r="G298" s="1102"/>
      <c r="H298" s="1650" t="str">
        <f>'Part II-Development Team'!H103</f>
        <v>1901 Sixth Avenue North</v>
      </c>
      <c r="I298" s="1663"/>
      <c r="J298" s="1663"/>
      <c r="K298" s="1663"/>
      <c r="L298" s="1663"/>
      <c r="M298" s="1663"/>
      <c r="N298" s="1663"/>
      <c r="O298" s="1087" t="s">
        <v>1870</v>
      </c>
      <c r="P298" s="1102"/>
      <c r="Q298" s="1650" t="str">
        <f>'Part II-Development Team'!Q103</f>
        <v>Partner</v>
      </c>
      <c r="R298" s="1663"/>
      <c r="S298" s="1663"/>
    </row>
    <row r="299" spans="1:19">
      <c r="A299" s="1102"/>
      <c r="B299" s="1102"/>
      <c r="C299" s="1102"/>
      <c r="D299" s="861"/>
      <c r="E299" s="1087" t="s">
        <v>659</v>
      </c>
      <c r="F299" s="1102"/>
      <c r="G299" s="1102"/>
      <c r="H299" s="1650" t="str">
        <f>'Part II-Development Team'!H104</f>
        <v>Birmingham</v>
      </c>
      <c r="I299" s="1663"/>
      <c r="J299" s="1663"/>
      <c r="K299" s="1089" t="s">
        <v>2944</v>
      </c>
      <c r="L299" s="1650">
        <f>'Part II-Development Team'!L104</f>
        <v>0</v>
      </c>
      <c r="M299" s="1663"/>
      <c r="N299" s="1663"/>
      <c r="O299" s="1087" t="s">
        <v>1927</v>
      </c>
      <c r="P299" s="1102"/>
      <c r="Q299" s="1684">
        <f>'Part II-Development Team'!Q104</f>
        <v>2052263425</v>
      </c>
      <c r="R299" s="1684"/>
      <c r="S299" s="1684"/>
    </row>
    <row r="300" spans="1:19">
      <c r="A300" s="1102"/>
      <c r="B300" s="1102"/>
      <c r="C300" s="1102"/>
      <c r="D300" s="861"/>
      <c r="E300" s="1087" t="s">
        <v>1923</v>
      </c>
      <c r="F300" s="1102"/>
      <c r="G300" s="1102"/>
      <c r="H300" s="1089" t="str">
        <f>'Part II-Development Team'!H105</f>
        <v>AL</v>
      </c>
      <c r="I300" s="1089" t="s">
        <v>3650</v>
      </c>
      <c r="J300" s="1694">
        <f>'Part II-Development Team'!J105</f>
        <v>352034642</v>
      </c>
      <c r="K300" s="1663"/>
      <c r="L300" s="1102"/>
      <c r="M300" s="1102"/>
      <c r="N300" s="1102"/>
      <c r="O300" s="1087" t="s">
        <v>2114</v>
      </c>
      <c r="P300" s="1102"/>
      <c r="Q300" s="1684">
        <f>'Part II-Development Team'!Q105</f>
        <v>2052263425</v>
      </c>
      <c r="R300" s="1684"/>
      <c r="S300" s="1684"/>
    </row>
    <row r="301" spans="1:19">
      <c r="A301" s="1097"/>
      <c r="B301" s="1097"/>
      <c r="C301" s="1097"/>
      <c r="D301" s="1097"/>
      <c r="E301" s="1087" t="s">
        <v>2120</v>
      </c>
      <c r="F301" s="1102"/>
      <c r="G301" s="1102"/>
      <c r="H301" s="1684">
        <f>'Part II-Development Team'!H106</f>
        <v>2052263425</v>
      </c>
      <c r="I301" s="1684"/>
      <c r="J301" s="1092">
        <f>'Part II-Development Team'!J106</f>
        <v>0</v>
      </c>
      <c r="K301" s="1089" t="s">
        <v>1926</v>
      </c>
      <c r="L301" s="1685">
        <f>'Part II-Development Team'!L106</f>
        <v>2054885649</v>
      </c>
      <c r="M301" s="1663"/>
      <c r="N301" s="840" t="s">
        <v>2119</v>
      </c>
      <c r="O301" s="1686" t="str">
        <f>'Part II-Development Team'!O106</f>
        <v>maiken@balch.com</v>
      </c>
      <c r="P301" s="1686"/>
      <c r="Q301" s="1686"/>
      <c r="R301" s="1686"/>
      <c r="S301" s="1686"/>
    </row>
    <row r="302" spans="1:19">
      <c r="A302" s="1097"/>
      <c r="B302" s="1097"/>
      <c r="C302" s="1097"/>
      <c r="D302" s="1097"/>
      <c r="E302" s="1087"/>
      <c r="F302" s="1102"/>
      <c r="G302" s="1102"/>
      <c r="H302" s="1102"/>
      <c r="I302" s="1102"/>
      <c r="J302" s="1102"/>
      <c r="K302" s="1102"/>
      <c r="L302" s="1102"/>
      <c r="M302" s="1102"/>
      <c r="N302" s="1102"/>
      <c r="O302" s="1102"/>
      <c r="P302" s="1102"/>
      <c r="Q302" s="1089"/>
      <c r="R302" s="1089"/>
      <c r="S302" s="1097"/>
    </row>
    <row r="303" spans="1:19">
      <c r="A303" s="1097"/>
      <c r="B303" s="1097"/>
      <c r="C303" s="1097"/>
      <c r="D303" s="1097"/>
      <c r="E303" s="1087"/>
      <c r="F303" s="1102"/>
      <c r="G303" s="1102"/>
      <c r="H303" s="1034"/>
      <c r="I303" s="1034"/>
      <c r="J303" s="1034"/>
      <c r="K303" s="1089"/>
      <c r="L303" s="1034"/>
      <c r="M303" s="1034"/>
      <c r="N303" s="1089"/>
      <c r="O303" s="1034"/>
      <c r="P303" s="1034"/>
      <c r="Q303" s="1089"/>
      <c r="R303" s="1034"/>
      <c r="S303" s="1034"/>
    </row>
    <row r="304" spans="1:19">
      <c r="A304" s="1102"/>
      <c r="B304" s="837" t="s">
        <v>1857</v>
      </c>
      <c r="C304" s="837" t="s">
        <v>306</v>
      </c>
      <c r="D304" s="1102"/>
      <c r="E304" s="1102"/>
      <c r="F304" s="1102"/>
      <c r="G304" s="1102"/>
      <c r="H304" s="1650" t="str">
        <f>'Part II-Development Team'!H109</f>
        <v>Baker Tilly Virchow Krause</v>
      </c>
      <c r="I304" s="1663"/>
      <c r="J304" s="1663"/>
      <c r="K304" s="1663"/>
      <c r="L304" s="1663"/>
      <c r="M304" s="1663"/>
      <c r="N304" s="1663"/>
      <c r="O304" s="1087" t="s">
        <v>2125</v>
      </c>
      <c r="P304" s="1087"/>
      <c r="Q304" s="1650" t="str">
        <f>'Part II-Development Team'!Q109</f>
        <v>Don Bernards</v>
      </c>
      <c r="R304" s="1663"/>
      <c r="S304" s="1663"/>
    </row>
    <row r="305" spans="1:19">
      <c r="A305" s="1102"/>
      <c r="B305" s="1102"/>
      <c r="C305" s="1102"/>
      <c r="D305" s="861"/>
      <c r="E305" s="1087" t="s">
        <v>1083</v>
      </c>
      <c r="F305" s="840"/>
      <c r="G305" s="1102"/>
      <c r="H305" s="1650" t="str">
        <f>'Part II-Development Team'!H110</f>
        <v>Ten Terrace Ct. P.O. Box 7398</v>
      </c>
      <c r="I305" s="1663"/>
      <c r="J305" s="1663"/>
      <c r="K305" s="1663"/>
      <c r="L305" s="1663"/>
      <c r="M305" s="1663"/>
      <c r="N305" s="1663"/>
      <c r="O305" s="1087" t="s">
        <v>1870</v>
      </c>
      <c r="P305" s="1102"/>
      <c r="Q305" s="1650" t="str">
        <f>'Part II-Development Team'!Q110</f>
        <v>Vice President</v>
      </c>
      <c r="R305" s="1663"/>
      <c r="S305" s="1663"/>
    </row>
    <row r="306" spans="1:19">
      <c r="A306" s="1102"/>
      <c r="B306" s="1102"/>
      <c r="C306" s="1102"/>
      <c r="D306" s="861"/>
      <c r="E306" s="1087" t="s">
        <v>659</v>
      </c>
      <c r="F306" s="1102"/>
      <c r="G306" s="1102"/>
      <c r="H306" s="1650" t="str">
        <f>'Part II-Development Team'!H111</f>
        <v>Madison</v>
      </c>
      <c r="I306" s="1663"/>
      <c r="J306" s="1663"/>
      <c r="K306" s="1089" t="s">
        <v>2944</v>
      </c>
      <c r="L306" s="1650" t="str">
        <f>'Part II-Development Team'!L111</f>
        <v>n/a</v>
      </c>
      <c r="M306" s="1663"/>
      <c r="N306" s="1663"/>
      <c r="O306" s="1087" t="s">
        <v>1927</v>
      </c>
      <c r="P306" s="1102"/>
      <c r="Q306" s="1684">
        <f>'Part II-Development Team'!Q111</f>
        <v>6082402643</v>
      </c>
      <c r="R306" s="1684"/>
      <c r="S306" s="1684"/>
    </row>
    <row r="307" spans="1:19">
      <c r="A307" s="1102"/>
      <c r="B307" s="1102"/>
      <c r="C307" s="1102"/>
      <c r="D307" s="861"/>
      <c r="E307" s="1087" t="s">
        <v>1923</v>
      </c>
      <c r="F307" s="1102"/>
      <c r="G307" s="1102"/>
      <c r="H307" s="1089" t="str">
        <f>'Part II-Development Team'!H112</f>
        <v>WI</v>
      </c>
      <c r="I307" s="1089" t="s">
        <v>3650</v>
      </c>
      <c r="J307" s="1694">
        <f>'Part II-Development Team'!J112</f>
        <v>359063206</v>
      </c>
      <c r="K307" s="1663"/>
      <c r="L307" s="1102"/>
      <c r="M307" s="1102"/>
      <c r="N307" s="1102"/>
      <c r="O307" s="1087" t="s">
        <v>2114</v>
      </c>
      <c r="P307" s="1102"/>
      <c r="Q307" s="1684">
        <f>'Part II-Development Team'!Q112</f>
        <v>6084444009</v>
      </c>
      <c r="R307" s="1684"/>
      <c r="S307" s="1684"/>
    </row>
    <row r="308" spans="1:19">
      <c r="A308" s="1097"/>
      <c r="B308" s="1097"/>
      <c r="C308" s="1097"/>
      <c r="D308" s="1097"/>
      <c r="E308" s="1087" t="s">
        <v>2120</v>
      </c>
      <c r="F308" s="1102"/>
      <c r="G308" s="1102"/>
      <c r="H308" s="1684">
        <f>'Part II-Development Team'!H113</f>
        <v>6082496622</v>
      </c>
      <c r="I308" s="1684"/>
      <c r="J308" s="1092">
        <f>'Part II-Development Team'!J113</f>
        <v>0</v>
      </c>
      <c r="K308" s="1089" t="s">
        <v>1926</v>
      </c>
      <c r="L308" s="1685">
        <f>'Part II-Development Team'!L113</f>
        <v>6082498532</v>
      </c>
      <c r="M308" s="1663"/>
      <c r="N308" s="840" t="s">
        <v>2119</v>
      </c>
      <c r="O308" s="1686" t="str">
        <f>'Part II-Development Team'!O113</f>
        <v>donald.bernards@bakertilly.com</v>
      </c>
      <c r="P308" s="1686"/>
      <c r="Q308" s="1686"/>
      <c r="R308" s="1686"/>
      <c r="S308" s="1686"/>
    </row>
    <row r="309" spans="1:19">
      <c r="A309" s="1097"/>
      <c r="B309" s="1097"/>
      <c r="C309" s="1097"/>
      <c r="D309" s="1097"/>
      <c r="E309" s="1087"/>
      <c r="F309" s="1102"/>
      <c r="G309" s="1102"/>
      <c r="H309" s="1034"/>
      <c r="I309" s="1034"/>
      <c r="J309" s="1034"/>
      <c r="K309" s="1089"/>
      <c r="L309" s="1034"/>
      <c r="M309" s="1034"/>
      <c r="N309" s="1089"/>
      <c r="O309" s="1034"/>
      <c r="P309" s="1034"/>
      <c r="Q309" s="1089"/>
      <c r="R309" s="1034"/>
      <c r="S309" s="1034"/>
    </row>
    <row r="310" spans="1:19">
      <c r="A310" s="1102"/>
      <c r="B310" s="837" t="s">
        <v>1858</v>
      </c>
      <c r="C310" s="837" t="s">
        <v>307</v>
      </c>
      <c r="D310" s="1102"/>
      <c r="E310" s="1102"/>
      <c r="F310" s="1102"/>
      <c r="G310" s="1102"/>
      <c r="H310" s="1650" t="str">
        <f>'Part II-Development Team'!H115</f>
        <v>Bill Jones</v>
      </c>
      <c r="I310" s="1663"/>
      <c r="J310" s="1663"/>
      <c r="K310" s="1663"/>
      <c r="L310" s="1663"/>
      <c r="M310" s="1663"/>
      <c r="N310" s="1663"/>
      <c r="O310" s="1087" t="s">
        <v>2125</v>
      </c>
      <c r="P310" s="1087"/>
      <c r="Q310" s="1650" t="str">
        <f>'Part II-Development Team'!Q115</f>
        <v>Bill Jones</v>
      </c>
      <c r="R310" s="1663"/>
      <c r="S310" s="1663"/>
    </row>
    <row r="311" spans="1:19">
      <c r="A311" s="1102"/>
      <c r="B311" s="1102"/>
      <c r="C311" s="1102"/>
      <c r="D311" s="861"/>
      <c r="E311" s="1087" t="s">
        <v>1083</v>
      </c>
      <c r="F311" s="840"/>
      <c r="G311" s="1102"/>
      <c r="H311" s="1650" t="str">
        <f>'Part II-Development Team'!H116</f>
        <v>519 Broad Street, Suite 100</v>
      </c>
      <c r="I311" s="1663"/>
      <c r="J311" s="1663"/>
      <c r="K311" s="1663"/>
      <c r="L311" s="1663"/>
      <c r="M311" s="1663"/>
      <c r="N311" s="1663"/>
      <c r="O311" s="1087" t="s">
        <v>1870</v>
      </c>
      <c r="P311" s="1102"/>
      <c r="Q311" s="1650" t="str">
        <f>'Part II-Development Team'!Q116</f>
        <v>Principal</v>
      </c>
      <c r="R311" s="1663"/>
      <c r="S311" s="1663"/>
    </row>
    <row r="312" spans="1:19">
      <c r="A312" s="1102"/>
      <c r="B312" s="1102"/>
      <c r="C312" s="1102"/>
      <c r="D312" s="861"/>
      <c r="E312" s="1087" t="s">
        <v>659</v>
      </c>
      <c r="F312" s="1102"/>
      <c r="G312" s="1102"/>
      <c r="H312" s="1650" t="str">
        <f>'Part II-Development Team'!H117</f>
        <v>Rome</v>
      </c>
      <c r="I312" s="1663"/>
      <c r="J312" s="1663"/>
      <c r="K312" s="1089" t="s">
        <v>2944</v>
      </c>
      <c r="L312" s="1650" t="str">
        <f>'Part II-Development Team'!L117</f>
        <v>N/A</v>
      </c>
      <c r="M312" s="1663"/>
      <c r="N312" s="1663"/>
      <c r="O312" s="1087" t="s">
        <v>1927</v>
      </c>
      <c r="P312" s="1102"/>
      <c r="Q312" s="1684">
        <f>'Part II-Development Team'!Q117</f>
        <v>7705472221</v>
      </c>
      <c r="R312" s="1684"/>
      <c r="S312" s="1684"/>
    </row>
    <row r="313" spans="1:19">
      <c r="A313" s="1102"/>
      <c r="B313" s="1102"/>
      <c r="C313" s="1102"/>
      <c r="D313" s="861"/>
      <c r="E313" s="1087" t="s">
        <v>1923</v>
      </c>
      <c r="F313" s="1102"/>
      <c r="G313" s="1102"/>
      <c r="H313" s="1089" t="str">
        <f>'Part II-Development Team'!H118</f>
        <v>GA</v>
      </c>
      <c r="I313" s="1089" t="s">
        <v>3650</v>
      </c>
      <c r="J313" s="1694">
        <f>'Part II-Development Team'!J118</f>
        <v>301611734</v>
      </c>
      <c r="K313" s="1663"/>
      <c r="L313" s="1102"/>
      <c r="M313" s="1102"/>
      <c r="N313" s="1102"/>
      <c r="O313" s="1087" t="s">
        <v>2114</v>
      </c>
      <c r="P313" s="1102"/>
      <c r="Q313" s="1684">
        <f>'Part II-Development Team'!Q118</f>
        <v>7705472221</v>
      </c>
      <c r="R313" s="1684"/>
      <c r="S313" s="1684"/>
    </row>
    <row r="314" spans="1:19">
      <c r="A314" s="1102"/>
      <c r="B314" s="1102"/>
      <c r="C314" s="1102"/>
      <c r="D314" s="861"/>
      <c r="E314" s="1087" t="s">
        <v>2120</v>
      </c>
      <c r="F314" s="1102"/>
      <c r="G314" s="1102"/>
      <c r="H314" s="1684">
        <f>'Part II-Development Team'!H119</f>
        <v>7705472221</v>
      </c>
      <c r="I314" s="1684"/>
      <c r="J314" s="1092">
        <f>'Part II-Development Team'!J119</f>
        <v>0</v>
      </c>
      <c r="K314" s="1089" t="s">
        <v>1926</v>
      </c>
      <c r="L314" s="1685">
        <f>'Part II-Development Team'!L119</f>
        <v>0</v>
      </c>
      <c r="M314" s="1663"/>
      <c r="N314" s="840" t="s">
        <v>2119</v>
      </c>
      <c r="O314" s="1686" t="str">
        <f>'Part II-Development Team'!O119</f>
        <v>wnjaia@aol.com</v>
      </c>
      <c r="P314" s="1686"/>
      <c r="Q314" s="1686"/>
      <c r="R314" s="1686"/>
      <c r="S314" s="1686"/>
    </row>
    <row r="315" spans="1:19">
      <c r="A315" s="1097"/>
      <c r="B315" s="1097"/>
      <c r="C315" s="1097"/>
      <c r="D315" s="1097"/>
      <c r="E315" s="1097"/>
      <c r="F315" s="1097"/>
      <c r="G315" s="1097"/>
      <c r="H315" s="1097"/>
      <c r="I315" s="1097"/>
      <c r="J315" s="1097"/>
      <c r="K315" s="1097"/>
      <c r="L315" s="1097"/>
      <c r="M315" s="1097"/>
      <c r="N315" s="1097"/>
      <c r="O315" s="1097"/>
      <c r="P315" s="1097"/>
      <c r="Q315" s="1097"/>
      <c r="R315" s="1097"/>
      <c r="S315" s="1097"/>
    </row>
    <row r="316" spans="1:19">
      <c r="A316" s="837" t="s">
        <v>1916</v>
      </c>
      <c r="B316" s="837" t="s">
        <v>2785</v>
      </c>
      <c r="C316" s="1102"/>
      <c r="D316" s="1102"/>
      <c r="E316" s="1102"/>
      <c r="F316" s="837"/>
      <c r="G316" s="1089"/>
      <c r="H316" s="1089"/>
      <c r="I316" s="1089"/>
      <c r="J316" s="1089"/>
      <c r="K316" s="1089"/>
      <c r="L316" s="1089"/>
      <c r="M316" s="1089"/>
      <c r="N316" s="1089"/>
      <c r="O316" s="1089"/>
      <c r="P316" s="1089"/>
      <c r="Q316" s="1089"/>
      <c r="R316" s="1102"/>
      <c r="S316" s="1102"/>
    </row>
    <row r="317" spans="1:19">
      <c r="A317" s="837"/>
      <c r="B317" s="837"/>
      <c r="C317" s="1102"/>
      <c r="D317" s="1102"/>
      <c r="E317" s="1102"/>
      <c r="F317" s="837"/>
      <c r="G317" s="1089"/>
      <c r="H317" s="1089"/>
      <c r="I317" s="1089"/>
      <c r="J317" s="1089"/>
      <c r="K317" s="1089"/>
      <c r="L317" s="1089"/>
      <c r="M317" s="1089"/>
      <c r="N317" s="1089"/>
      <c r="O317" s="1089"/>
      <c r="P317" s="1089"/>
      <c r="Q317" s="1089"/>
      <c r="R317" s="1102"/>
      <c r="S317" s="1102"/>
    </row>
    <row r="318" spans="1:19">
      <c r="A318" s="1097"/>
      <c r="B318" s="837" t="s">
        <v>2118</v>
      </c>
      <c r="C318" s="837" t="s">
        <v>3383</v>
      </c>
      <c r="D318" s="1097"/>
      <c r="E318" s="1097"/>
      <c r="F318" s="1097"/>
      <c r="G318" s="1097"/>
      <c r="H318" s="1097"/>
      <c r="I318" s="1097"/>
      <c r="J318" s="1097"/>
      <c r="K318" s="1097"/>
      <c r="L318" s="1097"/>
      <c r="M318" s="1097"/>
      <c r="N318" s="1097"/>
      <c r="O318" s="1097"/>
      <c r="P318" s="1097"/>
      <c r="Q318" s="1097"/>
      <c r="R318" s="1097"/>
      <c r="S318" s="1097"/>
    </row>
    <row r="319" spans="1:19">
      <c r="A319" s="1097"/>
      <c r="B319" s="1097"/>
      <c r="C319" s="1097" t="s">
        <v>3384</v>
      </c>
      <c r="D319" s="1097"/>
      <c r="E319" s="1097"/>
      <c r="F319" s="1097"/>
      <c r="G319" s="1097"/>
      <c r="H319" s="1092" t="s">
        <v>2681</v>
      </c>
      <c r="I319" s="1097" t="s">
        <v>3387</v>
      </c>
      <c r="J319" s="1097"/>
      <c r="K319" s="1097"/>
      <c r="L319" s="1097"/>
      <c r="M319" s="1097"/>
      <c r="N319" s="1097"/>
      <c r="O319" s="1097"/>
      <c r="P319" s="1097"/>
      <c r="Q319" s="1097"/>
      <c r="R319" s="1097"/>
      <c r="S319" s="1097"/>
    </row>
    <row r="320" spans="1:19">
      <c r="A320" s="1102"/>
      <c r="B320" s="1102"/>
      <c r="C320" s="866" t="s">
        <v>2122</v>
      </c>
      <c r="D320" s="1102" t="s">
        <v>3385</v>
      </c>
      <c r="E320" s="1102"/>
      <c r="F320" s="1102"/>
      <c r="G320" s="1102"/>
      <c r="H320" s="1089" t="str">
        <f>'Part II-Development Team'!H125</f>
        <v>Yes</v>
      </c>
      <c r="I320" s="1687" t="str">
        <f>'Part II-Development Team'!I125</f>
        <v>Vantage Development, LLC and Fyffe Construction Company, Inc. are both owned by Lowell R. Barron, II</v>
      </c>
      <c r="J320" s="1687"/>
      <c r="K320" s="1687"/>
      <c r="L320" s="1687"/>
      <c r="M320" s="1687"/>
      <c r="N320" s="1687"/>
      <c r="O320" s="1687"/>
      <c r="P320" s="1687"/>
      <c r="Q320" s="1687"/>
      <c r="R320" s="1687"/>
      <c r="S320" s="1687"/>
    </row>
    <row r="321" spans="1:19">
      <c r="A321" s="1102"/>
      <c r="B321" s="1102"/>
      <c r="C321" s="866" t="s">
        <v>2124</v>
      </c>
      <c r="D321" s="1102" t="s">
        <v>3516</v>
      </c>
      <c r="E321" s="1102"/>
      <c r="F321" s="1102"/>
      <c r="G321" s="1102"/>
      <c r="H321" s="1089" t="str">
        <f>'Part II-Development Team'!H126</f>
        <v>No</v>
      </c>
      <c r="I321" s="1687">
        <f>'Part II-Development Team'!I126</f>
        <v>0</v>
      </c>
      <c r="J321" s="1687"/>
      <c r="K321" s="1687"/>
      <c r="L321" s="1687"/>
      <c r="M321" s="1687"/>
      <c r="N321" s="1687"/>
      <c r="O321" s="1687"/>
      <c r="P321" s="1687"/>
      <c r="Q321" s="1687"/>
      <c r="R321" s="1687"/>
      <c r="S321" s="1687"/>
    </row>
    <row r="322" spans="1:19">
      <c r="A322" s="1102"/>
      <c r="B322" s="1102"/>
      <c r="C322" s="866" t="s">
        <v>2707</v>
      </c>
      <c r="D322" s="1102" t="s">
        <v>3575</v>
      </c>
      <c r="E322" s="1102"/>
      <c r="F322" s="1102"/>
      <c r="G322" s="1102"/>
      <c r="H322" s="1089" t="str">
        <f>'Part II-Development Team'!H127</f>
        <v>Yes</v>
      </c>
      <c r="I322" s="1687" t="str">
        <f>'Part II-Development Team'!I127</f>
        <v>NWGHA selling bldgs @ FMV to p'ship &amp; taking back seller note; Willingham 2014 GA Phase II is owned by NWGHA</v>
      </c>
      <c r="J322" s="1687"/>
      <c r="K322" s="1687"/>
      <c r="L322" s="1687"/>
      <c r="M322" s="1687"/>
      <c r="N322" s="1687"/>
      <c r="O322" s="1687"/>
      <c r="P322" s="1687"/>
      <c r="Q322" s="1687"/>
      <c r="R322" s="1687"/>
      <c r="S322" s="1687"/>
    </row>
    <row r="323" spans="1:19">
      <c r="A323" s="1102"/>
      <c r="B323" s="1102"/>
      <c r="C323" s="866" t="s">
        <v>1301</v>
      </c>
      <c r="D323" s="1102" t="s">
        <v>3517</v>
      </c>
      <c r="E323" s="1102"/>
      <c r="F323" s="1102"/>
      <c r="G323" s="1102"/>
      <c r="H323" s="1089" t="str">
        <f>'Part II-Development Team'!H128</f>
        <v>Yes</v>
      </c>
      <c r="I323" s="1687" t="str">
        <f>'Part II-Development Team'!I128</f>
        <v>Lowell R. Barron, II is the President of the Managing GP and the Principal of Fyffe Construction Company, Inc.</v>
      </c>
      <c r="J323" s="1687"/>
      <c r="K323" s="1687"/>
      <c r="L323" s="1687"/>
      <c r="M323" s="1687"/>
      <c r="N323" s="1687"/>
      <c r="O323" s="1687"/>
      <c r="P323" s="1687"/>
      <c r="Q323" s="1687"/>
      <c r="R323" s="1687"/>
      <c r="S323" s="1687"/>
    </row>
    <row r="324" spans="1:19">
      <c r="A324" s="1102"/>
      <c r="B324" s="1102"/>
      <c r="C324" s="866" t="s">
        <v>1302</v>
      </c>
      <c r="D324" s="1102" t="s">
        <v>3518</v>
      </c>
      <c r="E324" s="1102"/>
      <c r="F324" s="1102"/>
      <c r="G324" s="1102"/>
      <c r="H324" s="1089" t="str">
        <f>'Part II-Development Team'!H129</f>
        <v>No</v>
      </c>
      <c r="I324" s="1687">
        <f>'Part II-Development Team'!I129</f>
        <v>0</v>
      </c>
      <c r="J324" s="1687"/>
      <c r="K324" s="1687"/>
      <c r="L324" s="1687"/>
      <c r="M324" s="1687"/>
      <c r="N324" s="1687"/>
      <c r="O324" s="1687"/>
      <c r="P324" s="1687"/>
      <c r="Q324" s="1687"/>
      <c r="R324" s="1687"/>
      <c r="S324" s="1687"/>
    </row>
    <row r="325" spans="1:19">
      <c r="A325" s="1102"/>
      <c r="B325" s="1102"/>
      <c r="C325" s="866" t="s">
        <v>2014</v>
      </c>
      <c r="D325" s="1102" t="s">
        <v>3386</v>
      </c>
      <c r="E325" s="1102"/>
      <c r="F325" s="1102"/>
      <c r="G325" s="1102"/>
      <c r="H325" s="1089" t="str">
        <f>'Part II-Development Team'!H130</f>
        <v>No</v>
      </c>
      <c r="I325" s="1687">
        <f>'Part II-Development Team'!I130</f>
        <v>0</v>
      </c>
      <c r="J325" s="1687"/>
      <c r="K325" s="1687"/>
      <c r="L325" s="1687"/>
      <c r="M325" s="1687"/>
      <c r="N325" s="1687"/>
      <c r="O325" s="1687"/>
      <c r="P325" s="1687"/>
      <c r="Q325" s="1687"/>
      <c r="R325" s="1687"/>
      <c r="S325" s="1687"/>
    </row>
    <row r="326" spans="1:19">
      <c r="A326" s="1102"/>
      <c r="B326" s="1102"/>
      <c r="C326" s="866" t="s">
        <v>535</v>
      </c>
      <c r="D326" s="1102" t="s">
        <v>3388</v>
      </c>
      <c r="E326" s="1102"/>
      <c r="F326" s="1102"/>
      <c r="G326" s="1102"/>
      <c r="H326" s="1089" t="str">
        <f>'Part II-Development Team'!H131</f>
        <v>No</v>
      </c>
      <c r="I326" s="1687">
        <f>'Part II-Development Team'!I131</f>
        <v>0</v>
      </c>
      <c r="J326" s="1687"/>
      <c r="K326" s="1687"/>
      <c r="L326" s="1687"/>
      <c r="M326" s="1687"/>
      <c r="N326" s="1687"/>
      <c r="O326" s="1687"/>
      <c r="P326" s="1687"/>
      <c r="Q326" s="1687"/>
      <c r="R326" s="1687"/>
      <c r="S326" s="1687"/>
    </row>
    <row r="327" spans="1:19">
      <c r="A327" s="1102"/>
      <c r="B327" s="1102"/>
      <c r="C327" s="866" t="s">
        <v>536</v>
      </c>
      <c r="D327" s="1102" t="s">
        <v>1710</v>
      </c>
      <c r="E327" s="1102"/>
      <c r="F327" s="1102"/>
      <c r="G327" s="1102"/>
      <c r="H327" s="1089" t="str">
        <f>'Part II-Development Team'!H132</f>
        <v>Yes</v>
      </c>
      <c r="I327" s="1687" t="str">
        <f>'Part II-Development Team'!I132</f>
        <v>Vantage Management, LLC is also owned by Lowell R. Barron, II</v>
      </c>
      <c r="J327" s="1687"/>
      <c r="K327" s="1687"/>
      <c r="L327" s="1687"/>
      <c r="M327" s="1687"/>
      <c r="N327" s="1687"/>
      <c r="O327" s="1687"/>
      <c r="P327" s="1687"/>
      <c r="Q327" s="1687"/>
      <c r="R327" s="1687"/>
      <c r="S327" s="1687"/>
    </row>
    <row r="328" spans="1:19">
      <c r="A328" s="837" t="s">
        <v>1916</v>
      </c>
      <c r="B328" s="837" t="s">
        <v>3652</v>
      </c>
      <c r="C328" s="1102"/>
      <c r="D328" s="1102"/>
      <c r="E328" s="1102"/>
      <c r="F328" s="837"/>
      <c r="G328" s="1089"/>
      <c r="H328" s="1089"/>
      <c r="I328" s="1089"/>
      <c r="J328" s="1089"/>
      <c r="K328" s="1089"/>
      <c r="L328" s="1089"/>
      <c r="M328" s="1089"/>
      <c r="N328" s="1089"/>
      <c r="O328" s="1089"/>
      <c r="P328" s="1089"/>
      <c r="Q328" s="1089"/>
      <c r="R328" s="1102"/>
      <c r="S328" s="1102"/>
    </row>
    <row r="329" spans="1:19">
      <c r="A329" s="837"/>
      <c r="B329" s="837"/>
      <c r="C329" s="1102"/>
      <c r="D329" s="1102"/>
      <c r="E329" s="1102"/>
      <c r="F329" s="837"/>
      <c r="G329" s="1089"/>
      <c r="H329" s="1089"/>
      <c r="I329" s="1089"/>
      <c r="J329" s="1089"/>
      <c r="K329" s="1089"/>
      <c r="L329" s="1089"/>
      <c r="M329" s="1089"/>
      <c r="N329" s="1089"/>
      <c r="O329" s="1089"/>
      <c r="P329" s="1089"/>
      <c r="Q329" s="1089"/>
      <c r="R329" s="1102"/>
      <c r="S329" s="1102"/>
    </row>
    <row r="330" spans="1:19">
      <c r="A330" s="1097"/>
      <c r="B330" s="837" t="s">
        <v>2121</v>
      </c>
      <c r="C330" s="837" t="s">
        <v>3389</v>
      </c>
      <c r="D330" s="1097"/>
      <c r="E330" s="1097"/>
      <c r="F330" s="1097"/>
      <c r="G330" s="1097"/>
      <c r="H330" s="1097"/>
      <c r="I330" s="1097"/>
      <c r="J330" s="1097"/>
      <c r="K330" s="1097"/>
      <c r="L330" s="1097"/>
      <c r="M330" s="1097"/>
      <c r="N330" s="1097"/>
      <c r="O330" s="1097"/>
      <c r="P330" s="1097"/>
      <c r="Q330" s="1097"/>
      <c r="R330" s="1097"/>
      <c r="S330" s="1097"/>
    </row>
    <row r="331" spans="1:19">
      <c r="A331" s="837"/>
      <c r="B331" s="837"/>
      <c r="C331" s="1102"/>
      <c r="D331" s="1102"/>
      <c r="E331" s="1102"/>
      <c r="F331" s="837"/>
      <c r="G331" s="1089"/>
      <c r="H331" s="1089"/>
      <c r="I331" s="1089"/>
      <c r="J331" s="1089"/>
      <c r="K331" s="1089"/>
      <c r="L331" s="1089"/>
      <c r="M331" s="1089"/>
      <c r="N331" s="1089"/>
      <c r="O331" s="1089"/>
      <c r="P331" s="1089"/>
      <c r="Q331" s="1089"/>
      <c r="R331" s="1102"/>
      <c r="S331" s="1102"/>
    </row>
    <row r="332" spans="1:19">
      <c r="A332" s="1639" t="s">
        <v>681</v>
      </c>
      <c r="B332" s="1639"/>
      <c r="C332" s="1639"/>
      <c r="D332" s="1639"/>
      <c r="E332" s="1639"/>
      <c r="F332" s="1688" t="s">
        <v>3569</v>
      </c>
      <c r="G332" s="1688"/>
      <c r="H332" s="1689" t="s">
        <v>3653</v>
      </c>
      <c r="I332" s="1689"/>
      <c r="J332" s="1689"/>
      <c r="K332" s="1689"/>
      <c r="L332" s="1690" t="s">
        <v>3654</v>
      </c>
      <c r="M332" s="1690"/>
      <c r="N332" s="1690"/>
      <c r="O332" s="1690"/>
      <c r="P332" s="1690" t="s">
        <v>3655</v>
      </c>
      <c r="Q332" s="1616"/>
      <c r="R332" s="1690" t="s">
        <v>3656</v>
      </c>
      <c r="S332" s="1691"/>
    </row>
    <row r="333" spans="1:19">
      <c r="A333" s="1639"/>
      <c r="B333" s="1639"/>
      <c r="C333" s="1639"/>
      <c r="D333" s="1639"/>
      <c r="E333" s="1639"/>
      <c r="F333" s="1688"/>
      <c r="G333" s="1688"/>
      <c r="H333" s="1689"/>
      <c r="I333" s="1689"/>
      <c r="J333" s="1689"/>
      <c r="K333" s="1689"/>
      <c r="L333" s="1690"/>
      <c r="M333" s="1690"/>
      <c r="N333" s="1690"/>
      <c r="O333" s="1690"/>
      <c r="P333" s="1616"/>
      <c r="Q333" s="1616"/>
      <c r="R333" s="1690"/>
      <c r="S333" s="1691"/>
    </row>
    <row r="334" spans="1:19">
      <c r="A334" s="1639"/>
      <c r="B334" s="1639"/>
      <c r="C334" s="1639"/>
      <c r="D334" s="1639"/>
      <c r="E334" s="1639"/>
      <c r="F334" s="1688"/>
      <c r="G334" s="1688"/>
      <c r="H334" s="1689"/>
      <c r="I334" s="1689"/>
      <c r="J334" s="1689"/>
      <c r="K334" s="1689"/>
      <c r="L334" s="1690"/>
      <c r="M334" s="1690"/>
      <c r="N334" s="1690"/>
      <c r="O334" s="1690"/>
      <c r="P334" s="1616"/>
      <c r="Q334" s="1616"/>
      <c r="R334" s="1691"/>
      <c r="S334" s="1691"/>
    </row>
    <row r="335" spans="1:19">
      <c r="A335" s="1639"/>
      <c r="B335" s="1639"/>
      <c r="C335" s="1639"/>
      <c r="D335" s="1639"/>
      <c r="E335" s="1639"/>
      <c r="F335" s="1688"/>
      <c r="G335" s="1688"/>
      <c r="H335" s="1689"/>
      <c r="I335" s="1689"/>
      <c r="J335" s="1689"/>
      <c r="K335" s="1689"/>
      <c r="L335" s="1690"/>
      <c r="M335" s="1690"/>
      <c r="N335" s="1690"/>
      <c r="O335" s="1690"/>
      <c r="P335" s="1616"/>
      <c r="Q335" s="1616"/>
      <c r="R335" s="1691"/>
      <c r="S335" s="1691"/>
    </row>
    <row r="336" spans="1:19">
      <c r="A336" s="1639"/>
      <c r="B336" s="1639"/>
      <c r="C336" s="1639"/>
      <c r="D336" s="1639"/>
      <c r="E336" s="1639"/>
      <c r="F336" s="1688"/>
      <c r="G336" s="1688"/>
      <c r="H336" s="1689"/>
      <c r="I336" s="1689"/>
      <c r="J336" s="1689"/>
      <c r="K336" s="1689"/>
      <c r="L336" s="1690"/>
      <c r="M336" s="1690"/>
      <c r="N336" s="1690"/>
      <c r="O336" s="1690"/>
      <c r="P336" s="1616"/>
      <c r="Q336" s="1616"/>
      <c r="R336" s="1691"/>
      <c r="S336" s="1691"/>
    </row>
    <row r="337" spans="1:19">
      <c r="A337" s="1650" t="s">
        <v>3560</v>
      </c>
      <c r="B337" s="1650"/>
      <c r="C337" s="1650"/>
      <c r="D337" s="1650"/>
      <c r="E337" s="1650"/>
      <c r="F337" s="1639" t="str">
        <f>'Part II-Development Team'!F142</f>
        <v>No</v>
      </c>
      <c r="G337" s="1639"/>
      <c r="H337" s="1639" t="str">
        <f>'Part II-Development Team'!H142</f>
        <v>No</v>
      </c>
      <c r="I337" s="1639"/>
      <c r="J337" s="1639"/>
      <c r="K337" s="1639"/>
      <c r="L337" s="1639" t="str">
        <f>'Part II-Development Team'!L142</f>
        <v>No</v>
      </c>
      <c r="M337" s="1639"/>
      <c r="N337" s="1639"/>
      <c r="O337" s="1639"/>
      <c r="P337" s="1681" t="str">
        <f>'Part II-Development Team'!P142</f>
        <v>For Profit</v>
      </c>
      <c r="Q337" s="1681"/>
      <c r="R337" s="1692">
        <f>'Part II-Development Team'!R142</f>
        <v>9.8999999999999994E-5</v>
      </c>
      <c r="S337" s="1693"/>
    </row>
    <row r="338" spans="1:19">
      <c r="A338" s="1650" t="s">
        <v>3561</v>
      </c>
      <c r="B338" s="1650"/>
      <c r="C338" s="1650"/>
      <c r="D338" s="1650"/>
      <c r="E338" s="1650"/>
      <c r="F338" s="1639" t="str">
        <f>'Part II-Development Team'!F143</f>
        <v>No</v>
      </c>
      <c r="G338" s="1639"/>
      <c r="H338" s="1639" t="str">
        <f>'Part II-Development Team'!H143</f>
        <v>No</v>
      </c>
      <c r="I338" s="1639"/>
      <c r="J338" s="1639"/>
      <c r="K338" s="1639"/>
      <c r="L338" s="1639" t="str">
        <f>'Part II-Development Team'!L143</f>
        <v>No</v>
      </c>
      <c r="M338" s="1639"/>
      <c r="N338" s="1639"/>
      <c r="O338" s="1639"/>
      <c r="P338" s="1681" t="str">
        <f>'Part II-Development Team'!P143</f>
        <v>Nonprofit</v>
      </c>
      <c r="Q338" s="1681"/>
      <c r="R338" s="1692">
        <f>'Part II-Development Team'!R143</f>
        <v>9.9999999999999995E-7</v>
      </c>
      <c r="S338" s="1693"/>
    </row>
    <row r="339" spans="1:19">
      <c r="A339" s="1650" t="s">
        <v>3562</v>
      </c>
      <c r="B339" s="1650"/>
      <c r="C339" s="1650"/>
      <c r="D339" s="1650"/>
      <c r="E339" s="1650"/>
      <c r="F339" s="1639">
        <f>'Part II-Development Team'!F144</f>
        <v>0</v>
      </c>
      <c r="G339" s="1639"/>
      <c r="H339" s="1639">
        <f>'Part II-Development Team'!H144</f>
        <v>0</v>
      </c>
      <c r="I339" s="1639"/>
      <c r="J339" s="1639"/>
      <c r="K339" s="1639"/>
      <c r="L339" s="1639">
        <f>'Part II-Development Team'!L144</f>
        <v>0</v>
      </c>
      <c r="M339" s="1639"/>
      <c r="N339" s="1639"/>
      <c r="O339" s="1639"/>
      <c r="P339" s="1681">
        <f>'Part II-Development Team'!P144</f>
        <v>0</v>
      </c>
      <c r="Q339" s="1681"/>
      <c r="R339" s="1692">
        <f>'Part II-Development Team'!R144</f>
        <v>0</v>
      </c>
      <c r="S339" s="1693"/>
    </row>
    <row r="340" spans="1:19">
      <c r="A340" s="1650" t="s">
        <v>800</v>
      </c>
      <c r="B340" s="1650"/>
      <c r="C340" s="1650"/>
      <c r="D340" s="1650"/>
      <c r="E340" s="1650"/>
      <c r="F340" s="1639" t="str">
        <f>'Part II-Development Team'!F145</f>
        <v>No</v>
      </c>
      <c r="G340" s="1639"/>
      <c r="H340" s="1639" t="str">
        <f>'Part II-Development Team'!H145</f>
        <v>No</v>
      </c>
      <c r="I340" s="1639"/>
      <c r="J340" s="1639"/>
      <c r="K340" s="1639"/>
      <c r="L340" s="1639" t="str">
        <f>'Part II-Development Team'!L145</f>
        <v>No</v>
      </c>
      <c r="M340" s="1639"/>
      <c r="N340" s="1639"/>
      <c r="O340" s="1639"/>
      <c r="P340" s="1681" t="str">
        <f>'Part II-Development Team'!P145</f>
        <v>For Profit</v>
      </c>
      <c r="Q340" s="1681"/>
      <c r="R340" s="1692">
        <f>'Part II-Development Team'!R145</f>
        <v>0.9899</v>
      </c>
      <c r="S340" s="1693"/>
    </row>
    <row r="341" spans="1:19">
      <c r="A341" s="1650" t="s">
        <v>801</v>
      </c>
      <c r="B341" s="1650"/>
      <c r="C341" s="1650"/>
      <c r="D341" s="1650"/>
      <c r="E341" s="1650"/>
      <c r="F341" s="1639" t="str">
        <f>'Part II-Development Team'!F146</f>
        <v>No</v>
      </c>
      <c r="G341" s="1639"/>
      <c r="H341" s="1639" t="str">
        <f>'Part II-Development Team'!H146</f>
        <v>No</v>
      </c>
      <c r="I341" s="1639"/>
      <c r="J341" s="1639"/>
      <c r="K341" s="1639"/>
      <c r="L341" s="1639" t="str">
        <f>'Part II-Development Team'!L146</f>
        <v>No</v>
      </c>
      <c r="M341" s="1639"/>
      <c r="N341" s="1639"/>
      <c r="O341" s="1639"/>
      <c r="P341" s="1681" t="str">
        <f>'Part II-Development Team'!P146</f>
        <v>For Profit</v>
      </c>
      <c r="Q341" s="1681"/>
      <c r="R341" s="1692">
        <f>'Part II-Development Team'!R146</f>
        <v>0.01</v>
      </c>
      <c r="S341" s="1693"/>
    </row>
    <row r="342" spans="1:19">
      <c r="A342" s="1650" t="s">
        <v>3563</v>
      </c>
      <c r="B342" s="1650"/>
      <c r="C342" s="1650"/>
      <c r="D342" s="1650"/>
      <c r="E342" s="1650"/>
      <c r="F342" s="1639">
        <f>'Part II-Development Team'!F147</f>
        <v>0</v>
      </c>
      <c r="G342" s="1639"/>
      <c r="H342" s="1639">
        <f>'Part II-Development Team'!H147</f>
        <v>0</v>
      </c>
      <c r="I342" s="1639"/>
      <c r="J342" s="1639"/>
      <c r="K342" s="1639"/>
      <c r="L342" s="1639">
        <f>'Part II-Development Team'!L147</f>
        <v>0</v>
      </c>
      <c r="M342" s="1639"/>
      <c r="N342" s="1639"/>
      <c r="O342" s="1639"/>
      <c r="P342" s="1681">
        <f>'Part II-Development Team'!P147</f>
        <v>0</v>
      </c>
      <c r="Q342" s="1681"/>
      <c r="R342" s="1692">
        <f>'Part II-Development Team'!R147</f>
        <v>0</v>
      </c>
      <c r="S342" s="1693"/>
    </row>
    <row r="343" spans="1:19">
      <c r="A343" s="1650" t="s">
        <v>698</v>
      </c>
      <c r="B343" s="1650"/>
      <c r="C343" s="1650"/>
      <c r="D343" s="1650"/>
      <c r="E343" s="1650"/>
      <c r="F343" s="1639" t="str">
        <f>'Part II-Development Team'!F148</f>
        <v>No</v>
      </c>
      <c r="G343" s="1639"/>
      <c r="H343" s="1639" t="str">
        <f>'Part II-Development Team'!H148</f>
        <v>No</v>
      </c>
      <c r="I343" s="1639"/>
      <c r="J343" s="1639"/>
      <c r="K343" s="1639"/>
      <c r="L343" s="1639" t="str">
        <f>'Part II-Development Team'!L148</f>
        <v>No</v>
      </c>
      <c r="M343" s="1639"/>
      <c r="N343" s="1639"/>
      <c r="O343" s="1639"/>
      <c r="P343" s="1681" t="str">
        <f>'Part II-Development Team'!P148</f>
        <v>For Profit</v>
      </c>
      <c r="Q343" s="1681"/>
      <c r="R343" s="1692">
        <f>'Part II-Development Team'!R148</f>
        <v>0</v>
      </c>
      <c r="S343" s="1693"/>
    </row>
    <row r="344" spans="1:19">
      <c r="A344" s="1650" t="s">
        <v>3564</v>
      </c>
      <c r="B344" s="1650"/>
      <c r="C344" s="1650"/>
      <c r="D344" s="1650"/>
      <c r="E344" s="1650"/>
      <c r="F344" s="1639" t="str">
        <f>'Part II-Development Team'!F149</f>
        <v>No</v>
      </c>
      <c r="G344" s="1639"/>
      <c r="H344" s="1639" t="str">
        <f>'Part II-Development Team'!H149</f>
        <v>No</v>
      </c>
      <c r="I344" s="1639"/>
      <c r="J344" s="1639"/>
      <c r="K344" s="1639"/>
      <c r="L344" s="1639" t="str">
        <f>'Part II-Development Team'!L149</f>
        <v>No</v>
      </c>
      <c r="M344" s="1639"/>
      <c r="N344" s="1639"/>
      <c r="O344" s="1639"/>
      <c r="P344" s="1681" t="str">
        <f>'Part II-Development Team'!P149</f>
        <v>For Profit</v>
      </c>
      <c r="Q344" s="1681"/>
      <c r="R344" s="1692">
        <f>'Part II-Development Team'!R149</f>
        <v>0</v>
      </c>
      <c r="S344" s="1693"/>
    </row>
    <row r="345" spans="1:19">
      <c r="A345" s="1650" t="s">
        <v>3565</v>
      </c>
      <c r="B345" s="1650"/>
      <c r="C345" s="1650"/>
      <c r="D345" s="1650"/>
      <c r="E345" s="1650"/>
      <c r="F345" s="1639">
        <f>'Part II-Development Team'!F150</f>
        <v>0</v>
      </c>
      <c r="G345" s="1639"/>
      <c r="H345" s="1639">
        <f>'Part II-Development Team'!H150</f>
        <v>0</v>
      </c>
      <c r="I345" s="1639"/>
      <c r="J345" s="1639"/>
      <c r="K345" s="1639"/>
      <c r="L345" s="1639">
        <f>'Part II-Development Team'!L150</f>
        <v>0</v>
      </c>
      <c r="M345" s="1639"/>
      <c r="N345" s="1639"/>
      <c r="O345" s="1639"/>
      <c r="P345" s="1681">
        <f>'Part II-Development Team'!P150</f>
        <v>0</v>
      </c>
      <c r="Q345" s="1681"/>
      <c r="R345" s="1692">
        <f>'Part II-Development Team'!R150</f>
        <v>0</v>
      </c>
      <c r="S345" s="1693"/>
    </row>
    <row r="346" spans="1:19">
      <c r="A346" s="1650" t="s">
        <v>3567</v>
      </c>
      <c r="B346" s="1650"/>
      <c r="C346" s="1650"/>
      <c r="D346" s="1650"/>
      <c r="E346" s="1650"/>
      <c r="F346" s="1639">
        <f>'Part II-Development Team'!F151</f>
        <v>0</v>
      </c>
      <c r="G346" s="1639"/>
      <c r="H346" s="1639">
        <f>'Part II-Development Team'!H151</f>
        <v>0</v>
      </c>
      <c r="I346" s="1639"/>
      <c r="J346" s="1639"/>
      <c r="K346" s="1639"/>
      <c r="L346" s="1639">
        <f>'Part II-Development Team'!L151</f>
        <v>0</v>
      </c>
      <c r="M346" s="1639"/>
      <c r="N346" s="1639"/>
      <c r="O346" s="1639"/>
      <c r="P346" s="1681">
        <f>'Part II-Development Team'!P151</f>
        <v>0</v>
      </c>
      <c r="Q346" s="1681"/>
      <c r="R346" s="1692">
        <f>'Part II-Development Team'!R151</f>
        <v>0</v>
      </c>
      <c r="S346" s="1693"/>
    </row>
    <row r="347" spans="1:19">
      <c r="A347" s="1650" t="s">
        <v>3566</v>
      </c>
      <c r="B347" s="1650"/>
      <c r="C347" s="1650"/>
      <c r="D347" s="1650"/>
      <c r="E347" s="1650"/>
      <c r="F347" s="1639">
        <f>'Part II-Development Team'!F152</f>
        <v>0</v>
      </c>
      <c r="G347" s="1639"/>
      <c r="H347" s="1639">
        <f>'Part II-Development Team'!H152</f>
        <v>0</v>
      </c>
      <c r="I347" s="1639"/>
      <c r="J347" s="1639"/>
      <c r="K347" s="1639"/>
      <c r="L347" s="1639">
        <f>'Part II-Development Team'!L152</f>
        <v>0</v>
      </c>
      <c r="M347" s="1639"/>
      <c r="N347" s="1639"/>
      <c r="O347" s="1639"/>
      <c r="P347" s="1681">
        <f>'Part II-Development Team'!P152</f>
        <v>0</v>
      </c>
      <c r="Q347" s="1681"/>
      <c r="R347" s="1692">
        <f>'Part II-Development Team'!R152</f>
        <v>0</v>
      </c>
      <c r="S347" s="1693"/>
    </row>
    <row r="348" spans="1:19">
      <c r="A348" s="1650" t="s">
        <v>1635</v>
      </c>
      <c r="B348" s="1650"/>
      <c r="C348" s="1650"/>
      <c r="D348" s="1650"/>
      <c r="E348" s="1650"/>
      <c r="F348" s="1639" t="str">
        <f>'Part II-Development Team'!F153</f>
        <v>No</v>
      </c>
      <c r="G348" s="1639"/>
      <c r="H348" s="1639" t="str">
        <f>'Part II-Development Team'!H153</f>
        <v>No</v>
      </c>
      <c r="I348" s="1639"/>
      <c r="J348" s="1639"/>
      <c r="K348" s="1639"/>
      <c r="L348" s="1639" t="str">
        <f>'Part II-Development Team'!L153</f>
        <v>No</v>
      </c>
      <c r="M348" s="1639"/>
      <c r="N348" s="1639"/>
      <c r="O348" s="1639"/>
      <c r="P348" s="1681" t="str">
        <f>'Part II-Development Team'!P153</f>
        <v>For Profit</v>
      </c>
      <c r="Q348" s="1681"/>
      <c r="R348" s="1692">
        <f>'Part II-Development Team'!R153</f>
        <v>0</v>
      </c>
      <c r="S348" s="1693"/>
    </row>
    <row r="349" spans="1:19">
      <c r="A349" s="1650" t="s">
        <v>3568</v>
      </c>
      <c r="B349" s="1650"/>
      <c r="C349" s="1650"/>
      <c r="D349" s="1650"/>
      <c r="E349" s="1650"/>
      <c r="F349" s="1639" t="str">
        <f>'Part II-Development Team'!F154</f>
        <v>No</v>
      </c>
      <c r="G349" s="1639"/>
      <c r="H349" s="1639" t="str">
        <f>'Part II-Development Team'!H154</f>
        <v>No</v>
      </c>
      <c r="I349" s="1639"/>
      <c r="J349" s="1639"/>
      <c r="K349" s="1639"/>
      <c r="L349" s="1639" t="str">
        <f>'Part II-Development Team'!L154</f>
        <v>No</v>
      </c>
      <c r="M349" s="1639"/>
      <c r="N349" s="1639"/>
      <c r="O349" s="1639"/>
      <c r="P349" s="1681" t="str">
        <f>'Part II-Development Team'!P154</f>
        <v>For Profit</v>
      </c>
      <c r="Q349" s="1681"/>
      <c r="R349" s="1692">
        <f>'Part II-Development Team'!R154</f>
        <v>0</v>
      </c>
      <c r="S349" s="1693"/>
    </row>
    <row r="350" spans="1:19">
      <c r="A350" s="1102"/>
      <c r="B350" s="1102"/>
      <c r="C350" s="1102"/>
      <c r="D350" s="1102"/>
      <c r="E350" s="1102"/>
      <c r="F350" s="1102"/>
      <c r="G350" s="837"/>
      <c r="H350" s="837"/>
      <c r="I350" s="837"/>
      <c r="J350" s="1089"/>
      <c r="K350" s="1089"/>
      <c r="L350" s="1089"/>
      <c r="M350" s="1089"/>
      <c r="N350" s="1102"/>
      <c r="O350" s="1102"/>
      <c r="P350" s="1097"/>
      <c r="Q350" s="867" t="s">
        <v>572</v>
      </c>
      <c r="R350" s="1682">
        <f>SUM(R337:S349)</f>
        <v>1</v>
      </c>
      <c r="S350" s="1683"/>
    </row>
    <row r="351" spans="1:19">
      <c r="A351" s="1102"/>
      <c r="B351" s="1102"/>
      <c r="C351" s="1102"/>
      <c r="D351" s="1102"/>
      <c r="E351" s="1102"/>
      <c r="F351" s="1102"/>
      <c r="G351" s="837"/>
      <c r="H351" s="837"/>
      <c r="I351" s="837"/>
      <c r="J351" s="1089"/>
      <c r="K351" s="1089"/>
      <c r="L351" s="1089"/>
      <c r="M351" s="1089"/>
      <c r="N351" s="1102"/>
      <c r="O351" s="1102"/>
      <c r="P351" s="1097"/>
      <c r="Q351" s="1102"/>
      <c r="R351" s="1086"/>
      <c r="S351" s="868"/>
    </row>
    <row r="352" spans="1:19">
      <c r="A352" s="851" t="s">
        <v>1918</v>
      </c>
      <c r="B352" s="853"/>
      <c r="C352" s="851" t="s">
        <v>608</v>
      </c>
      <c r="D352" s="1097"/>
      <c r="E352" s="1097"/>
      <c r="F352" s="1097"/>
      <c r="G352" s="1097"/>
      <c r="H352" s="1097"/>
      <c r="I352" s="1097"/>
      <c r="J352" s="1097"/>
      <c r="K352" s="1097"/>
      <c r="L352" s="1097"/>
      <c r="M352" s="1097"/>
      <c r="N352" s="851" t="s">
        <v>563</v>
      </c>
      <c r="O352" s="851" t="s">
        <v>82</v>
      </c>
      <c r="P352" s="1097"/>
      <c r="Q352" s="1097"/>
      <c r="R352" s="1097"/>
      <c r="S352" s="1097"/>
    </row>
    <row r="353" spans="1:19">
      <c r="A353" s="1097"/>
      <c r="B353" s="853"/>
      <c r="C353" s="1097"/>
      <c r="D353" s="1097"/>
      <c r="E353" s="1097"/>
      <c r="F353" s="1097"/>
      <c r="G353" s="1097"/>
      <c r="H353" s="1097"/>
      <c r="I353" s="1097"/>
      <c r="J353" s="1097"/>
      <c r="K353" s="1097"/>
      <c r="L353" s="1097"/>
      <c r="M353" s="1097"/>
      <c r="N353" s="1097"/>
      <c r="O353" s="1097"/>
      <c r="P353" s="1097"/>
      <c r="Q353" s="1097"/>
      <c r="R353" s="1097"/>
      <c r="S353" s="1097"/>
    </row>
    <row r="354" spans="1:19" ht="13.5">
      <c r="A354" s="1617" t="str">
        <f>'Part II-Development Team'!A159</f>
        <v>Vantage Partners 2014 GA Phase II, LLC (General Partner), Vantage Development, LLC (Developer), Fyffe Construction Co., Inc. (General Contractor), and Vantage Management, LLC (Management Company) are all owned by Lowell R. Barron, II.         
Bill Jones the Architect and RBC Capital Markets - Tax Equity Group do not have a fax number.</v>
      </c>
      <c r="B354" s="1617"/>
      <c r="C354" s="1617"/>
      <c r="D354" s="1617"/>
      <c r="E354" s="1617"/>
      <c r="F354" s="1617"/>
      <c r="G354" s="1617"/>
      <c r="H354" s="1617"/>
      <c r="I354" s="1617"/>
      <c r="J354" s="1617"/>
      <c r="K354" s="1617"/>
      <c r="L354" s="1617"/>
      <c r="M354" s="1617"/>
      <c r="N354" s="1617">
        <f>'Part II-Development Team'!N159</f>
        <v>0</v>
      </c>
      <c r="O354" s="1617"/>
      <c r="P354" s="1617"/>
      <c r="Q354" s="1617"/>
      <c r="R354" s="1617"/>
      <c r="S354" s="1617"/>
    </row>
    <row r="357" spans="1:19">
      <c r="A357" s="1657" t="str">
        <f>CONCATENATE("PART THREE - SOURCES OF FUNDS","  -  ",'Part I-Project Information'!$O$4," ",'Part I-Project Information'!$F$23,", ",'Part I-Project Information'!$F$27,", ",'Part I-Project Information'!$J$28," County")</f>
        <v>PART THREE - SOURCES OF FUNDS  -  2014-039 Willingham Village II, Rome, Floyd County</v>
      </c>
      <c r="B357" s="1657"/>
      <c r="C357" s="1657"/>
      <c r="D357" s="1657"/>
      <c r="E357" s="1657"/>
      <c r="F357" s="1657"/>
      <c r="G357" s="1657"/>
      <c r="H357" s="1657"/>
      <c r="I357" s="1657"/>
      <c r="J357" s="1657"/>
      <c r="K357" s="1657"/>
      <c r="L357" s="1657"/>
      <c r="M357" s="1657"/>
      <c r="N357" s="1657"/>
      <c r="O357" s="1657"/>
      <c r="P357" s="1657"/>
      <c r="Q357" s="1657"/>
    </row>
    <row r="358" spans="1:19">
      <c r="A358" s="1097"/>
      <c r="B358" s="1097"/>
      <c r="C358" s="1097"/>
      <c r="D358" s="1097"/>
      <c r="E358" s="1097"/>
      <c r="F358" s="1097"/>
      <c r="G358" s="1097"/>
      <c r="H358" s="1097"/>
      <c r="I358" s="1097"/>
      <c r="J358" s="1097"/>
      <c r="K358" s="1097"/>
      <c r="L358" s="1097"/>
      <c r="M358" s="1097"/>
      <c r="N358" s="1097"/>
      <c r="O358" s="1097"/>
      <c r="P358" s="1097"/>
      <c r="Q358" s="1097"/>
    </row>
    <row r="359" spans="1:19" ht="13.5">
      <c r="A359" s="837" t="s">
        <v>657</v>
      </c>
      <c r="B359" s="851" t="s">
        <v>2659</v>
      </c>
      <c r="C359" s="1102"/>
      <c r="D359" s="1102"/>
      <c r="E359" s="1102"/>
      <c r="F359" s="1102"/>
      <c r="G359" s="1102"/>
      <c r="H359" s="862"/>
      <c r="I359" s="862"/>
      <c r="J359" s="1102"/>
      <c r="K359" s="862"/>
      <c r="L359" s="862"/>
      <c r="M359" s="1102"/>
      <c r="N359" s="1102"/>
      <c r="O359" s="862"/>
      <c r="P359" s="862"/>
      <c r="Q359" s="862"/>
    </row>
    <row r="360" spans="1:19" ht="13.5">
      <c r="A360" s="851"/>
      <c r="B360" s="1086"/>
      <c r="C360" s="851"/>
      <c r="D360" s="1102"/>
      <c r="E360" s="1102"/>
      <c r="F360" s="1102"/>
      <c r="G360" s="1102"/>
      <c r="H360" s="1089" t="str">
        <f>'Part III-Sources of Funds'!H4</f>
        <v>No</v>
      </c>
      <c r="I360" s="1087" t="s">
        <v>3232</v>
      </c>
      <c r="J360" s="1102"/>
      <c r="K360" s="862"/>
      <c r="L360" s="862"/>
      <c r="M360" s="862"/>
      <c r="N360" s="862"/>
      <c r="O360" s="862"/>
      <c r="P360" s="1679">
        <f>'Part III-Sources of Funds'!P4</f>
        <v>0</v>
      </c>
      <c r="Q360" s="1616"/>
    </row>
    <row r="361" spans="1:19" ht="13.5">
      <c r="A361" s="1086"/>
      <c r="B361" s="1089" t="str">
        <f>'Part III-Sources of Funds'!B5</f>
        <v>Yes</v>
      </c>
      <c r="C361" s="1087" t="s">
        <v>2573</v>
      </c>
      <c r="D361" s="1102"/>
      <c r="E361" s="1089" t="str">
        <f>'Part III-Sources of Funds'!E5</f>
        <v>No</v>
      </c>
      <c r="F361" s="1087" t="s">
        <v>584</v>
      </c>
      <c r="G361" s="862"/>
      <c r="H361" s="1089" t="str">
        <f>'Part III-Sources of Funds'!H5</f>
        <v>No</v>
      </c>
      <c r="I361" s="1102" t="s">
        <v>2793</v>
      </c>
      <c r="J361" s="862"/>
      <c r="K361" s="862"/>
      <c r="L361" s="862"/>
      <c r="M361" s="1089" t="str">
        <f>'Part III-Sources of Funds'!M5</f>
        <v>No</v>
      </c>
      <c r="N361" s="1087" t="s">
        <v>582</v>
      </c>
      <c r="O361" s="862"/>
      <c r="P361" s="862"/>
      <c r="Q361" s="862"/>
    </row>
    <row r="362" spans="1:19" ht="13.5">
      <c r="A362" s="1086"/>
      <c r="B362" s="1089" t="str">
        <f>'Part III-Sources of Funds'!B6</f>
        <v>No</v>
      </c>
      <c r="C362" s="1087" t="s">
        <v>1928</v>
      </c>
      <c r="D362" s="1102"/>
      <c r="E362" s="1089" t="str">
        <f>'Part III-Sources of Funds'!E6</f>
        <v>No</v>
      </c>
      <c r="F362" s="1102" t="s">
        <v>2791</v>
      </c>
      <c r="G362" s="862"/>
      <c r="H362" s="1089" t="str">
        <f>'Part III-Sources of Funds'!H6</f>
        <v>No</v>
      </c>
      <c r="I362" s="1087" t="s">
        <v>3250</v>
      </c>
      <c r="J362" s="1087"/>
      <c r="K362" s="1088"/>
      <c r="L362" s="1088"/>
      <c r="M362" s="1089" t="str">
        <f>'Part III-Sources of Funds'!M6</f>
        <v>No</v>
      </c>
      <c r="N362" s="1087" t="s">
        <v>2792</v>
      </c>
      <c r="O362" s="862"/>
      <c r="P362" s="862"/>
      <c r="Q362" s="1101"/>
    </row>
    <row r="363" spans="1:19" ht="13.5">
      <c r="A363" s="1102"/>
      <c r="B363" s="1089" t="str">
        <f>'Part III-Sources of Funds'!B7</f>
        <v>No</v>
      </c>
      <c r="C363" s="1087" t="s">
        <v>1929</v>
      </c>
      <c r="D363" s="862"/>
      <c r="E363" s="1089" t="str">
        <f>'Part III-Sources of Funds'!E7</f>
        <v>No</v>
      </c>
      <c r="F363" s="1094" t="s">
        <v>2341</v>
      </c>
      <c r="G363" s="1102"/>
      <c r="H363" s="1089" t="str">
        <f>'Part III-Sources of Funds'!H7</f>
        <v>No</v>
      </c>
      <c r="I363" s="1087" t="s">
        <v>1644</v>
      </c>
      <c r="J363" s="1088"/>
      <c r="K363" s="862"/>
      <c r="L363" s="862"/>
      <c r="M363" s="1089" t="str">
        <f>'Part III-Sources of Funds'!M7</f>
        <v>No</v>
      </c>
      <c r="N363" s="1087" t="s">
        <v>3231</v>
      </c>
      <c r="O363" s="862"/>
      <c r="P363" s="1680">
        <f>'Part III-Sources of Funds'!P7</f>
        <v>0</v>
      </c>
      <c r="Q363" s="1680"/>
    </row>
    <row r="364" spans="1:19" ht="13.5">
      <c r="A364" s="1086"/>
      <c r="B364" s="1089" t="str">
        <f>'Part III-Sources of Funds'!B8</f>
        <v>No</v>
      </c>
      <c r="C364" s="1102" t="s">
        <v>2783</v>
      </c>
      <c r="D364" s="1102"/>
      <c r="E364" s="1089" t="str">
        <f>'Part III-Sources of Funds'!E8</f>
        <v>No</v>
      </c>
      <c r="F364" s="852" t="s">
        <v>2784</v>
      </c>
      <c r="G364" s="862"/>
      <c r="H364" s="1089" t="str">
        <f>'Part III-Sources of Funds'!H8</f>
        <v>No</v>
      </c>
      <c r="I364" s="1087" t="s">
        <v>583</v>
      </c>
      <c r="J364" s="1088"/>
      <c r="K364" s="1087"/>
      <c r="L364" s="1087"/>
      <c r="M364" s="1089" t="str">
        <f>'Part III-Sources of Funds'!M8</f>
        <v>Yes</v>
      </c>
      <c r="N364" s="1650" t="str">
        <f>'Part III-Sources of Funds'!N8</f>
        <v>NWGHA Seller Note</v>
      </c>
      <c r="O364" s="1650"/>
      <c r="P364" s="1650"/>
      <c r="Q364" s="1650"/>
    </row>
    <row r="365" spans="1:19" ht="13.5">
      <c r="A365" s="1086"/>
      <c r="B365" s="862" t="s">
        <v>3146</v>
      </c>
      <c r="C365" s="1102"/>
      <c r="D365" s="1102"/>
      <c r="E365" s="1102"/>
      <c r="F365" s="1102"/>
      <c r="G365" s="1102"/>
      <c r="H365" s="1102"/>
      <c r="I365" s="1102"/>
      <c r="J365" s="1102"/>
      <c r="K365" s="1102"/>
      <c r="L365" s="1102"/>
      <c r="M365" s="852"/>
      <c r="N365" s="1102"/>
      <c r="O365" s="1102"/>
      <c r="P365" s="1102"/>
      <c r="Q365" s="1102"/>
    </row>
    <row r="366" spans="1:19" ht="13.5">
      <c r="A366" s="1086"/>
      <c r="B366" s="862"/>
      <c r="C366" s="862"/>
      <c r="D366" s="862"/>
      <c r="E366" s="862"/>
      <c r="F366" s="862"/>
      <c r="G366" s="862"/>
      <c r="H366" s="862"/>
      <c r="I366" s="862"/>
      <c r="J366" s="862"/>
      <c r="K366" s="862"/>
      <c r="L366" s="1102"/>
      <c r="M366" s="852"/>
      <c r="N366" s="1102"/>
      <c r="O366" s="1102"/>
      <c r="P366" s="1102"/>
      <c r="Q366" s="1102"/>
    </row>
    <row r="367" spans="1:19" ht="13.5">
      <c r="A367" s="837" t="s">
        <v>790</v>
      </c>
      <c r="B367" s="836" t="s">
        <v>2496</v>
      </c>
      <c r="C367" s="1102"/>
      <c r="D367" s="1102"/>
      <c r="E367" s="1102"/>
      <c r="F367" s="1102"/>
      <c r="G367" s="1102"/>
      <c r="H367" s="862"/>
      <c r="I367" s="862"/>
      <c r="J367" s="837"/>
      <c r="K367" s="1102"/>
      <c r="L367" s="1102"/>
      <c r="M367" s="1102"/>
      <c r="N367" s="1639"/>
      <c r="O367" s="1639"/>
      <c r="P367" s="1102"/>
      <c r="Q367" s="1102"/>
    </row>
    <row r="368" spans="1:19" ht="13.5">
      <c r="A368" s="837"/>
      <c r="B368" s="836"/>
      <c r="C368" s="1102"/>
      <c r="D368" s="860"/>
      <c r="E368" s="860"/>
      <c r="F368" s="860"/>
      <c r="G368" s="860"/>
      <c r="H368" s="860"/>
      <c r="I368" s="860"/>
      <c r="J368" s="860"/>
      <c r="K368" s="1102"/>
      <c r="L368" s="1102"/>
      <c r="M368" s="1102"/>
      <c r="N368" s="1089"/>
      <c r="O368" s="1089"/>
      <c r="P368" s="1102"/>
      <c r="Q368" s="1102"/>
    </row>
    <row r="369" spans="1:17">
      <c r="A369" s="1102"/>
      <c r="B369" s="1087" t="s">
        <v>2001</v>
      </c>
      <c r="C369" s="1102"/>
      <c r="D369" s="1102"/>
      <c r="E369" s="1102"/>
      <c r="F369" s="1102"/>
      <c r="G369" s="1102"/>
      <c r="H369" s="1650" t="s">
        <v>1383</v>
      </c>
      <c r="I369" s="1650"/>
      <c r="J369" s="1650"/>
      <c r="K369" s="1650"/>
      <c r="L369" s="1639" t="s">
        <v>2126</v>
      </c>
      <c r="M369" s="1639"/>
      <c r="N369" s="1639" t="s">
        <v>1613</v>
      </c>
      <c r="O369" s="1639"/>
      <c r="P369" s="1639" t="s">
        <v>1741</v>
      </c>
      <c r="Q369" s="1639"/>
    </row>
    <row r="370" spans="1:17">
      <c r="A370" s="1102"/>
      <c r="B370" s="1664" t="s">
        <v>1699</v>
      </c>
      <c r="C370" s="1664"/>
      <c r="D370" s="1664"/>
      <c r="E370" s="1102"/>
      <c r="F370" s="1102"/>
      <c r="G370" s="1102"/>
      <c r="H370" s="1650" t="str">
        <f>'Part III-Sources of Funds'!H14</f>
        <v>Community &amp; Southern Bank</v>
      </c>
      <c r="I370" s="1650"/>
      <c r="J370" s="1650"/>
      <c r="K370" s="1650"/>
      <c r="L370" s="1649">
        <f>'Part III-Sources of Funds'!L14</f>
        <v>6800000</v>
      </c>
      <c r="M370" s="1649"/>
      <c r="N370" s="1678">
        <f>'Part III-Sources of Funds'!N14</f>
        <v>4.4999999999999998E-2</v>
      </c>
      <c r="O370" s="1678"/>
      <c r="P370" s="1646">
        <f>'Part III-Sources of Funds'!P14</f>
        <v>24</v>
      </c>
      <c r="Q370" s="1646"/>
    </row>
    <row r="371" spans="1:17">
      <c r="A371" s="1102"/>
      <c r="B371" s="1664" t="s">
        <v>1700</v>
      </c>
      <c r="C371" s="1664"/>
      <c r="D371" s="1664"/>
      <c r="E371" s="1102"/>
      <c r="F371" s="1102"/>
      <c r="G371" s="1102"/>
      <c r="H371" s="1650" t="str">
        <f>'Part III-Sources of Funds'!H15</f>
        <v>Northwest Georgia Housing Auth. Seller Note</v>
      </c>
      <c r="I371" s="1650"/>
      <c r="J371" s="1650"/>
      <c r="K371" s="1650"/>
      <c r="L371" s="1649">
        <f>'Part III-Sources of Funds'!L15</f>
        <v>592166</v>
      </c>
      <c r="M371" s="1649"/>
      <c r="N371" s="1678">
        <f>'Part III-Sources of Funds'!N15</f>
        <v>3.2000000000000001E-2</v>
      </c>
      <c r="O371" s="1678"/>
      <c r="P371" s="1646">
        <f>'Part III-Sources of Funds'!P15</f>
        <v>24</v>
      </c>
      <c r="Q371" s="1646"/>
    </row>
    <row r="372" spans="1:17">
      <c r="A372" s="1102"/>
      <c r="B372" s="1664" t="s">
        <v>1701</v>
      </c>
      <c r="C372" s="1664"/>
      <c r="D372" s="1664"/>
      <c r="E372" s="1102"/>
      <c r="F372" s="1102"/>
      <c r="G372" s="1102"/>
      <c r="H372" s="1650">
        <f>'Part III-Sources of Funds'!H16</f>
        <v>0</v>
      </c>
      <c r="I372" s="1650"/>
      <c r="J372" s="1650"/>
      <c r="K372" s="1650"/>
      <c r="L372" s="1649">
        <f>'Part III-Sources of Funds'!L16</f>
        <v>0</v>
      </c>
      <c r="M372" s="1649"/>
      <c r="N372" s="1678">
        <f>'Part III-Sources of Funds'!N16</f>
        <v>0</v>
      </c>
      <c r="O372" s="1678"/>
      <c r="P372" s="1646">
        <f>'Part III-Sources of Funds'!P16</f>
        <v>0</v>
      </c>
      <c r="Q372" s="1646"/>
    </row>
    <row r="373" spans="1:17">
      <c r="A373" s="1102"/>
      <c r="B373" s="1664" t="s">
        <v>2359</v>
      </c>
      <c r="C373" s="1664"/>
      <c r="D373" s="1664"/>
      <c r="E373" s="1102"/>
      <c r="F373" s="1102"/>
      <c r="G373" s="1102"/>
      <c r="H373" s="1650">
        <f>'Part III-Sources of Funds'!H17</f>
        <v>0</v>
      </c>
      <c r="I373" s="1650"/>
      <c r="J373" s="1650"/>
      <c r="K373" s="1650"/>
      <c r="L373" s="1649">
        <f>'Part III-Sources of Funds'!L17</f>
        <v>0</v>
      </c>
      <c r="M373" s="1649"/>
      <c r="N373" s="1677"/>
      <c r="O373" s="1677"/>
      <c r="P373" s="1639"/>
      <c r="Q373" s="1639"/>
    </row>
    <row r="374" spans="1:17" ht="13.5">
      <c r="A374" s="1102"/>
      <c r="B374" s="1664" t="s">
        <v>855</v>
      </c>
      <c r="C374" s="1664"/>
      <c r="D374" s="1664"/>
      <c r="E374" s="1102"/>
      <c r="F374" s="862"/>
      <c r="G374" s="862"/>
      <c r="H374" s="1650">
        <f>'Part III-Sources of Funds'!H18</f>
        <v>0</v>
      </c>
      <c r="I374" s="1650"/>
      <c r="J374" s="1650"/>
      <c r="K374" s="1650"/>
      <c r="L374" s="1649">
        <f>'Part III-Sources of Funds'!L18</f>
        <v>0</v>
      </c>
      <c r="M374" s="1649"/>
      <c r="N374" s="1677"/>
      <c r="O374" s="1677"/>
      <c r="P374" s="1639"/>
      <c r="Q374" s="1639"/>
    </row>
    <row r="375" spans="1:17" ht="13.5">
      <c r="A375" s="1102"/>
      <c r="B375" s="1664" t="s">
        <v>682</v>
      </c>
      <c r="C375" s="1664"/>
      <c r="D375" s="1664"/>
      <c r="E375" s="1102"/>
      <c r="F375" s="862"/>
      <c r="G375" s="862"/>
      <c r="H375" s="1650">
        <f>'Part III-Sources of Funds'!H19</f>
        <v>0</v>
      </c>
      <c r="I375" s="1650"/>
      <c r="J375" s="1650"/>
      <c r="K375" s="1650"/>
      <c r="L375" s="1649">
        <f>'Part III-Sources of Funds'!L19</f>
        <v>0</v>
      </c>
      <c r="M375" s="1649"/>
      <c r="N375" s="1677"/>
      <c r="O375" s="1677"/>
      <c r="P375" s="1639"/>
      <c r="Q375" s="1639"/>
    </row>
    <row r="376" spans="1:17" ht="13.5">
      <c r="A376" s="1102"/>
      <c r="B376" s="1664" t="s">
        <v>856</v>
      </c>
      <c r="C376" s="1664"/>
      <c r="D376" s="1664"/>
      <c r="E376" s="1102"/>
      <c r="F376" s="862"/>
      <c r="G376" s="862"/>
      <c r="H376" s="1650" t="str">
        <f>'Part III-Sources of Funds'!H20</f>
        <v>RBC (TBD)</v>
      </c>
      <c r="I376" s="1650"/>
      <c r="J376" s="1650"/>
      <c r="K376" s="1650"/>
      <c r="L376" s="1649">
        <f>'Part III-Sources of Funds'!L20</f>
        <v>1962527</v>
      </c>
      <c r="M376" s="1649"/>
      <c r="N376" s="1102"/>
      <c r="O376" s="1102"/>
      <c r="P376" s="1102"/>
      <c r="Q376" s="1102"/>
    </row>
    <row r="377" spans="1:17" ht="13.5">
      <c r="A377" s="1102"/>
      <c r="B377" s="1664" t="s">
        <v>857</v>
      </c>
      <c r="C377" s="1664"/>
      <c r="D377" s="1664"/>
      <c r="E377" s="1102"/>
      <c r="F377" s="862"/>
      <c r="G377" s="862"/>
      <c r="H377" s="1650" t="str">
        <f>'Part III-Sources of Funds'!H21</f>
        <v>RBC (TBD)</v>
      </c>
      <c r="I377" s="1650"/>
      <c r="J377" s="1650"/>
      <c r="K377" s="1650"/>
      <c r="L377" s="1649">
        <f>'Part III-Sources of Funds'!L21</f>
        <v>808379</v>
      </c>
      <c r="M377" s="1649"/>
      <c r="N377" s="1102"/>
      <c r="O377" s="1102"/>
      <c r="P377" s="1102"/>
      <c r="Q377" s="1102"/>
    </row>
    <row r="378" spans="1:17">
      <c r="A378" s="1102"/>
      <c r="B378" s="1102" t="s">
        <v>255</v>
      </c>
      <c r="C378" s="1102"/>
      <c r="D378" s="1650">
        <f>'Part III-Sources of Funds'!D22</f>
        <v>0</v>
      </c>
      <c r="E378" s="1650"/>
      <c r="F378" s="1650"/>
      <c r="G378" s="1650"/>
      <c r="H378" s="1650">
        <f>'Part III-Sources of Funds'!H22</f>
        <v>0</v>
      </c>
      <c r="I378" s="1650"/>
      <c r="J378" s="1650"/>
      <c r="K378" s="1650"/>
      <c r="L378" s="1649">
        <f>'Part III-Sources of Funds'!L22</f>
        <v>0</v>
      </c>
      <c r="M378" s="1649"/>
      <c r="N378" s="1102"/>
      <c r="O378" s="1102"/>
      <c r="P378" s="1102"/>
      <c r="Q378" s="1102"/>
    </row>
    <row r="379" spans="1:17">
      <c r="A379" s="1102"/>
      <c r="B379" s="1102" t="s">
        <v>255</v>
      </c>
      <c r="C379" s="1102"/>
      <c r="D379" s="1650">
        <f>'Part III-Sources of Funds'!D23</f>
        <v>0</v>
      </c>
      <c r="E379" s="1650"/>
      <c r="F379" s="1650"/>
      <c r="G379" s="1650"/>
      <c r="H379" s="1650">
        <f>'Part III-Sources of Funds'!H23</f>
        <v>0</v>
      </c>
      <c r="I379" s="1650"/>
      <c r="J379" s="1650"/>
      <c r="K379" s="1650"/>
      <c r="L379" s="1649">
        <f>'Part III-Sources of Funds'!L23</f>
        <v>0</v>
      </c>
      <c r="M379" s="1649"/>
      <c r="N379" s="1102"/>
      <c r="O379" s="1102"/>
      <c r="P379" s="1102"/>
      <c r="Q379" s="1102"/>
    </row>
    <row r="380" spans="1:17">
      <c r="A380" s="1102"/>
      <c r="B380" s="1102" t="s">
        <v>255</v>
      </c>
      <c r="C380" s="1102"/>
      <c r="D380" s="1650">
        <f>'Part III-Sources of Funds'!D24</f>
        <v>0</v>
      </c>
      <c r="E380" s="1650"/>
      <c r="F380" s="1650"/>
      <c r="G380" s="1650"/>
      <c r="H380" s="1650">
        <f>'Part III-Sources of Funds'!H24</f>
        <v>0</v>
      </c>
      <c r="I380" s="1650"/>
      <c r="J380" s="1650"/>
      <c r="K380" s="1650"/>
      <c r="L380" s="1649">
        <f>'Part III-Sources of Funds'!L24</f>
        <v>0</v>
      </c>
      <c r="M380" s="1649"/>
      <c r="N380" s="1102"/>
      <c r="O380" s="1102"/>
      <c r="P380" s="1102"/>
      <c r="Q380" s="1102"/>
    </row>
    <row r="381" spans="1:17" ht="13.5">
      <c r="A381" s="1102"/>
      <c r="B381" s="836" t="s">
        <v>1384</v>
      </c>
      <c r="C381" s="1102"/>
      <c r="D381" s="1102"/>
      <c r="E381" s="1102"/>
      <c r="F381" s="1102"/>
      <c r="G381" s="1102"/>
      <c r="H381" s="1102"/>
      <c r="I381" s="1102"/>
      <c r="J381" s="862"/>
      <c r="K381" s="862"/>
      <c r="L381" s="1672">
        <f>SUM(L370:L380)</f>
        <v>10163072</v>
      </c>
      <c r="M381" s="1672"/>
      <c r="N381" s="1097"/>
      <c r="O381" s="1097"/>
      <c r="P381" s="1097"/>
      <c r="Q381" s="1097"/>
    </row>
    <row r="382" spans="1:17" ht="13.5">
      <c r="A382" s="1102"/>
      <c r="B382" s="1087" t="s">
        <v>1385</v>
      </c>
      <c r="C382" s="1102"/>
      <c r="D382" s="1102"/>
      <c r="E382" s="1102"/>
      <c r="F382" s="1102"/>
      <c r="G382" s="1102"/>
      <c r="H382" s="1102"/>
      <c r="I382" s="1102"/>
      <c r="J382" s="862"/>
      <c r="K382" s="862"/>
      <c r="L382" s="1672">
        <f>'Part III-Sources of Funds'!L26</f>
        <v>10122340</v>
      </c>
      <c r="M382" s="1672"/>
      <c r="N382" s="1673"/>
      <c r="O382" s="1673"/>
      <c r="P382" s="1673"/>
      <c r="Q382" s="1673"/>
    </row>
    <row r="383" spans="1:17" ht="13.5">
      <c r="A383" s="1102"/>
      <c r="B383" s="1087" t="s">
        <v>2295</v>
      </c>
      <c r="C383" s="1102"/>
      <c r="D383" s="1102"/>
      <c r="E383" s="1102"/>
      <c r="F383" s="1102"/>
      <c r="G383" s="1102"/>
      <c r="H383" s="1102"/>
      <c r="I383" s="1102"/>
      <c r="J383" s="862"/>
      <c r="K383" s="862"/>
      <c r="L383" s="1674">
        <f>L381-L382</f>
        <v>40732</v>
      </c>
      <c r="M383" s="1674"/>
      <c r="N383" s="1673"/>
      <c r="O383" s="1673"/>
      <c r="P383" s="1673"/>
      <c r="Q383" s="1673"/>
    </row>
    <row r="384" spans="1:17">
      <c r="A384" s="851"/>
      <c r="B384" s="836"/>
      <c r="C384" s="1097"/>
      <c r="D384" s="1097"/>
      <c r="E384" s="1097"/>
      <c r="F384" s="1097"/>
      <c r="G384" s="1097"/>
      <c r="H384" s="1097"/>
      <c r="I384" s="1097"/>
      <c r="J384" s="1097"/>
      <c r="K384" s="1097"/>
      <c r="L384" s="1097"/>
      <c r="M384" s="1089"/>
      <c r="N384" s="1089"/>
      <c r="O384" s="1097"/>
      <c r="P384" s="837"/>
      <c r="Q384" s="837"/>
    </row>
    <row r="385" spans="1:17">
      <c r="A385" s="837" t="s">
        <v>792</v>
      </c>
      <c r="B385" s="836" t="s">
        <v>854</v>
      </c>
      <c r="C385" s="1097"/>
      <c r="D385" s="1097"/>
      <c r="E385" s="1097"/>
      <c r="F385" s="1097"/>
      <c r="G385" s="1097"/>
      <c r="H385" s="1097"/>
      <c r="I385" s="1097"/>
      <c r="J385" s="1097"/>
      <c r="K385" s="1097"/>
      <c r="L385" s="1097"/>
      <c r="M385" s="1089"/>
      <c r="N385" s="1089"/>
      <c r="O385" s="1097"/>
      <c r="P385" s="837"/>
      <c r="Q385" s="837"/>
    </row>
    <row r="386" spans="1:17">
      <c r="A386" s="1102"/>
      <c r="B386" s="1102"/>
      <c r="C386" s="1102"/>
      <c r="D386" s="1102"/>
      <c r="E386" s="1102"/>
      <c r="F386" s="1089"/>
      <c r="G386" s="1089"/>
      <c r="H386" s="1639"/>
      <c r="I386" s="1639"/>
      <c r="J386" s="1092" t="s">
        <v>2237</v>
      </c>
      <c r="K386" s="1089" t="s">
        <v>1381</v>
      </c>
      <c r="L386" s="1089" t="s">
        <v>1386</v>
      </c>
      <c r="M386" s="1675" t="s">
        <v>36</v>
      </c>
      <c r="N386" s="1675"/>
      <c r="O386" s="1089"/>
      <c r="P386" s="1089"/>
      <c r="Q386" s="1676" t="s">
        <v>2493</v>
      </c>
    </row>
    <row r="387" spans="1:17">
      <c r="A387" s="1102"/>
      <c r="B387" s="1087" t="s">
        <v>2001</v>
      </c>
      <c r="C387" s="1102"/>
      <c r="D387" s="1102"/>
      <c r="E387" s="1664" t="s">
        <v>1383</v>
      </c>
      <c r="F387" s="1664"/>
      <c r="G387" s="1664"/>
      <c r="H387" s="1639" t="s">
        <v>519</v>
      </c>
      <c r="I387" s="1639"/>
      <c r="J387" s="1089" t="s">
        <v>1933</v>
      </c>
      <c r="K387" s="1089" t="s">
        <v>2358</v>
      </c>
      <c r="L387" s="1089" t="s">
        <v>2358</v>
      </c>
      <c r="M387" s="1675"/>
      <c r="N387" s="1675"/>
      <c r="O387" s="1639" t="s">
        <v>77</v>
      </c>
      <c r="P387" s="1639"/>
      <c r="Q387" s="1676"/>
    </row>
    <row r="388" spans="1:17">
      <c r="A388" s="1102"/>
      <c r="B388" s="1664" t="s">
        <v>2797</v>
      </c>
      <c r="C388" s="1664"/>
      <c r="D388" s="1664"/>
      <c r="E388" s="1650" t="str">
        <f>'Part III-Sources of Funds'!E32</f>
        <v>Northwest Georgia Housing Auth.</v>
      </c>
      <c r="F388" s="1664"/>
      <c r="G388" s="1664"/>
      <c r="H388" s="1665">
        <f>'Part III-Sources of Funds'!H32</f>
        <v>592166</v>
      </c>
      <c r="I388" s="1664"/>
      <c r="J388" s="869">
        <f>'Part III-Sources of Funds'!J32</f>
        <v>3.2000000000000001E-2</v>
      </c>
      <c r="K388" s="1089">
        <f>'Part III-Sources of Funds'!K32</f>
        <v>10</v>
      </c>
      <c r="L388" s="1089">
        <f>'Part III-Sources of Funds'!L32</f>
        <v>10</v>
      </c>
      <c r="M388" s="1671">
        <f>'Part III-Sources of Funds'!M32</f>
        <v>69273.961968822725</v>
      </c>
      <c r="N388" s="1671"/>
      <c r="O388" s="1639" t="str">
        <f>'Part III-Sources of Funds'!O32</f>
        <v>Amortizing</v>
      </c>
      <c r="P388" s="1639"/>
      <c r="Q388" s="870">
        <f>'Part III-Sources of Funds'!Q32</f>
        <v>1.25</v>
      </c>
    </row>
    <row r="389" spans="1:17">
      <c r="A389" s="1102"/>
      <c r="B389" s="1664" t="s">
        <v>2798</v>
      </c>
      <c r="C389" s="1664"/>
      <c r="D389" s="1664"/>
      <c r="E389" s="1650">
        <f>'Part III-Sources of Funds'!E33</f>
        <v>0</v>
      </c>
      <c r="F389" s="1664"/>
      <c r="G389" s="1664"/>
      <c r="H389" s="1665">
        <f>'Part III-Sources of Funds'!H33</f>
        <v>0</v>
      </c>
      <c r="I389" s="1664"/>
      <c r="J389" s="869">
        <f>'Part III-Sources of Funds'!J33</f>
        <v>0</v>
      </c>
      <c r="K389" s="1089">
        <f>'Part III-Sources of Funds'!K33</f>
        <v>0</v>
      </c>
      <c r="L389" s="1089">
        <f>'Part III-Sources of Funds'!L33</f>
        <v>0</v>
      </c>
      <c r="M389" s="1671" t="str">
        <f>'Part III-Sources of Funds'!M33</f>
        <v/>
      </c>
      <c r="N389" s="1671"/>
      <c r="O389" s="1639">
        <f>'Part III-Sources of Funds'!O33</f>
        <v>0</v>
      </c>
      <c r="P389" s="1639"/>
      <c r="Q389" s="870">
        <f>'Part III-Sources of Funds'!Q33</f>
        <v>0</v>
      </c>
    </row>
    <row r="390" spans="1:17">
      <c r="A390" s="1102"/>
      <c r="B390" s="1664" t="s">
        <v>2799</v>
      </c>
      <c r="C390" s="1664"/>
      <c r="D390" s="1664"/>
      <c r="E390" s="1650">
        <f>'Part III-Sources of Funds'!E34</f>
        <v>0</v>
      </c>
      <c r="F390" s="1664"/>
      <c r="G390" s="1664"/>
      <c r="H390" s="1665">
        <f>'Part III-Sources of Funds'!H34</f>
        <v>0</v>
      </c>
      <c r="I390" s="1664"/>
      <c r="J390" s="869">
        <f>'Part III-Sources of Funds'!J34</f>
        <v>0</v>
      </c>
      <c r="K390" s="1089">
        <f>'Part III-Sources of Funds'!K34</f>
        <v>0</v>
      </c>
      <c r="L390" s="1089">
        <f>'Part III-Sources of Funds'!L34</f>
        <v>0</v>
      </c>
      <c r="M390" s="1671" t="str">
        <f>'Part III-Sources of Funds'!M34</f>
        <v/>
      </c>
      <c r="N390" s="1671"/>
      <c r="O390" s="1639">
        <f>'Part III-Sources of Funds'!O34</f>
        <v>0</v>
      </c>
      <c r="P390" s="1639"/>
      <c r="Q390" s="870">
        <f>'Part III-Sources of Funds'!Q34</f>
        <v>0</v>
      </c>
    </row>
    <row r="391" spans="1:17">
      <c r="A391" s="1102"/>
      <c r="B391" s="1102" t="s">
        <v>791</v>
      </c>
      <c r="C391" s="1650">
        <f>'Part III-Sources of Funds'!C35</f>
        <v>0</v>
      </c>
      <c r="D391" s="1650"/>
      <c r="E391" s="1650">
        <f>'Part III-Sources of Funds'!E35</f>
        <v>0</v>
      </c>
      <c r="F391" s="1664"/>
      <c r="G391" s="1664"/>
      <c r="H391" s="1665">
        <f>'Part III-Sources of Funds'!H35</f>
        <v>0</v>
      </c>
      <c r="I391" s="1664"/>
      <c r="J391" s="869">
        <f>'Part III-Sources of Funds'!J35</f>
        <v>0</v>
      </c>
      <c r="K391" s="1089">
        <f>'Part III-Sources of Funds'!K35</f>
        <v>0</v>
      </c>
      <c r="L391" s="1089">
        <f>'Part III-Sources of Funds'!L35</f>
        <v>0</v>
      </c>
      <c r="M391" s="1671" t="str">
        <f>'Part III-Sources of Funds'!M35</f>
        <v/>
      </c>
      <c r="N391" s="1671"/>
      <c r="O391" s="1639">
        <f>'Part III-Sources of Funds'!O35</f>
        <v>0</v>
      </c>
      <c r="P391" s="1639"/>
      <c r="Q391" s="870">
        <f>'Part III-Sources of Funds'!Q35</f>
        <v>0</v>
      </c>
    </row>
    <row r="392" spans="1:17">
      <c r="A392" s="1102"/>
      <c r="B392" s="1102" t="s">
        <v>3022</v>
      </c>
      <c r="C392" s="1102"/>
      <c r="D392" s="1102"/>
      <c r="E392" s="1650">
        <f>'Part III-Sources of Funds'!E36</f>
        <v>0</v>
      </c>
      <c r="F392" s="1664"/>
      <c r="G392" s="1664"/>
      <c r="H392" s="1665">
        <f>'Part III-Sources of Funds'!H36</f>
        <v>0</v>
      </c>
      <c r="I392" s="1664"/>
      <c r="J392" s="869"/>
      <c r="K392" s="1089"/>
      <c r="L392" s="1089"/>
      <c r="M392" s="1671" t="str">
        <f>IF(OR(H392&lt;=0,H392=""),"",IF(O392="Amortizing",-PMT(J392/12,L392*12,H392,0,0)*12,""))</f>
        <v/>
      </c>
      <c r="N392" s="1671"/>
      <c r="O392" s="1639"/>
      <c r="P392" s="1639"/>
      <c r="Q392" s="870"/>
    </row>
    <row r="393" spans="1:17">
      <c r="A393" s="1102"/>
      <c r="B393" s="1102" t="s">
        <v>239</v>
      </c>
      <c r="C393" s="1102"/>
      <c r="D393" s="1113" t="str">
        <f>IF(OR(H393="",H393=0,'Part IV-Uses of Funds'!$G$116="",'Part IV-Uses of Funds'!$G$116=0),"",H393/'Part IV-Uses of Funds'!$G$116)</f>
        <v/>
      </c>
      <c r="E393" s="1650">
        <f>'Part III-Sources of Funds'!E37</f>
        <v>0</v>
      </c>
      <c r="F393" s="1664"/>
      <c r="G393" s="1664"/>
      <c r="H393" s="1665">
        <f>'Part III-Sources of Funds'!H37</f>
        <v>0</v>
      </c>
      <c r="I393" s="1664"/>
      <c r="J393" s="869">
        <f>'Part III-Sources of Funds'!J37</f>
        <v>0</v>
      </c>
      <c r="K393" s="1089">
        <f>'Part III-Sources of Funds'!K37</f>
        <v>0</v>
      </c>
      <c r="L393" s="1089">
        <f>'Part III-Sources of Funds'!L37</f>
        <v>0</v>
      </c>
      <c r="M393" s="1671" t="str">
        <f>'Part III-Sources of Funds'!M37</f>
        <v/>
      </c>
      <c r="N393" s="1671"/>
      <c r="O393" s="1639">
        <f>'Part III-Sources of Funds'!O37</f>
        <v>0</v>
      </c>
      <c r="P393" s="1639"/>
      <c r="Q393" s="870">
        <f>'Part III-Sources of Funds'!Q37</f>
        <v>0</v>
      </c>
    </row>
    <row r="394" spans="1:17" ht="13.5">
      <c r="A394" s="1102"/>
      <c r="B394" s="1664" t="s">
        <v>2359</v>
      </c>
      <c r="C394" s="1664"/>
      <c r="D394" s="1664"/>
      <c r="E394" s="1650">
        <f>'Part III-Sources of Funds'!E38</f>
        <v>0</v>
      </c>
      <c r="F394" s="1664"/>
      <c r="G394" s="1664"/>
      <c r="H394" s="1665">
        <f>'Part III-Sources of Funds'!H38</f>
        <v>0</v>
      </c>
      <c r="I394" s="1664"/>
      <c r="J394" s="862"/>
      <c r="K394" s="1102"/>
      <c r="L394" s="1102"/>
      <c r="M394" s="1102"/>
      <c r="N394" s="1102"/>
      <c r="O394" s="1102"/>
      <c r="P394" s="1102"/>
      <c r="Q394" s="1102"/>
    </row>
    <row r="395" spans="1:17" ht="13.5">
      <c r="A395" s="1102"/>
      <c r="B395" s="1664" t="s">
        <v>855</v>
      </c>
      <c r="C395" s="1664"/>
      <c r="D395" s="1664"/>
      <c r="E395" s="1650">
        <f>'Part III-Sources of Funds'!E39</f>
        <v>0</v>
      </c>
      <c r="F395" s="1664"/>
      <c r="G395" s="1664"/>
      <c r="H395" s="1665">
        <f>'Part III-Sources of Funds'!H39</f>
        <v>0</v>
      </c>
      <c r="I395" s="1664"/>
      <c r="J395" s="1669" t="s">
        <v>550</v>
      </c>
      <c r="K395" s="1669"/>
      <c r="L395" s="1670" t="s">
        <v>551</v>
      </c>
      <c r="M395" s="1670"/>
      <c r="N395" s="862"/>
      <c r="O395" s="1089" t="s">
        <v>549</v>
      </c>
      <c r="P395" s="871"/>
      <c r="Q395" s="1102"/>
    </row>
    <row r="396" spans="1:17" ht="13.5">
      <c r="A396" s="1102"/>
      <c r="B396" s="1664" t="s">
        <v>856</v>
      </c>
      <c r="C396" s="1664"/>
      <c r="D396" s="1664"/>
      <c r="E396" s="1650" t="str">
        <f>'Part III-Sources of Funds'!E40</f>
        <v>RBC (TBD)</v>
      </c>
      <c r="F396" s="1664"/>
      <c r="G396" s="1664"/>
      <c r="H396" s="1665">
        <f>'Part III-Sources of Funds'!H40</f>
        <v>7548180</v>
      </c>
      <c r="I396" s="1664"/>
      <c r="J396" s="1667">
        <f>'Part IV-Uses of Funds'!$J$173*10*'Part IV-Uses of Funds'!$N$166</f>
        <v>7548935</v>
      </c>
      <c r="K396" s="1667"/>
      <c r="L396" s="1668">
        <f>H396-J396</f>
        <v>-755</v>
      </c>
      <c r="M396" s="1668"/>
      <c r="N396" s="862"/>
      <c r="O396" s="1106" t="s">
        <v>2742</v>
      </c>
      <c r="P396" s="871"/>
      <c r="Q396" s="1102"/>
    </row>
    <row r="397" spans="1:17" ht="13.5">
      <c r="A397" s="1102"/>
      <c r="B397" s="1664" t="s">
        <v>857</v>
      </c>
      <c r="C397" s="1664"/>
      <c r="D397" s="1664"/>
      <c r="E397" s="1650" t="str">
        <f>'Part III-Sources of Funds'!E41</f>
        <v>RBC (TBD)</v>
      </c>
      <c r="F397" s="1664"/>
      <c r="G397" s="1664"/>
      <c r="H397" s="1665">
        <f>'Part III-Sources of Funds'!H41</f>
        <v>3109149</v>
      </c>
      <c r="I397" s="1664"/>
      <c r="J397" s="1667">
        <f>'Part IV-Uses of Funds'!$J$173*10*'Part IV-Uses of Funds'!$Q$166</f>
        <v>3108385</v>
      </c>
      <c r="K397" s="1667"/>
      <c r="L397" s="1668">
        <f>H397-J397</f>
        <v>764</v>
      </c>
      <c r="M397" s="1668"/>
      <c r="N397" s="862"/>
      <c r="O397" s="872">
        <f>H396/H406</f>
        <v>0.67097945285543925</v>
      </c>
      <c r="P397" s="871"/>
      <c r="Q397" s="1102"/>
    </row>
    <row r="398" spans="1:17" ht="13.5">
      <c r="A398" s="1102"/>
      <c r="B398" s="1664" t="s">
        <v>1502</v>
      </c>
      <c r="C398" s="1664"/>
      <c r="D398" s="1664"/>
      <c r="E398" s="1650">
        <f>'Part III-Sources of Funds'!E42</f>
        <v>0</v>
      </c>
      <c r="F398" s="1664"/>
      <c r="G398" s="1664"/>
      <c r="H398" s="1665">
        <f>'Part III-Sources of Funds'!H42</f>
        <v>0</v>
      </c>
      <c r="I398" s="1664"/>
      <c r="J398" s="862"/>
      <c r="K398" s="862"/>
      <c r="L398" s="862"/>
      <c r="M398" s="871"/>
      <c r="N398" s="862"/>
      <c r="O398" s="872">
        <f>H397/H406</f>
        <v>0.27638120644526709</v>
      </c>
      <c r="P398" s="871"/>
      <c r="Q398" s="1102"/>
    </row>
    <row r="399" spans="1:17" ht="13.5">
      <c r="A399" s="1102"/>
      <c r="B399" s="1102" t="s">
        <v>564</v>
      </c>
      <c r="C399" s="1102"/>
      <c r="D399" s="1102"/>
      <c r="E399" s="1650">
        <f>'Part III-Sources of Funds'!E43</f>
        <v>0</v>
      </c>
      <c r="F399" s="1664"/>
      <c r="G399" s="1664"/>
      <c r="H399" s="1665">
        <f>'Part III-Sources of Funds'!H43</f>
        <v>0</v>
      </c>
      <c r="I399" s="1664"/>
      <c r="J399" s="862"/>
      <c r="K399" s="1102"/>
      <c r="L399" s="1102"/>
      <c r="M399" s="871"/>
      <c r="N399" s="862"/>
      <c r="O399" s="872">
        <f>SUM(O397:O398)</f>
        <v>0.94736065930070634</v>
      </c>
      <c r="P399" s="871"/>
      <c r="Q399" s="1102"/>
    </row>
    <row r="400" spans="1:17" ht="13.5">
      <c r="A400" s="1102"/>
      <c r="B400" s="1102" t="s">
        <v>1999</v>
      </c>
      <c r="C400" s="1102"/>
      <c r="D400" s="1102"/>
      <c r="E400" s="1650">
        <f>'Part III-Sources of Funds'!E44</f>
        <v>0</v>
      </c>
      <c r="F400" s="1664"/>
      <c r="G400" s="1664"/>
      <c r="H400" s="1665">
        <f>'Part III-Sources of Funds'!H44</f>
        <v>0</v>
      </c>
      <c r="I400" s="1664"/>
      <c r="J400" s="1102"/>
      <c r="K400" s="862"/>
      <c r="L400" s="862"/>
      <c r="M400" s="871"/>
      <c r="N400" s="871"/>
      <c r="O400" s="871"/>
      <c r="P400" s="871"/>
      <c r="Q400" s="1102"/>
    </row>
    <row r="401" spans="1:20" ht="13.5">
      <c r="A401" s="1102"/>
      <c r="B401" s="1102" t="s">
        <v>2000</v>
      </c>
      <c r="C401" s="1102"/>
      <c r="D401" s="1102"/>
      <c r="E401" s="1650">
        <f>'Part III-Sources of Funds'!E45</f>
        <v>0</v>
      </c>
      <c r="F401" s="1664"/>
      <c r="G401" s="1664"/>
      <c r="H401" s="1665">
        <f>'Part III-Sources of Funds'!H45</f>
        <v>0</v>
      </c>
      <c r="I401" s="1664"/>
      <c r="J401" s="1102"/>
      <c r="K401" s="862"/>
      <c r="L401" s="862"/>
      <c r="M401" s="871"/>
      <c r="N401" s="871"/>
      <c r="O401" s="871"/>
      <c r="P401" s="871"/>
      <c r="Q401" s="1102"/>
    </row>
    <row r="402" spans="1:20" ht="13.5">
      <c r="A402" s="1102"/>
      <c r="B402" s="1102" t="s">
        <v>791</v>
      </c>
      <c r="C402" s="1650">
        <f>'Part III-Sources of Funds'!C46</f>
        <v>0</v>
      </c>
      <c r="D402" s="1650"/>
      <c r="E402" s="1650">
        <f>'Part III-Sources of Funds'!E46</f>
        <v>0</v>
      </c>
      <c r="F402" s="1664"/>
      <c r="G402" s="1664"/>
      <c r="H402" s="1665">
        <f>'Part III-Sources of Funds'!H46</f>
        <v>0</v>
      </c>
      <c r="I402" s="1664"/>
      <c r="J402" s="1102"/>
      <c r="K402" s="862"/>
      <c r="L402" s="862"/>
      <c r="M402" s="871"/>
      <c r="N402" s="871"/>
      <c r="O402" s="871"/>
      <c r="P402" s="871"/>
      <c r="Q402" s="1102"/>
    </row>
    <row r="403" spans="1:20">
      <c r="A403" s="1102"/>
      <c r="B403" s="1102" t="s">
        <v>791</v>
      </c>
      <c r="C403" s="1650">
        <f>'Part III-Sources of Funds'!C47</f>
        <v>0</v>
      </c>
      <c r="D403" s="1650"/>
      <c r="E403" s="1650">
        <f>'Part III-Sources of Funds'!E47</f>
        <v>0</v>
      </c>
      <c r="F403" s="1664"/>
      <c r="G403" s="1664"/>
      <c r="H403" s="1665">
        <f>'Part III-Sources of Funds'!H47</f>
        <v>0</v>
      </c>
      <c r="I403" s="1664"/>
      <c r="J403" s="1102"/>
      <c r="K403" s="1102"/>
      <c r="L403" s="1089"/>
      <c r="M403" s="871"/>
      <c r="N403" s="871"/>
      <c r="O403" s="871"/>
      <c r="P403" s="871"/>
      <c r="Q403" s="1102"/>
    </row>
    <row r="404" spans="1:20">
      <c r="A404" s="1102"/>
      <c r="B404" s="1102" t="s">
        <v>791</v>
      </c>
      <c r="C404" s="1650">
        <f>'Part III-Sources of Funds'!C48</f>
        <v>0</v>
      </c>
      <c r="D404" s="1650"/>
      <c r="E404" s="1650">
        <f>'Part III-Sources of Funds'!E48</f>
        <v>0</v>
      </c>
      <c r="F404" s="1664"/>
      <c r="G404" s="1664"/>
      <c r="H404" s="1665">
        <f>'Part III-Sources of Funds'!H48</f>
        <v>0</v>
      </c>
      <c r="I404" s="1664"/>
      <c r="J404" s="1102"/>
      <c r="K404" s="1102"/>
      <c r="L404" s="1089"/>
      <c r="M404" s="871"/>
      <c r="N404" s="871"/>
      <c r="O404" s="871"/>
      <c r="P404" s="871"/>
      <c r="Q404" s="1102"/>
    </row>
    <row r="405" spans="1:20">
      <c r="A405" s="1102"/>
      <c r="B405" s="1087" t="s">
        <v>2360</v>
      </c>
      <c r="C405" s="1102"/>
      <c r="D405" s="1102"/>
      <c r="E405" s="1102"/>
      <c r="F405" s="1102"/>
      <c r="G405" s="1102"/>
      <c r="H405" s="1666">
        <f>SUM(H388:I404)</f>
        <v>11249495</v>
      </c>
      <c r="I405" s="1666"/>
      <c r="J405" s="1097"/>
      <c r="K405" s="1102"/>
      <c r="L405" s="1089"/>
      <c r="M405" s="871"/>
      <c r="N405" s="871"/>
      <c r="O405" s="871"/>
      <c r="P405" s="871"/>
      <c r="Q405" s="1102"/>
    </row>
    <row r="406" spans="1:20">
      <c r="A406" s="1102"/>
      <c r="B406" s="1087" t="s">
        <v>2361</v>
      </c>
      <c r="C406" s="1102"/>
      <c r="D406" s="1102"/>
      <c r="E406" s="1102"/>
      <c r="F406" s="1102"/>
      <c r="G406" s="1102"/>
      <c r="H406" s="1666">
        <f>'Part IV-Uses of Funds'!$G$130</f>
        <v>11249495</v>
      </c>
      <c r="I406" s="1666"/>
      <c r="J406" s="1097"/>
      <c r="K406" s="1102"/>
      <c r="L406" s="1089"/>
      <c r="M406" s="871"/>
      <c r="N406" s="871"/>
      <c r="O406" s="871"/>
      <c r="P406" s="871"/>
      <c r="Q406" s="1102"/>
    </row>
    <row r="407" spans="1:20">
      <c r="A407" s="1102"/>
      <c r="B407" s="1087" t="s">
        <v>1631</v>
      </c>
      <c r="C407" s="1102"/>
      <c r="D407" s="1102"/>
      <c r="E407" s="1102"/>
      <c r="F407" s="1102"/>
      <c r="G407" s="1102"/>
      <c r="H407" s="1637">
        <f>H405-H406</f>
        <v>0</v>
      </c>
      <c r="I407" s="1637"/>
      <c r="J407" s="1097"/>
      <c r="K407" s="1102"/>
      <c r="L407" s="1089"/>
      <c r="M407" s="871"/>
      <c r="N407" s="871"/>
      <c r="O407" s="871"/>
      <c r="P407" s="871"/>
      <c r="Q407" s="1102"/>
    </row>
    <row r="408" spans="1:20">
      <c r="A408" s="1102" t="s">
        <v>3023</v>
      </c>
      <c r="B408" s="1087"/>
      <c r="C408" s="1102"/>
      <c r="D408" s="1102"/>
      <c r="E408" s="1102"/>
      <c r="F408" s="1102"/>
      <c r="G408" s="1102"/>
      <c r="H408" s="1107"/>
      <c r="I408" s="1107"/>
      <c r="J408" s="1097"/>
      <c r="K408" s="1102"/>
      <c r="L408" s="1089"/>
      <c r="M408" s="871"/>
      <c r="N408" s="871"/>
      <c r="O408" s="871"/>
      <c r="P408" s="871"/>
      <c r="Q408" s="1102"/>
    </row>
    <row r="409" spans="1:20">
      <c r="A409" s="1097"/>
      <c r="B409" s="1097"/>
      <c r="C409" s="1097"/>
      <c r="D409" s="1097"/>
      <c r="E409" s="1097"/>
      <c r="F409" s="1097"/>
      <c r="G409" s="1097"/>
      <c r="H409" s="1097"/>
      <c r="I409" s="1097"/>
      <c r="J409" s="1097"/>
      <c r="K409" s="1097"/>
      <c r="L409" s="1097"/>
      <c r="M409" s="1097"/>
      <c r="N409" s="1097"/>
      <c r="O409" s="1097"/>
      <c r="P409" s="1097"/>
      <c r="Q409" s="1097"/>
    </row>
    <row r="410" spans="1:20">
      <c r="A410" s="837" t="s">
        <v>1916</v>
      </c>
      <c r="B410" s="837" t="s">
        <v>608</v>
      </c>
      <c r="C410" s="1097"/>
      <c r="D410" s="1097"/>
      <c r="E410" s="1097"/>
      <c r="F410" s="1097"/>
      <c r="G410" s="1097"/>
      <c r="H410" s="1097"/>
      <c r="I410" s="1097"/>
      <c r="J410" s="1097"/>
      <c r="K410" s="837" t="s">
        <v>1916</v>
      </c>
      <c r="L410" s="837" t="s">
        <v>82</v>
      </c>
      <c r="M410" s="1097"/>
      <c r="N410" s="1097"/>
      <c r="O410" s="1097"/>
      <c r="P410" s="1097"/>
      <c r="Q410" s="1097"/>
    </row>
    <row r="411" spans="1:20" ht="13.5">
      <c r="A411" s="873"/>
      <c r="B411" s="874"/>
      <c r="C411" s="873"/>
      <c r="D411" s="873"/>
      <c r="E411" s="873"/>
      <c r="F411" s="873"/>
      <c r="G411" s="873"/>
      <c r="H411" s="873"/>
      <c r="I411" s="873"/>
      <c r="J411" s="873"/>
      <c r="K411" s="873"/>
      <c r="L411" s="873"/>
      <c r="M411" s="873"/>
      <c r="N411" s="873"/>
      <c r="O411" s="873"/>
      <c r="P411" s="873"/>
      <c r="Q411" s="873"/>
    </row>
    <row r="412" spans="1:20">
      <c r="A412" s="1617">
        <f>'Part III-Sources of Funds'!A56</f>
        <v>0</v>
      </c>
      <c r="B412" s="1576"/>
      <c r="C412" s="1576"/>
      <c r="D412" s="1576"/>
      <c r="E412" s="1576"/>
      <c r="F412" s="1576"/>
      <c r="G412" s="1576"/>
      <c r="H412" s="1576"/>
      <c r="I412" s="1576"/>
      <c r="J412" s="1576"/>
      <c r="K412" s="1617">
        <f>'Part III-Sources of Funds'!K56</f>
        <v>0</v>
      </c>
      <c r="L412" s="1576"/>
      <c r="M412" s="1576"/>
      <c r="N412" s="1576"/>
      <c r="O412" s="1576"/>
      <c r="P412" s="1576"/>
      <c r="Q412" s="1576"/>
    </row>
    <row r="415" spans="1:20">
      <c r="A415" s="1657" t="str">
        <f>CONCATENATE("PART FOUR -  USES OF FUNDS","  -  ",'Part I-Project Information'!$O$4," ",'Part I-Project Information'!$F$23,", ",'Part I-Project Information'!F441,", ",'Part I-Project Information'!J442," County")</f>
        <v>PART FOUR -  USES OF FUNDS  -  2014-039 Willingham Village II, , Fitzgerald/Ben Hill County Development Authority County</v>
      </c>
      <c r="B415" s="1657"/>
      <c r="C415" s="1657"/>
      <c r="D415" s="1657"/>
      <c r="E415" s="1657"/>
      <c r="F415" s="1657"/>
      <c r="G415" s="1657"/>
      <c r="H415" s="1657"/>
      <c r="I415" s="1657"/>
      <c r="J415" s="1657"/>
      <c r="K415" s="1657"/>
      <c r="L415" s="1657"/>
      <c r="M415" s="1657"/>
      <c r="N415" s="1657"/>
      <c r="O415" s="1657"/>
      <c r="P415" s="1657"/>
      <c r="Q415" s="1657"/>
      <c r="R415" s="1657"/>
      <c r="S415" s="1657"/>
      <c r="T415" s="1657"/>
    </row>
    <row r="416" spans="1:20">
      <c r="A416" s="1097"/>
      <c r="B416" s="1097"/>
      <c r="C416" s="1097"/>
      <c r="D416" s="1097"/>
      <c r="E416" s="1097"/>
      <c r="F416" s="1097"/>
      <c r="G416" s="1097"/>
      <c r="H416" s="1097"/>
      <c r="I416" s="1097"/>
      <c r="J416" s="1097"/>
      <c r="K416" s="1097"/>
      <c r="L416" s="1097"/>
      <c r="M416" s="1097"/>
      <c r="N416" s="1097"/>
      <c r="O416" s="1097"/>
      <c r="P416" s="1097"/>
      <c r="Q416" s="1097"/>
      <c r="R416" s="1097"/>
      <c r="S416" s="1097"/>
      <c r="T416" s="1097"/>
    </row>
    <row r="417" spans="1:20">
      <c r="A417" s="837"/>
      <c r="B417" s="837"/>
      <c r="C417" s="837"/>
      <c r="D417" s="837"/>
      <c r="E417" s="837"/>
      <c r="F417" s="837"/>
      <c r="G417" s="837"/>
      <c r="H417" s="837"/>
      <c r="I417" s="837"/>
      <c r="J417" s="837"/>
      <c r="K417" s="837"/>
      <c r="L417" s="837"/>
      <c r="M417" s="837"/>
      <c r="N417" s="837"/>
      <c r="O417" s="837"/>
      <c r="P417" s="837"/>
      <c r="Q417" s="837"/>
      <c r="R417" s="837"/>
      <c r="S417" s="837"/>
      <c r="T417" s="837"/>
    </row>
    <row r="418" spans="1:20" ht="16.5">
      <c r="A418" s="1086"/>
      <c r="B418" s="1086"/>
      <c r="C418" s="1086"/>
      <c r="D418" s="875"/>
      <c r="E418" s="875"/>
      <c r="F418" s="875"/>
      <c r="G418" s="875"/>
      <c r="H418" s="875"/>
      <c r="I418" s="837"/>
      <c r="J418" s="1086"/>
      <c r="K418" s="1086"/>
      <c r="L418" s="1086"/>
      <c r="M418" s="1086"/>
      <c r="N418" s="1086"/>
      <c r="O418" s="1086"/>
      <c r="P418" s="1086"/>
      <c r="Q418" s="1086"/>
      <c r="R418" s="1086"/>
      <c r="S418" s="1086"/>
      <c r="T418" s="1086"/>
    </row>
    <row r="419" spans="1:20" ht="16.5">
      <c r="A419" s="875" t="s">
        <v>657</v>
      </c>
      <c r="B419" s="875" t="s">
        <v>956</v>
      </c>
      <c r="C419" s="1102"/>
      <c r="D419" s="875"/>
      <c r="E419" s="875"/>
      <c r="F419" s="875"/>
      <c r="G419" s="875"/>
      <c r="H419" s="875"/>
      <c r="I419" s="875"/>
      <c r="J419" s="1652" t="s">
        <v>285</v>
      </c>
      <c r="K419" s="1652"/>
      <c r="L419" s="876"/>
      <c r="M419" s="1656" t="s">
        <v>520</v>
      </c>
      <c r="N419" s="1656"/>
      <c r="O419" s="1102"/>
      <c r="P419" s="1652" t="s">
        <v>286</v>
      </c>
      <c r="Q419" s="1652"/>
      <c r="R419" s="1102"/>
      <c r="S419" s="1652" t="s">
        <v>287</v>
      </c>
      <c r="T419" s="1652"/>
    </row>
    <row r="420" spans="1:20">
      <c r="A420" s="1102"/>
      <c r="B420" s="1102"/>
      <c r="C420" s="1102"/>
      <c r="D420" s="1102"/>
      <c r="E420" s="1102"/>
      <c r="F420" s="1102"/>
      <c r="G420" s="1657" t="s">
        <v>104</v>
      </c>
      <c r="H420" s="1657"/>
      <c r="I420" s="1102"/>
      <c r="J420" s="1652"/>
      <c r="K420" s="1652"/>
      <c r="L420" s="876"/>
      <c r="M420" s="1656"/>
      <c r="N420" s="1656"/>
      <c r="O420" s="1102"/>
      <c r="P420" s="1652"/>
      <c r="Q420" s="1652"/>
      <c r="R420" s="1102"/>
      <c r="S420" s="1652"/>
      <c r="T420" s="1652"/>
    </row>
    <row r="421" spans="1:20">
      <c r="A421" s="1102"/>
      <c r="B421" s="837" t="s">
        <v>105</v>
      </c>
      <c r="C421" s="1102"/>
      <c r="D421" s="1102"/>
      <c r="E421" s="1102"/>
      <c r="F421" s="1102"/>
      <c r="G421" s="1102"/>
      <c r="H421" s="1102"/>
      <c r="I421" s="1102"/>
      <c r="J421" s="1102"/>
      <c r="K421" s="1102"/>
      <c r="L421" s="1102"/>
      <c r="M421" s="1102"/>
      <c r="N421" s="1102"/>
      <c r="O421" s="1086" t="str">
        <f>B421</f>
        <v>PRE-DEVELOPMENT COSTS</v>
      </c>
      <c r="P421" s="1102"/>
      <c r="Q421" s="1102"/>
      <c r="R421" s="1102"/>
      <c r="S421" s="1102"/>
      <c r="T421" s="1102"/>
    </row>
    <row r="422" spans="1:20">
      <c r="A422" s="1102"/>
      <c r="B422" s="1102" t="s">
        <v>2136</v>
      </c>
      <c r="C422" s="1102"/>
      <c r="D422" s="1102"/>
      <c r="E422" s="1102"/>
      <c r="F422" s="1102"/>
      <c r="G422" s="1649">
        <f>'Part IV-Uses of Funds'!G8</f>
        <v>10000</v>
      </c>
      <c r="H422" s="1649"/>
      <c r="I422" s="1102"/>
      <c r="J422" s="1649">
        <f>'Part IV-Uses of Funds'!J8</f>
        <v>0</v>
      </c>
      <c r="K422" s="1649"/>
      <c r="L422" s="1110"/>
      <c r="M422" s="1649">
        <f>'Part IV-Uses of Funds'!M8</f>
        <v>0</v>
      </c>
      <c r="N422" s="1649"/>
      <c r="O422" s="1102"/>
      <c r="P422" s="1649">
        <f>'Part IV-Uses of Funds'!P8</f>
        <v>10000</v>
      </c>
      <c r="Q422" s="1649"/>
      <c r="R422" s="1102"/>
      <c r="S422" s="1649">
        <f>'Part IV-Uses of Funds'!S8</f>
        <v>0</v>
      </c>
      <c r="T422" s="1649"/>
    </row>
    <row r="423" spans="1:20">
      <c r="A423" s="1102"/>
      <c r="B423" s="1102" t="s">
        <v>481</v>
      </c>
      <c r="C423" s="1102"/>
      <c r="D423" s="1102"/>
      <c r="E423" s="1102"/>
      <c r="F423" s="1102"/>
      <c r="G423" s="1649">
        <f>'Part IV-Uses of Funds'!G9</f>
        <v>7500</v>
      </c>
      <c r="H423" s="1649"/>
      <c r="I423" s="1102"/>
      <c r="J423" s="1649">
        <f>'Part IV-Uses of Funds'!J9</f>
        <v>0</v>
      </c>
      <c r="K423" s="1649"/>
      <c r="L423" s="1110"/>
      <c r="M423" s="1649">
        <f>'Part IV-Uses of Funds'!M9</f>
        <v>0</v>
      </c>
      <c r="N423" s="1649"/>
      <c r="O423" s="1102"/>
      <c r="P423" s="1649">
        <f>'Part IV-Uses of Funds'!P9</f>
        <v>7500</v>
      </c>
      <c r="Q423" s="1649"/>
      <c r="R423" s="1102"/>
      <c r="S423" s="1649">
        <f>'Part IV-Uses of Funds'!S9</f>
        <v>0</v>
      </c>
      <c r="T423" s="1649"/>
    </row>
    <row r="424" spans="1:20">
      <c r="A424" s="1102"/>
      <c r="B424" s="1102" t="s">
        <v>517</v>
      </c>
      <c r="C424" s="1102"/>
      <c r="D424" s="1102"/>
      <c r="E424" s="1102"/>
      <c r="F424" s="1102"/>
      <c r="G424" s="1649">
        <f>'Part IV-Uses of Funds'!G10</f>
        <v>15000</v>
      </c>
      <c r="H424" s="1649"/>
      <c r="I424" s="1102"/>
      <c r="J424" s="1649">
        <f>'Part IV-Uses of Funds'!J10</f>
        <v>0</v>
      </c>
      <c r="K424" s="1649"/>
      <c r="L424" s="1110"/>
      <c r="M424" s="1649">
        <f>'Part IV-Uses of Funds'!M10</f>
        <v>0</v>
      </c>
      <c r="N424" s="1649"/>
      <c r="O424" s="1102"/>
      <c r="P424" s="1649">
        <f>'Part IV-Uses of Funds'!P10</f>
        <v>15000</v>
      </c>
      <c r="Q424" s="1649"/>
      <c r="R424" s="1102"/>
      <c r="S424" s="1649">
        <f>'Part IV-Uses of Funds'!S10</f>
        <v>0</v>
      </c>
      <c r="T424" s="1649"/>
    </row>
    <row r="425" spans="1:20">
      <c r="A425" s="1102"/>
      <c r="B425" s="1102" t="s">
        <v>518</v>
      </c>
      <c r="C425" s="1102"/>
      <c r="D425" s="1102"/>
      <c r="E425" s="1102"/>
      <c r="F425" s="1102"/>
      <c r="G425" s="1649">
        <f>'Part IV-Uses of Funds'!G11</f>
        <v>0</v>
      </c>
      <c r="H425" s="1649"/>
      <c r="I425" s="1102"/>
      <c r="J425" s="1649">
        <f>'Part IV-Uses of Funds'!J11</f>
        <v>0</v>
      </c>
      <c r="K425" s="1649"/>
      <c r="L425" s="1110"/>
      <c r="M425" s="1649">
        <f>'Part IV-Uses of Funds'!M11</f>
        <v>0</v>
      </c>
      <c r="N425" s="1649"/>
      <c r="O425" s="1102"/>
      <c r="P425" s="1649">
        <f>'Part IV-Uses of Funds'!P11</f>
        <v>0</v>
      </c>
      <c r="Q425" s="1649"/>
      <c r="R425" s="1102"/>
      <c r="S425" s="1649">
        <f>'Part IV-Uses of Funds'!S11</f>
        <v>0</v>
      </c>
      <c r="T425" s="1649"/>
    </row>
    <row r="426" spans="1:20">
      <c r="A426" s="1102"/>
      <c r="B426" s="1102" t="s">
        <v>2668</v>
      </c>
      <c r="C426" s="1102"/>
      <c r="D426" s="1102"/>
      <c r="E426" s="1102"/>
      <c r="F426" s="1102"/>
      <c r="G426" s="1649">
        <f>'Part IV-Uses of Funds'!G12</f>
        <v>22000</v>
      </c>
      <c r="H426" s="1649"/>
      <c r="I426" s="1102"/>
      <c r="J426" s="1649">
        <f>'Part IV-Uses of Funds'!J12</f>
        <v>0</v>
      </c>
      <c r="K426" s="1649"/>
      <c r="L426" s="1110"/>
      <c r="M426" s="1649">
        <f>'Part IV-Uses of Funds'!M12</f>
        <v>0</v>
      </c>
      <c r="N426" s="1649"/>
      <c r="O426" s="1102"/>
      <c r="P426" s="1649">
        <f>'Part IV-Uses of Funds'!P12</f>
        <v>22000</v>
      </c>
      <c r="Q426" s="1649"/>
      <c r="R426" s="1102"/>
      <c r="S426" s="1649">
        <f>'Part IV-Uses of Funds'!S12</f>
        <v>0</v>
      </c>
      <c r="T426" s="1649"/>
    </row>
    <row r="427" spans="1:20">
      <c r="A427" s="1102"/>
      <c r="B427" s="1102" t="s">
        <v>198</v>
      </c>
      <c r="C427" s="1102"/>
      <c r="D427" s="1102"/>
      <c r="E427" s="1102"/>
      <c r="F427" s="1102"/>
      <c r="G427" s="1649">
        <f>'Part IV-Uses of Funds'!G13</f>
        <v>0</v>
      </c>
      <c r="H427" s="1649"/>
      <c r="I427" s="1102"/>
      <c r="J427" s="1649">
        <f>'Part IV-Uses of Funds'!J13</f>
        <v>0</v>
      </c>
      <c r="K427" s="1649"/>
      <c r="L427" s="1110"/>
      <c r="M427" s="1649">
        <f>'Part IV-Uses of Funds'!M13</f>
        <v>0</v>
      </c>
      <c r="N427" s="1649"/>
      <c r="O427" s="1102"/>
      <c r="P427" s="1649">
        <f>'Part IV-Uses of Funds'!P13</f>
        <v>0</v>
      </c>
      <c r="Q427" s="1649"/>
      <c r="R427" s="1102"/>
      <c r="S427" s="1649">
        <f>'Part IV-Uses of Funds'!S13</f>
        <v>0</v>
      </c>
      <c r="T427" s="1649"/>
    </row>
    <row r="428" spans="1:20" ht="12.75" customHeight="1">
      <c r="A428" s="877" t="str">
        <f>IF(AND(G428&gt;0,OR(C428="",C428="&lt;Enter detailed description here; use Comments section if needed&gt;")),"X","")</f>
        <v/>
      </c>
      <c r="B428" s="1102" t="s">
        <v>791</v>
      </c>
      <c r="C428" s="1650" t="str">
        <f>'Part IV-Uses of Funds'!C14</f>
        <v>Capital Needs Assessment</v>
      </c>
      <c r="D428" s="1650"/>
      <c r="E428" s="1650"/>
      <c r="F428" s="1650"/>
      <c r="G428" s="1649">
        <f>'Part IV-Uses of Funds'!G14</f>
        <v>20000</v>
      </c>
      <c r="H428" s="1649"/>
      <c r="I428" s="1102"/>
      <c r="J428" s="1649">
        <f>'Part IV-Uses of Funds'!J14</f>
        <v>0</v>
      </c>
      <c r="K428" s="1649"/>
      <c r="L428" s="1110"/>
      <c r="M428" s="1649">
        <f>'Part IV-Uses of Funds'!M14</f>
        <v>0</v>
      </c>
      <c r="N428" s="1649"/>
      <c r="O428" s="1102"/>
      <c r="P428" s="1649">
        <f>'Part IV-Uses of Funds'!P14</f>
        <v>20000</v>
      </c>
      <c r="Q428" s="1649"/>
      <c r="R428" s="1102"/>
      <c r="S428" s="1649">
        <f>'Part IV-Uses of Funds'!S14</f>
        <v>0</v>
      </c>
      <c r="T428" s="1649"/>
    </row>
    <row r="429" spans="1:20" ht="12.75" customHeight="1">
      <c r="A429" s="877" t="str">
        <f>IF(AND(G429&gt;0,OR(C429="",C429="&lt;Enter detailed description here; use Comments section if needed&gt;")),"X","")</f>
        <v/>
      </c>
      <c r="B429" s="1102" t="s">
        <v>791</v>
      </c>
      <c r="C429" s="1650" t="str">
        <f>'Part IV-Uses of Funds'!C15</f>
        <v>&lt;Enter detailed description here; use Comments section if needed&gt;</v>
      </c>
      <c r="D429" s="1650"/>
      <c r="E429" s="1650"/>
      <c r="F429" s="1650"/>
      <c r="G429" s="1649">
        <f>'Part IV-Uses of Funds'!G15</f>
        <v>0</v>
      </c>
      <c r="H429" s="1649"/>
      <c r="I429" s="1102"/>
      <c r="J429" s="1649">
        <f>'Part IV-Uses of Funds'!J15</f>
        <v>0</v>
      </c>
      <c r="K429" s="1649"/>
      <c r="L429" s="1110"/>
      <c r="M429" s="1649">
        <f>'Part IV-Uses of Funds'!M15</f>
        <v>0</v>
      </c>
      <c r="N429" s="1649"/>
      <c r="O429" s="1102"/>
      <c r="P429" s="1649">
        <f>'Part IV-Uses of Funds'!P15</f>
        <v>0</v>
      </c>
      <c r="Q429" s="1649"/>
      <c r="R429" s="1102"/>
      <c r="S429" s="1649">
        <f>'Part IV-Uses of Funds'!S15</f>
        <v>0</v>
      </c>
      <c r="T429" s="1649"/>
    </row>
    <row r="430" spans="1:20" ht="12.75" customHeight="1">
      <c r="A430" s="877" t="str">
        <f>IF(AND(G430&gt;0,OR(C430="",C430="&lt;Enter detailed description here; use Comments section if needed&gt;")),"X","")</f>
        <v/>
      </c>
      <c r="B430" s="1102" t="s">
        <v>791</v>
      </c>
      <c r="C430" s="1650" t="str">
        <f>'Part IV-Uses of Funds'!C16</f>
        <v>&lt;Enter detailed description here; use Comments section if needed&gt;</v>
      </c>
      <c r="D430" s="1650"/>
      <c r="E430" s="1650"/>
      <c r="F430" s="1650"/>
      <c r="G430" s="1649">
        <f>'Part IV-Uses of Funds'!G16</f>
        <v>0</v>
      </c>
      <c r="H430" s="1649"/>
      <c r="I430" s="1102"/>
      <c r="J430" s="1649">
        <f>'Part IV-Uses of Funds'!J16</f>
        <v>0</v>
      </c>
      <c r="K430" s="1649"/>
      <c r="L430" s="1110"/>
      <c r="M430" s="1649">
        <f>'Part IV-Uses of Funds'!M16</f>
        <v>0</v>
      </c>
      <c r="N430" s="1649"/>
      <c r="O430" s="1102"/>
      <c r="P430" s="1649">
        <f>'Part IV-Uses of Funds'!P16</f>
        <v>0</v>
      </c>
      <c r="Q430" s="1649"/>
      <c r="R430" s="1102"/>
      <c r="S430" s="1649">
        <f>'Part IV-Uses of Funds'!S16</f>
        <v>0</v>
      </c>
      <c r="T430" s="1649"/>
    </row>
    <row r="431" spans="1:20">
      <c r="A431" s="1102"/>
      <c r="B431" s="1102"/>
      <c r="C431" s="1102"/>
      <c r="D431" s="1102"/>
      <c r="E431" s="1102"/>
      <c r="F431" s="878" t="s">
        <v>199</v>
      </c>
      <c r="G431" s="1649">
        <f>SUM(G422:H430)</f>
        <v>74500</v>
      </c>
      <c r="H431" s="1649"/>
      <c r="I431" s="1102"/>
      <c r="J431" s="1649">
        <f>SUM(J422:K430)</f>
        <v>0</v>
      </c>
      <c r="K431" s="1663"/>
      <c r="L431" s="1110"/>
      <c r="M431" s="1649">
        <f>SUM(M422:N430)</f>
        <v>0</v>
      </c>
      <c r="N431" s="1649"/>
      <c r="O431" s="1102"/>
      <c r="P431" s="1649">
        <f>SUM(P422:Q430)</f>
        <v>74500</v>
      </c>
      <c r="Q431" s="1649"/>
      <c r="R431" s="1102"/>
      <c r="S431" s="1649">
        <f>SUM(S422:T430)</f>
        <v>0</v>
      </c>
      <c r="T431" s="1649"/>
    </row>
    <row r="432" spans="1:20">
      <c r="A432" s="1102"/>
      <c r="B432" s="837" t="s">
        <v>2337</v>
      </c>
      <c r="C432" s="1102"/>
      <c r="D432" s="1102"/>
      <c r="E432" s="1102"/>
      <c r="F432" s="1102"/>
      <c r="G432" s="1102"/>
      <c r="H432" s="1102"/>
      <c r="I432" s="1102"/>
      <c r="J432" s="876"/>
      <c r="K432" s="876"/>
      <c r="L432" s="1102"/>
      <c r="M432" s="876"/>
      <c r="N432" s="876"/>
      <c r="O432" s="1111" t="str">
        <f>B432</f>
        <v>ACQUISITION</v>
      </c>
      <c r="P432" s="876"/>
      <c r="Q432" s="876"/>
      <c r="R432" s="1102"/>
      <c r="S432" s="876"/>
      <c r="T432" s="876"/>
    </row>
    <row r="433" spans="1:20">
      <c r="A433" s="1102"/>
      <c r="B433" s="1102" t="s">
        <v>2338</v>
      </c>
      <c r="C433" s="1102"/>
      <c r="D433" s="1102"/>
      <c r="E433" s="1102"/>
      <c r="F433" s="1102"/>
      <c r="G433" s="1649">
        <f>'Part IV-Uses of Funds'!G19</f>
        <v>1000</v>
      </c>
      <c r="H433" s="1649"/>
      <c r="I433" s="1102"/>
      <c r="J433" s="1110"/>
      <c r="K433" s="876"/>
      <c r="L433" s="1110"/>
      <c r="M433" s="1110"/>
      <c r="N433" s="876"/>
      <c r="O433" s="1102"/>
      <c r="P433" s="1110"/>
      <c r="Q433" s="876"/>
      <c r="R433" s="1102"/>
      <c r="S433" s="1649">
        <f>'Part IV-Uses of Funds'!S19</f>
        <v>1000</v>
      </c>
      <c r="T433" s="1649"/>
    </row>
    <row r="434" spans="1:20">
      <c r="A434" s="1102"/>
      <c r="B434" s="1102" t="s">
        <v>1184</v>
      </c>
      <c r="C434" s="1102"/>
      <c r="D434" s="1102"/>
      <c r="E434" s="1102"/>
      <c r="F434" s="1102"/>
      <c r="G434" s="1649">
        <f>'Part IV-Uses of Funds'!G20</f>
        <v>0</v>
      </c>
      <c r="H434" s="1649"/>
      <c r="I434" s="1102"/>
      <c r="J434" s="1110"/>
      <c r="K434" s="876"/>
      <c r="L434" s="1110"/>
      <c r="M434" s="1110"/>
      <c r="N434" s="876"/>
      <c r="O434" s="1102"/>
      <c r="P434" s="1110"/>
      <c r="Q434" s="876"/>
      <c r="R434" s="1102"/>
      <c r="S434" s="1649">
        <f>'Part IV-Uses of Funds'!S20</f>
        <v>0</v>
      </c>
      <c r="T434" s="1649"/>
    </row>
    <row r="435" spans="1:20">
      <c r="A435" s="1102"/>
      <c r="B435" s="1102" t="s">
        <v>482</v>
      </c>
      <c r="C435" s="1102"/>
      <c r="D435" s="1102"/>
      <c r="E435" s="1102"/>
      <c r="F435" s="1102"/>
      <c r="G435" s="1649">
        <f>'Part IV-Uses of Funds'!G21</f>
        <v>0</v>
      </c>
      <c r="H435" s="1649"/>
      <c r="I435" s="1102"/>
      <c r="J435" s="1110"/>
      <c r="K435" s="876"/>
      <c r="L435" s="1110"/>
      <c r="M435" s="1649">
        <f>'Part IV-Uses of Funds'!M21</f>
        <v>0</v>
      </c>
      <c r="N435" s="1649"/>
      <c r="O435" s="1102"/>
      <c r="P435" s="1110"/>
      <c r="Q435" s="876"/>
      <c r="R435" s="1102"/>
      <c r="S435" s="1649">
        <f>'Part IV-Uses of Funds'!S21</f>
        <v>0</v>
      </c>
      <c r="T435" s="1649"/>
    </row>
    <row r="436" spans="1:20">
      <c r="A436" s="1102"/>
      <c r="B436" s="1102" t="s">
        <v>451</v>
      </c>
      <c r="C436" s="1102"/>
      <c r="D436" s="1102"/>
      <c r="E436" s="1102"/>
      <c r="F436" s="1102"/>
      <c r="G436" s="1649">
        <f>'Part IV-Uses of Funds'!G22</f>
        <v>1347093</v>
      </c>
      <c r="H436" s="1649"/>
      <c r="I436" s="1102"/>
      <c r="J436" s="1110"/>
      <c r="K436" s="876"/>
      <c r="L436" s="1110"/>
      <c r="M436" s="1649">
        <f>'Part IV-Uses of Funds'!M22</f>
        <v>1347093</v>
      </c>
      <c r="N436" s="1649"/>
      <c r="O436" s="1102"/>
      <c r="P436" s="1110"/>
      <c r="Q436" s="876"/>
      <c r="R436" s="1102"/>
      <c r="S436" s="1649">
        <f>'Part IV-Uses of Funds'!S22</f>
        <v>0</v>
      </c>
      <c r="T436" s="1649"/>
    </row>
    <row r="437" spans="1:20">
      <c r="A437" s="1102"/>
      <c r="B437" s="1102"/>
      <c r="C437" s="1102"/>
      <c r="D437" s="1102"/>
      <c r="E437" s="1102"/>
      <c r="F437" s="878" t="s">
        <v>199</v>
      </c>
      <c r="G437" s="1649">
        <f>SUM(G433:H436)</f>
        <v>1348093</v>
      </c>
      <c r="H437" s="1649"/>
      <c r="I437" s="1102"/>
      <c r="J437" s="1110"/>
      <c r="K437" s="876"/>
      <c r="L437" s="1110"/>
      <c r="M437" s="1649">
        <f>SUM(M435:N436)</f>
        <v>1347093</v>
      </c>
      <c r="N437" s="1649"/>
      <c r="O437" s="1102"/>
      <c r="P437" s="1110"/>
      <c r="Q437" s="876"/>
      <c r="R437" s="1102"/>
      <c r="S437" s="1649">
        <f>SUM(S433:T436)</f>
        <v>1000</v>
      </c>
      <c r="T437" s="1649"/>
    </row>
    <row r="438" spans="1:20">
      <c r="A438" s="1102"/>
      <c r="B438" s="837" t="s">
        <v>1185</v>
      </c>
      <c r="C438" s="1102"/>
      <c r="D438" s="1102"/>
      <c r="E438" s="1102"/>
      <c r="F438" s="1102"/>
      <c r="G438" s="1102"/>
      <c r="H438" s="1102"/>
      <c r="I438" s="1102"/>
      <c r="J438" s="1110"/>
      <c r="K438" s="876"/>
      <c r="L438" s="1102"/>
      <c r="M438" s="1110"/>
      <c r="N438" s="876"/>
      <c r="O438" s="1111" t="str">
        <f>B438</f>
        <v>LAND IMPROVEMENTS</v>
      </c>
      <c r="P438" s="1110"/>
      <c r="Q438" s="876"/>
      <c r="R438" s="1102"/>
      <c r="S438" s="1110"/>
      <c r="T438" s="876"/>
    </row>
    <row r="439" spans="1:20">
      <c r="A439" s="1102"/>
      <c r="B439" s="1102" t="s">
        <v>1186</v>
      </c>
      <c r="C439" s="1102"/>
      <c r="D439" s="1102"/>
      <c r="E439" s="1102"/>
      <c r="F439" s="1102"/>
      <c r="G439" s="1649">
        <f>'Part IV-Uses of Funds'!G25</f>
        <v>758990</v>
      </c>
      <c r="H439" s="1649"/>
      <c r="I439" s="1102"/>
      <c r="J439" s="1649">
        <f>'Part IV-Uses of Funds'!J25</f>
        <v>0</v>
      </c>
      <c r="K439" s="1649"/>
      <c r="L439" s="1110"/>
      <c r="M439" s="1649">
        <f>'Part IV-Uses of Funds'!M25</f>
        <v>0</v>
      </c>
      <c r="N439" s="1649"/>
      <c r="O439" s="1102"/>
      <c r="P439" s="1649">
        <f>'Part IV-Uses of Funds'!P25</f>
        <v>758990</v>
      </c>
      <c r="Q439" s="1649"/>
      <c r="R439" s="1102"/>
      <c r="S439" s="1649">
        <f>'Part IV-Uses of Funds'!S25</f>
        <v>0</v>
      </c>
      <c r="T439" s="1649"/>
    </row>
    <row r="440" spans="1:20">
      <c r="A440" s="1102"/>
      <c r="B440" s="1102" t="s">
        <v>1187</v>
      </c>
      <c r="C440" s="1102"/>
      <c r="D440" s="1102"/>
      <c r="E440" s="1102"/>
      <c r="F440" s="1102"/>
      <c r="G440" s="1649">
        <f>'Part IV-Uses of Funds'!G26</f>
        <v>0</v>
      </c>
      <c r="H440" s="1649"/>
      <c r="I440" s="1102"/>
      <c r="J440" s="1649">
        <f>'Part IV-Uses of Funds'!J26</f>
        <v>0</v>
      </c>
      <c r="K440" s="1649"/>
      <c r="L440" s="879"/>
      <c r="M440" s="1649"/>
      <c r="N440" s="1649"/>
      <c r="O440" s="1102"/>
      <c r="P440" s="1649"/>
      <c r="Q440" s="1649"/>
      <c r="R440" s="1102"/>
      <c r="S440" s="1649">
        <f>'Part IV-Uses of Funds'!S26</f>
        <v>0</v>
      </c>
      <c r="T440" s="1649"/>
    </row>
    <row r="441" spans="1:20">
      <c r="A441" s="1102"/>
      <c r="B441" s="1102"/>
      <c r="C441" s="1102"/>
      <c r="D441" s="1102"/>
      <c r="E441" s="1102"/>
      <c r="F441" s="878" t="s">
        <v>199</v>
      </c>
      <c r="G441" s="1649">
        <f>SUM(G439:H440)</f>
        <v>758990</v>
      </c>
      <c r="H441" s="1649"/>
      <c r="I441" s="1102"/>
      <c r="J441" s="1649">
        <f>SUM(J439:K440)</f>
        <v>0</v>
      </c>
      <c r="K441" s="1649"/>
      <c r="L441" s="1110"/>
      <c r="M441" s="1649">
        <f>M439</f>
        <v>0</v>
      </c>
      <c r="N441" s="1649"/>
      <c r="O441" s="1102"/>
      <c r="P441" s="1649">
        <f>P439</f>
        <v>758990</v>
      </c>
      <c r="Q441" s="1649"/>
      <c r="R441" s="1102"/>
      <c r="S441" s="1649">
        <f>SUM(S439:T440)</f>
        <v>0</v>
      </c>
      <c r="T441" s="1649"/>
    </row>
    <row r="442" spans="1:20">
      <c r="A442" s="1102"/>
      <c r="B442" s="837" t="s">
        <v>1188</v>
      </c>
      <c r="C442" s="1102"/>
      <c r="D442" s="1102"/>
      <c r="E442" s="1102"/>
      <c r="F442" s="1102"/>
      <c r="G442" s="1102"/>
      <c r="H442" s="1102"/>
      <c r="I442" s="1102"/>
      <c r="J442" s="1110"/>
      <c r="K442" s="876"/>
      <c r="L442" s="1102"/>
      <c r="M442" s="1110"/>
      <c r="N442" s="876"/>
      <c r="O442" s="1111" t="str">
        <f>B442</f>
        <v>STRUCTURES</v>
      </c>
      <c r="P442" s="1110"/>
      <c r="Q442" s="876"/>
      <c r="R442" s="1102"/>
      <c r="S442" s="1110"/>
      <c r="T442" s="876"/>
    </row>
    <row r="443" spans="1:20">
      <c r="A443" s="1102"/>
      <c r="B443" s="1102" t="s">
        <v>1189</v>
      </c>
      <c r="C443" s="1102"/>
      <c r="D443" s="1102"/>
      <c r="E443" s="1102"/>
      <c r="F443" s="1102"/>
      <c r="G443" s="1649">
        <f>'Part IV-Uses of Funds'!G29</f>
        <v>0</v>
      </c>
      <c r="H443" s="1649"/>
      <c r="I443" s="1102"/>
      <c r="J443" s="1649">
        <f>'Part IV-Uses of Funds'!J29</f>
        <v>0</v>
      </c>
      <c r="K443" s="1649"/>
      <c r="L443" s="1110"/>
      <c r="M443" s="1649">
        <f>'Part IV-Uses of Funds'!M29</f>
        <v>0</v>
      </c>
      <c r="N443" s="1649"/>
      <c r="O443" s="1102"/>
      <c r="P443" s="1649">
        <f>'Part IV-Uses of Funds'!P29</f>
        <v>0</v>
      </c>
      <c r="Q443" s="1649"/>
      <c r="R443" s="1102"/>
      <c r="S443" s="1649">
        <f>'Part IV-Uses of Funds'!S29</f>
        <v>0</v>
      </c>
      <c r="T443" s="1649"/>
    </row>
    <row r="444" spans="1:20">
      <c r="A444" s="1102"/>
      <c r="B444" s="1102" t="s">
        <v>1190</v>
      </c>
      <c r="C444" s="1102"/>
      <c r="D444" s="1102"/>
      <c r="E444" s="1102"/>
      <c r="F444" s="1102"/>
      <c r="G444" s="1649">
        <f>'Part IV-Uses of Funds'!G30</f>
        <v>4723910</v>
      </c>
      <c r="H444" s="1649"/>
      <c r="I444" s="1102"/>
      <c r="J444" s="1649">
        <f>'Part IV-Uses of Funds'!J30</f>
        <v>0</v>
      </c>
      <c r="K444" s="1649"/>
      <c r="L444" s="1110"/>
      <c r="M444" s="1649">
        <f>'Part IV-Uses of Funds'!M30</f>
        <v>0</v>
      </c>
      <c r="N444" s="1649"/>
      <c r="O444" s="1102"/>
      <c r="P444" s="1649">
        <f>'Part IV-Uses of Funds'!P30</f>
        <v>4723910</v>
      </c>
      <c r="Q444" s="1649"/>
      <c r="R444" s="1102"/>
      <c r="S444" s="1649">
        <f>'Part IV-Uses of Funds'!S30</f>
        <v>0</v>
      </c>
      <c r="T444" s="1649"/>
    </row>
    <row r="445" spans="1:20">
      <c r="A445" s="1102"/>
      <c r="B445" s="1102" t="s">
        <v>3230</v>
      </c>
      <c r="C445" s="1102"/>
      <c r="D445" s="1102"/>
      <c r="E445" s="1102"/>
      <c r="F445" s="1102"/>
      <c r="G445" s="1649">
        <f>'Part IV-Uses of Funds'!G31</f>
        <v>100000</v>
      </c>
      <c r="H445" s="1649"/>
      <c r="I445" s="1102"/>
      <c r="J445" s="1649">
        <f>'Part IV-Uses of Funds'!J31</f>
        <v>0</v>
      </c>
      <c r="K445" s="1649"/>
      <c r="L445" s="1110"/>
      <c r="M445" s="1649">
        <f>'Part IV-Uses of Funds'!M31</f>
        <v>0</v>
      </c>
      <c r="N445" s="1649"/>
      <c r="O445" s="1102"/>
      <c r="P445" s="1649">
        <f>'Part IV-Uses of Funds'!P31</f>
        <v>100000</v>
      </c>
      <c r="Q445" s="1649"/>
      <c r="R445" s="1102"/>
      <c r="S445" s="1649">
        <f>'Part IV-Uses of Funds'!S31</f>
        <v>0</v>
      </c>
      <c r="T445" s="1649"/>
    </row>
    <row r="446" spans="1:20">
      <c r="A446" s="1097"/>
      <c r="B446" s="1102" t="s">
        <v>3229</v>
      </c>
      <c r="C446" s="1097"/>
      <c r="D446" s="1097"/>
      <c r="E446" s="1097"/>
      <c r="F446" s="1097"/>
      <c r="G446" s="1649">
        <f>'Part IV-Uses of Funds'!G32</f>
        <v>0</v>
      </c>
      <c r="H446" s="1649"/>
      <c r="I446" s="1102"/>
      <c r="J446" s="1649">
        <f>'Part IV-Uses of Funds'!J32</f>
        <v>0</v>
      </c>
      <c r="K446" s="1649"/>
      <c r="L446" s="1110"/>
      <c r="M446" s="1649">
        <f>'Part IV-Uses of Funds'!M32</f>
        <v>0</v>
      </c>
      <c r="N446" s="1649"/>
      <c r="O446" s="1102"/>
      <c r="P446" s="1649">
        <f>'Part IV-Uses of Funds'!P32</f>
        <v>0</v>
      </c>
      <c r="Q446" s="1649"/>
      <c r="R446" s="1102"/>
      <c r="S446" s="1649">
        <f>'Part IV-Uses of Funds'!S32</f>
        <v>0</v>
      </c>
      <c r="T446" s="1649"/>
    </row>
    <row r="447" spans="1:20">
      <c r="A447" s="1102"/>
      <c r="B447" s="1102"/>
      <c r="C447" s="1662"/>
      <c r="D447" s="1662"/>
      <c r="E447" s="1108"/>
      <c r="F447" s="878" t="s">
        <v>199</v>
      </c>
      <c r="G447" s="1649">
        <f>SUM(G443:H446)</f>
        <v>4823910</v>
      </c>
      <c r="H447" s="1649"/>
      <c r="I447" s="1102"/>
      <c r="J447" s="1649">
        <f>SUM(J443:K446)</f>
        <v>0</v>
      </c>
      <c r="K447" s="1649"/>
      <c r="L447" s="1110"/>
      <c r="M447" s="1649">
        <f>SUM(M443:N446)</f>
        <v>0</v>
      </c>
      <c r="N447" s="1649"/>
      <c r="O447" s="1102"/>
      <c r="P447" s="1649">
        <f>SUM(P443:Q446)</f>
        <v>4823910</v>
      </c>
      <c r="Q447" s="1649"/>
      <c r="R447" s="1102"/>
      <c r="S447" s="1649">
        <f>SUM(S443:T446)</f>
        <v>0</v>
      </c>
      <c r="T447" s="1649"/>
    </row>
    <row r="448" spans="1:20">
      <c r="A448" s="1102"/>
      <c r="B448" s="837" t="s">
        <v>2494</v>
      </c>
      <c r="C448" s="1102"/>
      <c r="D448" s="1102"/>
      <c r="E448" s="1114">
        <f>SUM(E449:E451)</f>
        <v>0.14000000000000001</v>
      </c>
      <c r="F448" s="1102"/>
      <c r="G448" s="837"/>
      <c r="H448" s="1097"/>
      <c r="I448" s="1097"/>
      <c r="J448" s="1110"/>
      <c r="K448" s="876"/>
      <c r="L448" s="1102"/>
      <c r="M448" s="1110"/>
      <c r="N448" s="876"/>
      <c r="O448" s="1111" t="str">
        <f>B448</f>
        <v>CONTRACTOR SERVICES</v>
      </c>
      <c r="P448" s="1110"/>
      <c r="Q448" s="876"/>
      <c r="R448" s="1102"/>
      <c r="S448" s="1110"/>
      <c r="T448" s="876"/>
    </row>
    <row r="449" spans="1:20">
      <c r="A449" s="1102"/>
      <c r="B449" s="1102" t="s">
        <v>2495</v>
      </c>
      <c r="C449" s="1102"/>
      <c r="D449" s="1102"/>
      <c r="E449" s="880">
        <f>'Part IV-Uses of Funds'!E35</f>
        <v>0.06</v>
      </c>
      <c r="F449" s="881">
        <f>'Part IV-Uses of Funds'!F35</f>
        <v>334974</v>
      </c>
      <c r="G449" s="1649">
        <f>'Part IV-Uses of Funds'!G35</f>
        <v>334974</v>
      </c>
      <c r="H449" s="1649"/>
      <c r="I449" s="1097"/>
      <c r="J449" s="1649">
        <f>'Part IV-Uses of Funds'!J35</f>
        <v>0</v>
      </c>
      <c r="K449" s="1649"/>
      <c r="L449" s="1110"/>
      <c r="M449" s="1649">
        <f>'Part IV-Uses of Funds'!M35</f>
        <v>0</v>
      </c>
      <c r="N449" s="1649"/>
      <c r="O449" s="1102"/>
      <c r="P449" s="1649">
        <f>'Part IV-Uses of Funds'!P35</f>
        <v>334974</v>
      </c>
      <c r="Q449" s="1649"/>
      <c r="R449" s="1102"/>
      <c r="S449" s="1649">
        <f>'Part IV-Uses of Funds'!S35</f>
        <v>0</v>
      </c>
      <c r="T449" s="1649"/>
    </row>
    <row r="450" spans="1:20">
      <c r="A450" s="1102"/>
      <c r="B450" s="1102" t="s">
        <v>3007</v>
      </c>
      <c r="C450" s="1102"/>
      <c r="D450" s="1102"/>
      <c r="E450" s="880">
        <f>'Part IV-Uses of Funds'!E36</f>
        <v>0.02</v>
      </c>
      <c r="F450" s="881">
        <f>'Part IV-Uses of Funds'!F36</f>
        <v>111658</v>
      </c>
      <c r="G450" s="1649">
        <f>'Part IV-Uses of Funds'!G36</f>
        <v>111658</v>
      </c>
      <c r="H450" s="1649"/>
      <c r="I450" s="1097"/>
      <c r="J450" s="1649">
        <f>'Part IV-Uses of Funds'!J36</f>
        <v>0</v>
      </c>
      <c r="K450" s="1649"/>
      <c r="L450" s="1110"/>
      <c r="M450" s="1649">
        <f>'Part IV-Uses of Funds'!M36</f>
        <v>0</v>
      </c>
      <c r="N450" s="1649"/>
      <c r="O450" s="1102"/>
      <c r="P450" s="1649">
        <f>'Part IV-Uses of Funds'!P36</f>
        <v>111658</v>
      </c>
      <c r="Q450" s="1649"/>
      <c r="R450" s="1102"/>
      <c r="S450" s="1649">
        <f>'Part IV-Uses of Funds'!S36</f>
        <v>0</v>
      </c>
      <c r="T450" s="1649"/>
    </row>
    <row r="451" spans="1:20">
      <c r="A451" s="1102"/>
      <c r="B451" s="1102" t="s">
        <v>3008</v>
      </c>
      <c r="C451" s="1102"/>
      <c r="D451" s="1102"/>
      <c r="E451" s="880">
        <f>'Part IV-Uses of Funds'!E37</f>
        <v>0.06</v>
      </c>
      <c r="F451" s="881">
        <f>'Part IV-Uses of Funds'!F37</f>
        <v>334974</v>
      </c>
      <c r="G451" s="1649">
        <f>'Part IV-Uses of Funds'!G37</f>
        <v>334974</v>
      </c>
      <c r="H451" s="1649"/>
      <c r="I451" s="1097"/>
      <c r="J451" s="1649">
        <f>'Part IV-Uses of Funds'!J37</f>
        <v>0</v>
      </c>
      <c r="K451" s="1649"/>
      <c r="L451" s="1110"/>
      <c r="M451" s="1649">
        <f>'Part IV-Uses of Funds'!M37</f>
        <v>0</v>
      </c>
      <c r="N451" s="1649"/>
      <c r="O451" s="1102"/>
      <c r="P451" s="1649">
        <f>'Part IV-Uses of Funds'!P37</f>
        <v>334974</v>
      </c>
      <c r="Q451" s="1649"/>
      <c r="R451" s="1102"/>
      <c r="S451" s="1649">
        <f>'Part IV-Uses of Funds'!S37</f>
        <v>0</v>
      </c>
      <c r="T451" s="1649"/>
    </row>
    <row r="452" spans="1:20">
      <c r="A452" s="1102"/>
      <c r="B452" s="1102" t="s">
        <v>2177</v>
      </c>
      <c r="C452" s="1102"/>
      <c r="D452" s="882"/>
      <c r="E452" s="1102"/>
      <c r="F452" s="878" t="s">
        <v>199</v>
      </c>
      <c r="G452" s="1649">
        <f>SUM(G449:H451)</f>
        <v>781606</v>
      </c>
      <c r="H452" s="1649"/>
      <c r="I452" s="1102"/>
      <c r="J452" s="1649">
        <f>SUM(J449:K451)</f>
        <v>0</v>
      </c>
      <c r="K452" s="1649"/>
      <c r="L452" s="1110"/>
      <c r="M452" s="1649">
        <f>SUM(M449:N451)</f>
        <v>0</v>
      </c>
      <c r="N452" s="1649"/>
      <c r="O452" s="1102"/>
      <c r="P452" s="1649">
        <f>SUM(P449:Q451)</f>
        <v>781606</v>
      </c>
      <c r="Q452" s="1649"/>
      <c r="R452" s="1102"/>
      <c r="S452" s="1649">
        <f>SUM(S449:T451)</f>
        <v>0</v>
      </c>
      <c r="T452" s="1649"/>
    </row>
    <row r="453" spans="1:20">
      <c r="A453" s="1086"/>
      <c r="B453" s="1086"/>
      <c r="C453" s="1086"/>
      <c r="D453" s="1086"/>
      <c r="E453" s="1086"/>
      <c r="F453" s="1086"/>
      <c r="G453" s="1086"/>
      <c r="H453" s="1086"/>
      <c r="I453" s="1086"/>
      <c r="J453" s="1086"/>
      <c r="K453" s="1086"/>
      <c r="L453" s="1086"/>
      <c r="M453" s="1086"/>
      <c r="N453" s="1086"/>
      <c r="O453" s="1086"/>
      <c r="P453" s="1086"/>
      <c r="Q453" s="1086"/>
      <c r="R453" s="1086"/>
      <c r="S453" s="1086"/>
      <c r="T453" s="1086"/>
    </row>
    <row r="454" spans="1:20">
      <c r="A454" s="1102"/>
      <c r="B454" s="837" t="s">
        <v>3657</v>
      </c>
      <c r="C454" s="1102"/>
      <c r="D454" s="1102"/>
      <c r="E454" s="1102"/>
      <c r="F454" s="1102"/>
      <c r="G454" s="1102"/>
      <c r="H454" s="1102"/>
      <c r="I454" s="1102"/>
      <c r="J454" s="1110"/>
      <c r="K454" s="876"/>
      <c r="L454" s="1102"/>
      <c r="M454" s="1110"/>
      <c r="N454" s="876"/>
      <c r="O454" s="1111" t="str">
        <f>B454</f>
        <v>OTHER CONSTRUCTION HARD COSTS (Non-GC work scope items done by Owner)</v>
      </c>
      <c r="P454" s="1110"/>
      <c r="Q454" s="876"/>
      <c r="R454" s="1102"/>
      <c r="S454" s="1110"/>
      <c r="T454" s="876"/>
    </row>
    <row r="455" spans="1:20">
      <c r="A455" s="1097"/>
      <c r="B455" s="1102" t="s">
        <v>791</v>
      </c>
      <c r="C455" s="1650" t="str">
        <f>'Part IV-Uses of Funds'!C41</f>
        <v>&lt;Enter detailed description here; use Comments section if needed&gt;</v>
      </c>
      <c r="D455" s="1650"/>
      <c r="E455" s="1650"/>
      <c r="F455" s="1650"/>
      <c r="G455" s="1649">
        <f>'Part IV-Uses of Funds'!G41</f>
        <v>0</v>
      </c>
      <c r="H455" s="1649"/>
      <c r="I455" s="1102"/>
      <c r="J455" s="1649">
        <f>'Part IV-Uses of Funds'!J41</f>
        <v>0</v>
      </c>
      <c r="K455" s="1649"/>
      <c r="L455" s="1110"/>
      <c r="M455" s="1649">
        <f>'Part IV-Uses of Funds'!M41</f>
        <v>0</v>
      </c>
      <c r="N455" s="1649"/>
      <c r="O455" s="1102"/>
      <c r="P455" s="1649">
        <f>'Part IV-Uses of Funds'!P41</f>
        <v>0</v>
      </c>
      <c r="Q455" s="1649"/>
      <c r="R455" s="1102"/>
      <c r="S455" s="1649">
        <f>'Part IV-Uses of Funds'!S41</f>
        <v>0</v>
      </c>
      <c r="T455" s="1649"/>
    </row>
    <row r="456" spans="1:20">
      <c r="A456" s="1086"/>
      <c r="B456" s="1086"/>
      <c r="C456" s="1086"/>
      <c r="D456" s="1086"/>
      <c r="E456" s="1086"/>
      <c r="F456" s="1086"/>
      <c r="G456" s="1086"/>
      <c r="H456" s="1086"/>
      <c r="I456" s="1086"/>
      <c r="J456" s="1086"/>
      <c r="K456" s="1086"/>
      <c r="L456" s="1086"/>
      <c r="M456" s="1086"/>
      <c r="N456" s="1086"/>
      <c r="O456" s="1086"/>
      <c r="P456" s="1086"/>
      <c r="Q456" s="1086"/>
      <c r="R456" s="1086"/>
      <c r="S456" s="1086"/>
      <c r="T456" s="1086"/>
    </row>
    <row r="457" spans="1:20">
      <c r="A457" s="1102"/>
      <c r="B457" s="883" t="s">
        <v>3658</v>
      </c>
      <c r="C457" s="884"/>
      <c r="D457" s="1102"/>
      <c r="E457" s="1652" t="s">
        <v>3017</v>
      </c>
      <c r="F457" s="1109">
        <f>B458/'Part VI-Revenues &amp; Expenses'!$M$60</f>
        <v>84860.08</v>
      </c>
      <c r="G457" s="885" t="s">
        <v>3659</v>
      </c>
      <c r="H457" s="1102"/>
      <c r="I457" s="1102"/>
      <c r="J457" s="1658">
        <f>B458/'Part VI-Revenues &amp; Expenses'!$M$62</f>
        <v>84860.08</v>
      </c>
      <c r="K457" s="1658"/>
      <c r="L457" s="1102"/>
      <c r="M457" s="1659" t="s">
        <v>1492</v>
      </c>
      <c r="N457" s="1659"/>
      <c r="O457" s="1102"/>
      <c r="P457" s="1658">
        <f>B458/'Part I-Project Information'!$P$59</f>
        <v>84.52872738863654</v>
      </c>
      <c r="Q457" s="1658"/>
      <c r="R457" s="1102"/>
      <c r="S457" s="1660" t="s">
        <v>3228</v>
      </c>
      <c r="T457" s="1660"/>
    </row>
    <row r="458" spans="1:20">
      <c r="A458" s="1102"/>
      <c r="B458" s="1661">
        <f>G441+G447+G452+G455</f>
        <v>6364506</v>
      </c>
      <c r="C458" s="1661"/>
      <c r="D458" s="1102"/>
      <c r="E458" s="1652"/>
      <c r="F458" s="1109">
        <f>B458/'Part VI-Revenues &amp; Expenses'!$M$98</f>
        <v>84.52872738863654</v>
      </c>
      <c r="G458" s="846" t="s">
        <v>3660</v>
      </c>
      <c r="H458" s="1102"/>
      <c r="I458" s="1102"/>
      <c r="J458" s="1658">
        <f>B458/'Part VI-Revenues &amp; Expenses'!$M$100</f>
        <v>84.52872738863654</v>
      </c>
      <c r="K458" s="1658"/>
      <c r="L458" s="1102"/>
      <c r="M458" s="1660" t="s">
        <v>3227</v>
      </c>
      <c r="N458" s="1660"/>
      <c r="O458" s="1102"/>
      <c r="P458" s="1102"/>
      <c r="Q458" s="1102"/>
      <c r="R458" s="1102"/>
      <c r="S458" s="1102"/>
      <c r="T458" s="1102"/>
    </row>
    <row r="459" spans="1:20">
      <c r="A459" s="1086"/>
      <c r="B459" s="1086"/>
      <c r="C459" s="1086"/>
      <c r="D459" s="1086"/>
      <c r="E459" s="1086"/>
      <c r="F459" s="1086"/>
      <c r="G459" s="1086"/>
      <c r="H459" s="1086"/>
      <c r="I459" s="1086"/>
      <c r="J459" s="1086"/>
      <c r="K459" s="1086"/>
      <c r="L459" s="1086"/>
      <c r="M459" s="1086"/>
      <c r="N459" s="1086"/>
      <c r="O459" s="1086"/>
      <c r="P459" s="1086"/>
      <c r="Q459" s="1086"/>
      <c r="R459" s="1086"/>
      <c r="S459" s="1086"/>
      <c r="T459" s="1086"/>
    </row>
    <row r="460" spans="1:20">
      <c r="A460" s="1102"/>
      <c r="B460" s="837" t="s">
        <v>1191</v>
      </c>
      <c r="C460" s="1102"/>
      <c r="D460" s="1102"/>
      <c r="E460" s="1102"/>
      <c r="F460" s="1102"/>
      <c r="G460" s="1102"/>
      <c r="H460" s="1102"/>
      <c r="I460" s="1102"/>
      <c r="J460" s="1110"/>
      <c r="K460" s="876"/>
      <c r="L460" s="1102"/>
      <c r="M460" s="1110"/>
      <c r="N460" s="876"/>
      <c r="O460" s="1111" t="str">
        <f>B460</f>
        <v>CONSTRUCTION CONTINGENCY</v>
      </c>
      <c r="P460" s="1110"/>
      <c r="Q460" s="876"/>
      <c r="R460" s="1102"/>
      <c r="S460" s="1110"/>
      <c r="T460" s="876"/>
    </row>
    <row r="461" spans="1:20">
      <c r="A461" s="1097"/>
      <c r="B461" s="1102" t="s">
        <v>2096</v>
      </c>
      <c r="C461" s="1097"/>
      <c r="D461" s="1097"/>
      <c r="E461" s="1097"/>
      <c r="F461" s="886" t="e">
        <f>G461/$B$44</f>
        <v>#DIV/0!</v>
      </c>
      <c r="G461" s="1649">
        <f>'Part IV-Uses of Funds'!G47</f>
        <v>320000</v>
      </c>
      <c r="H461" s="1649"/>
      <c r="I461" s="1102"/>
      <c r="J461" s="1649">
        <f>'Part IV-Uses of Funds'!J47</f>
        <v>0</v>
      </c>
      <c r="K461" s="1649"/>
      <c r="L461" s="1110"/>
      <c r="M461" s="1649">
        <f>'Part IV-Uses of Funds'!M47</f>
        <v>0</v>
      </c>
      <c r="N461" s="1649"/>
      <c r="O461" s="1102"/>
      <c r="P461" s="1649">
        <f>'Part IV-Uses of Funds'!P47</f>
        <v>320000</v>
      </c>
      <c r="Q461" s="1649"/>
      <c r="R461" s="1102"/>
      <c r="S461" s="1649">
        <f>'Part IV-Uses of Funds'!S47</f>
        <v>0</v>
      </c>
      <c r="T461" s="1649"/>
    </row>
    <row r="462" spans="1:20">
      <c r="A462" s="1086"/>
      <c r="B462" s="1086"/>
      <c r="C462" s="1086"/>
      <c r="D462" s="1086"/>
      <c r="E462" s="1086"/>
      <c r="F462" s="1086"/>
      <c r="G462" s="1086"/>
      <c r="H462" s="1086"/>
      <c r="I462" s="1086"/>
      <c r="J462" s="1086"/>
      <c r="K462" s="1086"/>
      <c r="L462" s="1086"/>
      <c r="M462" s="1086"/>
      <c r="N462" s="1086"/>
      <c r="O462" s="1086"/>
      <c r="P462" s="1086"/>
      <c r="Q462" s="1086"/>
      <c r="R462" s="1086"/>
      <c r="S462" s="1086"/>
      <c r="T462" s="1086"/>
    </row>
    <row r="463" spans="1:20">
      <c r="A463" s="1086"/>
      <c r="B463" s="1086"/>
      <c r="C463" s="1086"/>
      <c r="D463" s="1086"/>
      <c r="E463" s="1086"/>
      <c r="F463" s="1086"/>
      <c r="G463" s="1086"/>
      <c r="H463" s="1086"/>
      <c r="I463" s="1086"/>
      <c r="J463" s="1086"/>
      <c r="K463" s="1086"/>
      <c r="L463" s="1086"/>
      <c r="M463" s="1086"/>
      <c r="N463" s="1086"/>
      <c r="O463" s="1086"/>
      <c r="P463" s="1086"/>
      <c r="Q463" s="1086"/>
      <c r="R463" s="1086"/>
      <c r="S463" s="1086"/>
      <c r="T463" s="1086"/>
    </row>
    <row r="464" spans="1:20" ht="16.5">
      <c r="A464" s="875" t="s">
        <v>657</v>
      </c>
      <c r="B464" s="875" t="s">
        <v>3661</v>
      </c>
      <c r="C464" s="1102"/>
      <c r="D464" s="1102"/>
      <c r="E464" s="1102"/>
      <c r="F464" s="1102"/>
      <c r="G464" s="1102"/>
      <c r="H464" s="1102"/>
      <c r="I464" s="1102"/>
      <c r="J464" s="1652" t="s">
        <v>285</v>
      </c>
      <c r="K464" s="1652"/>
      <c r="L464" s="876"/>
      <c r="M464" s="1656" t="s">
        <v>520</v>
      </c>
      <c r="N464" s="1656"/>
      <c r="O464" s="1102"/>
      <c r="P464" s="1652" t="s">
        <v>286</v>
      </c>
      <c r="Q464" s="1652"/>
      <c r="R464" s="1102"/>
      <c r="S464" s="1652" t="s">
        <v>287</v>
      </c>
      <c r="T464" s="1652"/>
    </row>
    <row r="465" spans="1:20">
      <c r="A465" s="1102"/>
      <c r="B465" s="1102"/>
      <c r="C465" s="1102"/>
      <c r="D465" s="1102"/>
      <c r="E465" s="1102"/>
      <c r="F465" s="1102"/>
      <c r="G465" s="1657" t="s">
        <v>104</v>
      </c>
      <c r="H465" s="1657"/>
      <c r="I465" s="1102"/>
      <c r="J465" s="1652"/>
      <c r="K465" s="1652"/>
      <c r="L465" s="876"/>
      <c r="M465" s="1656"/>
      <c r="N465" s="1656"/>
      <c r="O465" s="1102"/>
      <c r="P465" s="1652"/>
      <c r="Q465" s="1652"/>
      <c r="R465" s="1102"/>
      <c r="S465" s="1652"/>
      <c r="T465" s="1652"/>
    </row>
    <row r="466" spans="1:20">
      <c r="A466" s="1102"/>
      <c r="B466" s="837" t="s">
        <v>772</v>
      </c>
      <c r="C466" s="1102"/>
      <c r="D466" s="1102"/>
      <c r="E466" s="1102"/>
      <c r="F466" s="1102"/>
      <c r="G466" s="1102"/>
      <c r="H466" s="1102"/>
      <c r="I466" s="1102"/>
      <c r="J466" s="1110"/>
      <c r="K466" s="876"/>
      <c r="L466" s="1102"/>
      <c r="M466" s="1110"/>
      <c r="N466" s="876"/>
      <c r="O466" s="1111" t="str">
        <f>B466</f>
        <v>CONSTRUCTION PERIOD FINANCING</v>
      </c>
      <c r="P466" s="1110"/>
      <c r="Q466" s="876"/>
      <c r="R466" s="1102"/>
      <c r="S466" s="1110"/>
      <c r="T466" s="876"/>
    </row>
    <row r="467" spans="1:20">
      <c r="A467" s="1102"/>
      <c r="B467" s="1102" t="s">
        <v>2497</v>
      </c>
      <c r="C467" s="1102"/>
      <c r="D467" s="1102"/>
      <c r="E467" s="1102"/>
      <c r="F467" s="1102"/>
      <c r="G467" s="1649">
        <f>'Part IV-Uses of Funds'!G53</f>
        <v>68000</v>
      </c>
      <c r="H467" s="1649"/>
      <c r="I467" s="1102"/>
      <c r="J467" s="1649">
        <f>'Part IV-Uses of Funds'!J53</f>
        <v>0</v>
      </c>
      <c r="K467" s="1649"/>
      <c r="L467" s="1110"/>
      <c r="M467" s="1649">
        <f>'Part IV-Uses of Funds'!M53</f>
        <v>0</v>
      </c>
      <c r="N467" s="1649"/>
      <c r="O467" s="1102"/>
      <c r="P467" s="1649">
        <f>'Part IV-Uses of Funds'!P53</f>
        <v>55000</v>
      </c>
      <c r="Q467" s="1649"/>
      <c r="R467" s="1102"/>
      <c r="S467" s="1649">
        <f>'Part IV-Uses of Funds'!S53</f>
        <v>13000</v>
      </c>
      <c r="T467" s="1649"/>
    </row>
    <row r="468" spans="1:20">
      <c r="A468" s="1102"/>
      <c r="B468" s="1102" t="s">
        <v>2498</v>
      </c>
      <c r="C468" s="1102"/>
      <c r="D468" s="1102"/>
      <c r="E468" s="1102"/>
      <c r="F468" s="1102"/>
      <c r="G468" s="1649">
        <f>'Part IV-Uses of Funds'!G54</f>
        <v>225000</v>
      </c>
      <c r="H468" s="1649"/>
      <c r="I468" s="1102"/>
      <c r="J468" s="1649">
        <f>'Part IV-Uses of Funds'!J54</f>
        <v>0</v>
      </c>
      <c r="K468" s="1649"/>
      <c r="L468" s="1110"/>
      <c r="M468" s="1649">
        <f>'Part IV-Uses of Funds'!M54</f>
        <v>0</v>
      </c>
      <c r="N468" s="1649"/>
      <c r="O468" s="1102"/>
      <c r="P468" s="1649">
        <f>'Part IV-Uses of Funds'!P54</f>
        <v>192000</v>
      </c>
      <c r="Q468" s="1649"/>
      <c r="R468" s="1102"/>
      <c r="S468" s="1649">
        <f>'Part IV-Uses of Funds'!S54</f>
        <v>33000</v>
      </c>
      <c r="T468" s="1649"/>
    </row>
    <row r="469" spans="1:20">
      <c r="A469" s="1102"/>
      <c r="B469" s="1102" t="s">
        <v>2499</v>
      </c>
      <c r="C469" s="1102"/>
      <c r="D469" s="1102"/>
      <c r="E469" s="1102"/>
      <c r="F469" s="1102"/>
      <c r="G469" s="1649">
        <f>'Part IV-Uses of Funds'!G55</f>
        <v>70000</v>
      </c>
      <c r="H469" s="1649"/>
      <c r="I469" s="1102"/>
      <c r="J469" s="1649">
        <f>'Part IV-Uses of Funds'!J55</f>
        <v>0</v>
      </c>
      <c r="K469" s="1649"/>
      <c r="L469" s="1110"/>
      <c r="M469" s="1649">
        <f>'Part IV-Uses of Funds'!M55</f>
        <v>0</v>
      </c>
      <c r="N469" s="1649"/>
      <c r="O469" s="1102"/>
      <c r="P469" s="1649">
        <f>'Part IV-Uses of Funds'!P55</f>
        <v>60000</v>
      </c>
      <c r="Q469" s="1649"/>
      <c r="R469" s="1102"/>
      <c r="S469" s="1649">
        <f>'Part IV-Uses of Funds'!S55</f>
        <v>10000</v>
      </c>
      <c r="T469" s="1649"/>
    </row>
    <row r="470" spans="1:20">
      <c r="A470" s="1102"/>
      <c r="B470" s="1102" t="s">
        <v>2913</v>
      </c>
      <c r="C470" s="1102"/>
      <c r="D470" s="1102"/>
      <c r="E470" s="1102"/>
      <c r="F470" s="1102"/>
      <c r="G470" s="1649">
        <f>'Part IV-Uses of Funds'!G56</f>
        <v>0</v>
      </c>
      <c r="H470" s="1649"/>
      <c r="I470" s="1102"/>
      <c r="J470" s="1649">
        <f>'Part IV-Uses of Funds'!J56</f>
        <v>0</v>
      </c>
      <c r="K470" s="1649"/>
      <c r="L470" s="1110"/>
      <c r="M470" s="1649">
        <f>'Part IV-Uses of Funds'!M56</f>
        <v>0</v>
      </c>
      <c r="N470" s="1649"/>
      <c r="O470" s="1102"/>
      <c r="P470" s="1649">
        <f>'Part IV-Uses of Funds'!P56</f>
        <v>0</v>
      </c>
      <c r="Q470" s="1649"/>
      <c r="R470" s="1102"/>
      <c r="S470" s="1649">
        <f>'Part IV-Uses of Funds'!S56</f>
        <v>0</v>
      </c>
      <c r="T470" s="1649"/>
    </row>
    <row r="471" spans="1:20">
      <c r="A471" s="1102"/>
      <c r="B471" s="1102" t="s">
        <v>773</v>
      </c>
      <c r="C471" s="1102"/>
      <c r="D471" s="1102"/>
      <c r="E471" s="1102"/>
      <c r="F471" s="1102"/>
      <c r="G471" s="1649">
        <f>'Part IV-Uses of Funds'!G57</f>
        <v>0</v>
      </c>
      <c r="H471" s="1649"/>
      <c r="I471" s="1102"/>
      <c r="J471" s="1649">
        <f>'Part IV-Uses of Funds'!J57</f>
        <v>0</v>
      </c>
      <c r="K471" s="1649"/>
      <c r="L471" s="1110"/>
      <c r="M471" s="1649">
        <f>'Part IV-Uses of Funds'!M57</f>
        <v>0</v>
      </c>
      <c r="N471" s="1649"/>
      <c r="O471" s="1102"/>
      <c r="P471" s="1649">
        <f>'Part IV-Uses of Funds'!P57</f>
        <v>0</v>
      </c>
      <c r="Q471" s="1649"/>
      <c r="R471" s="1102"/>
      <c r="S471" s="1649">
        <f>'Part IV-Uses of Funds'!S57</f>
        <v>0</v>
      </c>
      <c r="T471" s="1649"/>
    </row>
    <row r="472" spans="1:20">
      <c r="A472" s="1102"/>
      <c r="B472" s="1102" t="s">
        <v>2500</v>
      </c>
      <c r="C472" s="1102"/>
      <c r="D472" s="1102"/>
      <c r="E472" s="1102"/>
      <c r="F472" s="1102"/>
      <c r="G472" s="1649">
        <f>'Part IV-Uses of Funds'!G58</f>
        <v>30000</v>
      </c>
      <c r="H472" s="1649"/>
      <c r="I472" s="1102"/>
      <c r="J472" s="1649">
        <f>'Part IV-Uses of Funds'!J58</f>
        <v>0</v>
      </c>
      <c r="K472" s="1649"/>
      <c r="L472" s="1110"/>
      <c r="M472" s="1649">
        <f>'Part IV-Uses of Funds'!M58</f>
        <v>0</v>
      </c>
      <c r="N472" s="1649"/>
      <c r="O472" s="1102"/>
      <c r="P472" s="1649">
        <f>'Part IV-Uses of Funds'!P58</f>
        <v>30000</v>
      </c>
      <c r="Q472" s="1649"/>
      <c r="R472" s="1102"/>
      <c r="S472" s="1649">
        <f>'Part IV-Uses of Funds'!S58</f>
        <v>0</v>
      </c>
      <c r="T472" s="1649"/>
    </row>
    <row r="473" spans="1:20">
      <c r="A473" s="1102"/>
      <c r="B473" s="1102" t="s">
        <v>1356</v>
      </c>
      <c r="C473" s="1102"/>
      <c r="D473" s="1102"/>
      <c r="E473" s="1102"/>
      <c r="F473" s="1102"/>
      <c r="G473" s="1649">
        <f>'Part IV-Uses of Funds'!G59</f>
        <v>25000</v>
      </c>
      <c r="H473" s="1649"/>
      <c r="I473" s="1102"/>
      <c r="J473" s="1649">
        <f>'Part IV-Uses of Funds'!J59</f>
        <v>0</v>
      </c>
      <c r="K473" s="1649"/>
      <c r="L473" s="1110"/>
      <c r="M473" s="1649">
        <f>'Part IV-Uses of Funds'!M59</f>
        <v>0</v>
      </c>
      <c r="N473" s="1649"/>
      <c r="O473" s="1102"/>
      <c r="P473" s="1649">
        <f>'Part IV-Uses of Funds'!P59</f>
        <v>25000</v>
      </c>
      <c r="Q473" s="1649"/>
      <c r="R473" s="1102"/>
      <c r="S473" s="1649">
        <f>'Part IV-Uses of Funds'!S59</f>
        <v>0</v>
      </c>
      <c r="T473" s="1649"/>
    </row>
    <row r="474" spans="1:20">
      <c r="A474" s="1102"/>
      <c r="B474" s="1102" t="s">
        <v>295</v>
      </c>
      <c r="C474" s="1102"/>
      <c r="D474" s="1102"/>
      <c r="E474" s="1102"/>
      <c r="F474" s="1102"/>
      <c r="G474" s="1649">
        <f>'Part IV-Uses of Funds'!G60</f>
        <v>0</v>
      </c>
      <c r="H474" s="1649"/>
      <c r="I474" s="1102"/>
      <c r="J474" s="1649">
        <f>'Part IV-Uses of Funds'!J60</f>
        <v>0</v>
      </c>
      <c r="K474" s="1649"/>
      <c r="L474" s="1110"/>
      <c r="M474" s="1649">
        <f>'Part IV-Uses of Funds'!M60</f>
        <v>0</v>
      </c>
      <c r="N474" s="1649"/>
      <c r="O474" s="1102"/>
      <c r="P474" s="1649">
        <f>'Part IV-Uses of Funds'!P60</f>
        <v>0</v>
      </c>
      <c r="Q474" s="1649"/>
      <c r="R474" s="1102"/>
      <c r="S474" s="1649">
        <f>'Part IV-Uses of Funds'!S60</f>
        <v>0</v>
      </c>
      <c r="T474" s="1649"/>
    </row>
    <row r="475" spans="1:20">
      <c r="A475" s="1102"/>
      <c r="B475" s="882" t="s">
        <v>1222</v>
      </c>
      <c r="C475" s="1102"/>
      <c r="D475" s="880"/>
      <c r="E475" s="880"/>
      <c r="F475" s="881"/>
      <c r="G475" s="1649">
        <f>'Part IV-Uses of Funds'!G61</f>
        <v>0</v>
      </c>
      <c r="H475" s="1649"/>
      <c r="I475" s="1097"/>
      <c r="J475" s="1649">
        <f>'Part IV-Uses of Funds'!J61</f>
        <v>0</v>
      </c>
      <c r="K475" s="1649"/>
      <c r="L475" s="1110"/>
      <c r="M475" s="1649">
        <f>'Part IV-Uses of Funds'!M61</f>
        <v>0</v>
      </c>
      <c r="N475" s="1649"/>
      <c r="O475" s="1102"/>
      <c r="P475" s="1649">
        <f>'Part IV-Uses of Funds'!P61</f>
        <v>0</v>
      </c>
      <c r="Q475" s="1649"/>
      <c r="R475" s="1102"/>
      <c r="S475" s="1649">
        <f>'Part IV-Uses of Funds'!S61</f>
        <v>0</v>
      </c>
      <c r="T475" s="1649"/>
    </row>
    <row r="476" spans="1:20" ht="12.75" customHeight="1">
      <c r="A476" s="877" t="str">
        <f>IF(AND(G476&gt;0,OR(C476="",C476="&lt;Enter detailed description here; use Comments section if needed&gt;")),"X","")</f>
        <v/>
      </c>
      <c r="B476" s="1102" t="s">
        <v>791</v>
      </c>
      <c r="C476" s="1650" t="str">
        <f>'Part IV-Uses of Funds'!C62</f>
        <v>&lt;Enter detailed description here; use Comments section if needed&gt;</v>
      </c>
      <c r="D476" s="1650"/>
      <c r="E476" s="1650"/>
      <c r="F476" s="1650"/>
      <c r="G476" s="1649">
        <f>'Part IV-Uses of Funds'!G62</f>
        <v>0</v>
      </c>
      <c r="H476" s="1649"/>
      <c r="I476" s="1102"/>
      <c r="J476" s="1649">
        <f>'Part IV-Uses of Funds'!J62</f>
        <v>0</v>
      </c>
      <c r="K476" s="1649"/>
      <c r="L476" s="1110"/>
      <c r="M476" s="1649">
        <f>'Part IV-Uses of Funds'!M62</f>
        <v>0</v>
      </c>
      <c r="N476" s="1649"/>
      <c r="O476" s="1102"/>
      <c r="P476" s="1649">
        <f>'Part IV-Uses of Funds'!P62</f>
        <v>0</v>
      </c>
      <c r="Q476" s="1649"/>
      <c r="R476" s="1102"/>
      <c r="S476" s="1649">
        <f>'Part IV-Uses of Funds'!S62</f>
        <v>0</v>
      </c>
      <c r="T476" s="1649"/>
    </row>
    <row r="477" spans="1:20" ht="12.75" customHeight="1">
      <c r="A477" s="877" t="str">
        <f>IF(AND(G477&gt;0,OR(C477="",C477="&lt;Enter detailed description here; use Comments section if needed&gt;")),"X","")</f>
        <v/>
      </c>
      <c r="B477" s="1102" t="s">
        <v>791</v>
      </c>
      <c r="C477" s="1650" t="str">
        <f>'Part IV-Uses of Funds'!C63</f>
        <v>&lt;Enter detailed description here; use Comments section if needed&gt;</v>
      </c>
      <c r="D477" s="1650"/>
      <c r="E477" s="1650"/>
      <c r="F477" s="1650"/>
      <c r="G477" s="1649">
        <f>'Part IV-Uses of Funds'!G63</f>
        <v>0</v>
      </c>
      <c r="H477" s="1649"/>
      <c r="I477" s="1102"/>
      <c r="J477" s="1649">
        <f>'Part IV-Uses of Funds'!J63</f>
        <v>0</v>
      </c>
      <c r="K477" s="1649"/>
      <c r="L477" s="1110"/>
      <c r="M477" s="1649">
        <f>'Part IV-Uses of Funds'!M63</f>
        <v>0</v>
      </c>
      <c r="N477" s="1649"/>
      <c r="O477" s="1102"/>
      <c r="P477" s="1649">
        <f>'Part IV-Uses of Funds'!P63</f>
        <v>0</v>
      </c>
      <c r="Q477" s="1649"/>
      <c r="R477" s="1102"/>
      <c r="S477" s="1649">
        <f>'Part IV-Uses of Funds'!S63</f>
        <v>0</v>
      </c>
      <c r="T477" s="1649"/>
    </row>
    <row r="478" spans="1:20">
      <c r="A478" s="1102"/>
      <c r="B478" s="1102"/>
      <c r="C478" s="1102"/>
      <c r="D478" s="1102"/>
      <c r="E478" s="1102"/>
      <c r="F478" s="878" t="s">
        <v>199</v>
      </c>
      <c r="G478" s="1649">
        <f>SUM(G467:H477)</f>
        <v>418000</v>
      </c>
      <c r="H478" s="1649"/>
      <c r="I478" s="1102"/>
      <c r="J478" s="1649">
        <f>SUM(J467:K477)</f>
        <v>0</v>
      </c>
      <c r="K478" s="1649"/>
      <c r="L478" s="1110"/>
      <c r="M478" s="1649">
        <f>SUM(M467:N477)</f>
        <v>0</v>
      </c>
      <c r="N478" s="1649"/>
      <c r="O478" s="1102"/>
      <c r="P478" s="1649">
        <f>SUM(P467:Q477)</f>
        <v>362000</v>
      </c>
      <c r="Q478" s="1649"/>
      <c r="R478" s="1102"/>
      <c r="S478" s="1649">
        <f>SUM(S467:T477)</f>
        <v>56000</v>
      </c>
      <c r="T478" s="1649"/>
    </row>
    <row r="479" spans="1:20">
      <c r="A479" s="1102"/>
      <c r="B479" s="837" t="s">
        <v>505</v>
      </c>
      <c r="C479" s="1102"/>
      <c r="D479" s="1102"/>
      <c r="E479" s="1102"/>
      <c r="F479" s="1102"/>
      <c r="G479" s="876"/>
      <c r="H479" s="876"/>
      <c r="I479" s="1102"/>
      <c r="J479" s="876"/>
      <c r="K479" s="876"/>
      <c r="L479" s="1102"/>
      <c r="M479" s="876"/>
      <c r="N479" s="876"/>
      <c r="O479" s="1111" t="str">
        <f>B479</f>
        <v>PROFESSIONAL SERVICES</v>
      </c>
      <c r="P479" s="876"/>
      <c r="Q479" s="876"/>
      <c r="R479" s="1102"/>
      <c r="S479" s="876"/>
      <c r="T479" s="876"/>
    </row>
    <row r="480" spans="1:20">
      <c r="A480" s="1102"/>
      <c r="B480" s="1102" t="s">
        <v>506</v>
      </c>
      <c r="C480" s="1102"/>
      <c r="D480" s="1102"/>
      <c r="E480" s="1102"/>
      <c r="F480" s="1102"/>
      <c r="G480" s="1649">
        <f>'Part IV-Uses of Funds'!G66</f>
        <v>40000</v>
      </c>
      <c r="H480" s="1649"/>
      <c r="I480" s="1102"/>
      <c r="J480" s="1649">
        <f>'Part IV-Uses of Funds'!J66</f>
        <v>0</v>
      </c>
      <c r="K480" s="1649"/>
      <c r="L480" s="1110"/>
      <c r="M480" s="1649">
        <f>'Part IV-Uses of Funds'!M66</f>
        <v>0</v>
      </c>
      <c r="N480" s="1649"/>
      <c r="O480" s="1102"/>
      <c r="P480" s="1649">
        <f>'Part IV-Uses of Funds'!P66</f>
        <v>40000</v>
      </c>
      <c r="Q480" s="1649"/>
      <c r="R480" s="1102"/>
      <c r="S480" s="1649">
        <f>'Part IV-Uses of Funds'!S66</f>
        <v>0</v>
      </c>
      <c r="T480" s="1649"/>
    </row>
    <row r="481" spans="1:20">
      <c r="A481" s="1102"/>
      <c r="B481" s="1102" t="s">
        <v>507</v>
      </c>
      <c r="C481" s="1102"/>
      <c r="D481" s="1102"/>
      <c r="E481" s="1102"/>
      <c r="F481" s="1102"/>
      <c r="G481" s="1649">
        <f>'Part IV-Uses of Funds'!G67</f>
        <v>20000</v>
      </c>
      <c r="H481" s="1649"/>
      <c r="I481" s="1102"/>
      <c r="J481" s="1649">
        <f>'Part IV-Uses of Funds'!J67</f>
        <v>0</v>
      </c>
      <c r="K481" s="1649"/>
      <c r="L481" s="1110"/>
      <c r="M481" s="1649">
        <f>'Part IV-Uses of Funds'!M67</f>
        <v>0</v>
      </c>
      <c r="N481" s="1649"/>
      <c r="O481" s="1102"/>
      <c r="P481" s="1649">
        <f>'Part IV-Uses of Funds'!P67</f>
        <v>20000</v>
      </c>
      <c r="Q481" s="1649"/>
      <c r="R481" s="1102"/>
      <c r="S481" s="1649">
        <f>'Part IV-Uses of Funds'!S67</f>
        <v>0</v>
      </c>
      <c r="T481" s="1649"/>
    </row>
    <row r="482" spans="1:20">
      <c r="A482" s="1102"/>
      <c r="B482" s="1102" t="s">
        <v>1193</v>
      </c>
      <c r="C482" s="1102"/>
      <c r="D482" s="1102"/>
      <c r="E482" s="1102"/>
      <c r="F482" s="1102" t="s">
        <v>3147</v>
      </c>
      <c r="G482" s="1649">
        <f>'Part IV-Uses of Funds'!G68</f>
        <v>6375</v>
      </c>
      <c r="H482" s="1649"/>
      <c r="I482" s="1102"/>
      <c r="J482" s="1649">
        <f>'Part IV-Uses of Funds'!J68</f>
        <v>0</v>
      </c>
      <c r="K482" s="1649"/>
      <c r="L482" s="1110"/>
      <c r="M482" s="1649">
        <f>'Part IV-Uses of Funds'!M68</f>
        <v>0</v>
      </c>
      <c r="N482" s="1649"/>
      <c r="O482" s="1102"/>
      <c r="P482" s="1649">
        <f>'Part IV-Uses of Funds'!P68</f>
        <v>6375</v>
      </c>
      <c r="Q482" s="1649"/>
      <c r="R482" s="1102"/>
      <c r="S482" s="1649">
        <f>'Part IV-Uses of Funds'!S68</f>
        <v>0</v>
      </c>
      <c r="T482" s="1649"/>
    </row>
    <row r="483" spans="1:20">
      <c r="A483" s="1102"/>
      <c r="B483" s="1102" t="s">
        <v>1194</v>
      </c>
      <c r="C483" s="1102"/>
      <c r="D483" s="1102"/>
      <c r="E483" s="1102"/>
      <c r="F483" s="1102"/>
      <c r="G483" s="1649">
        <f>'Part IV-Uses of Funds'!G69</f>
        <v>21500</v>
      </c>
      <c r="H483" s="1649"/>
      <c r="I483" s="1102"/>
      <c r="J483" s="1649">
        <f>'Part IV-Uses of Funds'!J69</f>
        <v>0</v>
      </c>
      <c r="K483" s="1649"/>
      <c r="L483" s="1110"/>
      <c r="M483" s="1649">
        <f>'Part IV-Uses of Funds'!M69</f>
        <v>0</v>
      </c>
      <c r="N483" s="1649"/>
      <c r="O483" s="1102"/>
      <c r="P483" s="1649">
        <f>'Part IV-Uses of Funds'!P69</f>
        <v>21500</v>
      </c>
      <c r="Q483" s="1649"/>
      <c r="R483" s="1102"/>
      <c r="S483" s="1649">
        <f>'Part IV-Uses of Funds'!S69</f>
        <v>0</v>
      </c>
      <c r="T483" s="1649"/>
    </row>
    <row r="484" spans="1:20">
      <c r="A484" s="1102"/>
      <c r="B484" s="1102" t="s">
        <v>1195</v>
      </c>
      <c r="C484" s="1102"/>
      <c r="D484" s="1102"/>
      <c r="E484" s="1102"/>
      <c r="F484" s="1102"/>
      <c r="G484" s="1649">
        <f>'Part IV-Uses of Funds'!G70</f>
        <v>10000</v>
      </c>
      <c r="H484" s="1649"/>
      <c r="I484" s="1102"/>
      <c r="J484" s="1649">
        <f>'Part IV-Uses of Funds'!J70</f>
        <v>0</v>
      </c>
      <c r="K484" s="1649"/>
      <c r="L484" s="1110"/>
      <c r="M484" s="1649">
        <f>'Part IV-Uses of Funds'!M70</f>
        <v>0</v>
      </c>
      <c r="N484" s="1649"/>
      <c r="O484" s="1102"/>
      <c r="P484" s="1649">
        <f>'Part IV-Uses of Funds'!P70</f>
        <v>10000</v>
      </c>
      <c r="Q484" s="1649"/>
      <c r="R484" s="1102"/>
      <c r="S484" s="1649">
        <f>'Part IV-Uses of Funds'!S70</f>
        <v>0</v>
      </c>
      <c r="T484" s="1649"/>
    </row>
    <row r="485" spans="1:20">
      <c r="A485" s="1102"/>
      <c r="B485" s="1102" t="s">
        <v>1196</v>
      </c>
      <c r="C485" s="1102"/>
      <c r="D485" s="1102"/>
      <c r="E485" s="1102"/>
      <c r="F485" s="1102"/>
      <c r="G485" s="1649">
        <f>'Part IV-Uses of Funds'!G71</f>
        <v>0</v>
      </c>
      <c r="H485" s="1649"/>
      <c r="I485" s="1102"/>
      <c r="J485" s="1649">
        <f>'Part IV-Uses of Funds'!J71</f>
        <v>0</v>
      </c>
      <c r="K485" s="1649"/>
      <c r="L485" s="1110"/>
      <c r="M485" s="1649">
        <f>'Part IV-Uses of Funds'!M71</f>
        <v>0</v>
      </c>
      <c r="N485" s="1649"/>
      <c r="O485" s="1102"/>
      <c r="P485" s="1649">
        <f>'Part IV-Uses of Funds'!P71</f>
        <v>0</v>
      </c>
      <c r="Q485" s="1649"/>
      <c r="R485" s="1102"/>
      <c r="S485" s="1649">
        <f>'Part IV-Uses of Funds'!S71</f>
        <v>0</v>
      </c>
      <c r="T485" s="1649"/>
    </row>
    <row r="486" spans="1:20">
      <c r="A486" s="1102"/>
      <c r="B486" s="1102" t="s">
        <v>508</v>
      </c>
      <c r="C486" s="1102"/>
      <c r="D486" s="1102"/>
      <c r="E486" s="1102"/>
      <c r="F486" s="1102"/>
      <c r="G486" s="1649">
        <f>'Part IV-Uses of Funds'!G72</f>
        <v>20000</v>
      </c>
      <c r="H486" s="1649"/>
      <c r="I486" s="1102"/>
      <c r="J486" s="1649">
        <f>'Part IV-Uses of Funds'!J72</f>
        <v>0</v>
      </c>
      <c r="K486" s="1649"/>
      <c r="L486" s="1110"/>
      <c r="M486" s="1649">
        <f>'Part IV-Uses of Funds'!M72</f>
        <v>0</v>
      </c>
      <c r="N486" s="1649"/>
      <c r="O486" s="1102"/>
      <c r="P486" s="1649">
        <f>'Part IV-Uses of Funds'!P72</f>
        <v>20000</v>
      </c>
      <c r="Q486" s="1649"/>
      <c r="R486" s="1102"/>
      <c r="S486" s="1649">
        <f>'Part IV-Uses of Funds'!S72</f>
        <v>0</v>
      </c>
      <c r="T486" s="1649"/>
    </row>
    <row r="487" spans="1:20">
      <c r="A487" s="1102"/>
      <c r="B487" s="1102" t="s">
        <v>509</v>
      </c>
      <c r="C487" s="1102"/>
      <c r="D487" s="1102"/>
      <c r="E487" s="1102"/>
      <c r="F487" s="1102"/>
      <c r="G487" s="1649">
        <f>'Part IV-Uses of Funds'!G73</f>
        <v>110000</v>
      </c>
      <c r="H487" s="1649"/>
      <c r="I487" s="1102"/>
      <c r="J487" s="1649">
        <f>'Part IV-Uses of Funds'!J73</f>
        <v>0</v>
      </c>
      <c r="K487" s="1649"/>
      <c r="L487" s="1110"/>
      <c r="M487" s="1649">
        <f>'Part IV-Uses of Funds'!M73</f>
        <v>0</v>
      </c>
      <c r="N487" s="1649"/>
      <c r="O487" s="1102"/>
      <c r="P487" s="1649">
        <f>'Part IV-Uses of Funds'!P73</f>
        <v>110000</v>
      </c>
      <c r="Q487" s="1649"/>
      <c r="R487" s="1102"/>
      <c r="S487" s="1649">
        <f>'Part IV-Uses of Funds'!S73</f>
        <v>0</v>
      </c>
      <c r="T487" s="1649"/>
    </row>
    <row r="488" spans="1:20">
      <c r="A488" s="1102"/>
      <c r="B488" s="1102" t="s">
        <v>2187</v>
      </c>
      <c r="C488" s="1102"/>
      <c r="D488" s="1102"/>
      <c r="E488" s="1102"/>
      <c r="F488" s="1102"/>
      <c r="G488" s="1649">
        <f>'Part IV-Uses of Funds'!G74</f>
        <v>60000</v>
      </c>
      <c r="H488" s="1649"/>
      <c r="I488" s="1102"/>
      <c r="J488" s="1649">
        <f>'Part IV-Uses of Funds'!J74</f>
        <v>0</v>
      </c>
      <c r="K488" s="1649"/>
      <c r="L488" s="1110"/>
      <c r="M488" s="1649">
        <f>'Part IV-Uses of Funds'!M74</f>
        <v>0</v>
      </c>
      <c r="N488" s="1649"/>
      <c r="O488" s="1102"/>
      <c r="P488" s="1649">
        <f>'Part IV-Uses of Funds'!P74</f>
        <v>60000</v>
      </c>
      <c r="Q488" s="1649"/>
      <c r="R488" s="1102"/>
      <c r="S488" s="1649">
        <f>'Part IV-Uses of Funds'!S74</f>
        <v>0</v>
      </c>
      <c r="T488" s="1649"/>
    </row>
    <row r="489" spans="1:20">
      <c r="A489" s="1102"/>
      <c r="B489" s="1102" t="s">
        <v>1357</v>
      </c>
      <c r="C489" s="1102"/>
      <c r="D489" s="1102"/>
      <c r="E489" s="1102"/>
      <c r="F489" s="1102"/>
      <c r="G489" s="1649">
        <f>'Part IV-Uses of Funds'!G75</f>
        <v>10000</v>
      </c>
      <c r="H489" s="1649"/>
      <c r="I489" s="1102"/>
      <c r="J489" s="1649">
        <f>'Part IV-Uses of Funds'!J75</f>
        <v>0</v>
      </c>
      <c r="K489" s="1649"/>
      <c r="L489" s="1110"/>
      <c r="M489" s="1649">
        <f>'Part IV-Uses of Funds'!M75</f>
        <v>0</v>
      </c>
      <c r="N489" s="1649"/>
      <c r="O489" s="1102"/>
      <c r="P489" s="1649">
        <f>'Part IV-Uses of Funds'!P75</f>
        <v>10000</v>
      </c>
      <c r="Q489" s="1649"/>
      <c r="R489" s="1102"/>
      <c r="S489" s="1649">
        <f>'Part IV-Uses of Funds'!S75</f>
        <v>0</v>
      </c>
      <c r="T489" s="1649"/>
    </row>
    <row r="490" spans="1:20" ht="12.75" customHeight="1">
      <c r="A490" s="877" t="str">
        <f>IF(AND(G490&gt;0,OR(C490="",C490="&lt;Enter detailed description here; use Comments section if needed&gt;")),"X","")</f>
        <v/>
      </c>
      <c r="B490" s="1102" t="s">
        <v>791</v>
      </c>
      <c r="C490" s="1650" t="str">
        <f>'Part IV-Uses of Funds'!C76</f>
        <v>Lead/Asbestos Testing/Inspection</v>
      </c>
      <c r="D490" s="1650"/>
      <c r="E490" s="1650"/>
      <c r="F490" s="1650"/>
      <c r="G490" s="1649">
        <f>'Part IV-Uses of Funds'!G76</f>
        <v>62500</v>
      </c>
      <c r="H490" s="1649"/>
      <c r="I490" s="1102"/>
      <c r="J490" s="1649">
        <f>'Part IV-Uses of Funds'!J76</f>
        <v>0</v>
      </c>
      <c r="K490" s="1649"/>
      <c r="L490" s="1110"/>
      <c r="M490" s="1649">
        <f>'Part IV-Uses of Funds'!M76</f>
        <v>0</v>
      </c>
      <c r="N490" s="1649"/>
      <c r="O490" s="1102"/>
      <c r="P490" s="1649">
        <f>'Part IV-Uses of Funds'!P76</f>
        <v>62500</v>
      </c>
      <c r="Q490" s="1649"/>
      <c r="R490" s="1102"/>
      <c r="S490" s="1649">
        <f>'Part IV-Uses of Funds'!S76</f>
        <v>0</v>
      </c>
      <c r="T490" s="1649"/>
    </row>
    <row r="491" spans="1:20">
      <c r="A491" s="1102"/>
      <c r="B491" s="1102"/>
      <c r="C491" s="1102"/>
      <c r="D491" s="1102"/>
      <c r="E491" s="1102"/>
      <c r="F491" s="878" t="s">
        <v>199</v>
      </c>
      <c r="G491" s="1649">
        <f>SUM(G480:H490)</f>
        <v>360375</v>
      </c>
      <c r="H491" s="1649"/>
      <c r="I491" s="1102"/>
      <c r="J491" s="1649">
        <f>SUM(J480:K490)</f>
        <v>0</v>
      </c>
      <c r="K491" s="1649"/>
      <c r="L491" s="1110"/>
      <c r="M491" s="1649">
        <f>SUM(M480:N490)</f>
        <v>0</v>
      </c>
      <c r="N491" s="1649"/>
      <c r="O491" s="1102"/>
      <c r="P491" s="1649">
        <f>SUM(P480:Q490)</f>
        <v>360375</v>
      </c>
      <c r="Q491" s="1649"/>
      <c r="R491" s="1102"/>
      <c r="S491" s="1649">
        <f>SUM(S480:T490)</f>
        <v>0</v>
      </c>
      <c r="T491" s="1649"/>
    </row>
    <row r="492" spans="1:20">
      <c r="A492" s="1102"/>
      <c r="B492" s="837" t="s">
        <v>1349</v>
      </c>
      <c r="C492" s="1102"/>
      <c r="D492" s="1102"/>
      <c r="E492" s="1102"/>
      <c r="F492" s="1102"/>
      <c r="G492" s="1102"/>
      <c r="H492" s="1102"/>
      <c r="I492" s="1102"/>
      <c r="J492" s="1110"/>
      <c r="K492" s="1110"/>
      <c r="L492" s="1097"/>
      <c r="M492" s="1110"/>
      <c r="N492" s="1110"/>
      <c r="O492" s="1111" t="str">
        <f>B492</f>
        <v>LOCAL GOVERNMENT FEES</v>
      </c>
      <c r="P492" s="1110"/>
      <c r="Q492" s="1110"/>
      <c r="R492" s="1097"/>
      <c r="S492" s="1110"/>
      <c r="T492" s="1110"/>
    </row>
    <row r="493" spans="1:20">
      <c r="A493" s="1102"/>
      <c r="B493" s="1102" t="s">
        <v>1350</v>
      </c>
      <c r="C493" s="1102"/>
      <c r="D493" s="1102"/>
      <c r="E493" s="1102"/>
      <c r="F493" s="1102"/>
      <c r="G493" s="1649">
        <f>'Part IV-Uses of Funds'!G79</f>
        <v>26617</v>
      </c>
      <c r="H493" s="1649"/>
      <c r="I493" s="1102"/>
      <c r="J493" s="1649">
        <f>'Part IV-Uses of Funds'!J79</f>
        <v>0</v>
      </c>
      <c r="K493" s="1649"/>
      <c r="L493" s="1110"/>
      <c r="M493" s="1649">
        <f>'Part IV-Uses of Funds'!M79</f>
        <v>0</v>
      </c>
      <c r="N493" s="1649"/>
      <c r="O493" s="1102"/>
      <c r="P493" s="1649">
        <f>'Part IV-Uses of Funds'!P79</f>
        <v>26617</v>
      </c>
      <c r="Q493" s="1649"/>
      <c r="R493" s="1102"/>
      <c r="S493" s="1649">
        <f>'Part IV-Uses of Funds'!S79</f>
        <v>0</v>
      </c>
      <c r="T493" s="1649"/>
    </row>
    <row r="494" spans="1:20">
      <c r="A494" s="1102"/>
      <c r="B494" s="1102" t="s">
        <v>1351</v>
      </c>
      <c r="C494" s="1102"/>
      <c r="D494" s="1102"/>
      <c r="E494" s="1102"/>
      <c r="F494" s="1102"/>
      <c r="G494" s="1649">
        <f>'Part IV-Uses of Funds'!G80</f>
        <v>0</v>
      </c>
      <c r="H494" s="1649"/>
      <c r="I494" s="1102"/>
      <c r="J494" s="1649">
        <f>'Part IV-Uses of Funds'!J80</f>
        <v>0</v>
      </c>
      <c r="K494" s="1649"/>
      <c r="L494" s="1110"/>
      <c r="M494" s="1649">
        <f>'Part IV-Uses of Funds'!M80</f>
        <v>0</v>
      </c>
      <c r="N494" s="1649"/>
      <c r="O494" s="1102"/>
      <c r="P494" s="1649">
        <f>'Part IV-Uses of Funds'!P80</f>
        <v>0</v>
      </c>
      <c r="Q494" s="1649"/>
      <c r="R494" s="1102"/>
      <c r="S494" s="1649">
        <f>'Part IV-Uses of Funds'!S80</f>
        <v>0</v>
      </c>
      <c r="T494" s="1649"/>
    </row>
    <row r="495" spans="1:20">
      <c r="A495" s="1102"/>
      <c r="B495" s="1102" t="s">
        <v>1352</v>
      </c>
      <c r="C495" s="1102"/>
      <c r="D495" s="887" t="s">
        <v>1493</v>
      </c>
      <c r="E495" s="895">
        <f>'Part IV-Uses of Funds'!E81</f>
        <v>0</v>
      </c>
      <c r="F495" s="1102"/>
      <c r="G495" s="1649">
        <f>'Part IV-Uses of Funds'!G81</f>
        <v>0</v>
      </c>
      <c r="H495" s="1649"/>
      <c r="I495" s="1097"/>
      <c r="J495" s="1649">
        <f>'Part IV-Uses of Funds'!J81</f>
        <v>0</v>
      </c>
      <c r="K495" s="1649"/>
      <c r="L495" s="1110"/>
      <c r="M495" s="1649">
        <f>'Part IV-Uses of Funds'!M81</f>
        <v>0</v>
      </c>
      <c r="N495" s="1649"/>
      <c r="O495" s="1102"/>
      <c r="P495" s="1649">
        <f>'Part IV-Uses of Funds'!P81</f>
        <v>0</v>
      </c>
      <c r="Q495" s="1649"/>
      <c r="R495" s="1102"/>
      <c r="S495" s="1649">
        <f>'Part IV-Uses of Funds'!S81</f>
        <v>0</v>
      </c>
      <c r="T495" s="1649"/>
    </row>
    <row r="496" spans="1:20">
      <c r="A496" s="1102"/>
      <c r="B496" s="1102" t="s">
        <v>1353</v>
      </c>
      <c r="C496" s="1102"/>
      <c r="D496" s="887" t="s">
        <v>1493</v>
      </c>
      <c r="E496" s="895">
        <f>'Part IV-Uses of Funds'!E82</f>
        <v>0</v>
      </c>
      <c r="F496" s="1102"/>
      <c r="G496" s="1649">
        <f>'Part IV-Uses of Funds'!G82</f>
        <v>0</v>
      </c>
      <c r="H496" s="1649"/>
      <c r="I496" s="1097"/>
      <c r="J496" s="1649">
        <f>'Part IV-Uses of Funds'!J82</f>
        <v>0</v>
      </c>
      <c r="K496" s="1649"/>
      <c r="L496" s="1110"/>
      <c r="M496" s="1649">
        <f>'Part IV-Uses of Funds'!M82</f>
        <v>0</v>
      </c>
      <c r="N496" s="1649"/>
      <c r="O496" s="1102"/>
      <c r="P496" s="1649">
        <f>'Part IV-Uses of Funds'!P82</f>
        <v>0</v>
      </c>
      <c r="Q496" s="1649"/>
      <c r="R496" s="1102"/>
      <c r="S496" s="1649">
        <f>'Part IV-Uses of Funds'!S82</f>
        <v>0</v>
      </c>
      <c r="T496" s="1649"/>
    </row>
    <row r="497" spans="1:20">
      <c r="A497" s="1102"/>
      <c r="B497" s="1102"/>
      <c r="C497" s="1102"/>
      <c r="D497" s="1102"/>
      <c r="E497" s="1102"/>
      <c r="F497" s="878" t="s">
        <v>199</v>
      </c>
      <c r="G497" s="1649">
        <f>SUM(G493:H496)</f>
        <v>26617</v>
      </c>
      <c r="H497" s="1649"/>
      <c r="I497" s="1102"/>
      <c r="J497" s="1649">
        <f>SUM(J493:K496)</f>
        <v>0</v>
      </c>
      <c r="K497" s="1649"/>
      <c r="L497" s="1110"/>
      <c r="M497" s="1649">
        <f>SUM(M493:N496)</f>
        <v>0</v>
      </c>
      <c r="N497" s="1649"/>
      <c r="O497" s="1102"/>
      <c r="P497" s="1649">
        <f>SUM(P493:Q496)</f>
        <v>26617</v>
      </c>
      <c r="Q497" s="1649"/>
      <c r="R497" s="1102"/>
      <c r="S497" s="1649">
        <f>SUM(S493:T496)</f>
        <v>0</v>
      </c>
      <c r="T497" s="1649"/>
    </row>
    <row r="498" spans="1:20">
      <c r="A498" s="1102"/>
      <c r="B498" s="837" t="s">
        <v>774</v>
      </c>
      <c r="C498" s="1102"/>
      <c r="D498" s="1102"/>
      <c r="E498" s="1102"/>
      <c r="F498" s="1102"/>
      <c r="G498" s="1102"/>
      <c r="H498" s="1102"/>
      <c r="I498" s="1102"/>
      <c r="J498" s="1110"/>
      <c r="K498" s="1110"/>
      <c r="L498" s="1102"/>
      <c r="M498" s="1110"/>
      <c r="N498" s="1110"/>
      <c r="O498" s="1111" t="str">
        <f>B498</f>
        <v>PERMANENT FINANCING FEES</v>
      </c>
      <c r="P498" s="1110"/>
      <c r="Q498" s="1110"/>
      <c r="R498" s="1102"/>
      <c r="S498" s="1110"/>
      <c r="T498" s="1110"/>
    </row>
    <row r="499" spans="1:20">
      <c r="A499" s="1102"/>
      <c r="B499" s="1102" t="s">
        <v>1354</v>
      </c>
      <c r="C499" s="1102"/>
      <c r="D499" s="1102"/>
      <c r="E499" s="1102"/>
      <c r="F499" s="1102"/>
      <c r="G499" s="1649">
        <f>'Part IV-Uses of Funds'!G85</f>
        <v>0</v>
      </c>
      <c r="H499" s="1649"/>
      <c r="I499" s="1102"/>
      <c r="J499" s="1654"/>
      <c r="K499" s="1654"/>
      <c r="L499" s="1110"/>
      <c r="M499" s="1654"/>
      <c r="N499" s="1654"/>
      <c r="O499" s="1102"/>
      <c r="P499" s="1654"/>
      <c r="Q499" s="1654"/>
      <c r="R499" s="1102"/>
      <c r="S499" s="1649">
        <f>'Part IV-Uses of Funds'!S85</f>
        <v>0</v>
      </c>
      <c r="T499" s="1649"/>
    </row>
    <row r="500" spans="1:20">
      <c r="A500" s="1102"/>
      <c r="B500" s="1102" t="s">
        <v>1355</v>
      </c>
      <c r="C500" s="1102"/>
      <c r="D500" s="1102"/>
      <c r="E500" s="1102"/>
      <c r="F500" s="1102"/>
      <c r="G500" s="1649">
        <f>'Part IV-Uses of Funds'!G86</f>
        <v>0</v>
      </c>
      <c r="H500" s="1649"/>
      <c r="I500" s="1102"/>
      <c r="J500" s="1654"/>
      <c r="K500" s="1654"/>
      <c r="L500" s="1110"/>
      <c r="M500" s="1654"/>
      <c r="N500" s="1654"/>
      <c r="O500" s="1102"/>
      <c r="P500" s="1654"/>
      <c r="Q500" s="1654"/>
      <c r="R500" s="1102"/>
      <c r="S500" s="1649">
        <f>'Part IV-Uses of Funds'!S86</f>
        <v>0</v>
      </c>
      <c r="T500" s="1649"/>
    </row>
    <row r="501" spans="1:20">
      <c r="A501" s="1102"/>
      <c r="B501" s="1102" t="s">
        <v>1356</v>
      </c>
      <c r="C501" s="1102"/>
      <c r="D501" s="1102"/>
      <c r="E501" s="1102"/>
      <c r="F501" s="1102"/>
      <c r="G501" s="1649">
        <f>'Part IV-Uses of Funds'!G87</f>
        <v>10000</v>
      </c>
      <c r="H501" s="1649"/>
      <c r="I501" s="1102"/>
      <c r="J501" s="1654"/>
      <c r="K501" s="1654"/>
      <c r="L501" s="1110"/>
      <c r="M501" s="1654"/>
      <c r="N501" s="1654"/>
      <c r="O501" s="1102"/>
      <c r="P501" s="1654"/>
      <c r="Q501" s="1654"/>
      <c r="R501" s="1102"/>
      <c r="S501" s="1649">
        <f>'Part IV-Uses of Funds'!S87</f>
        <v>10000</v>
      </c>
      <c r="T501" s="1649"/>
    </row>
    <row r="502" spans="1:20">
      <c r="A502" s="1102"/>
      <c r="B502" s="1102" t="s">
        <v>1358</v>
      </c>
      <c r="C502" s="1102"/>
      <c r="D502" s="1102"/>
      <c r="E502" s="1102"/>
      <c r="F502" s="1102"/>
      <c r="G502" s="1649">
        <f>'Part IV-Uses of Funds'!G88</f>
        <v>0</v>
      </c>
      <c r="H502" s="1649"/>
      <c r="I502" s="1102"/>
      <c r="J502" s="1654"/>
      <c r="K502" s="1654"/>
      <c r="L502" s="1110"/>
      <c r="M502" s="1654"/>
      <c r="N502" s="1654"/>
      <c r="O502" s="1102"/>
      <c r="P502" s="1654"/>
      <c r="Q502" s="1654"/>
      <c r="R502" s="1102"/>
      <c r="S502" s="1649">
        <f>'Part IV-Uses of Funds'!S88</f>
        <v>0</v>
      </c>
      <c r="T502" s="1649"/>
    </row>
    <row r="503" spans="1:20">
      <c r="A503" s="1102"/>
      <c r="B503" s="1102" t="s">
        <v>2447</v>
      </c>
      <c r="C503" s="1102"/>
      <c r="D503" s="1102"/>
      <c r="E503" s="1102"/>
      <c r="F503" s="1102"/>
      <c r="G503" s="1649">
        <f>'Part IV-Uses of Funds'!G89</f>
        <v>0</v>
      </c>
      <c r="H503" s="1649"/>
      <c r="I503" s="1102"/>
      <c r="J503" s="1654"/>
      <c r="K503" s="1654"/>
      <c r="L503" s="1110"/>
      <c r="M503" s="1654"/>
      <c r="N503" s="1654"/>
      <c r="O503" s="1102"/>
      <c r="P503" s="1654"/>
      <c r="Q503" s="1654"/>
      <c r="R503" s="1102"/>
      <c r="S503" s="1649">
        <f>'Part IV-Uses of Funds'!S89</f>
        <v>0</v>
      </c>
      <c r="T503" s="1649"/>
    </row>
    <row r="504" spans="1:20" ht="15.75">
      <c r="A504" s="877" t="str">
        <f>IF(AND(G504&gt;0,OR(C504="",C504="&lt;Enter detailed description here; use Comments section if needed&gt;")),"X","")</f>
        <v/>
      </c>
      <c r="B504" s="1102" t="s">
        <v>791</v>
      </c>
      <c r="C504" s="1650" t="str">
        <f>'Part IV-Uses of Funds'!C90</f>
        <v>&lt;Enter detailed description here; use Comments section if needed&gt;</v>
      </c>
      <c r="D504" s="1650"/>
      <c r="E504" s="1650"/>
      <c r="F504" s="1650"/>
      <c r="G504" s="1649">
        <f>'Part IV-Uses of Funds'!G90</f>
        <v>0</v>
      </c>
      <c r="H504" s="1649"/>
      <c r="I504" s="1102"/>
      <c r="J504" s="1654"/>
      <c r="K504" s="1654"/>
      <c r="L504" s="1110"/>
      <c r="M504" s="1654"/>
      <c r="N504" s="1654"/>
      <c r="O504" s="1102"/>
      <c r="P504" s="1654"/>
      <c r="Q504" s="1654"/>
      <c r="R504" s="1102"/>
      <c r="S504" s="1649">
        <f>'Part IV-Uses of Funds'!S90</f>
        <v>0</v>
      </c>
      <c r="T504" s="1649"/>
    </row>
    <row r="505" spans="1:20">
      <c r="A505" s="1102"/>
      <c r="B505" s="1102"/>
      <c r="C505" s="1102"/>
      <c r="D505" s="1102"/>
      <c r="E505" s="1102"/>
      <c r="F505" s="878" t="s">
        <v>199</v>
      </c>
      <c r="G505" s="1649">
        <f>SUM(G499:H504)</f>
        <v>10000</v>
      </c>
      <c r="H505" s="1649"/>
      <c r="I505" s="1102"/>
      <c r="J505" s="1654"/>
      <c r="K505" s="1654"/>
      <c r="L505" s="1110"/>
      <c r="M505" s="1654"/>
      <c r="N505" s="1654"/>
      <c r="O505" s="1102"/>
      <c r="P505" s="1654"/>
      <c r="Q505" s="1654"/>
      <c r="R505" s="1102"/>
      <c r="S505" s="1649">
        <f>SUM(S499:T504)</f>
        <v>10000</v>
      </c>
      <c r="T505" s="1649"/>
    </row>
    <row r="506" spans="1:20">
      <c r="A506" s="1086"/>
      <c r="B506" s="1086"/>
      <c r="C506" s="1086"/>
      <c r="D506" s="1086"/>
      <c r="E506" s="1086"/>
      <c r="F506" s="1086"/>
      <c r="G506" s="1086"/>
      <c r="H506" s="1086"/>
      <c r="I506" s="1086"/>
      <c r="J506" s="1086"/>
      <c r="K506" s="1086"/>
      <c r="L506" s="1086"/>
      <c r="M506" s="1086"/>
      <c r="N506" s="1086"/>
      <c r="O506" s="1086"/>
      <c r="P506" s="1086"/>
      <c r="Q506" s="1086"/>
      <c r="R506" s="1086"/>
      <c r="S506" s="1086"/>
      <c r="T506" s="1086"/>
    </row>
    <row r="507" spans="1:20" ht="16.5">
      <c r="A507" s="875" t="s">
        <v>657</v>
      </c>
      <c r="B507" s="875" t="s">
        <v>3662</v>
      </c>
      <c r="C507" s="1102"/>
      <c r="D507" s="1102"/>
      <c r="E507" s="1102"/>
      <c r="F507" s="1102"/>
      <c r="G507" s="1102"/>
      <c r="H507" s="1102"/>
      <c r="I507" s="1102"/>
      <c r="J507" s="1652" t="s">
        <v>285</v>
      </c>
      <c r="K507" s="1652"/>
      <c r="L507" s="876"/>
      <c r="M507" s="1656" t="s">
        <v>520</v>
      </c>
      <c r="N507" s="1656"/>
      <c r="O507" s="1102"/>
      <c r="P507" s="1652" t="s">
        <v>286</v>
      </c>
      <c r="Q507" s="1652"/>
      <c r="R507" s="1102"/>
      <c r="S507" s="1652" t="s">
        <v>287</v>
      </c>
      <c r="T507" s="1652"/>
    </row>
    <row r="508" spans="1:20">
      <c r="A508" s="1102"/>
      <c r="B508" s="1102"/>
      <c r="C508" s="1102"/>
      <c r="D508" s="1102"/>
      <c r="E508" s="1102"/>
      <c r="F508" s="1102"/>
      <c r="G508" s="1657" t="s">
        <v>104</v>
      </c>
      <c r="H508" s="1657"/>
      <c r="I508" s="1102"/>
      <c r="J508" s="1652"/>
      <c r="K508" s="1652"/>
      <c r="L508" s="876"/>
      <c r="M508" s="1656"/>
      <c r="N508" s="1656"/>
      <c r="O508" s="1102"/>
      <c r="P508" s="1652"/>
      <c r="Q508" s="1652"/>
      <c r="R508" s="1102"/>
      <c r="S508" s="1652"/>
      <c r="T508" s="1652"/>
    </row>
    <row r="509" spans="1:20">
      <c r="A509" s="1102"/>
      <c r="B509" s="837" t="s">
        <v>775</v>
      </c>
      <c r="C509" s="1102"/>
      <c r="D509" s="1102"/>
      <c r="E509" s="1102"/>
      <c r="F509" s="1102"/>
      <c r="G509" s="1102"/>
      <c r="H509" s="1102"/>
      <c r="I509" s="1102"/>
      <c r="J509" s="1110"/>
      <c r="K509" s="1110"/>
      <c r="L509" s="1102"/>
      <c r="M509" s="1110"/>
      <c r="N509" s="1110"/>
      <c r="O509" s="1111" t="str">
        <f>B509</f>
        <v>DCA-RELATED COSTS</v>
      </c>
      <c r="P509" s="1110"/>
      <c r="Q509" s="1110"/>
      <c r="R509" s="1102"/>
      <c r="S509" s="1110"/>
      <c r="T509" s="1110"/>
    </row>
    <row r="510" spans="1:20">
      <c r="A510" s="1102"/>
      <c r="B510" s="1102" t="s">
        <v>1643</v>
      </c>
      <c r="C510" s="1102"/>
      <c r="D510" s="1102"/>
      <c r="E510" s="1102"/>
      <c r="F510" s="1102"/>
      <c r="G510" s="1649">
        <f>'Part IV-Uses of Funds'!G96</f>
        <v>0</v>
      </c>
      <c r="H510" s="1649"/>
      <c r="I510" s="1102"/>
      <c r="J510" s="1110"/>
      <c r="K510" s="1110"/>
      <c r="L510" s="1110"/>
      <c r="M510" s="1110"/>
      <c r="N510" s="1110"/>
      <c r="O510" s="1102"/>
      <c r="P510" s="1110"/>
      <c r="Q510" s="1110"/>
      <c r="R510" s="1102"/>
      <c r="S510" s="1649">
        <f>'Part IV-Uses of Funds'!S96</f>
        <v>0</v>
      </c>
      <c r="T510" s="1649"/>
    </row>
    <row r="511" spans="1:20">
      <c r="A511" s="1102"/>
      <c r="B511" s="1102" t="s">
        <v>1274</v>
      </c>
      <c r="C511" s="1102"/>
      <c r="D511" s="1102"/>
      <c r="E511" s="1102"/>
      <c r="F511" s="1102"/>
      <c r="G511" s="1649">
        <f>'Part IV-Uses of Funds'!G97</f>
        <v>6500</v>
      </c>
      <c r="H511" s="1649"/>
      <c r="I511" s="1102"/>
      <c r="J511" s="1110"/>
      <c r="K511" s="1110"/>
      <c r="L511" s="888"/>
      <c r="M511" s="1110"/>
      <c r="N511" s="1110"/>
      <c r="O511" s="1102"/>
      <c r="P511" s="1110"/>
      <c r="Q511" s="1110"/>
      <c r="R511" s="1102"/>
      <c r="S511" s="1649">
        <f>'Part IV-Uses of Funds'!S97</f>
        <v>6500</v>
      </c>
      <c r="T511" s="1649"/>
    </row>
    <row r="512" spans="1:20">
      <c r="A512" s="1102"/>
      <c r="B512" s="1102" t="s">
        <v>2918</v>
      </c>
      <c r="C512" s="1102"/>
      <c r="D512" s="1102"/>
      <c r="E512" s="1102"/>
      <c r="F512" s="1102"/>
      <c r="G512" s="1649">
        <f>'Part IV-Uses of Funds'!G98</f>
        <v>4000</v>
      </c>
      <c r="H512" s="1649"/>
      <c r="I512" s="1102"/>
      <c r="J512" s="1110"/>
      <c r="K512" s="1110"/>
      <c r="L512" s="888"/>
      <c r="M512" s="1110"/>
      <c r="N512" s="1110"/>
      <c r="O512" s="1102"/>
      <c r="P512" s="1110"/>
      <c r="Q512" s="1110"/>
      <c r="R512" s="1102"/>
      <c r="S512" s="1649">
        <f>'Part IV-Uses of Funds'!S98</f>
        <v>4000</v>
      </c>
      <c r="T512" s="1649"/>
    </row>
    <row r="513" spans="1:20">
      <c r="A513" s="1102"/>
      <c r="B513" s="1102" t="s">
        <v>552</v>
      </c>
      <c r="C513" s="1102"/>
      <c r="D513" s="1102"/>
      <c r="E513" s="1655">
        <f>'DCA Underwriting Assumptions'!$Q$40*$J$173</f>
        <v>0</v>
      </c>
      <c r="F513" s="1655"/>
      <c r="G513" s="1649">
        <f>'Part IV-Uses of Funds'!G99</f>
        <v>71049</v>
      </c>
      <c r="H513" s="1649"/>
      <c r="I513" s="1102"/>
      <c r="J513" s="1110"/>
      <c r="K513" s="1110"/>
      <c r="L513" s="1110"/>
      <c r="M513" s="1110"/>
      <c r="N513" s="1110"/>
      <c r="O513" s="1102"/>
      <c r="P513" s="1110"/>
      <c r="Q513" s="1110"/>
      <c r="R513" s="1102"/>
      <c r="S513" s="1649">
        <f>'Part IV-Uses of Funds'!S99</f>
        <v>71049</v>
      </c>
      <c r="T513" s="1649"/>
    </row>
    <row r="514" spans="1:20">
      <c r="A514" s="1102"/>
      <c r="B514" s="1102" t="s">
        <v>803</v>
      </c>
      <c r="C514" s="1102"/>
      <c r="D514" s="1102"/>
      <c r="E514" s="165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64900</v>
      </c>
      <c r="F514" s="1655"/>
      <c r="G514" s="1649">
        <f>'Part IV-Uses of Funds'!G100</f>
        <v>106900</v>
      </c>
      <c r="H514" s="1649"/>
      <c r="I514" s="1102"/>
      <c r="J514" s="1097"/>
      <c r="K514" s="1097"/>
      <c r="L514" s="1097"/>
      <c r="M514" s="1097"/>
      <c r="N514" s="1097"/>
      <c r="O514" s="1097"/>
      <c r="P514" s="1097"/>
      <c r="Q514" s="1097"/>
      <c r="R514" s="1102"/>
      <c r="S514" s="1649">
        <f>'Part IV-Uses of Funds'!S100</f>
        <v>106900</v>
      </c>
      <c r="T514" s="1649"/>
    </row>
    <row r="515" spans="1:20">
      <c r="A515" s="1102"/>
      <c r="B515" s="1102" t="s">
        <v>515</v>
      </c>
      <c r="C515" s="1102"/>
      <c r="D515" s="1102"/>
      <c r="E515" s="1102"/>
      <c r="F515" s="1102"/>
      <c r="G515" s="1649">
        <f>'Part IV-Uses of Funds'!G101</f>
        <v>2700</v>
      </c>
      <c r="H515" s="1649"/>
      <c r="I515" s="1102"/>
      <c r="J515" s="1097"/>
      <c r="K515" s="1097"/>
      <c r="L515" s="1097"/>
      <c r="M515" s="1097"/>
      <c r="N515" s="1097"/>
      <c r="O515" s="1097"/>
      <c r="P515" s="1097"/>
      <c r="Q515" s="1097"/>
      <c r="R515" s="1102"/>
      <c r="S515" s="1649">
        <f>'Part IV-Uses of Funds'!S101</f>
        <v>2700</v>
      </c>
      <c r="T515" s="1649"/>
    </row>
    <row r="516" spans="1:20">
      <c r="A516" s="1102"/>
      <c r="B516" s="1102" t="s">
        <v>2504</v>
      </c>
      <c r="C516" s="1102"/>
      <c r="D516" s="1102"/>
      <c r="E516" s="1102"/>
      <c r="F516" s="1102"/>
      <c r="G516" s="1649">
        <f>'Part IV-Uses of Funds'!G102</f>
        <v>3000</v>
      </c>
      <c r="H516" s="1649"/>
      <c r="I516" s="1102"/>
      <c r="J516" s="1097"/>
      <c r="K516" s="1097"/>
      <c r="L516" s="1097"/>
      <c r="M516" s="1097"/>
      <c r="N516" s="1097"/>
      <c r="O516" s="1097"/>
      <c r="P516" s="1097"/>
      <c r="Q516" s="1097"/>
      <c r="R516" s="1102"/>
      <c r="S516" s="1649">
        <f>'Part IV-Uses of Funds'!S102</f>
        <v>3000</v>
      </c>
      <c r="T516" s="1649"/>
    </row>
    <row r="517" spans="1:20" ht="15.75">
      <c r="A517" s="877" t="str">
        <f>IF(AND(G517&gt;0,OR(C517="",C517="&lt;Enter detailed description here; use Comments section if needed&gt;")),"X","")</f>
        <v/>
      </c>
      <c r="B517" s="1102" t="s">
        <v>791</v>
      </c>
      <c r="C517" s="1650" t="str">
        <f>'Part IV-Uses of Funds'!C103</f>
        <v>&lt;Enter detailed description here; use Comments section if needed&gt;</v>
      </c>
      <c r="D517" s="1650"/>
      <c r="E517" s="1650"/>
      <c r="F517" s="1650"/>
      <c r="G517" s="1649">
        <f>'Part IV-Uses of Funds'!G103</f>
        <v>0</v>
      </c>
      <c r="H517" s="1649"/>
      <c r="I517" s="1102"/>
      <c r="J517" s="1097"/>
      <c r="K517" s="1097"/>
      <c r="L517" s="1097"/>
      <c r="M517" s="1097"/>
      <c r="N517" s="1097"/>
      <c r="O517" s="1097"/>
      <c r="P517" s="1097"/>
      <c r="Q517" s="1097"/>
      <c r="R517" s="1102"/>
      <c r="S517" s="1649">
        <f>'Part IV-Uses of Funds'!S103</f>
        <v>0</v>
      </c>
      <c r="T517" s="1649"/>
    </row>
    <row r="518" spans="1:20" ht="15.75">
      <c r="A518" s="877" t="str">
        <f>IF(AND(G518&gt;0,OR(C518="",C518="&lt;Enter detailed description here; use Comments section if needed&gt;")),"X","")</f>
        <v/>
      </c>
      <c r="B518" s="1102" t="s">
        <v>791</v>
      </c>
      <c r="C518" s="1650" t="str">
        <f>'Part IV-Uses of Funds'!C104</f>
        <v>&lt;Enter detailed description here; use Comments section if needed&gt;</v>
      </c>
      <c r="D518" s="1650"/>
      <c r="E518" s="1650"/>
      <c r="F518" s="1650"/>
      <c r="G518" s="1649">
        <f>'Part IV-Uses of Funds'!G104</f>
        <v>0</v>
      </c>
      <c r="H518" s="1649"/>
      <c r="I518" s="1102"/>
      <c r="J518" s="1097"/>
      <c r="K518" s="1097"/>
      <c r="L518" s="1097"/>
      <c r="M518" s="1097"/>
      <c r="N518" s="1097"/>
      <c r="O518" s="1097"/>
      <c r="P518" s="1097"/>
      <c r="Q518" s="1097"/>
      <c r="R518" s="1102"/>
      <c r="S518" s="1649">
        <f>'Part IV-Uses of Funds'!S104</f>
        <v>0</v>
      </c>
      <c r="T518" s="1649"/>
    </row>
    <row r="519" spans="1:20">
      <c r="A519" s="1102"/>
      <c r="B519" s="1102"/>
      <c r="C519" s="1102"/>
      <c r="D519" s="1102"/>
      <c r="E519" s="1102"/>
      <c r="F519" s="878" t="s">
        <v>199</v>
      </c>
      <c r="G519" s="1649">
        <f>SUM(G510:H518)</f>
        <v>194149</v>
      </c>
      <c r="H519" s="1649"/>
      <c r="I519" s="1102"/>
      <c r="J519" s="1110"/>
      <c r="K519" s="1110"/>
      <c r="L519" s="1110"/>
      <c r="M519" s="1110"/>
      <c r="N519" s="1110"/>
      <c r="O519" s="1102"/>
      <c r="P519" s="1110"/>
      <c r="Q519" s="1110"/>
      <c r="R519" s="1102"/>
      <c r="S519" s="1649">
        <f>SUM(S510:T518)</f>
        <v>194149</v>
      </c>
      <c r="T519" s="1649"/>
    </row>
    <row r="520" spans="1:20">
      <c r="A520" s="1102"/>
      <c r="B520" s="837" t="s">
        <v>2448</v>
      </c>
      <c r="C520" s="1102"/>
      <c r="D520" s="1102"/>
      <c r="E520" s="1102"/>
      <c r="F520" s="1102"/>
      <c r="G520" s="1102"/>
      <c r="H520" s="1102"/>
      <c r="I520" s="1102"/>
      <c r="J520" s="1110"/>
      <c r="K520" s="1110"/>
      <c r="L520" s="1102"/>
      <c r="M520" s="1110"/>
      <c r="N520" s="1110"/>
      <c r="O520" s="1111" t="str">
        <f>B520</f>
        <v>EQUITY COSTS</v>
      </c>
      <c r="P520" s="1110"/>
      <c r="Q520" s="1110"/>
      <c r="R520" s="1102"/>
      <c r="S520" s="1110"/>
      <c r="T520" s="1110"/>
    </row>
    <row r="521" spans="1:20">
      <c r="A521" s="1102"/>
      <c r="B521" s="1102" t="s">
        <v>294</v>
      </c>
      <c r="C521" s="1102"/>
      <c r="D521" s="1102"/>
      <c r="E521" s="1102"/>
      <c r="F521" s="1102"/>
      <c r="G521" s="1649">
        <f>'Part IV-Uses of Funds'!G107</f>
        <v>5000</v>
      </c>
      <c r="H521" s="1649"/>
      <c r="I521" s="1102"/>
      <c r="J521" s="1654"/>
      <c r="K521" s="1654"/>
      <c r="L521" s="1110"/>
      <c r="M521" s="1654"/>
      <c r="N521" s="1654"/>
      <c r="O521" s="1102"/>
      <c r="P521" s="1654"/>
      <c r="Q521" s="1654"/>
      <c r="R521" s="1102"/>
      <c r="S521" s="1649">
        <f>'Part IV-Uses of Funds'!S107</f>
        <v>5000</v>
      </c>
      <c r="T521" s="1649"/>
    </row>
    <row r="522" spans="1:20">
      <c r="A522" s="1102"/>
      <c r="B522" s="1102" t="s">
        <v>296</v>
      </c>
      <c r="C522" s="1102"/>
      <c r="D522" s="1102"/>
      <c r="E522" s="1102"/>
      <c r="F522" s="1102"/>
      <c r="G522" s="1649">
        <f>'Part IV-Uses of Funds'!G108</f>
        <v>10000</v>
      </c>
      <c r="H522" s="1649"/>
      <c r="I522" s="1102"/>
      <c r="J522" s="1654"/>
      <c r="K522" s="1654"/>
      <c r="L522" s="1110"/>
      <c r="M522" s="1654"/>
      <c r="N522" s="1654"/>
      <c r="O522" s="1102"/>
      <c r="P522" s="1654"/>
      <c r="Q522" s="1654"/>
      <c r="R522" s="1102"/>
      <c r="S522" s="1649">
        <f>'Part IV-Uses of Funds'!S108</f>
        <v>10000</v>
      </c>
      <c r="T522" s="1649"/>
    </row>
    <row r="523" spans="1:20">
      <c r="A523" s="1102"/>
      <c r="B523" s="1102" t="s">
        <v>2542</v>
      </c>
      <c r="C523" s="1102"/>
      <c r="D523" s="1102"/>
      <c r="E523" s="1102"/>
      <c r="F523" s="1102"/>
      <c r="G523" s="1649">
        <f>'Part IV-Uses of Funds'!G109</f>
        <v>40000</v>
      </c>
      <c r="H523" s="1649"/>
      <c r="I523" s="1102"/>
      <c r="J523" s="1654"/>
      <c r="K523" s="1654"/>
      <c r="L523" s="1110"/>
      <c r="M523" s="1654"/>
      <c r="N523" s="1654"/>
      <c r="O523" s="1102"/>
      <c r="P523" s="1654"/>
      <c r="Q523" s="1654"/>
      <c r="R523" s="1102"/>
      <c r="S523" s="1649">
        <f>'Part IV-Uses of Funds'!S109</f>
        <v>40000</v>
      </c>
      <c r="T523" s="1649"/>
    </row>
    <row r="524" spans="1:20" ht="15.75">
      <c r="A524" s="877" t="str">
        <f>IF(AND(G524&gt;0,OR(C524="",C524="&lt;Enter detailed description here; use Comments section if needed&gt;")),"X","")</f>
        <v/>
      </c>
      <c r="B524" s="1102" t="s">
        <v>791</v>
      </c>
      <c r="C524" s="1650" t="str">
        <f>'Part IV-Uses of Funds'!C110</f>
        <v>&lt;Enter detailed description here; use Comments section if needed&gt;</v>
      </c>
      <c r="D524" s="1650"/>
      <c r="E524" s="1650"/>
      <c r="F524" s="1650"/>
      <c r="G524" s="1649">
        <f>'Part IV-Uses of Funds'!G110</f>
        <v>0</v>
      </c>
      <c r="H524" s="1649"/>
      <c r="I524" s="1102"/>
      <c r="J524" s="1654"/>
      <c r="K524" s="1654"/>
      <c r="L524" s="1110"/>
      <c r="M524" s="1654"/>
      <c r="N524" s="1654"/>
      <c r="O524" s="1102"/>
      <c r="P524" s="1654"/>
      <c r="Q524" s="1654"/>
      <c r="R524" s="1102"/>
      <c r="S524" s="1649">
        <f>'Part IV-Uses of Funds'!S110</f>
        <v>0</v>
      </c>
      <c r="T524" s="1649"/>
    </row>
    <row r="525" spans="1:20">
      <c r="A525" s="1102"/>
      <c r="B525" s="1102"/>
      <c r="C525" s="1102"/>
      <c r="D525" s="1102"/>
      <c r="E525" s="1102"/>
      <c r="F525" s="878" t="s">
        <v>199</v>
      </c>
      <c r="G525" s="1649">
        <f>SUM(G521:H524)</f>
        <v>55000</v>
      </c>
      <c r="H525" s="1649"/>
      <c r="I525" s="1102"/>
      <c r="J525" s="1654"/>
      <c r="K525" s="1654"/>
      <c r="L525" s="1110"/>
      <c r="M525" s="1654"/>
      <c r="N525" s="1654"/>
      <c r="O525" s="1102"/>
      <c r="P525" s="1654"/>
      <c r="Q525" s="1654"/>
      <c r="R525" s="1102"/>
      <c r="S525" s="1649">
        <f>SUM(S521:T524)</f>
        <v>55000</v>
      </c>
      <c r="T525" s="1649"/>
    </row>
    <row r="526" spans="1:20">
      <c r="A526" s="1102"/>
      <c r="B526" s="837" t="s">
        <v>297</v>
      </c>
      <c r="C526" s="1102"/>
      <c r="D526" s="1102"/>
      <c r="E526" s="1102"/>
      <c r="F526" s="1102"/>
      <c r="G526" s="1102"/>
      <c r="H526" s="1102"/>
      <c r="I526" s="1102"/>
      <c r="J526" s="1110"/>
      <c r="K526" s="876"/>
      <c r="L526" s="1102"/>
      <c r="M526" s="1110"/>
      <c r="N526" s="876"/>
      <c r="O526" s="1111" t="str">
        <f>B526</f>
        <v>DEVELOPER'S FEE</v>
      </c>
      <c r="P526" s="1110"/>
      <c r="Q526" s="876"/>
      <c r="R526" s="1102"/>
      <c r="S526" s="1110"/>
      <c r="T526" s="876"/>
    </row>
    <row r="527" spans="1:20">
      <c r="A527" s="1102"/>
      <c r="B527" s="1102" t="s">
        <v>1989</v>
      </c>
      <c r="C527" s="1102"/>
      <c r="D527" s="1102"/>
      <c r="E527" s="1102"/>
      <c r="F527" s="869" t="e">
        <f>G527/$G$116</f>
        <v>#DIV/0!</v>
      </c>
      <c r="G527" s="1649">
        <f>'Part IV-Uses of Funds'!G113</f>
        <v>1423000</v>
      </c>
      <c r="H527" s="1649"/>
      <c r="I527" s="1102"/>
      <c r="J527" s="1649">
        <f>'Part IV-Uses of Funds'!J113</f>
        <v>0</v>
      </c>
      <c r="K527" s="1649"/>
      <c r="L527" s="1111"/>
      <c r="M527" s="1649">
        <f>'Part IV-Uses of Funds'!M113</f>
        <v>0</v>
      </c>
      <c r="N527" s="1649"/>
      <c r="O527" s="1102"/>
      <c r="P527" s="1649">
        <f>'Part IV-Uses of Funds'!P113</f>
        <v>1423000</v>
      </c>
      <c r="Q527" s="1649"/>
      <c r="R527" s="1102"/>
      <c r="S527" s="1649">
        <f>'Part IV-Uses of Funds'!S113</f>
        <v>0</v>
      </c>
      <c r="T527" s="1649"/>
    </row>
    <row r="528" spans="1:20">
      <c r="A528" s="1102"/>
      <c r="B528" s="1102" t="s">
        <v>1990</v>
      </c>
      <c r="C528" s="1102"/>
      <c r="D528" s="1102"/>
      <c r="E528" s="1102"/>
      <c r="F528" s="869" t="e">
        <f>G528/$G$116</f>
        <v>#DIV/0!</v>
      </c>
      <c r="G528" s="1649">
        <f>'Part IV-Uses of Funds'!G114</f>
        <v>0</v>
      </c>
      <c r="H528" s="1649"/>
      <c r="I528" s="1102"/>
      <c r="J528" s="1649">
        <f>'Part IV-Uses of Funds'!J114</f>
        <v>0</v>
      </c>
      <c r="K528" s="1649"/>
      <c r="L528" s="1110"/>
      <c r="M528" s="1649">
        <f>'Part IV-Uses of Funds'!M114</f>
        <v>0</v>
      </c>
      <c r="N528" s="1649"/>
      <c r="O528" s="1102"/>
      <c r="P528" s="1649">
        <f>'Part IV-Uses of Funds'!P114</f>
        <v>0</v>
      </c>
      <c r="Q528" s="1649"/>
      <c r="R528" s="1102"/>
      <c r="S528" s="1649">
        <f>'Part IV-Uses of Funds'!S114</f>
        <v>0</v>
      </c>
      <c r="T528" s="1649"/>
    </row>
    <row r="529" spans="1:20">
      <c r="A529" s="1102"/>
      <c r="B529" s="1102" t="s">
        <v>1982</v>
      </c>
      <c r="C529" s="1102"/>
      <c r="D529" s="1102"/>
      <c r="E529" s="1102"/>
      <c r="F529" s="869" t="e">
        <f>G529/$G$116</f>
        <v>#DIV/0!</v>
      </c>
      <c r="G529" s="1649">
        <f>'Part IV-Uses of Funds'!G115</f>
        <v>0</v>
      </c>
      <c r="H529" s="1649"/>
      <c r="I529" s="1102"/>
      <c r="J529" s="1649">
        <f>'Part IV-Uses of Funds'!J115</f>
        <v>0</v>
      </c>
      <c r="K529" s="1649"/>
      <c r="L529" s="1110"/>
      <c r="M529" s="1649">
        <f>'Part IV-Uses of Funds'!M115</f>
        <v>0</v>
      </c>
      <c r="N529" s="1649"/>
      <c r="O529" s="1102"/>
      <c r="P529" s="1649">
        <f>'Part IV-Uses of Funds'!P115</f>
        <v>0</v>
      </c>
      <c r="Q529" s="1649"/>
      <c r="R529" s="1102"/>
      <c r="S529" s="1649">
        <f>'Part IV-Uses of Funds'!S115</f>
        <v>0</v>
      </c>
      <c r="T529" s="1649"/>
    </row>
    <row r="530" spans="1:20">
      <c r="A530" s="1102"/>
      <c r="B530" s="1102"/>
      <c r="C530" s="836" t="str">
        <f>IF(G530&lt;='DCA Underwriting Assumptions'!$Q$48,"","Developer Fee exceeds DCA Program Maximum !!!")</f>
        <v/>
      </c>
      <c r="D530" s="1102"/>
      <c r="E530" s="1102"/>
      <c r="F530" s="878" t="s">
        <v>199</v>
      </c>
      <c r="G530" s="1649">
        <f>SUM(G527:H529)</f>
        <v>1423000</v>
      </c>
      <c r="H530" s="1649"/>
      <c r="I530" s="1102"/>
      <c r="J530" s="1649">
        <f>SUM(J527:K529)</f>
        <v>0</v>
      </c>
      <c r="K530" s="1649"/>
      <c r="L530" s="1110"/>
      <c r="M530" s="1649">
        <f>SUM(M527:N529)</f>
        <v>0</v>
      </c>
      <c r="N530" s="1649"/>
      <c r="O530" s="1102"/>
      <c r="P530" s="1649">
        <f>SUM(P527:Q529)</f>
        <v>1423000</v>
      </c>
      <c r="Q530" s="1649"/>
      <c r="R530" s="1102"/>
      <c r="S530" s="1649">
        <f>SUM(S527:T529)</f>
        <v>0</v>
      </c>
      <c r="T530" s="1649"/>
    </row>
    <row r="531" spans="1:20">
      <c r="A531" s="1102"/>
      <c r="B531" s="837" t="s">
        <v>1395</v>
      </c>
      <c r="C531" s="1102"/>
      <c r="D531" s="1102"/>
      <c r="E531" s="1102"/>
      <c r="F531" s="1102"/>
      <c r="G531" s="1102"/>
      <c r="H531" s="1102"/>
      <c r="I531" s="1102"/>
      <c r="J531" s="876"/>
      <c r="K531" s="876"/>
      <c r="L531" s="1102"/>
      <c r="M531" s="876"/>
      <c r="N531" s="876"/>
      <c r="O531" s="1111" t="str">
        <f>B531</f>
        <v>START-UP AND RESERVES</v>
      </c>
      <c r="P531" s="876"/>
      <c r="Q531" s="876"/>
      <c r="R531" s="1102"/>
      <c r="S531" s="876"/>
      <c r="T531" s="876"/>
    </row>
    <row r="532" spans="1:20">
      <c r="A532" s="1102"/>
      <c r="B532" s="1102" t="s">
        <v>264</v>
      </c>
      <c r="C532" s="1102"/>
      <c r="D532" s="1102"/>
      <c r="E532" s="1102"/>
      <c r="F532" s="1102"/>
      <c r="G532" s="1649">
        <f>'Part IV-Uses of Funds'!G118</f>
        <v>20000</v>
      </c>
      <c r="H532" s="1649"/>
      <c r="I532" s="1102"/>
      <c r="J532" s="888"/>
      <c r="K532" s="888"/>
      <c r="L532" s="888"/>
      <c r="M532" s="888"/>
      <c r="N532" s="888"/>
      <c r="O532" s="1102"/>
      <c r="P532" s="888"/>
      <c r="Q532" s="888"/>
      <c r="R532" s="1102"/>
      <c r="S532" s="1649">
        <f>'Part IV-Uses of Funds'!S118</f>
        <v>20000</v>
      </c>
      <c r="T532" s="1649"/>
    </row>
    <row r="533" spans="1:20">
      <c r="A533" s="1102"/>
      <c r="B533" s="1102" t="s">
        <v>1642</v>
      </c>
      <c r="C533" s="1102"/>
      <c r="D533" s="1102"/>
      <c r="E533" s="1102"/>
      <c r="F533" s="889">
        <f>+'Part VI-Revenues &amp; Expenses'!P571*('DCA Underwriting Assumptions'!$Q$60/12)</f>
        <v>0</v>
      </c>
      <c r="G533" s="1649">
        <f>'Part IV-Uses of Funds'!G119</f>
        <v>79755</v>
      </c>
      <c r="H533" s="1649"/>
      <c r="I533" s="1102"/>
      <c r="J533" s="1654"/>
      <c r="K533" s="1654"/>
      <c r="L533" s="1110"/>
      <c r="M533" s="1654"/>
      <c r="N533" s="1654"/>
      <c r="O533" s="1102"/>
      <c r="P533" s="1654"/>
      <c r="Q533" s="1654"/>
      <c r="R533" s="1102"/>
      <c r="S533" s="1649">
        <f>'Part IV-Uses of Funds'!S119</f>
        <v>79755</v>
      </c>
      <c r="T533" s="1649"/>
    </row>
    <row r="534" spans="1:20">
      <c r="A534" s="1102"/>
      <c r="B534" s="1102" t="s">
        <v>724</v>
      </c>
      <c r="C534" s="1102"/>
      <c r="D534" s="1102"/>
      <c r="E534" s="1102"/>
      <c r="F534" s="890">
        <f>'Part VI-Revenues &amp; Expenses'!P571*('DCA Underwriting Assumptions'!Q473/12)+('Part VII-Pro Forma'!B437+'Part VII-Pro Forma'!B438+'Part VII-Pro Forma'!B439+'Part VII-Pro Forma'!B440)*'DCA Underwriting Assumptions'!Q472/(-12)</f>
        <v>0</v>
      </c>
      <c r="G534" s="1649">
        <f>'Part IV-Uses of Funds'!G120</f>
        <v>210000</v>
      </c>
      <c r="H534" s="1649"/>
      <c r="I534" s="1102"/>
      <c r="J534" s="888"/>
      <c r="K534" s="888"/>
      <c r="L534" s="888"/>
      <c r="M534" s="888"/>
      <c r="N534" s="888"/>
      <c r="O534" s="1102"/>
      <c r="P534" s="888"/>
      <c r="Q534" s="888"/>
      <c r="R534" s="1102"/>
      <c r="S534" s="1649">
        <f>'Part IV-Uses of Funds'!S120</f>
        <v>210000</v>
      </c>
      <c r="T534" s="1649"/>
    </row>
    <row r="535" spans="1:20">
      <c r="A535" s="1102"/>
      <c r="B535" s="1102" t="s">
        <v>1322</v>
      </c>
      <c r="C535" s="1102"/>
      <c r="D535" s="1102"/>
      <c r="E535" s="1102"/>
      <c r="F535" s="1102"/>
      <c r="G535" s="1649">
        <f>'Part IV-Uses of Funds'!G121</f>
        <v>220500</v>
      </c>
      <c r="H535" s="1649"/>
      <c r="I535" s="1102"/>
      <c r="J535" s="888"/>
      <c r="K535" s="888"/>
      <c r="L535" s="888"/>
      <c r="M535" s="888"/>
      <c r="N535" s="888"/>
      <c r="O535" s="1102"/>
      <c r="P535" s="888"/>
      <c r="Q535" s="888"/>
      <c r="R535" s="1102"/>
      <c r="S535" s="1649">
        <f>'Part IV-Uses of Funds'!S121</f>
        <v>220500</v>
      </c>
      <c r="T535" s="1649"/>
    </row>
    <row r="536" spans="1:20">
      <c r="A536" s="1102"/>
      <c r="B536" s="1102" t="s">
        <v>1323</v>
      </c>
      <c r="C536" s="1102"/>
      <c r="D536" s="1102"/>
      <c r="E536" s="1102" t="s">
        <v>3139</v>
      </c>
      <c r="F536" s="891">
        <f>G536/'Part VI-Revenues &amp; Expenses'!$M$62</f>
        <v>666.66666666666663</v>
      </c>
      <c r="G536" s="1649">
        <f>'Part IV-Uses of Funds'!G122</f>
        <v>50000</v>
      </c>
      <c r="H536" s="1649"/>
      <c r="I536" s="1102"/>
      <c r="J536" s="1649">
        <f>'Part IV-Uses of Funds'!J122</f>
        <v>0</v>
      </c>
      <c r="K536" s="1649"/>
      <c r="L536" s="1110"/>
      <c r="M536" s="1649">
        <f>'Part IV-Uses of Funds'!M122</f>
        <v>0</v>
      </c>
      <c r="N536" s="1649"/>
      <c r="O536" s="1102"/>
      <c r="P536" s="1649">
        <f>'Part IV-Uses of Funds'!P122</f>
        <v>50000</v>
      </c>
      <c r="Q536" s="1649"/>
      <c r="R536" s="1102"/>
      <c r="S536" s="1649">
        <f>'Part IV-Uses of Funds'!S122</f>
        <v>0</v>
      </c>
      <c r="T536" s="1649"/>
    </row>
    <row r="537" spans="1:20" ht="15.75">
      <c r="A537" s="877" t="str">
        <f>IF(AND(G537&gt;0,OR(C537="",C537="&lt;Enter detailed description here; use Comments section if needed&gt;")),"X","")</f>
        <v/>
      </c>
      <c r="B537" s="1102" t="s">
        <v>791</v>
      </c>
      <c r="C537" s="1650" t="str">
        <f>'Part IV-Uses of Funds'!C123</f>
        <v>&lt;Enter detailed description here; use Comments section if needed&gt;</v>
      </c>
      <c r="D537" s="1650"/>
      <c r="E537" s="1650"/>
      <c r="F537" s="1650"/>
      <c r="G537" s="1649">
        <f>'Part IV-Uses of Funds'!G123</f>
        <v>0</v>
      </c>
      <c r="H537" s="1649"/>
      <c r="I537" s="1102"/>
      <c r="J537" s="1649">
        <f>'Part IV-Uses of Funds'!J123</f>
        <v>0</v>
      </c>
      <c r="K537" s="1649"/>
      <c r="L537" s="1110"/>
      <c r="M537" s="1649">
        <f>'Part IV-Uses of Funds'!M123</f>
        <v>0</v>
      </c>
      <c r="N537" s="1649"/>
      <c r="O537" s="1102"/>
      <c r="P537" s="1649">
        <f>'Part IV-Uses of Funds'!P123</f>
        <v>0</v>
      </c>
      <c r="Q537" s="1649"/>
      <c r="R537" s="1102"/>
      <c r="S537" s="1649">
        <f>'Part IV-Uses of Funds'!S123</f>
        <v>0</v>
      </c>
      <c r="T537" s="1649"/>
    </row>
    <row r="538" spans="1:20">
      <c r="A538" s="1102"/>
      <c r="B538" s="892"/>
      <c r="C538" s="1102"/>
      <c r="D538" s="1102"/>
      <c r="E538" s="1102"/>
      <c r="F538" s="878" t="s">
        <v>199</v>
      </c>
      <c r="G538" s="1649">
        <f>SUM(G532:H537)</f>
        <v>580255</v>
      </c>
      <c r="H538" s="1649"/>
      <c r="I538" s="1102"/>
      <c r="J538" s="1649">
        <f>SUM(J536:K537)</f>
        <v>0</v>
      </c>
      <c r="K538" s="1649"/>
      <c r="L538" s="1110"/>
      <c r="M538" s="1649">
        <f>SUM(M536:N537)</f>
        <v>0</v>
      </c>
      <c r="N538" s="1649"/>
      <c r="O538" s="1102"/>
      <c r="P538" s="1649">
        <f>SUM(P536:Q537)</f>
        <v>50000</v>
      </c>
      <c r="Q538" s="1649"/>
      <c r="R538" s="1102"/>
      <c r="S538" s="1649">
        <f>SUM(S532:T537)</f>
        <v>530255</v>
      </c>
      <c r="T538" s="1649"/>
    </row>
    <row r="539" spans="1:20">
      <c r="A539" s="1102"/>
      <c r="B539" s="837" t="s">
        <v>651</v>
      </c>
      <c r="C539" s="1087"/>
      <c r="D539" s="1102"/>
      <c r="E539" s="1102"/>
      <c r="F539" s="1102"/>
      <c r="G539" s="1102"/>
      <c r="H539" s="893"/>
      <c r="I539" s="893"/>
      <c r="J539" s="876"/>
      <c r="K539" s="876"/>
      <c r="L539" s="1102"/>
      <c r="M539" s="876"/>
      <c r="N539" s="876"/>
      <c r="O539" s="1111" t="str">
        <f>B539</f>
        <v>OTHER COSTS</v>
      </c>
      <c r="P539" s="876"/>
      <c r="Q539" s="876"/>
      <c r="R539" s="1102"/>
      <c r="S539" s="876"/>
      <c r="T539" s="876"/>
    </row>
    <row r="540" spans="1:20">
      <c r="A540" s="1102"/>
      <c r="B540" s="1102" t="s">
        <v>652</v>
      </c>
      <c r="C540" s="1087"/>
      <c r="D540" s="1102"/>
      <c r="E540" s="1102"/>
      <c r="F540" s="1102"/>
      <c r="G540" s="1649">
        <f>'Part IV-Uses of Funds'!G126</f>
        <v>75000</v>
      </c>
      <c r="H540" s="1649"/>
      <c r="I540" s="1102"/>
      <c r="J540" s="1649">
        <f>'Part IV-Uses of Funds'!J126</f>
        <v>0</v>
      </c>
      <c r="K540" s="1649"/>
      <c r="L540" s="1111"/>
      <c r="M540" s="1649">
        <f>'Part IV-Uses of Funds'!M126</f>
        <v>0</v>
      </c>
      <c r="N540" s="1649"/>
      <c r="O540" s="1102"/>
      <c r="P540" s="1649">
        <f>'Part IV-Uses of Funds'!P126</f>
        <v>75000</v>
      </c>
      <c r="Q540" s="1649"/>
      <c r="R540" s="1102"/>
      <c r="S540" s="1649">
        <f>'Part IV-Uses of Funds'!S126</f>
        <v>0</v>
      </c>
      <c r="T540" s="1649"/>
    </row>
    <row r="541" spans="1:20" ht="14.25" customHeight="1">
      <c r="A541" s="877" t="str">
        <f>IF(AND(G541&gt;0,OR(C541="",C541="&lt;Enter detailed description here; use Comments section if needed&gt;")),"X","")</f>
        <v/>
      </c>
      <c r="B541" s="1102" t="s">
        <v>791</v>
      </c>
      <c r="C541" s="1650" t="str">
        <f>'Part IV-Uses of Funds'!C127</f>
        <v>&lt;Enter detailed description here; use Comments section if needed&gt;</v>
      </c>
      <c r="D541" s="1650"/>
      <c r="E541" s="1650"/>
      <c r="F541" s="1650"/>
      <c r="G541" s="1649">
        <f>'Part IV-Uses of Funds'!G127</f>
        <v>0</v>
      </c>
      <c r="H541" s="1649"/>
      <c r="I541" s="1102"/>
      <c r="J541" s="1649">
        <f>'Part IV-Uses of Funds'!J127</f>
        <v>0</v>
      </c>
      <c r="K541" s="1649"/>
      <c r="L541" s="1110"/>
      <c r="M541" s="1649">
        <f>'Part IV-Uses of Funds'!M127</f>
        <v>0</v>
      </c>
      <c r="N541" s="1649"/>
      <c r="O541" s="1102"/>
      <c r="P541" s="1649">
        <f>'Part IV-Uses of Funds'!P127</f>
        <v>0</v>
      </c>
      <c r="Q541" s="1649"/>
      <c r="R541" s="1102"/>
      <c r="S541" s="1649">
        <f>'Part IV-Uses of Funds'!S127</f>
        <v>0</v>
      </c>
      <c r="T541" s="1649"/>
    </row>
    <row r="542" spans="1:20">
      <c r="A542" s="1102"/>
      <c r="B542" s="1102"/>
      <c r="C542" s="1087"/>
      <c r="D542" s="1102"/>
      <c r="E542" s="1102"/>
      <c r="F542" s="878" t="s">
        <v>199</v>
      </c>
      <c r="G542" s="1649">
        <f>SUM(G540:H541)</f>
        <v>75000</v>
      </c>
      <c r="H542" s="1649"/>
      <c r="I542" s="1102"/>
      <c r="J542" s="1649">
        <f>SUM(J540:K541)</f>
        <v>0</v>
      </c>
      <c r="K542" s="1649"/>
      <c r="L542" s="1110"/>
      <c r="M542" s="1649">
        <f>SUM(M540:N541)</f>
        <v>0</v>
      </c>
      <c r="N542" s="1649"/>
      <c r="O542" s="1102"/>
      <c r="P542" s="1649">
        <f>SUM(P540:Q541)</f>
        <v>75000</v>
      </c>
      <c r="Q542" s="1649"/>
      <c r="R542" s="1102"/>
      <c r="S542" s="1649">
        <f>SUM(S540:T541)</f>
        <v>0</v>
      </c>
      <c r="T542" s="1649"/>
    </row>
    <row r="543" spans="1:20">
      <c r="A543" s="1102"/>
      <c r="B543" s="1102"/>
      <c r="C543" s="1087"/>
      <c r="D543" s="1102"/>
      <c r="E543" s="1102"/>
      <c r="F543" s="1102"/>
      <c r="G543" s="1102"/>
      <c r="H543" s="893"/>
      <c r="I543" s="893"/>
      <c r="J543" s="1102"/>
      <c r="K543" s="1102"/>
      <c r="L543" s="1102"/>
      <c r="M543" s="1102"/>
      <c r="N543" s="1102"/>
      <c r="O543" s="1102"/>
      <c r="P543" s="1102"/>
      <c r="Q543" s="1102"/>
      <c r="R543" s="1102"/>
      <c r="S543" s="1102"/>
      <c r="T543" s="1102"/>
    </row>
    <row r="544" spans="1:20">
      <c r="A544" s="1102"/>
      <c r="B544" s="836" t="s">
        <v>3663</v>
      </c>
      <c r="C544" s="1102"/>
      <c r="D544" s="1102"/>
      <c r="E544" s="1102"/>
      <c r="F544" s="1102"/>
      <c r="G544" s="1653">
        <f>G431+G437+G441+G447+G452+G455+G461+G478+G491+G497+G505+G519+G525+G530+G538+G542</f>
        <v>11249495</v>
      </c>
      <c r="H544" s="1653"/>
      <c r="I544" s="1102"/>
      <c r="J544" s="1653">
        <f>J431+J437+J441+J447+J452+J455+J461+J478+J491+J497+J505+J519+J525+J530+J538+J542</f>
        <v>0</v>
      </c>
      <c r="K544" s="1653"/>
      <c r="L544" s="1102"/>
      <c r="M544" s="1653">
        <f>M431+M437+M441+M447+M452+M455+M461+M478+M491+M497+M505+M519+M525+M530+M538+M542</f>
        <v>1347093</v>
      </c>
      <c r="N544" s="1653"/>
      <c r="O544" s="1102"/>
      <c r="P544" s="1653">
        <f>P431+P437+P441+P447+P452+P455+P461+P478+P491+P497+P505+P519+P525+P530+P538+P542</f>
        <v>9055998</v>
      </c>
      <c r="Q544" s="1653"/>
      <c r="R544" s="1102"/>
      <c r="S544" s="1653">
        <f>S431+S437+S441+S447+S452+S455+S461+S478+S491+S497+S505+S519+S525+S530+S538+S542</f>
        <v>846404</v>
      </c>
      <c r="T544" s="1653"/>
    </row>
    <row r="545" spans="1:20">
      <c r="A545" s="1102"/>
      <c r="B545" s="1102"/>
      <c r="C545" s="1087"/>
      <c r="D545" s="1102"/>
      <c r="E545" s="1102"/>
      <c r="F545" s="1102"/>
      <c r="G545" s="1102"/>
      <c r="H545" s="893"/>
      <c r="I545" s="893"/>
      <c r="J545" s="1102"/>
      <c r="K545" s="1102"/>
      <c r="L545" s="1102"/>
      <c r="M545" s="1102"/>
      <c r="N545" s="1102"/>
      <c r="O545" s="1102"/>
      <c r="P545" s="1102"/>
      <c r="Q545" s="1102"/>
      <c r="R545" s="1102"/>
      <c r="S545" s="1102"/>
      <c r="T545" s="1102"/>
    </row>
    <row r="546" spans="1:20">
      <c r="A546" s="1102"/>
      <c r="B546" s="894" t="s">
        <v>3664</v>
      </c>
      <c r="C546" s="884"/>
      <c r="D546" s="1651">
        <f>G544/'Part VI-Revenues &amp; Expenses'!$M$62</f>
        <v>149993.26666666666</v>
      </c>
      <c r="E546" s="1651"/>
      <c r="F546" s="895" t="s">
        <v>3153</v>
      </c>
      <c r="G546" s="1651">
        <f>G544/'Part VI-Revenues &amp; Expenses'!$M$100</f>
        <v>149.40758891810768</v>
      </c>
      <c r="H546" s="1651"/>
      <c r="I546" s="1105"/>
      <c r="J546" s="1102"/>
      <c r="K546" s="1102"/>
      <c r="L546" s="1102"/>
      <c r="M546" s="1102"/>
      <c r="N546" s="1102"/>
      <c r="O546" s="1102"/>
      <c r="P546" s="1102"/>
      <c r="Q546" s="1102"/>
      <c r="R546" s="1102"/>
      <c r="S546" s="1102"/>
      <c r="T546" s="1102"/>
    </row>
    <row r="547" spans="1:20">
      <c r="A547" s="1102"/>
      <c r="B547" s="1102"/>
      <c r="C547" s="1102"/>
      <c r="D547" s="1102"/>
      <c r="E547" s="1102"/>
      <c r="F547" s="1102"/>
      <c r="G547" s="1102"/>
      <c r="H547" s="1102"/>
      <c r="I547" s="1105"/>
      <c r="J547" s="1102"/>
      <c r="K547" s="1102"/>
      <c r="L547" s="1105"/>
      <c r="M547" s="1102"/>
      <c r="N547" s="1102"/>
      <c r="O547" s="1102"/>
      <c r="P547" s="1102"/>
      <c r="Q547" s="1102"/>
      <c r="R547" s="1102"/>
      <c r="S547" s="1102"/>
      <c r="T547" s="1102"/>
    </row>
    <row r="548" spans="1:20">
      <c r="A548" s="1102"/>
      <c r="B548" s="1102"/>
      <c r="C548" s="1102"/>
      <c r="D548" s="1087"/>
      <c r="E548" s="1087"/>
      <c r="F548" s="1102"/>
      <c r="G548" s="1102"/>
      <c r="H548" s="1102"/>
      <c r="I548" s="893"/>
      <c r="J548" s="893"/>
      <c r="K548" s="896"/>
      <c r="L548" s="1087"/>
      <c r="M548" s="1102"/>
      <c r="N548" s="1102"/>
      <c r="O548" s="1102"/>
      <c r="P548" s="1102"/>
      <c r="Q548" s="1102"/>
      <c r="R548" s="1102"/>
      <c r="S548" s="1102"/>
      <c r="T548" s="1102"/>
    </row>
    <row r="549" spans="1:20" ht="16.5">
      <c r="A549" s="875" t="s">
        <v>790</v>
      </c>
      <c r="B549" s="897" t="s">
        <v>1520</v>
      </c>
      <c r="C549" s="1086"/>
      <c r="D549" s="1110"/>
      <c r="E549" s="1110"/>
      <c r="F549" s="1110"/>
      <c r="G549" s="1102"/>
      <c r="H549" s="1102"/>
      <c r="I549" s="898"/>
      <c r="J549" s="1652" t="s">
        <v>285</v>
      </c>
      <c r="K549" s="1652"/>
      <c r="L549" s="1102"/>
      <c r="M549" s="1652" t="s">
        <v>103</v>
      </c>
      <c r="N549" s="1652"/>
      <c r="O549" s="1102"/>
      <c r="P549" s="1652" t="s">
        <v>286</v>
      </c>
      <c r="Q549" s="1652"/>
      <c r="R549" s="1102"/>
      <c r="S549" s="1102"/>
      <c r="T549" s="1102"/>
    </row>
    <row r="550" spans="1:20">
      <c r="A550" s="1102"/>
      <c r="B550" s="836" t="s">
        <v>2182</v>
      </c>
      <c r="C550" s="1102"/>
      <c r="D550" s="1110"/>
      <c r="E550" s="1110"/>
      <c r="F550" s="1102"/>
      <c r="G550" s="1102"/>
      <c r="H550" s="1102"/>
      <c r="I550" s="898"/>
      <c r="J550" s="1652"/>
      <c r="K550" s="1652"/>
      <c r="L550" s="1086"/>
      <c r="M550" s="1652"/>
      <c r="N550" s="1652"/>
      <c r="O550" s="1102"/>
      <c r="P550" s="1652"/>
      <c r="Q550" s="1652"/>
      <c r="R550" s="1102"/>
      <c r="S550" s="1102"/>
      <c r="T550" s="1102"/>
    </row>
    <row r="551" spans="1:20">
      <c r="A551" s="1102"/>
      <c r="B551" s="1102"/>
      <c r="C551" s="1102"/>
      <c r="D551" s="1087"/>
      <c r="E551" s="1087"/>
      <c r="F551" s="1102"/>
      <c r="G551" s="1102"/>
      <c r="H551" s="1102"/>
      <c r="I551" s="893"/>
      <c r="J551" s="893"/>
      <c r="K551" s="896"/>
      <c r="L551" s="1087"/>
      <c r="M551" s="1102"/>
      <c r="N551" s="1102"/>
      <c r="O551" s="1102"/>
      <c r="P551" s="1102"/>
      <c r="Q551" s="1102"/>
      <c r="R551" s="1102"/>
      <c r="S551" s="1102"/>
      <c r="T551" s="1102"/>
    </row>
    <row r="552" spans="1:20">
      <c r="A552" s="1102"/>
      <c r="B552" s="1087" t="s">
        <v>147</v>
      </c>
      <c r="C552" s="1102"/>
      <c r="D552" s="1102"/>
      <c r="E552" s="1102"/>
      <c r="F552" s="1102"/>
      <c r="G552" s="1102"/>
      <c r="H552" s="1102"/>
      <c r="I552" s="898"/>
      <c r="J552" s="1649">
        <f>'Part IV-Uses of Funds'!J138</f>
        <v>0</v>
      </c>
      <c r="K552" s="1649"/>
      <c r="L552" s="1102"/>
      <c r="M552" s="1102"/>
      <c r="N552" s="1102"/>
      <c r="O552" s="1102"/>
      <c r="P552" s="1649">
        <f>'Part IV-Uses of Funds'!P138</f>
        <v>0</v>
      </c>
      <c r="Q552" s="1649"/>
      <c r="R552" s="1102"/>
      <c r="S552" s="1102"/>
      <c r="T552" s="1102"/>
    </row>
    <row r="553" spans="1:20">
      <c r="A553" s="1102"/>
      <c r="B553" s="1102" t="s">
        <v>2290</v>
      </c>
      <c r="C553" s="1102"/>
      <c r="D553" s="1102"/>
      <c r="E553" s="1102"/>
      <c r="F553" s="1102"/>
      <c r="G553" s="1102"/>
      <c r="H553" s="1102"/>
      <c r="I553" s="898"/>
      <c r="J553" s="1649">
        <f>'Part IV-Uses of Funds'!J139</f>
        <v>0</v>
      </c>
      <c r="K553" s="1649"/>
      <c r="L553" s="1102"/>
      <c r="M553" s="1102"/>
      <c r="N553" s="1102"/>
      <c r="O553" s="1102"/>
      <c r="P553" s="1649">
        <f>'Part IV-Uses of Funds'!P139</f>
        <v>0</v>
      </c>
      <c r="Q553" s="1649"/>
      <c r="R553" s="1102"/>
      <c r="S553" s="1102"/>
      <c r="T553" s="1102"/>
    </row>
    <row r="554" spans="1:20">
      <c r="A554" s="1102"/>
      <c r="B554" s="1102" t="s">
        <v>1992</v>
      </c>
      <c r="C554" s="1102"/>
      <c r="D554" s="1102"/>
      <c r="E554" s="1102"/>
      <c r="F554" s="1102"/>
      <c r="G554" s="1102"/>
      <c r="H554" s="1102"/>
      <c r="I554" s="898"/>
      <c r="J554" s="1649">
        <f>'Part IV-Uses of Funds'!J140</f>
        <v>0</v>
      </c>
      <c r="K554" s="1649"/>
      <c r="L554" s="1102"/>
      <c r="M554" s="1102"/>
      <c r="N554" s="1102"/>
      <c r="O554" s="1102"/>
      <c r="P554" s="1649">
        <f>'Part IV-Uses of Funds'!P140</f>
        <v>0</v>
      </c>
      <c r="Q554" s="1649"/>
      <c r="R554" s="1102"/>
      <c r="S554" s="1102"/>
      <c r="T554" s="1102"/>
    </row>
    <row r="555" spans="1:20">
      <c r="A555" s="1102"/>
      <c r="B555" s="1102" t="s">
        <v>1993</v>
      </c>
      <c r="C555" s="1102"/>
      <c r="D555" s="1102"/>
      <c r="E555" s="1102"/>
      <c r="F555" s="1102"/>
      <c r="G555" s="1102"/>
      <c r="H555" s="1102"/>
      <c r="I555" s="898"/>
      <c r="J555" s="1649">
        <f>'Part IV-Uses of Funds'!J141</f>
        <v>0</v>
      </c>
      <c r="K555" s="1649"/>
      <c r="L555" s="1102"/>
      <c r="M555" s="1102"/>
      <c r="N555" s="1102"/>
      <c r="O555" s="1102"/>
      <c r="P555" s="1649">
        <f>'Part IV-Uses of Funds'!P141</f>
        <v>0</v>
      </c>
      <c r="Q555" s="1649"/>
      <c r="R555" s="1102"/>
      <c r="S555" s="1102"/>
      <c r="T555" s="1102"/>
    </row>
    <row r="556" spans="1:20">
      <c r="A556" s="1102"/>
      <c r="B556" s="1102" t="s">
        <v>267</v>
      </c>
      <c r="C556" s="1102"/>
      <c r="D556" s="1102"/>
      <c r="E556" s="1102"/>
      <c r="F556" s="1102"/>
      <c r="G556" s="1102"/>
      <c r="H556" s="1102"/>
      <c r="I556" s="898"/>
      <c r="J556" s="1649">
        <f>'Part IV-Uses of Funds'!J142</f>
        <v>0</v>
      </c>
      <c r="K556" s="1649"/>
      <c r="L556" s="1102"/>
      <c r="M556" s="1102"/>
      <c r="N556" s="1102"/>
      <c r="O556" s="1102"/>
      <c r="P556" s="1649">
        <f>'Part IV-Uses of Funds'!P142</f>
        <v>0</v>
      </c>
      <c r="Q556" s="1649"/>
      <c r="R556" s="1102"/>
      <c r="S556" s="1102"/>
      <c r="T556" s="1102"/>
    </row>
    <row r="557" spans="1:20">
      <c r="A557" s="1102"/>
      <c r="B557" s="1102" t="s">
        <v>1710</v>
      </c>
      <c r="C557" s="1650" t="str">
        <f>'Part IV-Uses of Funds'!C143</f>
        <v>&lt;Enter detailed description here; use Comments section if needed&gt;</v>
      </c>
      <c r="D557" s="1650"/>
      <c r="E557" s="1650"/>
      <c r="F557" s="1650"/>
      <c r="G557" s="1650"/>
      <c r="H557" s="1650"/>
      <c r="I557" s="1650"/>
      <c r="J557" s="1649">
        <f>'Part IV-Uses of Funds'!J143</f>
        <v>0</v>
      </c>
      <c r="K557" s="1649"/>
      <c r="L557" s="1102"/>
      <c r="M557" s="1102"/>
      <c r="N557" s="1102"/>
      <c r="O557" s="1102"/>
      <c r="P557" s="1649">
        <f>'Part IV-Uses of Funds'!P143</f>
        <v>0</v>
      </c>
      <c r="Q557" s="1649"/>
      <c r="R557" s="1102"/>
      <c r="S557" s="1102"/>
      <c r="T557" s="1102"/>
    </row>
    <row r="558" spans="1:20">
      <c r="A558" s="1102"/>
      <c r="B558" s="837" t="s">
        <v>1994</v>
      </c>
      <c r="C558" s="842"/>
      <c r="D558" s="1102"/>
      <c r="E558" s="1102"/>
      <c r="F558" s="1102"/>
      <c r="G558" s="1102"/>
      <c r="H558" s="1102"/>
      <c r="I558" s="1102"/>
      <c r="J558" s="1637">
        <f>SUM(J552:K557)</f>
        <v>0</v>
      </c>
      <c r="K558" s="1637"/>
      <c r="L558" s="1102"/>
      <c r="M558" s="1102"/>
      <c r="N558" s="1102"/>
      <c r="O558" s="1102"/>
      <c r="P558" s="1637">
        <f>SUM(P552:Q557)</f>
        <v>0</v>
      </c>
      <c r="Q558" s="1637"/>
      <c r="R558" s="1102"/>
      <c r="S558" s="1102"/>
      <c r="T558" s="1102"/>
    </row>
    <row r="559" spans="1:20">
      <c r="A559" s="1102"/>
      <c r="B559" s="1102"/>
      <c r="C559" s="1102"/>
      <c r="D559" s="1102"/>
      <c r="E559" s="1102"/>
      <c r="F559" s="1102"/>
      <c r="G559" s="1102"/>
      <c r="H559" s="1102"/>
      <c r="I559" s="1102"/>
      <c r="J559" s="1102"/>
      <c r="K559" s="1102"/>
      <c r="L559" s="1102"/>
      <c r="M559" s="1102"/>
      <c r="N559" s="1102"/>
      <c r="O559" s="1102"/>
      <c r="P559" s="1102"/>
      <c r="Q559" s="1102"/>
      <c r="R559" s="1102"/>
      <c r="S559" s="1102"/>
      <c r="T559" s="1102"/>
    </row>
    <row r="560" spans="1:20">
      <c r="A560" s="1102"/>
      <c r="B560" s="837" t="s">
        <v>2490</v>
      </c>
      <c r="C560" s="1102"/>
      <c r="D560" s="1102"/>
      <c r="E560" s="1102"/>
      <c r="F560" s="1102"/>
      <c r="G560" s="1102"/>
      <c r="H560" s="1102"/>
      <c r="I560" s="1102"/>
      <c r="J560" s="1102"/>
      <c r="K560" s="1102"/>
      <c r="L560" s="1102"/>
      <c r="M560" s="1102"/>
      <c r="N560" s="1102"/>
      <c r="O560" s="1102"/>
      <c r="P560" s="1102"/>
      <c r="Q560" s="1102"/>
      <c r="R560" s="1102"/>
      <c r="S560" s="1102"/>
      <c r="T560" s="1102"/>
    </row>
    <row r="561" spans="1:20">
      <c r="A561" s="1102"/>
      <c r="B561" s="1102" t="s">
        <v>1914</v>
      </c>
      <c r="C561" s="1102"/>
      <c r="D561" s="1102"/>
      <c r="E561" s="1102"/>
      <c r="F561" s="1102"/>
      <c r="G561" s="1102"/>
      <c r="H561" s="1102"/>
      <c r="I561" s="1102"/>
      <c r="J561" s="1640">
        <f>J544</f>
        <v>0</v>
      </c>
      <c r="K561" s="1640"/>
      <c r="L561" s="1102"/>
      <c r="M561" s="1640">
        <f>M544</f>
        <v>1347093</v>
      </c>
      <c r="N561" s="1640"/>
      <c r="O561" s="1102"/>
      <c r="P561" s="1640">
        <f>P544</f>
        <v>9055998</v>
      </c>
      <c r="Q561" s="1640"/>
      <c r="R561" s="1102"/>
      <c r="S561" s="1102"/>
      <c r="T561" s="1102"/>
    </row>
    <row r="562" spans="1:20">
      <c r="A562" s="1102"/>
      <c r="B562" s="1102" t="s">
        <v>2365</v>
      </c>
      <c r="C562" s="1102"/>
      <c r="D562" s="1102"/>
      <c r="E562" s="1102"/>
      <c r="F562" s="1102"/>
      <c r="G562" s="1102"/>
      <c r="H562" s="1102"/>
      <c r="I562" s="1102"/>
      <c r="J562" s="1640">
        <f>J558</f>
        <v>0</v>
      </c>
      <c r="K562" s="1640"/>
      <c r="L562" s="1102"/>
      <c r="M562" s="1640"/>
      <c r="N562" s="1640"/>
      <c r="O562" s="1102"/>
      <c r="P562" s="1640">
        <f>P558</f>
        <v>0</v>
      </c>
      <c r="Q562" s="1640"/>
      <c r="R562" s="1102"/>
      <c r="S562" s="1102"/>
      <c r="T562" s="1102"/>
    </row>
    <row r="563" spans="1:20">
      <c r="A563" s="1102"/>
      <c r="B563" s="1102" t="s">
        <v>2366</v>
      </c>
      <c r="C563" s="1102"/>
      <c r="D563" s="1102"/>
      <c r="E563" s="1102"/>
      <c r="F563" s="1102"/>
      <c r="G563" s="1102"/>
      <c r="H563" s="1102"/>
      <c r="I563" s="1102"/>
      <c r="J563" s="1640">
        <f>J561-J562</f>
        <v>0</v>
      </c>
      <c r="K563" s="1640"/>
      <c r="L563" s="1102"/>
      <c r="M563" s="1640">
        <f>M561</f>
        <v>1347093</v>
      </c>
      <c r="N563" s="1640"/>
      <c r="O563" s="1102"/>
      <c r="P563" s="1640">
        <f>P561-P562</f>
        <v>9055998</v>
      </c>
      <c r="Q563" s="1640"/>
      <c r="R563" s="1102"/>
      <c r="S563" s="1102"/>
      <c r="T563" s="1102"/>
    </row>
    <row r="564" spans="1:20">
      <c r="A564" s="1102"/>
      <c r="B564" s="1102" t="s">
        <v>1587</v>
      </c>
      <c r="C564" s="1102"/>
      <c r="D564" s="1102"/>
      <c r="E564" s="1102"/>
      <c r="F564" s="1102"/>
      <c r="G564" s="1089" t="s">
        <v>1833</v>
      </c>
      <c r="H564" s="1639" t="str">
        <f>'Part IV-Uses of Funds'!H150</f>
        <v>DDA/QCT</v>
      </c>
      <c r="I564" s="1639"/>
      <c r="J564" s="1649">
        <f>'Part IV-Uses of Funds'!J150</f>
        <v>0</v>
      </c>
      <c r="K564" s="1649"/>
      <c r="L564" s="1102"/>
      <c r="M564" s="1647"/>
      <c r="N564" s="1647"/>
      <c r="O564" s="1102"/>
      <c r="P564" s="1649">
        <f>'Part IV-Uses of Funds'!P150</f>
        <v>1.3</v>
      </c>
      <c r="Q564" s="1649"/>
      <c r="R564" s="1102"/>
      <c r="S564" s="1102"/>
      <c r="T564" s="1102"/>
    </row>
    <row r="565" spans="1:20">
      <c r="A565" s="1102"/>
      <c r="B565" s="1102" t="s">
        <v>2192</v>
      </c>
      <c r="C565" s="1102"/>
      <c r="D565" s="1102"/>
      <c r="E565" s="1102"/>
      <c r="F565" s="1102"/>
      <c r="G565" s="1102"/>
      <c r="H565" s="1102"/>
      <c r="I565" s="1102"/>
      <c r="J565" s="1640">
        <f>J563*J564</f>
        <v>0</v>
      </c>
      <c r="K565" s="1640"/>
      <c r="L565" s="1102"/>
      <c r="M565" s="1640">
        <f>+M563</f>
        <v>1347093</v>
      </c>
      <c r="N565" s="1640"/>
      <c r="O565" s="1102"/>
      <c r="P565" s="1640">
        <f>P563*P564</f>
        <v>11772797.4</v>
      </c>
      <c r="Q565" s="1640"/>
      <c r="R565" s="1102"/>
      <c r="S565" s="1102"/>
      <c r="T565" s="1102"/>
    </row>
    <row r="566" spans="1:20">
      <c r="A566" s="1102"/>
      <c r="B566" s="1102" t="s">
        <v>2723</v>
      </c>
      <c r="C566" s="1102"/>
      <c r="D566" s="1102"/>
      <c r="E566" s="1102"/>
      <c r="F566" s="1102"/>
      <c r="G566" s="1102"/>
      <c r="H566" s="1102"/>
      <c r="I566" s="1102"/>
      <c r="J566" s="1648">
        <f>MIN('Part VI-Revenues &amp; Expenses'!$M$58/'Part VI-Revenues &amp; Expenses'!$M$60,'Part VI-Revenues &amp; Expenses'!$M$96/'Part VI-Revenues &amp; Expenses'!$M$98)</f>
        <v>1</v>
      </c>
      <c r="K566" s="1648"/>
      <c r="L566" s="1102"/>
      <c r="M566" s="1648">
        <f>MIN('Part VI-Revenues &amp; Expenses'!$M$58/'Part VI-Revenues &amp; Expenses'!$M$60,'Part VI-Revenues &amp; Expenses'!$M$96/'Part VI-Revenues &amp; Expenses'!$M$98)</f>
        <v>1</v>
      </c>
      <c r="N566" s="1648"/>
      <c r="O566" s="1102"/>
      <c r="P566" s="1648">
        <f>MIN('Part VI-Revenues &amp; Expenses'!$M$58/'Part VI-Revenues &amp; Expenses'!$M$60,'Part VI-Revenues &amp; Expenses'!$M$96/'Part VI-Revenues &amp; Expenses'!$M$98)</f>
        <v>1</v>
      </c>
      <c r="Q566" s="1648"/>
      <c r="R566" s="1102"/>
      <c r="S566" s="1102"/>
      <c r="T566" s="1102"/>
    </row>
    <row r="567" spans="1:20">
      <c r="A567" s="1102"/>
      <c r="B567" s="1102" t="s">
        <v>2183</v>
      </c>
      <c r="C567" s="1102"/>
      <c r="D567" s="1102"/>
      <c r="E567" s="1102"/>
      <c r="F567" s="1102"/>
      <c r="G567" s="1102"/>
      <c r="H567" s="1102"/>
      <c r="I567" s="1102"/>
      <c r="J567" s="1640">
        <f>J565*J566</f>
        <v>0</v>
      </c>
      <c r="K567" s="1640"/>
      <c r="L567" s="1102"/>
      <c r="M567" s="1640">
        <f>M565*M566</f>
        <v>1347093</v>
      </c>
      <c r="N567" s="1640"/>
      <c r="O567" s="1102"/>
      <c r="P567" s="1640">
        <f>P565*P566</f>
        <v>11772797.4</v>
      </c>
      <c r="Q567" s="1640"/>
      <c r="R567" s="1102"/>
      <c r="S567" s="1102"/>
      <c r="T567" s="1102"/>
    </row>
    <row r="568" spans="1:20">
      <c r="A568" s="1102"/>
      <c r="B568" s="1102" t="s">
        <v>2184</v>
      </c>
      <c r="C568" s="1102"/>
      <c r="D568" s="1102"/>
      <c r="E568" s="1102"/>
      <c r="F568" s="1102"/>
      <c r="G568" s="1102"/>
      <c r="H568" s="1102"/>
      <c r="I568" s="1102"/>
      <c r="J568" s="1647">
        <f>'Part IV-Uses of Funds'!J154</f>
        <v>0</v>
      </c>
      <c r="K568" s="1647"/>
      <c r="L568" s="1102"/>
      <c r="M568" s="1647">
        <f>'Part IV-Uses of Funds'!M154</f>
        <v>3.2599999999999997E-2</v>
      </c>
      <c r="N568" s="1647"/>
      <c r="O568" s="1102"/>
      <c r="P568" s="1647">
        <f>'Part IV-Uses of Funds'!P154</f>
        <v>7.5999999999999998E-2</v>
      </c>
      <c r="Q568" s="1647"/>
      <c r="R568" s="1102"/>
      <c r="S568" s="1102"/>
      <c r="T568" s="1102"/>
    </row>
    <row r="569" spans="1:20">
      <c r="A569" s="1102"/>
      <c r="B569" s="1102" t="s">
        <v>2724</v>
      </c>
      <c r="C569" s="1102"/>
      <c r="D569" s="1102"/>
      <c r="E569" s="1102"/>
      <c r="F569" s="1102"/>
      <c r="G569" s="1102"/>
      <c r="H569" s="1102"/>
      <c r="I569" s="1102"/>
      <c r="J569" s="1640">
        <f>J567*J568</f>
        <v>0</v>
      </c>
      <c r="K569" s="1640"/>
      <c r="L569" s="1102"/>
      <c r="M569" s="1640">
        <f>M567*M568</f>
        <v>43915.231799999994</v>
      </c>
      <c r="N569" s="1640"/>
      <c r="O569" s="1102"/>
      <c r="P569" s="1640">
        <f>P567*P568</f>
        <v>894732.60239999997</v>
      </c>
      <c r="Q569" s="1640"/>
      <c r="R569" s="1102"/>
      <c r="S569" s="1102"/>
      <c r="T569" s="1102"/>
    </row>
    <row r="570" spans="1:20">
      <c r="A570" s="1102"/>
      <c r="B570" s="837" t="s">
        <v>1518</v>
      </c>
      <c r="C570" s="1102"/>
      <c r="D570" s="1102"/>
      <c r="E570" s="1102"/>
      <c r="F570" s="1102"/>
      <c r="G570" s="1102"/>
      <c r="H570" s="1102"/>
      <c r="I570" s="1102"/>
      <c r="J570" s="1637">
        <f>J569+M569+P569</f>
        <v>938647.83419999992</v>
      </c>
      <c r="K570" s="1637"/>
      <c r="L570" s="1637"/>
      <c r="M570" s="1637"/>
      <c r="N570" s="1637"/>
      <c r="O570" s="1637"/>
      <c r="P570" s="1637"/>
      <c r="Q570" s="1637"/>
      <c r="R570" s="1102"/>
      <c r="S570" s="1102"/>
      <c r="T570" s="1102"/>
    </row>
    <row r="571" spans="1:20">
      <c r="A571" s="1102"/>
      <c r="B571" s="899"/>
      <c r="C571" s="1102"/>
      <c r="D571" s="1102"/>
      <c r="E571" s="1102"/>
      <c r="F571" s="1102"/>
      <c r="G571" s="1102"/>
      <c r="H571" s="1102"/>
      <c r="I571" s="1102"/>
      <c r="J571" s="1102"/>
      <c r="K571" s="1102"/>
      <c r="L571" s="1107"/>
      <c r="M571" s="1107"/>
      <c r="N571" s="1107"/>
      <c r="O571" s="1107"/>
      <c r="P571" s="1102"/>
      <c r="Q571" s="1102"/>
      <c r="R571" s="1102"/>
      <c r="S571" s="1102"/>
      <c r="T571" s="1102"/>
    </row>
    <row r="572" spans="1:20" ht="16.5">
      <c r="A572" s="900" t="s">
        <v>792</v>
      </c>
      <c r="B572" s="900" t="s">
        <v>1521</v>
      </c>
      <c r="C572" s="1102"/>
      <c r="D572" s="1102"/>
      <c r="E572" s="1102"/>
      <c r="F572" s="1102"/>
      <c r="G572" s="1102"/>
      <c r="H572" s="893"/>
      <c r="I572" s="893"/>
      <c r="J572" s="1102"/>
      <c r="K572" s="1102"/>
      <c r="L572" s="1102"/>
      <c r="M572" s="901"/>
      <c r="N572" s="1102"/>
      <c r="O572" s="1102"/>
      <c r="P572" s="1102"/>
      <c r="Q572" s="1102"/>
      <c r="R572" s="1102"/>
      <c r="S572" s="1102"/>
      <c r="T572" s="1102"/>
    </row>
    <row r="573" spans="1:20" ht="13.5">
      <c r="A573" s="1102"/>
      <c r="B573" s="837" t="s">
        <v>181</v>
      </c>
      <c r="C573" s="1102"/>
      <c r="D573" s="1102"/>
      <c r="E573" s="1102"/>
      <c r="F573" s="1102"/>
      <c r="G573" s="1102"/>
      <c r="H573" s="862"/>
      <c r="I573" s="1102"/>
      <c r="J573" s="1102"/>
      <c r="K573" s="1102"/>
      <c r="L573" s="1102"/>
      <c r="M573" s="901"/>
      <c r="N573" s="1102"/>
      <c r="O573" s="1102"/>
      <c r="P573" s="1102"/>
      <c r="Q573" s="1102"/>
      <c r="R573" s="1102"/>
      <c r="S573" s="1102"/>
      <c r="T573" s="1102"/>
    </row>
    <row r="574" spans="1:20" ht="13.5">
      <c r="A574" s="1102"/>
      <c r="B574" s="1088" t="s">
        <v>3665</v>
      </c>
      <c r="C574" s="1102"/>
      <c r="D574" s="1102"/>
      <c r="E574" s="1102"/>
      <c r="F574" s="1102"/>
      <c r="G574" s="1645" t="str">
        <f>IF(J575&gt;J574,"TDC exceeds QAP PUCL!","")</f>
        <v/>
      </c>
      <c r="H574" s="1645"/>
      <c r="I574" s="1645"/>
      <c r="J574" s="1646">
        <f>'Part VIII-Threshold Criteria'!$P$47</f>
        <v>11526845</v>
      </c>
      <c r="K574" s="1646"/>
      <c r="L574" s="1646"/>
      <c r="M574" s="1582" t="s">
        <v>3019</v>
      </c>
      <c r="N574" s="1582"/>
      <c r="O574" s="1582"/>
      <c r="P574" s="1582"/>
      <c r="Q574" s="1582"/>
      <c r="R574" s="1582"/>
      <c r="S574" s="1609" t="s">
        <v>2976</v>
      </c>
      <c r="T574" s="1609"/>
    </row>
    <row r="575" spans="1:20">
      <c r="A575" s="1102"/>
      <c r="B575" s="1102" t="s">
        <v>3666</v>
      </c>
      <c r="C575" s="1102"/>
      <c r="D575" s="1102"/>
      <c r="E575" s="1102"/>
      <c r="F575" s="1102"/>
      <c r="G575" s="1102"/>
      <c r="H575" s="1102"/>
      <c r="I575" s="1102"/>
      <c r="J575" s="1640">
        <f>'Part IV-Uses of Funds'!J161</f>
        <v>11249495</v>
      </c>
      <c r="K575" s="1640"/>
      <c r="L575" s="1640"/>
      <c r="M575" s="1582"/>
      <c r="N575" s="1582"/>
      <c r="O575" s="1582"/>
      <c r="P575" s="1582"/>
      <c r="Q575" s="1582"/>
      <c r="R575" s="1582"/>
      <c r="S575" s="1609"/>
      <c r="T575" s="1609"/>
    </row>
    <row r="576" spans="1:20">
      <c r="A576" s="1102"/>
      <c r="B576" s="1102" t="s">
        <v>277</v>
      </c>
      <c r="C576" s="1102"/>
      <c r="D576" s="1102"/>
      <c r="E576" s="1102"/>
      <c r="F576" s="1102"/>
      <c r="G576" s="1102"/>
      <c r="H576" s="1102"/>
      <c r="I576" s="1102"/>
      <c r="J576" s="1640">
        <f>'Part III-Sources of Funds'!$H$49-'Part III-Sources of Funds'!H450-'Part III-Sources of Funds'!$H$37-'Part III-Sources of Funds'!$H$40-'Part III-Sources of Funds'!$H$41</f>
        <v>592166</v>
      </c>
      <c r="K576" s="1640"/>
      <c r="L576" s="1640"/>
      <c r="M576" s="1582"/>
      <c r="N576" s="1582"/>
      <c r="O576" s="1582"/>
      <c r="P576" s="1582"/>
      <c r="Q576" s="1582"/>
      <c r="R576" s="1582"/>
      <c r="S576" s="1609"/>
      <c r="T576" s="1609"/>
    </row>
    <row r="577" spans="1:20" ht="13.5">
      <c r="A577" s="1102"/>
      <c r="B577" s="1102" t="s">
        <v>2378</v>
      </c>
      <c r="C577" s="1102"/>
      <c r="D577" s="1102"/>
      <c r="E577" s="1102"/>
      <c r="F577" s="1102"/>
      <c r="G577" s="1102"/>
      <c r="H577" s="1102"/>
      <c r="I577" s="1102"/>
      <c r="J577" s="1640">
        <f>+J575-J576</f>
        <v>10657329</v>
      </c>
      <c r="K577" s="1640"/>
      <c r="L577" s="1640"/>
      <c r="M577" s="1643" t="s">
        <v>3020</v>
      </c>
      <c r="N577" s="1643"/>
      <c r="O577" s="1644">
        <f>'Part III-Sources of Funds'!H450</f>
        <v>0</v>
      </c>
      <c r="P577" s="1644"/>
      <c r="Q577" s="1644"/>
      <c r="R577" s="1644"/>
      <c r="S577" s="902" t="s">
        <v>1775</v>
      </c>
      <c r="T577" s="1035" t="str">
        <f>'Part IV-Uses of Funds'!T163</f>
        <v>No</v>
      </c>
    </row>
    <row r="578" spans="1:20" ht="13.5">
      <c r="A578" s="1102"/>
      <c r="B578" s="1102" t="s">
        <v>1372</v>
      </c>
      <c r="C578" s="1102"/>
      <c r="D578" s="1102"/>
      <c r="E578" s="1102"/>
      <c r="F578" s="1102"/>
      <c r="G578" s="1102"/>
      <c r="H578" s="1102"/>
      <c r="I578" s="1102"/>
      <c r="J578" s="1639" t="str">
        <f>"/ 10"</f>
        <v>/ 10</v>
      </c>
      <c r="K578" s="1639"/>
      <c r="L578" s="1639"/>
      <c r="M578" s="1102"/>
      <c r="N578" s="903"/>
      <c r="O578" s="903"/>
      <c r="P578" s="903"/>
      <c r="Q578" s="903"/>
      <c r="R578" s="903"/>
      <c r="S578" s="1102"/>
      <c r="T578" s="1102"/>
    </row>
    <row r="579" spans="1:20">
      <c r="A579" s="1102"/>
      <c r="B579" s="1102" t="s">
        <v>1373</v>
      </c>
      <c r="C579" s="1102"/>
      <c r="D579" s="1102"/>
      <c r="E579" s="1102"/>
      <c r="F579" s="1102"/>
      <c r="G579" s="1102"/>
      <c r="H579" s="1102"/>
      <c r="I579" s="1102"/>
      <c r="J579" s="1640">
        <f>J577/10</f>
        <v>1065732.8999999999</v>
      </c>
      <c r="K579" s="1640"/>
      <c r="L579" s="1640"/>
      <c r="M579" s="1097"/>
      <c r="N579" s="1639" t="s">
        <v>1374</v>
      </c>
      <c r="O579" s="1639"/>
      <c r="P579" s="1102"/>
      <c r="Q579" s="1639" t="s">
        <v>1923</v>
      </c>
      <c r="R579" s="1639"/>
      <c r="S579" s="1102"/>
      <c r="T579" s="1102"/>
    </row>
    <row r="580" spans="1:20">
      <c r="A580" s="1102"/>
      <c r="B580" s="1102" t="s">
        <v>3667</v>
      </c>
      <c r="C580" s="1102"/>
      <c r="D580" s="1102"/>
      <c r="E580" s="1102"/>
      <c r="F580" s="1102"/>
      <c r="G580" s="1102"/>
      <c r="H580" s="1102"/>
      <c r="I580" s="1102"/>
      <c r="J580" s="1641">
        <f>N580+Q580</f>
        <v>1.2</v>
      </c>
      <c r="K580" s="1641"/>
      <c r="L580" s="1641"/>
      <c r="M580" s="1089" t="s">
        <v>1375</v>
      </c>
      <c r="N580" s="1642">
        <f>'Part IV-Uses of Funds'!N166</f>
        <v>0.85</v>
      </c>
      <c r="O580" s="1642"/>
      <c r="P580" s="1089" t="s">
        <v>653</v>
      </c>
      <c r="Q580" s="1642">
        <f>'Part IV-Uses of Funds'!Q166</f>
        <v>0.35</v>
      </c>
      <c r="R580" s="1642"/>
      <c r="S580" s="1102"/>
      <c r="T580" s="1102"/>
    </row>
    <row r="581" spans="1:20">
      <c r="A581" s="1102"/>
      <c r="B581" s="837" t="s">
        <v>1519</v>
      </c>
      <c r="C581" s="1102"/>
      <c r="D581" s="1102"/>
      <c r="E581" s="1102"/>
      <c r="F581" s="1102"/>
      <c r="G581" s="1102"/>
      <c r="H581" s="1102"/>
      <c r="I581" s="1102"/>
      <c r="J581" s="1637">
        <f>IF(J580=0,"",J579/J580)</f>
        <v>888110.75</v>
      </c>
      <c r="K581" s="1637"/>
      <c r="L581" s="1637"/>
      <c r="M581" s="1097"/>
      <c r="N581" s="1102"/>
      <c r="O581" s="1102"/>
      <c r="P581" s="1102"/>
      <c r="Q581" s="1102"/>
      <c r="R581" s="1102"/>
      <c r="S581" s="1102"/>
      <c r="T581" s="1102"/>
    </row>
    <row r="582" spans="1:20">
      <c r="A582" s="1102"/>
      <c r="B582" s="1102"/>
      <c r="C582" s="1102"/>
      <c r="D582" s="1102"/>
      <c r="E582" s="1102"/>
      <c r="F582" s="1102"/>
      <c r="G582" s="1102"/>
      <c r="H582" s="1102"/>
      <c r="I582" s="1102"/>
      <c r="J582" s="1112"/>
      <c r="K582" s="1112"/>
      <c r="L582" s="1112"/>
      <c r="M582" s="1097"/>
      <c r="N582" s="1089"/>
      <c r="O582" s="1089"/>
      <c r="P582" s="1102"/>
      <c r="Q582" s="1102"/>
      <c r="R582" s="1102"/>
      <c r="S582" s="1102"/>
      <c r="T582" s="1102"/>
    </row>
    <row r="583" spans="1:20">
      <c r="A583" s="1102"/>
      <c r="B583" s="837" t="s">
        <v>3668</v>
      </c>
      <c r="C583" s="1102"/>
      <c r="D583" s="1102"/>
      <c r="E583" s="1102"/>
      <c r="F583" s="1102"/>
      <c r="G583" s="1102"/>
      <c r="H583" s="1102"/>
      <c r="I583" s="1102"/>
      <c r="J583" s="1637">
        <f>IF('Part I-Project Information'!I575 = "Yes",+MIN(J570,J581,'Part I-Project Information'!$O$161,'DCA Underwriting Assumptions'!$R$7),+MIN(J570,J581,'DCA Underwriting Assumptions'!$R$6))</f>
        <v>888110.75</v>
      </c>
      <c r="K583" s="1637"/>
      <c r="L583" s="1637"/>
      <c r="M583" s="1097"/>
      <c r="N583" s="1089"/>
      <c r="O583" s="1089"/>
      <c r="P583" s="1102"/>
      <c r="Q583" s="1102"/>
      <c r="R583" s="1102"/>
      <c r="S583" s="1102"/>
      <c r="T583" s="1102"/>
    </row>
    <row r="584" spans="1:20">
      <c r="A584" s="1102"/>
      <c r="B584" s="1102"/>
      <c r="C584" s="1102"/>
      <c r="D584" s="1102"/>
      <c r="E584" s="1102"/>
      <c r="F584" s="1102"/>
      <c r="G584" s="1102"/>
      <c r="H584" s="1102"/>
      <c r="I584" s="1102"/>
      <c r="J584" s="1112"/>
      <c r="K584" s="1112"/>
      <c r="L584" s="1112"/>
      <c r="M584" s="1097"/>
      <c r="N584" s="1089"/>
      <c r="O584" s="1089"/>
      <c r="P584" s="1102"/>
      <c r="Q584" s="1102"/>
      <c r="R584" s="1102"/>
      <c r="S584" s="1102"/>
      <c r="T584" s="1102"/>
    </row>
    <row r="585" spans="1:20">
      <c r="A585" s="1102"/>
      <c r="B585" s="837" t="s">
        <v>3669</v>
      </c>
      <c r="C585" s="1102"/>
      <c r="D585" s="1102"/>
      <c r="E585" s="1102"/>
      <c r="F585" s="1102"/>
      <c r="G585" s="1102"/>
      <c r="H585" s="1102"/>
      <c r="I585" s="1102"/>
      <c r="J585" s="1637">
        <f>'Part IV-Uses of Funds'!J171</f>
        <v>888110</v>
      </c>
      <c r="K585" s="1637"/>
      <c r="L585" s="1637"/>
      <c r="M585" s="836" t="str">
        <f>IF(J583=0,"",IF(J585&gt;J583,"ALLOCATION CANNOT EXCEED MAXIMUM - REVISE REQUEST!",""))</f>
        <v/>
      </c>
      <c r="N585" s="1089"/>
      <c r="O585" s="1089"/>
      <c r="P585" s="1102"/>
      <c r="Q585" s="1102"/>
      <c r="R585" s="1102"/>
      <c r="S585" s="1102"/>
      <c r="T585" s="1102"/>
    </row>
    <row r="586" spans="1:20">
      <c r="A586" s="1102"/>
      <c r="B586" s="1102"/>
      <c r="C586" s="1102"/>
      <c r="D586" s="1102"/>
      <c r="E586" s="1102"/>
      <c r="F586" s="1102"/>
      <c r="G586" s="1102"/>
      <c r="H586" s="1102"/>
      <c r="I586" s="1102"/>
      <c r="J586" s="1112"/>
      <c r="K586" s="1112"/>
      <c r="L586" s="1112"/>
      <c r="M586" s="1097"/>
      <c r="N586" s="1089"/>
      <c r="O586" s="1089"/>
      <c r="P586" s="1102"/>
      <c r="Q586" s="1102"/>
      <c r="R586" s="1102"/>
      <c r="S586" s="1102"/>
      <c r="T586" s="1102"/>
    </row>
    <row r="587" spans="1:20" ht="16.5">
      <c r="A587" s="900" t="s">
        <v>1916</v>
      </c>
      <c r="B587" s="900" t="s">
        <v>3670</v>
      </c>
      <c r="C587" s="1102"/>
      <c r="D587" s="1097"/>
      <c r="E587" s="1097"/>
      <c r="F587" s="1087"/>
      <c r="G587" s="1102"/>
      <c r="H587" s="1102"/>
      <c r="I587" s="1102"/>
      <c r="J587" s="1637">
        <f>IF(J585="",0,+MIN(J583,J585))</f>
        <v>888110</v>
      </c>
      <c r="K587" s="1637"/>
      <c r="L587" s="1637"/>
      <c r="M587" s="1102"/>
      <c r="N587" s="852"/>
      <c r="O587" s="852"/>
      <c r="P587" s="852"/>
      <c r="Q587" s="852"/>
      <c r="R587" s="852"/>
      <c r="S587" s="852"/>
      <c r="T587" s="852"/>
    </row>
    <row r="588" spans="1:20">
      <c r="A588" s="1097"/>
      <c r="B588" s="1097"/>
      <c r="C588" s="1097"/>
      <c r="D588" s="1097"/>
      <c r="E588" s="1097"/>
      <c r="F588" s="1097"/>
      <c r="G588" s="1097"/>
      <c r="H588" s="1097"/>
      <c r="I588" s="1097"/>
      <c r="J588" s="1097"/>
      <c r="K588" s="1097"/>
      <c r="L588" s="1097"/>
      <c r="M588" s="1097"/>
      <c r="N588" s="1097"/>
      <c r="O588" s="1097"/>
      <c r="P588" s="1097"/>
      <c r="Q588" s="1097"/>
      <c r="R588" s="1097"/>
      <c r="S588" s="1097"/>
      <c r="T588" s="1097"/>
    </row>
    <row r="589" spans="1:20">
      <c r="A589" s="1097"/>
      <c r="B589" s="1097"/>
      <c r="C589" s="1097"/>
      <c r="D589" s="1097"/>
      <c r="E589" s="1097"/>
      <c r="F589" s="1097"/>
      <c r="G589" s="1097"/>
      <c r="H589" s="1097"/>
      <c r="I589" s="1097"/>
      <c r="J589" s="1097"/>
      <c r="K589" s="1097"/>
      <c r="L589" s="1097"/>
      <c r="M589" s="1097"/>
      <c r="N589" s="1097"/>
      <c r="O589" s="1097"/>
      <c r="P589" s="1097"/>
      <c r="Q589" s="1097"/>
      <c r="R589" s="1097"/>
      <c r="S589" s="1097"/>
      <c r="T589" s="1097"/>
    </row>
    <row r="590" spans="1:20">
      <c r="A590" s="837" t="s">
        <v>1918</v>
      </c>
      <c r="B590" s="851" t="s">
        <v>608</v>
      </c>
      <c r="C590" s="1097"/>
      <c r="D590" s="1097"/>
      <c r="E590" s="1097"/>
      <c r="F590" s="1097"/>
      <c r="G590" s="1097"/>
      <c r="H590" s="1097"/>
      <c r="I590" s="1097"/>
      <c r="J590" s="1097"/>
      <c r="K590" s="837" t="s">
        <v>563</v>
      </c>
      <c r="L590" s="837" t="s">
        <v>82</v>
      </c>
      <c r="M590" s="1097"/>
      <c r="N590" s="1097"/>
      <c r="O590" s="1097"/>
      <c r="P590" s="1097"/>
      <c r="Q590" s="1097"/>
      <c r="R590" s="1097"/>
      <c r="S590" s="1097"/>
      <c r="T590" s="1097"/>
    </row>
    <row r="591" spans="1:20" ht="13.5">
      <c r="A591" s="1638" t="str">
        <f>'Part IV-Uses of Funds'!A177</f>
        <v>* To all applicants: please provide methodology for determining applicable construction hard costs.
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*Please note that the Ground Lease contract requires a $1,000 payment, due to this we have placed $1,000 in the land line item.</v>
      </c>
      <c r="B591" s="1638"/>
      <c r="C591" s="1638"/>
      <c r="D591" s="1638"/>
      <c r="E591" s="1638"/>
      <c r="F591" s="1638"/>
      <c r="G591" s="1638"/>
      <c r="H591" s="1638"/>
      <c r="I591" s="1638"/>
      <c r="J591" s="1638"/>
      <c r="K591" s="1638">
        <f>'Part IV-Uses of Funds'!K177</f>
        <v>0</v>
      </c>
      <c r="L591" s="1638"/>
      <c r="M591" s="1638"/>
      <c r="N591" s="1638"/>
      <c r="O591" s="1638"/>
      <c r="P591" s="1638"/>
      <c r="Q591" s="1638"/>
      <c r="R591" s="1638"/>
      <c r="S591" s="1638"/>
      <c r="T591" s="1638"/>
    </row>
    <row r="594" spans="1:13">
      <c r="A594" s="1599" t="str">
        <f>CONCATENATE("PART FIVE - UTILITY ALLOWANCES","  -  ",'Part I-Project Information'!$O$4," ",'Part I-Project Information'!$F$23,", ",'Part I-Project Information'!F620,", ",'Part I-Project Information'!J621," County")</f>
        <v>PART FIVE - UTILITY ALLOWANCES  -  2014-039 Willingham Village II, , Laurens-Treutlen Joint Development Authority County</v>
      </c>
      <c r="B594" s="1599"/>
      <c r="C594" s="1599"/>
      <c r="D594" s="1599"/>
      <c r="E594" s="1599"/>
      <c r="F594" s="1599"/>
      <c r="G594" s="1599"/>
      <c r="H594" s="1599"/>
      <c r="I594" s="1599"/>
      <c r="J594" s="1599"/>
      <c r="K594" s="1599"/>
      <c r="L594" s="1599"/>
      <c r="M594" s="1599"/>
    </row>
    <row r="596" spans="1:13">
      <c r="F596" s="586" t="s">
        <v>548</v>
      </c>
      <c r="I596" s="1127" t="str">
        <f>VLOOKUP('Part I-Project Information'!$J$28,'Part I-Project Information'!$C$179:$D$338,2)</f>
        <v>North</v>
      </c>
    </row>
    <row r="598" spans="1:13">
      <c r="A598" s="835" t="s">
        <v>657</v>
      </c>
      <c r="B598" s="835" t="s">
        <v>2373</v>
      </c>
      <c r="F598" s="1072" t="s">
        <v>2690</v>
      </c>
      <c r="I598" s="1635" t="str">
        <f>'Part V-Utility Allowances'!I5</f>
        <v>Northwest Georgia Housing Authority - HUD</v>
      </c>
      <c r="J598" s="1635"/>
      <c r="K598" s="1635"/>
      <c r="L598" s="1635"/>
      <c r="M598" s="1635"/>
    </row>
    <row r="599" spans="1:13">
      <c r="A599" s="835"/>
      <c r="F599" s="1072" t="s">
        <v>677</v>
      </c>
      <c r="I599" s="1636">
        <f>'Part V-Utility Allowances'!I6</f>
        <v>41501</v>
      </c>
      <c r="J599" s="1636"/>
      <c r="K599" s="832" t="s">
        <v>573</v>
      </c>
      <c r="L599" s="1635" t="str">
        <f>'Part V-Utility Allowances'!L6</f>
        <v>Duplex</v>
      </c>
      <c r="M599" s="1635"/>
    </row>
    <row r="600" spans="1:13">
      <c r="A600" s="835"/>
    </row>
    <row r="601" spans="1:13">
      <c r="A601" s="835"/>
      <c r="B601" s="835"/>
      <c r="C601" s="835"/>
      <c r="D601" s="835"/>
      <c r="E601" s="835"/>
      <c r="F601" s="1610" t="s">
        <v>650</v>
      </c>
      <c r="G601" s="1610"/>
      <c r="H601" s="835"/>
      <c r="I601" s="1610" t="s">
        <v>208</v>
      </c>
      <c r="J601" s="1610"/>
      <c r="K601" s="1610"/>
      <c r="L601" s="1610"/>
      <c r="M601" s="1610"/>
    </row>
    <row r="602" spans="1:13">
      <c r="A602" s="835"/>
      <c r="B602" s="835" t="s">
        <v>852</v>
      </c>
      <c r="C602" s="835"/>
      <c r="D602" s="835" t="s">
        <v>1708</v>
      </c>
      <c r="E602" s="835"/>
      <c r="F602" s="1115" t="s">
        <v>683</v>
      </c>
      <c r="G602" s="1115" t="s">
        <v>1979</v>
      </c>
      <c r="H602" s="835"/>
      <c r="I602" s="1115" t="s">
        <v>601</v>
      </c>
      <c r="J602" s="1115">
        <v>1</v>
      </c>
      <c r="K602" s="1115">
        <v>2</v>
      </c>
      <c r="L602" s="1115">
        <v>3</v>
      </c>
      <c r="M602" s="1115">
        <v>4</v>
      </c>
    </row>
    <row r="603" spans="1:13">
      <c r="B603" s="1072" t="s">
        <v>1981</v>
      </c>
      <c r="D603" s="1635" t="str">
        <f>'Part V-Utility Allowances'!D10</f>
        <v>Electric Heat Pump</v>
      </c>
      <c r="E603" s="1635"/>
      <c r="F603" s="1036" t="str">
        <f>'Part V-Utility Allowances'!F10</f>
        <v>X</v>
      </c>
      <c r="G603" s="1036">
        <f>'Part V-Utility Allowances'!G10</f>
        <v>0</v>
      </c>
      <c r="I603" s="832">
        <f>'Part V-Utility Allowances'!I10</f>
        <v>0</v>
      </c>
      <c r="J603" s="832">
        <f>'Part V-Utility Allowances'!J10</f>
        <v>16</v>
      </c>
      <c r="K603" s="832">
        <f>'Part V-Utility Allowances'!K10</f>
        <v>20</v>
      </c>
      <c r="L603" s="832">
        <f>'Part V-Utility Allowances'!L10</f>
        <v>22</v>
      </c>
      <c r="M603" s="832">
        <f>'Part V-Utility Allowances'!M10</f>
        <v>26</v>
      </c>
    </row>
    <row r="604" spans="1:13">
      <c r="B604" s="1072" t="s">
        <v>493</v>
      </c>
      <c r="D604" s="1072" t="s">
        <v>1704</v>
      </c>
      <c r="F604" s="1036" t="str">
        <f>'Part V-Utility Allowances'!F11</f>
        <v>X</v>
      </c>
      <c r="G604" s="1036">
        <f>'Part V-Utility Allowances'!G11</f>
        <v>0</v>
      </c>
      <c r="I604" s="832">
        <f>'Part V-Utility Allowances'!I11</f>
        <v>0</v>
      </c>
      <c r="J604" s="832">
        <f>'Part V-Utility Allowances'!J11</f>
        <v>12</v>
      </c>
      <c r="K604" s="832">
        <f>'Part V-Utility Allowances'!K11</f>
        <v>16</v>
      </c>
      <c r="L604" s="832">
        <f>'Part V-Utility Allowances'!L11</f>
        <v>20</v>
      </c>
      <c r="M604" s="832">
        <f>'Part V-Utility Allowances'!M11</f>
        <v>25</v>
      </c>
    </row>
    <row r="605" spans="1:13">
      <c r="B605" s="1072" t="s">
        <v>1705</v>
      </c>
      <c r="D605" s="1635" t="str">
        <f>'Part V-Utility Allowances'!D12</f>
        <v>Electric</v>
      </c>
      <c r="E605" s="1635"/>
      <c r="F605" s="1036" t="str">
        <f>'Part V-Utility Allowances'!F12</f>
        <v>X</v>
      </c>
      <c r="G605" s="1036">
        <f>'Part V-Utility Allowances'!G12</f>
        <v>0</v>
      </c>
      <c r="I605" s="832">
        <f>'Part V-Utility Allowances'!I12</f>
        <v>0</v>
      </c>
      <c r="J605" s="832">
        <f>'Part V-Utility Allowances'!J12</f>
        <v>9</v>
      </c>
      <c r="K605" s="832">
        <f>'Part V-Utility Allowances'!K12</f>
        <v>11</v>
      </c>
      <c r="L605" s="832">
        <f>'Part V-Utility Allowances'!L12</f>
        <v>12</v>
      </c>
      <c r="M605" s="832">
        <f>'Part V-Utility Allowances'!M12</f>
        <v>13</v>
      </c>
    </row>
    <row r="606" spans="1:13">
      <c r="B606" s="1072" t="s">
        <v>1706</v>
      </c>
      <c r="D606" s="1635" t="str">
        <f>'Part V-Utility Allowances'!D13</f>
        <v>Electric</v>
      </c>
      <c r="E606" s="1635"/>
      <c r="F606" s="1036" t="str">
        <f>'Part V-Utility Allowances'!F13</f>
        <v>X</v>
      </c>
      <c r="G606" s="1036">
        <f>'Part V-Utility Allowances'!G13</f>
        <v>0</v>
      </c>
      <c r="I606" s="832">
        <f>'Part V-Utility Allowances'!I13</f>
        <v>0</v>
      </c>
      <c r="J606" s="832">
        <f>'Part V-Utility Allowances'!J13</f>
        <v>17</v>
      </c>
      <c r="K606" s="832">
        <f>'Part V-Utility Allowances'!K13</f>
        <v>23</v>
      </c>
      <c r="L606" s="832">
        <f>'Part V-Utility Allowances'!L13</f>
        <v>37</v>
      </c>
      <c r="M606" s="832">
        <f>'Part V-Utility Allowances'!M13</f>
        <v>51</v>
      </c>
    </row>
    <row r="607" spans="1:13">
      <c r="B607" s="1072" t="s">
        <v>1707</v>
      </c>
      <c r="D607" s="1072" t="s">
        <v>1704</v>
      </c>
      <c r="F607" s="1036" t="str">
        <f>'Part V-Utility Allowances'!F14</f>
        <v>X</v>
      </c>
      <c r="G607" s="1036">
        <f>'Part V-Utility Allowances'!G14</f>
        <v>0</v>
      </c>
      <c r="I607" s="832">
        <f>'Part V-Utility Allowances'!I14</f>
        <v>0</v>
      </c>
      <c r="J607" s="832">
        <f>'Part V-Utility Allowances'!J14</f>
        <v>30</v>
      </c>
      <c r="K607" s="832">
        <f>'Part V-Utility Allowances'!K14</f>
        <v>34</v>
      </c>
      <c r="L607" s="832">
        <f>'Part V-Utility Allowances'!L14</f>
        <v>39</v>
      </c>
      <c r="M607" s="832">
        <f>'Part V-Utility Allowances'!M14</f>
        <v>43</v>
      </c>
    </row>
    <row r="608" spans="1:13">
      <c r="B608" s="1072" t="s">
        <v>1457</v>
      </c>
      <c r="D608" s="1072" t="s">
        <v>2372</v>
      </c>
      <c r="E608" s="832" t="str">
        <f>'Part V-Utility Allowances'!E15</f>
        <v>Yes</v>
      </c>
      <c r="F608" s="1036" t="str">
        <f>'Part V-Utility Allowances'!F15</f>
        <v>X</v>
      </c>
      <c r="G608" s="1036">
        <f>'Part V-Utility Allowances'!G15</f>
        <v>0</v>
      </c>
      <c r="I608" s="832">
        <f>'Part V-Utility Allowances'!I15</f>
        <v>0</v>
      </c>
      <c r="J608" s="832">
        <f>'Part V-Utility Allowances'!J15</f>
        <v>31</v>
      </c>
      <c r="K608" s="832">
        <f>'Part V-Utility Allowances'!K15</f>
        <v>39</v>
      </c>
      <c r="L608" s="832">
        <f>'Part V-Utility Allowances'!L15</f>
        <v>60</v>
      </c>
      <c r="M608" s="832">
        <f>'Part V-Utility Allowances'!M15</f>
        <v>80</v>
      </c>
    </row>
    <row r="609" spans="1:13">
      <c r="B609" s="1072" t="s">
        <v>1980</v>
      </c>
      <c r="F609" s="1036">
        <f>'Part V-Utility Allowances'!F16</f>
        <v>0</v>
      </c>
      <c r="G609" s="1036" t="str">
        <f>'Part V-Utility Allowances'!G16</f>
        <v>X</v>
      </c>
      <c r="I609" s="832">
        <f>'Part V-Utility Allowances'!I16</f>
        <v>0</v>
      </c>
      <c r="J609" s="832">
        <f>'Part V-Utility Allowances'!J16</f>
        <v>0</v>
      </c>
      <c r="K609" s="832">
        <f>'Part V-Utility Allowances'!K16</f>
        <v>0</v>
      </c>
      <c r="L609" s="832">
        <f>'Part V-Utility Allowances'!L16</f>
        <v>0</v>
      </c>
      <c r="M609" s="832">
        <f>'Part V-Utility Allowances'!M16</f>
        <v>0</v>
      </c>
    </row>
    <row r="610" spans="1:13">
      <c r="B610" s="835" t="s">
        <v>1082</v>
      </c>
      <c r="F610" s="832"/>
      <c r="G610" s="832"/>
      <c r="I610" s="1115">
        <f>SUM(I603:I609)</f>
        <v>0</v>
      </c>
      <c r="J610" s="1115">
        <f>SUM(J603:J609)</f>
        <v>115</v>
      </c>
      <c r="K610" s="1115">
        <f>SUM(K603:K609)</f>
        <v>143</v>
      </c>
      <c r="L610" s="1115">
        <f>SUM(L603:L609)</f>
        <v>190</v>
      </c>
      <c r="M610" s="1115">
        <f>SUM(M603:M609)</f>
        <v>238</v>
      </c>
    </row>
    <row r="612" spans="1:13">
      <c r="A612" s="835" t="s">
        <v>790</v>
      </c>
      <c r="B612" s="835" t="s">
        <v>2374</v>
      </c>
      <c r="F612" s="1072" t="s">
        <v>2690</v>
      </c>
      <c r="I612" s="1635">
        <f>'Part V-Utility Allowances'!I19</f>
        <v>0</v>
      </c>
      <c r="J612" s="1635"/>
      <c r="K612" s="1635"/>
      <c r="L612" s="1635"/>
      <c r="M612" s="1635"/>
    </row>
    <row r="613" spans="1:13">
      <c r="A613" s="835"/>
      <c r="B613" s="835"/>
      <c r="F613" s="1072" t="s">
        <v>677</v>
      </c>
      <c r="I613" s="1636">
        <f>'Part V-Utility Allowances'!I20</f>
        <v>0</v>
      </c>
      <c r="J613" s="1636"/>
      <c r="K613" s="832" t="s">
        <v>573</v>
      </c>
      <c r="L613" s="1635">
        <f>'Part V-Utility Allowances'!L20</f>
        <v>0</v>
      </c>
      <c r="M613" s="1635"/>
    </row>
    <row r="614" spans="1:13">
      <c r="A614" s="835"/>
    </row>
    <row r="615" spans="1:13">
      <c r="A615" s="835"/>
      <c r="B615" s="835"/>
      <c r="C615" s="835"/>
      <c r="D615" s="835"/>
      <c r="E615" s="835"/>
      <c r="F615" s="1610" t="s">
        <v>650</v>
      </c>
      <c r="G615" s="1610"/>
      <c r="H615" s="835"/>
      <c r="I615" s="1610" t="s">
        <v>208</v>
      </c>
      <c r="J615" s="1610"/>
      <c r="K615" s="1610"/>
      <c r="L615" s="1610"/>
      <c r="M615" s="1610"/>
    </row>
    <row r="616" spans="1:13">
      <c r="A616" s="835"/>
      <c r="B616" s="835" t="s">
        <v>852</v>
      </c>
      <c r="C616" s="835"/>
      <c r="D616" s="835" t="s">
        <v>1708</v>
      </c>
      <c r="E616" s="835"/>
      <c r="F616" s="1115" t="s">
        <v>683</v>
      </c>
      <c r="G616" s="1115" t="s">
        <v>1979</v>
      </c>
      <c r="H616" s="835"/>
      <c r="I616" s="1115" t="s">
        <v>601</v>
      </c>
      <c r="J616" s="1115">
        <v>1</v>
      </c>
      <c r="K616" s="1115">
        <v>2</v>
      </c>
      <c r="L616" s="1115">
        <v>3</v>
      </c>
      <c r="M616" s="1115">
        <v>4</v>
      </c>
    </row>
    <row r="617" spans="1:13">
      <c r="B617" s="1072" t="s">
        <v>1981</v>
      </c>
      <c r="D617" s="1635" t="str">
        <f>'Part V-Utility Allowances'!D24</f>
        <v>&lt;&lt;Select Fuel &gt;&gt;</v>
      </c>
      <c r="E617" s="1635"/>
      <c r="F617" s="1036">
        <f>'Part V-Utility Allowances'!F24</f>
        <v>0</v>
      </c>
      <c r="G617" s="1036">
        <f>'Part V-Utility Allowances'!G24</f>
        <v>0</v>
      </c>
      <c r="I617" s="832">
        <f>'Part V-Utility Allowances'!I24</f>
        <v>0</v>
      </c>
      <c r="J617" s="832">
        <f>'Part V-Utility Allowances'!J24</f>
        <v>0</v>
      </c>
      <c r="K617" s="832">
        <f>'Part V-Utility Allowances'!K24</f>
        <v>0</v>
      </c>
      <c r="L617" s="832">
        <f>'Part V-Utility Allowances'!L24</f>
        <v>0</v>
      </c>
      <c r="M617" s="832">
        <f>'Part V-Utility Allowances'!M24</f>
        <v>0</v>
      </c>
    </row>
    <row r="618" spans="1:13">
      <c r="B618" s="1072" t="s">
        <v>493</v>
      </c>
      <c r="D618" s="1072" t="s">
        <v>1704</v>
      </c>
      <c r="F618" s="1036">
        <f>'Part V-Utility Allowances'!F25</f>
        <v>0</v>
      </c>
      <c r="G618" s="1036">
        <f>'Part V-Utility Allowances'!G25</f>
        <v>0</v>
      </c>
      <c r="I618" s="832">
        <f>'Part V-Utility Allowances'!I25</f>
        <v>0</v>
      </c>
      <c r="J618" s="832">
        <f>'Part V-Utility Allowances'!J25</f>
        <v>0</v>
      </c>
      <c r="K618" s="832">
        <f>'Part V-Utility Allowances'!K25</f>
        <v>0</v>
      </c>
      <c r="L618" s="832">
        <f>'Part V-Utility Allowances'!L25</f>
        <v>0</v>
      </c>
      <c r="M618" s="832">
        <f>'Part V-Utility Allowances'!M25</f>
        <v>0</v>
      </c>
    </row>
    <row r="619" spans="1:13">
      <c r="B619" s="1072" t="s">
        <v>1705</v>
      </c>
      <c r="D619" s="1635" t="str">
        <f>'Part V-Utility Allowances'!D26</f>
        <v>&lt;&lt;Select Fuel &gt;&gt;</v>
      </c>
      <c r="E619" s="1635"/>
      <c r="F619" s="1036">
        <f>'Part V-Utility Allowances'!F26</f>
        <v>0</v>
      </c>
      <c r="G619" s="1036">
        <f>'Part V-Utility Allowances'!G26</f>
        <v>0</v>
      </c>
      <c r="I619" s="832">
        <f>'Part V-Utility Allowances'!I26</f>
        <v>0</v>
      </c>
      <c r="J619" s="832">
        <f>'Part V-Utility Allowances'!J26</f>
        <v>0</v>
      </c>
      <c r="K619" s="832">
        <f>'Part V-Utility Allowances'!K26</f>
        <v>0</v>
      </c>
      <c r="L619" s="832">
        <f>'Part V-Utility Allowances'!L26</f>
        <v>0</v>
      </c>
      <c r="M619" s="832">
        <f>'Part V-Utility Allowances'!M26</f>
        <v>0</v>
      </c>
    </row>
    <row r="620" spans="1:13">
      <c r="B620" s="1072" t="s">
        <v>1706</v>
      </c>
      <c r="D620" s="1635" t="str">
        <f>'Part V-Utility Allowances'!D27</f>
        <v>&lt;&lt;Select Fuel &gt;&gt;</v>
      </c>
      <c r="E620" s="1635"/>
      <c r="F620" s="1036">
        <f>'Part V-Utility Allowances'!F27</f>
        <v>0</v>
      </c>
      <c r="G620" s="1036">
        <f>'Part V-Utility Allowances'!G27</f>
        <v>0</v>
      </c>
      <c r="I620" s="832">
        <f>'Part V-Utility Allowances'!I27</f>
        <v>0</v>
      </c>
      <c r="J620" s="832">
        <f>'Part V-Utility Allowances'!J27</f>
        <v>0</v>
      </c>
      <c r="K620" s="832">
        <f>'Part V-Utility Allowances'!K27</f>
        <v>0</v>
      </c>
      <c r="L620" s="832">
        <f>'Part V-Utility Allowances'!L27</f>
        <v>0</v>
      </c>
      <c r="M620" s="832">
        <f>'Part V-Utility Allowances'!M27</f>
        <v>0</v>
      </c>
    </row>
    <row r="621" spans="1:13">
      <c r="B621" s="1072" t="s">
        <v>1707</v>
      </c>
      <c r="D621" s="1072" t="s">
        <v>1704</v>
      </c>
      <c r="F621" s="1036">
        <f>'Part V-Utility Allowances'!F28</f>
        <v>0</v>
      </c>
      <c r="G621" s="1036">
        <f>'Part V-Utility Allowances'!G28</f>
        <v>0</v>
      </c>
      <c r="I621" s="832">
        <f>'Part V-Utility Allowances'!I28</f>
        <v>0</v>
      </c>
      <c r="J621" s="832">
        <f>'Part V-Utility Allowances'!J28</f>
        <v>0</v>
      </c>
      <c r="K621" s="832">
        <f>'Part V-Utility Allowances'!K28</f>
        <v>0</v>
      </c>
      <c r="L621" s="832">
        <f>'Part V-Utility Allowances'!L28</f>
        <v>0</v>
      </c>
      <c r="M621" s="832">
        <f>'Part V-Utility Allowances'!M28</f>
        <v>0</v>
      </c>
    </row>
    <row r="622" spans="1:13">
      <c r="B622" s="1072" t="s">
        <v>1457</v>
      </c>
      <c r="D622" s="1072" t="s">
        <v>2372</v>
      </c>
      <c r="E622" s="832" t="str">
        <f>'Part V-Utility Allowances'!E29</f>
        <v>&lt;Select&gt;</v>
      </c>
      <c r="F622" s="1036">
        <f>'Part V-Utility Allowances'!F29</f>
        <v>0</v>
      </c>
      <c r="G622" s="1036">
        <f>'Part V-Utility Allowances'!G29</f>
        <v>0</v>
      </c>
      <c r="I622" s="832">
        <f>'Part V-Utility Allowances'!I29</f>
        <v>0</v>
      </c>
      <c r="J622" s="832">
        <f>'Part V-Utility Allowances'!J29</f>
        <v>0</v>
      </c>
      <c r="K622" s="832">
        <f>'Part V-Utility Allowances'!K29</f>
        <v>0</v>
      </c>
      <c r="L622" s="832">
        <f>'Part V-Utility Allowances'!L29</f>
        <v>0</v>
      </c>
      <c r="M622" s="832">
        <f>'Part V-Utility Allowances'!M29</f>
        <v>0</v>
      </c>
    </row>
    <row r="623" spans="1:13">
      <c r="B623" s="1072" t="s">
        <v>1980</v>
      </c>
      <c r="F623" s="1036">
        <f>'Part V-Utility Allowances'!F30</f>
        <v>0</v>
      </c>
      <c r="G623" s="1036">
        <f>'Part V-Utility Allowances'!G30</f>
        <v>0</v>
      </c>
      <c r="I623" s="832">
        <f>'Part V-Utility Allowances'!I30</f>
        <v>0</v>
      </c>
      <c r="J623" s="832">
        <f>'Part V-Utility Allowances'!J30</f>
        <v>0</v>
      </c>
      <c r="K623" s="832">
        <f>'Part V-Utility Allowances'!K30</f>
        <v>0</v>
      </c>
      <c r="L623" s="832">
        <f>'Part V-Utility Allowances'!L30</f>
        <v>0</v>
      </c>
      <c r="M623" s="832">
        <f>'Part V-Utility Allowances'!M30</f>
        <v>0</v>
      </c>
    </row>
    <row r="624" spans="1:13">
      <c r="B624" s="835" t="s">
        <v>1082</v>
      </c>
      <c r="F624" s="832"/>
      <c r="G624" s="832"/>
      <c r="I624" s="1115">
        <f>SUM(I617:I623)</f>
        <v>0</v>
      </c>
      <c r="J624" s="1115">
        <f>SUM(J617:J623)</f>
        <v>0</v>
      </c>
      <c r="K624" s="1115">
        <f>SUM(K617:K623)</f>
        <v>0</v>
      </c>
      <c r="L624" s="1115">
        <f>SUM(L617:L623)</f>
        <v>0</v>
      </c>
      <c r="M624" s="1115">
        <f>SUM(M617:M623)</f>
        <v>0</v>
      </c>
    </row>
    <row r="626" spans="1:221">
      <c r="B626" s="904" t="s">
        <v>1932</v>
      </c>
    </row>
    <row r="628" spans="1:221">
      <c r="A628" s="835"/>
      <c r="B628" s="835" t="s">
        <v>608</v>
      </c>
    </row>
    <row r="629" spans="1:221">
      <c r="B629" s="1622" t="str">
        <f>'Part V-Utility Allowances'!B36</f>
        <v xml:space="preserve">The applicable utility allowance for this project are from the local PHA who also is a partner in this development. </v>
      </c>
      <c r="C629" s="1622"/>
      <c r="D629" s="1622"/>
      <c r="E629" s="1622"/>
      <c r="F629" s="1622"/>
      <c r="G629" s="1622"/>
      <c r="H629" s="1622"/>
      <c r="I629" s="1622"/>
      <c r="J629" s="1622"/>
      <c r="K629" s="1622"/>
      <c r="L629" s="1622"/>
      <c r="M629" s="1622"/>
    </row>
    <row r="631" spans="1:221">
      <c r="A631" s="835"/>
      <c r="B631" s="835" t="s">
        <v>1974</v>
      </c>
    </row>
    <row r="632" spans="1:221">
      <c r="B632" s="1622">
        <f>'Part V-Utility Allowances'!B39</f>
        <v>0</v>
      </c>
      <c r="C632" s="1622"/>
      <c r="D632" s="1622"/>
      <c r="E632" s="1622"/>
      <c r="F632" s="1622"/>
      <c r="G632" s="1622"/>
      <c r="H632" s="1622"/>
      <c r="I632" s="1622"/>
      <c r="J632" s="1622"/>
      <c r="K632" s="1622"/>
      <c r="L632" s="1622"/>
      <c r="M632" s="1622"/>
    </row>
    <row r="635" spans="1:221" s="583" customFormat="1" ht="13.9" customHeight="1">
      <c r="A635" s="1599" t="str">
        <f>CONCATENATE("PART SIX - PROJECTED REVENUES &amp; EXPENSES","  -  ",'Part I-Project Information'!$O$4," ",'Part I-Project Information'!$F$23,", ",'Part I-Project Information'!F661,", ",'Part I-Project Information'!J662," County")</f>
        <v>PART SIX - PROJECTED REVENUES &amp; EXPENSES  -  2014-039 Willingham Village II, , Southeast Georgia Consolidated Housing Authority County</v>
      </c>
      <c r="B635" s="1599"/>
      <c r="C635" s="1599"/>
      <c r="D635" s="1599"/>
      <c r="E635" s="1599"/>
      <c r="F635" s="1599"/>
      <c r="G635" s="1599"/>
      <c r="H635" s="1599"/>
      <c r="I635" s="1599"/>
      <c r="J635" s="1599"/>
      <c r="K635" s="1599"/>
      <c r="L635" s="1599"/>
      <c r="M635" s="1599"/>
      <c r="N635" s="1599"/>
      <c r="O635" s="1599"/>
      <c r="P635" s="1599"/>
      <c r="T635" s="1599" t="str">
        <f>A635</f>
        <v>PART SIX - PROJECTED REVENUES &amp; EXPENSES  -  2014-039 Willingham Village II, , Southeast Georgia Consolidated Housing Authority County</v>
      </c>
      <c r="U635" s="1599"/>
      <c r="ET635" s="828"/>
      <c r="EU635" s="828"/>
      <c r="EV635" s="828"/>
      <c r="EW635" s="828"/>
      <c r="EX635" s="828"/>
      <c r="EY635" s="828"/>
      <c r="EZ635" s="828"/>
      <c r="FA635" s="828"/>
      <c r="FB635" s="828"/>
      <c r="FC635" s="828"/>
      <c r="FD635" s="828"/>
      <c r="FE635" s="828"/>
      <c r="FF635" s="828"/>
      <c r="FG635" s="828"/>
      <c r="FH635" s="828"/>
      <c r="FI635" s="828"/>
      <c r="FJ635" s="828"/>
      <c r="FK635" s="828"/>
      <c r="FL635" s="828"/>
      <c r="FM635" s="828"/>
      <c r="FN635" s="828"/>
      <c r="FO635" s="828"/>
      <c r="FP635" s="828"/>
      <c r="FQ635" s="828"/>
      <c r="FR635" s="828"/>
      <c r="FS635" s="828"/>
      <c r="FT635" s="828"/>
      <c r="FU635" s="828"/>
      <c r="FV635" s="828"/>
      <c r="FW635" s="828"/>
      <c r="FX635" s="828"/>
      <c r="FY635" s="828"/>
      <c r="FZ635" s="828"/>
      <c r="GA635" s="828"/>
      <c r="GB635" s="828"/>
      <c r="GC635" s="828"/>
      <c r="GD635" s="828"/>
      <c r="GE635" s="828"/>
      <c r="GF635" s="828"/>
      <c r="GG635" s="828"/>
      <c r="GL635" s="586"/>
    </row>
    <row r="636" spans="1:221" ht="9" customHeight="1">
      <c r="V636" s="829"/>
      <c r="W636" s="829"/>
      <c r="X636" s="829"/>
      <c r="Y636" s="829"/>
      <c r="Z636" s="829"/>
      <c r="AA636" s="829"/>
      <c r="AB636" s="829"/>
      <c r="AC636" s="829"/>
      <c r="AD636" s="829"/>
      <c r="AE636" s="829"/>
      <c r="AF636" s="829"/>
      <c r="AG636" s="829"/>
      <c r="AH636" s="829"/>
      <c r="AI636" s="829"/>
      <c r="AJ636" s="829"/>
      <c r="AK636" s="829"/>
      <c r="AL636" s="829"/>
      <c r="AM636" s="829"/>
      <c r="AN636" s="829"/>
      <c r="AO636" s="829"/>
      <c r="AP636" s="829"/>
      <c r="AQ636" s="829"/>
      <c r="AR636" s="829"/>
      <c r="AS636" s="829"/>
      <c r="AT636" s="829"/>
      <c r="AU636" s="829"/>
      <c r="AV636" s="829"/>
      <c r="AW636" s="829"/>
      <c r="AX636" s="829"/>
      <c r="AY636" s="829"/>
      <c r="AZ636" s="829"/>
      <c r="BA636" s="829"/>
      <c r="BB636" s="829"/>
      <c r="BC636" s="829"/>
      <c r="BD636" s="829"/>
      <c r="BE636" s="829"/>
      <c r="BF636" s="829"/>
      <c r="BG636" s="829"/>
      <c r="BH636" s="829"/>
      <c r="BI636" s="829"/>
      <c r="BJ636" s="829"/>
      <c r="BK636" s="829"/>
      <c r="BL636" s="829"/>
      <c r="BM636" s="829"/>
      <c r="BN636" s="829"/>
      <c r="BO636" s="829"/>
      <c r="BP636" s="829"/>
      <c r="BQ636" s="829"/>
      <c r="BR636" s="829"/>
      <c r="BS636" s="829"/>
      <c r="BT636" s="829"/>
      <c r="BU636" s="829"/>
      <c r="BV636" s="829"/>
      <c r="BW636" s="829"/>
      <c r="BX636" s="829"/>
      <c r="BY636" s="829"/>
      <c r="BZ636" s="829"/>
      <c r="CA636" s="829"/>
      <c r="CB636" s="829"/>
      <c r="CC636" s="829"/>
      <c r="CD636" s="829"/>
      <c r="CE636" s="829"/>
      <c r="CF636" s="829"/>
      <c r="CG636" s="829"/>
      <c r="CH636" s="829"/>
      <c r="CI636" s="829"/>
      <c r="CJ636" s="829"/>
      <c r="CK636" s="829"/>
      <c r="CL636" s="829"/>
      <c r="CM636" s="829"/>
      <c r="CN636" s="829"/>
      <c r="CO636" s="829"/>
      <c r="CP636" s="829"/>
      <c r="CQ636" s="829"/>
      <c r="CR636" s="829"/>
      <c r="CS636" s="829"/>
      <c r="CT636" s="829"/>
      <c r="CU636" s="829"/>
      <c r="CV636" s="829"/>
      <c r="CW636" s="829"/>
      <c r="CX636" s="829"/>
      <c r="CY636" s="829"/>
      <c r="CZ636" s="829"/>
      <c r="DA636" s="829"/>
      <c r="DB636" s="829"/>
      <c r="DC636" s="829"/>
      <c r="DD636" s="829"/>
      <c r="DE636" s="829"/>
      <c r="DF636" s="829"/>
      <c r="DG636" s="829"/>
      <c r="DH636" s="829"/>
      <c r="DI636" s="829"/>
      <c r="DJ636" s="829"/>
      <c r="DK636" s="829"/>
      <c r="DL636" s="829"/>
      <c r="DM636" s="829"/>
      <c r="DN636" s="829"/>
      <c r="DO636" s="829"/>
      <c r="DP636" s="829"/>
      <c r="DQ636" s="829"/>
      <c r="DR636" s="829"/>
      <c r="DS636" s="829"/>
      <c r="DT636" s="829"/>
      <c r="DU636" s="829"/>
      <c r="DV636" s="829"/>
      <c r="DW636" s="829"/>
      <c r="DX636" s="829"/>
      <c r="DY636" s="829"/>
      <c r="DZ636" s="829"/>
      <c r="EA636" s="829"/>
      <c r="EB636" s="829"/>
      <c r="EC636" s="829"/>
      <c r="ED636" s="829"/>
      <c r="EE636" s="829"/>
      <c r="EF636" s="829"/>
      <c r="EG636" s="829"/>
      <c r="EH636" s="829"/>
      <c r="EI636" s="829"/>
      <c r="EJ636" s="829"/>
      <c r="EK636" s="829"/>
      <c r="EL636" s="829"/>
      <c r="EM636" s="829"/>
      <c r="EN636" s="829"/>
      <c r="EO636" s="829"/>
      <c r="EP636" s="829"/>
      <c r="EQ636" s="829"/>
      <c r="ER636" s="829"/>
      <c r="ES636" s="829"/>
      <c r="ET636" s="829"/>
      <c r="EU636" s="829"/>
      <c r="EV636" s="830"/>
      <c r="EW636" s="830"/>
      <c r="EX636" s="830"/>
      <c r="EY636" s="830"/>
      <c r="EZ636" s="830"/>
      <c r="FA636" s="830"/>
      <c r="FB636" s="830"/>
      <c r="FC636" s="830"/>
      <c r="FD636" s="830"/>
      <c r="FE636" s="830"/>
      <c r="FF636" s="830"/>
      <c r="FG636" s="830"/>
      <c r="FH636" s="830"/>
      <c r="FI636" s="830"/>
      <c r="FJ636" s="830"/>
      <c r="FK636" s="830"/>
      <c r="FL636" s="830"/>
      <c r="FM636" s="830"/>
      <c r="FN636" s="830"/>
      <c r="FO636" s="830"/>
      <c r="FP636" s="830"/>
      <c r="FQ636" s="830"/>
      <c r="FR636" s="830"/>
      <c r="FS636" s="830"/>
      <c r="FT636" s="830"/>
      <c r="FU636" s="830"/>
      <c r="FV636" s="830"/>
      <c r="FW636" s="830"/>
      <c r="FX636" s="830"/>
      <c r="FY636" s="830"/>
      <c r="FZ636" s="830"/>
      <c r="GA636" s="830"/>
      <c r="GB636" s="830"/>
      <c r="GC636" s="830"/>
      <c r="GD636" s="830"/>
      <c r="GE636" s="830"/>
      <c r="GF636" s="830"/>
      <c r="GG636" s="830"/>
      <c r="GH636" s="830"/>
      <c r="GI636" s="830"/>
      <c r="GJ636" s="829"/>
      <c r="GK636" s="829"/>
      <c r="GL636" s="829"/>
      <c r="GM636" s="829"/>
      <c r="GN636" s="829"/>
      <c r="GT636" s="829"/>
      <c r="GU636" s="829"/>
      <c r="GV636" s="829"/>
      <c r="GW636" s="829"/>
      <c r="GX636" s="829"/>
      <c r="GY636" s="829"/>
      <c r="GZ636" s="829"/>
      <c r="HA636" s="829"/>
      <c r="HB636" s="829"/>
      <c r="HC636" s="829"/>
      <c r="HD636" s="829"/>
      <c r="HE636" s="829"/>
      <c r="HF636" s="829"/>
      <c r="HG636" s="829"/>
      <c r="HH636" s="829"/>
      <c r="HI636" s="829"/>
      <c r="HJ636" s="829"/>
      <c r="HK636" s="829"/>
      <c r="HL636" s="829"/>
      <c r="HM636" s="829"/>
    </row>
    <row r="637" spans="1:221" s="583" customFormat="1" ht="12.6" customHeight="1">
      <c r="A637" s="586" t="s">
        <v>657</v>
      </c>
      <c r="B637" s="586" t="s">
        <v>2520</v>
      </c>
      <c r="E637" s="905" t="s">
        <v>2903</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831"/>
      <c r="EW637" s="831"/>
      <c r="EX637" s="831"/>
      <c r="EY637" s="831"/>
      <c r="EZ637" s="831"/>
      <c r="FA637" s="830" t="s">
        <v>516</v>
      </c>
      <c r="FB637" s="830" t="s">
        <v>2604</v>
      </c>
      <c r="FC637" s="830" t="s">
        <v>2605</v>
      </c>
      <c r="FD637" s="830" t="s">
        <v>2606</v>
      </c>
      <c r="FE637" s="830" t="s">
        <v>2607</v>
      </c>
      <c r="FF637" s="831"/>
      <c r="FG637" s="831"/>
      <c r="FH637" s="831"/>
      <c r="FI637" s="831"/>
      <c r="FJ637" s="831"/>
      <c r="FK637" s="830" t="s">
        <v>516</v>
      </c>
      <c r="FL637" s="830" t="s">
        <v>2604</v>
      </c>
      <c r="FM637" s="830" t="s">
        <v>2605</v>
      </c>
      <c r="FN637" s="830" t="s">
        <v>2606</v>
      </c>
      <c r="FO637" s="830" t="s">
        <v>2607</v>
      </c>
      <c r="FP637" s="830" t="s">
        <v>516</v>
      </c>
      <c r="FQ637" s="830" t="s">
        <v>2604</v>
      </c>
      <c r="FR637" s="830" t="s">
        <v>2605</v>
      </c>
      <c r="FS637" s="830" t="s">
        <v>2606</v>
      </c>
      <c r="FT637" s="830" t="s">
        <v>2607</v>
      </c>
      <c r="FU637" s="830" t="s">
        <v>516</v>
      </c>
      <c r="FV637" s="830" t="s">
        <v>2604</v>
      </c>
      <c r="FW637" s="830" t="s">
        <v>2605</v>
      </c>
      <c r="FX637" s="830" t="s">
        <v>2606</v>
      </c>
      <c r="FY637" s="830" t="s">
        <v>2607</v>
      </c>
      <c r="FZ637" s="830" t="s">
        <v>516</v>
      </c>
      <c r="GA637" s="830" t="s">
        <v>2604</v>
      </c>
      <c r="GB637" s="830" t="s">
        <v>2605</v>
      </c>
      <c r="GC637" s="830" t="s">
        <v>2606</v>
      </c>
      <c r="GD637" s="830" t="s">
        <v>2607</v>
      </c>
      <c r="GE637" s="830" t="s">
        <v>516</v>
      </c>
      <c r="GF637" s="830" t="s">
        <v>2604</v>
      </c>
      <c r="GG637" s="830" t="s">
        <v>2605</v>
      </c>
      <c r="GH637" s="830" t="s">
        <v>2606</v>
      </c>
      <c r="GI637" s="830" t="s">
        <v>2607</v>
      </c>
      <c r="GJ637" s="830" t="s">
        <v>516</v>
      </c>
      <c r="GK637" s="830" t="s">
        <v>2604</v>
      </c>
      <c r="GL637" s="830" t="s">
        <v>2605</v>
      </c>
      <c r="GM637" s="830" t="s">
        <v>2606</v>
      </c>
      <c r="GN637" s="830" t="s">
        <v>2607</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1076"/>
      <c r="R638" s="1076"/>
      <c r="S638" s="1076"/>
      <c r="T638" s="1076"/>
      <c r="V638" s="1634" t="s">
        <v>975</v>
      </c>
      <c r="W638" s="1634" t="s">
        <v>806</v>
      </c>
      <c r="X638" s="1634" t="s">
        <v>807</v>
      </c>
      <c r="Y638" s="1634" t="s">
        <v>808</v>
      </c>
      <c r="Z638" s="1634" t="s">
        <v>809</v>
      </c>
      <c r="AA638" s="1634" t="s">
        <v>976</v>
      </c>
      <c r="AB638" s="1634" t="s">
        <v>2459</v>
      </c>
      <c r="AC638" s="1634" t="s">
        <v>2460</v>
      </c>
      <c r="AD638" s="1634" t="s">
        <v>2461</v>
      </c>
      <c r="AE638" s="1634" t="s">
        <v>2462</v>
      </c>
      <c r="AF638" s="1634" t="s">
        <v>977</v>
      </c>
      <c r="AG638" s="1634" t="s">
        <v>2463</v>
      </c>
      <c r="AH638" s="1634" t="s">
        <v>2464</v>
      </c>
      <c r="AI638" s="1634" t="s">
        <v>2465</v>
      </c>
      <c r="AJ638" s="1634" t="s">
        <v>2466</v>
      </c>
      <c r="AK638" s="1634" t="s">
        <v>132</v>
      </c>
      <c r="AL638" s="1634" t="s">
        <v>2467</v>
      </c>
      <c r="AM638" s="1634" t="s">
        <v>2468</v>
      </c>
      <c r="AN638" s="1634" t="s">
        <v>2469</v>
      </c>
      <c r="AO638" s="1634" t="s">
        <v>1217</v>
      </c>
      <c r="AP638" s="1634" t="s">
        <v>589</v>
      </c>
      <c r="AQ638" s="1634" t="s">
        <v>590</v>
      </c>
      <c r="AR638" s="1634" t="s">
        <v>614</v>
      </c>
      <c r="AS638" s="1634" t="s">
        <v>615</v>
      </c>
      <c r="AT638" s="1634" t="s">
        <v>616</v>
      </c>
      <c r="AU638" s="1634" t="s">
        <v>617</v>
      </c>
      <c r="AV638" s="1634" t="s">
        <v>618</v>
      </c>
      <c r="AW638" s="1634" t="s">
        <v>619</v>
      </c>
      <c r="AX638" s="1634" t="s">
        <v>620</v>
      </c>
      <c r="AY638" s="1634" t="s">
        <v>621</v>
      </c>
      <c r="AZ638" s="1634" t="s">
        <v>622</v>
      </c>
      <c r="BA638" s="1634" t="s">
        <v>623</v>
      </c>
      <c r="BB638" s="1634" t="s">
        <v>987</v>
      </c>
      <c r="BC638" s="1634" t="s">
        <v>988</v>
      </c>
      <c r="BD638" s="1634" t="s">
        <v>989</v>
      </c>
      <c r="BE638" s="1634" t="s">
        <v>528</v>
      </c>
      <c r="BF638" s="1634" t="s">
        <v>529</v>
      </c>
      <c r="BG638" s="1634" t="s">
        <v>530</v>
      </c>
      <c r="BH638" s="1634" t="s">
        <v>531</v>
      </c>
      <c r="BI638" s="1634" t="s">
        <v>532</v>
      </c>
      <c r="BJ638" s="1634" t="s">
        <v>935</v>
      </c>
      <c r="BK638" s="1634" t="s">
        <v>936</v>
      </c>
      <c r="BL638" s="1634" t="s">
        <v>937</v>
      </c>
      <c r="BM638" s="1634" t="s">
        <v>938</v>
      </c>
      <c r="BN638" s="1634" t="s">
        <v>939</v>
      </c>
      <c r="BO638" s="1634" t="s">
        <v>940</v>
      </c>
      <c r="BP638" s="1634" t="s">
        <v>941</v>
      </c>
      <c r="BQ638" s="1634" t="s">
        <v>942</v>
      </c>
      <c r="BR638" s="1634" t="s">
        <v>943</v>
      </c>
      <c r="BS638" s="1634" t="s">
        <v>944</v>
      </c>
      <c r="BT638" s="1634" t="s">
        <v>2594</v>
      </c>
      <c r="BU638" s="1634" t="s">
        <v>2595</v>
      </c>
      <c r="BV638" s="1634" t="s">
        <v>2596</v>
      </c>
      <c r="BW638" s="1634" t="s">
        <v>2597</v>
      </c>
      <c r="BX638" s="1634" t="s">
        <v>2598</v>
      </c>
      <c r="BY638" s="1634" t="s">
        <v>120</v>
      </c>
      <c r="BZ638" s="1634" t="s">
        <v>1220</v>
      </c>
      <c r="CA638" s="1634" t="s">
        <v>1221</v>
      </c>
      <c r="CB638" s="1634" t="s">
        <v>1290</v>
      </c>
      <c r="CC638" s="1634" t="s">
        <v>1291</v>
      </c>
      <c r="CD638" s="1631" t="s">
        <v>135</v>
      </c>
      <c r="CE638" s="1631" t="s">
        <v>1292</v>
      </c>
      <c r="CF638" s="1631" t="s">
        <v>1293</v>
      </c>
      <c r="CG638" s="1631" t="s">
        <v>1294</v>
      </c>
      <c r="CH638" s="1631" t="s">
        <v>1295</v>
      </c>
      <c r="CI638" s="1631" t="s">
        <v>134</v>
      </c>
      <c r="CJ638" s="1631" t="s">
        <v>967</v>
      </c>
      <c r="CK638" s="1631" t="s">
        <v>968</v>
      </c>
      <c r="CL638" s="1631" t="s">
        <v>969</v>
      </c>
      <c r="CM638" s="1631" t="s">
        <v>970</v>
      </c>
      <c r="CN638" s="1631" t="s">
        <v>133</v>
      </c>
      <c r="CO638" s="1631" t="s">
        <v>971</v>
      </c>
      <c r="CP638" s="1631" t="s">
        <v>972</v>
      </c>
      <c r="CQ638" s="1631" t="s">
        <v>973</v>
      </c>
      <c r="CR638" s="1631" t="s">
        <v>974</v>
      </c>
      <c r="CS638" s="1631" t="s">
        <v>863</v>
      </c>
      <c r="CT638" s="1631" t="s">
        <v>864</v>
      </c>
      <c r="CU638" s="1631" t="s">
        <v>865</v>
      </c>
      <c r="CV638" s="1631" t="s">
        <v>866</v>
      </c>
      <c r="CW638" s="1631" t="s">
        <v>867</v>
      </c>
      <c r="CX638" s="1631" t="s">
        <v>1014</v>
      </c>
      <c r="CY638" s="1631" t="s">
        <v>1015</v>
      </c>
      <c r="CZ638" s="1631" t="s">
        <v>1016</v>
      </c>
      <c r="DA638" s="1631" t="s">
        <v>1017</v>
      </c>
      <c r="DB638" s="1631" t="s">
        <v>2593</v>
      </c>
      <c r="DC638" s="1631" t="s">
        <v>1527</v>
      </c>
      <c r="DD638" s="1631" t="s">
        <v>1528</v>
      </c>
      <c r="DE638" s="1631" t="s">
        <v>1529</v>
      </c>
      <c r="DF638" s="1631" t="s">
        <v>1530</v>
      </c>
      <c r="DG638" s="1631" t="s">
        <v>1531</v>
      </c>
      <c r="DH638" s="1631" t="s">
        <v>458</v>
      </c>
      <c r="DI638" s="1631" t="s">
        <v>459</v>
      </c>
      <c r="DJ638" s="1631" t="s">
        <v>460</v>
      </c>
      <c r="DK638" s="1631" t="s">
        <v>461</v>
      </c>
      <c r="DL638" s="1631" t="s">
        <v>462</v>
      </c>
      <c r="DM638" s="1631" t="s">
        <v>18</v>
      </c>
      <c r="DN638" s="1631" t="s">
        <v>19</v>
      </c>
      <c r="DO638" s="1631" t="s">
        <v>20</v>
      </c>
      <c r="DP638" s="1631" t="s">
        <v>21</v>
      </c>
      <c r="DQ638" s="1631" t="s">
        <v>22</v>
      </c>
      <c r="DR638" s="1631" t="s">
        <v>233</v>
      </c>
      <c r="DS638" s="1631" t="s">
        <v>234</v>
      </c>
      <c r="DT638" s="1631" t="s">
        <v>235</v>
      </c>
      <c r="DU638" s="1631" t="s">
        <v>1938</v>
      </c>
      <c r="DV638" s="1631" t="s">
        <v>1939</v>
      </c>
      <c r="DW638" s="1631" t="s">
        <v>1940</v>
      </c>
      <c r="DX638" s="1631" t="s">
        <v>630</v>
      </c>
      <c r="DY638" s="1631" t="s">
        <v>631</v>
      </c>
      <c r="DZ638" s="1631" t="s">
        <v>632</v>
      </c>
      <c r="EA638" s="1631" t="s">
        <v>633</v>
      </c>
      <c r="EB638" s="1631" t="s">
        <v>23</v>
      </c>
      <c r="EC638" s="1631" t="s">
        <v>24</v>
      </c>
      <c r="ED638" s="1631" t="s">
        <v>25</v>
      </c>
      <c r="EE638" s="1631" t="s">
        <v>26</v>
      </c>
      <c r="EF638" s="1631" t="s">
        <v>27</v>
      </c>
      <c r="EG638" s="1631" t="s">
        <v>527</v>
      </c>
      <c r="EH638" s="1631" t="s">
        <v>454</v>
      </c>
      <c r="EI638" s="1631" t="s">
        <v>455</v>
      </c>
      <c r="EJ638" s="1631" t="s">
        <v>456</v>
      </c>
      <c r="EK638" s="1631" t="s">
        <v>457</v>
      </c>
      <c r="EL638" s="1631" t="s">
        <v>2351</v>
      </c>
      <c r="EM638" s="1631" t="s">
        <v>2352</v>
      </c>
      <c r="EN638" s="1631" t="s">
        <v>2353</v>
      </c>
      <c r="EO638" s="1631" t="s">
        <v>1578</v>
      </c>
      <c r="EP638" s="1631" t="s">
        <v>1579</v>
      </c>
      <c r="EQ638" s="1631" t="s">
        <v>28</v>
      </c>
      <c r="ER638" s="1631" t="s">
        <v>29</v>
      </c>
      <c r="ES638" s="1631" t="s">
        <v>30</v>
      </c>
      <c r="ET638" s="1631" t="s">
        <v>31</v>
      </c>
      <c r="EU638" s="1631" t="s">
        <v>32</v>
      </c>
      <c r="EV638" s="828"/>
      <c r="EW638" s="828"/>
      <c r="EX638" s="828"/>
      <c r="EY638" s="828"/>
      <c r="EZ638" s="828"/>
      <c r="FA638" s="828"/>
      <c r="FB638" s="828"/>
      <c r="FC638" s="828"/>
      <c r="FD638" s="828"/>
      <c r="FE638" s="828"/>
      <c r="FF638" s="828"/>
      <c r="FG638" s="828"/>
      <c r="FH638" s="828"/>
      <c r="FI638" s="828"/>
      <c r="FJ638" s="828"/>
      <c r="FK638" s="828"/>
      <c r="FL638" s="828"/>
      <c r="FM638" s="828"/>
      <c r="FN638" s="828"/>
      <c r="FO638" s="828"/>
      <c r="FP638" s="828"/>
      <c r="FQ638" s="828"/>
      <c r="FR638" s="828"/>
      <c r="FS638" s="828"/>
      <c r="FT638" s="828"/>
      <c r="FU638" s="828"/>
      <c r="FV638" s="828"/>
      <c r="FW638" s="828"/>
      <c r="FX638" s="828"/>
      <c r="FY638" s="828"/>
      <c r="FZ638" s="828"/>
      <c r="GA638" s="828"/>
      <c r="GB638" s="828"/>
      <c r="GC638" s="828"/>
      <c r="GD638" s="828"/>
      <c r="GE638" s="828"/>
      <c r="GF638" s="828"/>
      <c r="GG638" s="828"/>
      <c r="GH638" s="828"/>
      <c r="GI638" s="828"/>
      <c r="GO638" s="1631" t="s">
        <v>1735</v>
      </c>
      <c r="GP638" s="1631" t="s">
        <v>2696</v>
      </c>
      <c r="GQ638" s="1631" t="s">
        <v>2697</v>
      </c>
      <c r="GR638" s="1631" t="s">
        <v>405</v>
      </c>
      <c r="GS638" s="1631" t="s">
        <v>406</v>
      </c>
      <c r="GT638" s="1631" t="s">
        <v>407</v>
      </c>
      <c r="GU638" s="1631" t="s">
        <v>408</v>
      </c>
      <c r="GV638" s="1631" t="s">
        <v>409</v>
      </c>
      <c r="GW638" s="1631" t="s">
        <v>410</v>
      </c>
      <c r="GX638" s="1631" t="s">
        <v>411</v>
      </c>
      <c r="GY638" s="1631" t="s">
        <v>210</v>
      </c>
      <c r="GZ638" s="1631" t="s">
        <v>211</v>
      </c>
      <c r="HA638" s="1631" t="s">
        <v>212</v>
      </c>
      <c r="HB638" s="1631" t="s">
        <v>213</v>
      </c>
      <c r="HC638" s="1631" t="s">
        <v>214</v>
      </c>
      <c r="HD638" s="1631" t="s">
        <v>215</v>
      </c>
      <c r="HE638" s="1631" t="s">
        <v>216</v>
      </c>
      <c r="HF638" s="1631" t="s">
        <v>217</v>
      </c>
      <c r="HG638" s="1631" t="s">
        <v>218</v>
      </c>
      <c r="HH638" s="1631" t="s">
        <v>219</v>
      </c>
      <c r="HI638" s="1631" t="s">
        <v>220</v>
      </c>
      <c r="HJ638" s="1631" t="s">
        <v>221</v>
      </c>
      <c r="HK638" s="1631" t="s">
        <v>222</v>
      </c>
      <c r="HL638" s="1631" t="s">
        <v>223</v>
      </c>
      <c r="HM638" s="1631" t="s">
        <v>224</v>
      </c>
    </row>
    <row r="639" spans="1:221" s="583" customFormat="1" ht="13.15" customHeight="1">
      <c r="B639" s="586" t="s">
        <v>1975</v>
      </c>
      <c r="E639" s="586"/>
      <c r="G639" s="828">
        <f>'Part VI-Revenues &amp; Expenses'!G5</f>
        <v>0</v>
      </c>
      <c r="N639" s="1127" t="s">
        <v>613</v>
      </c>
      <c r="P639" s="1084" t="s">
        <v>1097</v>
      </c>
      <c r="V639" s="1634"/>
      <c r="W639" s="1634"/>
      <c r="X639" s="1634"/>
      <c r="Y639" s="1634"/>
      <c r="Z639" s="1634"/>
      <c r="AA639" s="1634"/>
      <c r="AB639" s="1634"/>
      <c r="AC639" s="1634"/>
      <c r="AD639" s="1634"/>
      <c r="AE639" s="1634"/>
      <c r="AF639" s="1634"/>
      <c r="AG639" s="1634"/>
      <c r="AH639" s="1634"/>
      <c r="AI639" s="1634"/>
      <c r="AJ639" s="1634"/>
      <c r="AK639" s="1634"/>
      <c r="AL639" s="1634"/>
      <c r="AM639" s="1634"/>
      <c r="AN639" s="1634"/>
      <c r="AO639" s="1634"/>
      <c r="AP639" s="1634"/>
      <c r="AQ639" s="1634"/>
      <c r="AR639" s="1634"/>
      <c r="AS639" s="1634"/>
      <c r="AT639" s="1634"/>
      <c r="AU639" s="1634"/>
      <c r="AV639" s="1634"/>
      <c r="AW639" s="1634"/>
      <c r="AX639" s="1634"/>
      <c r="AY639" s="1634"/>
      <c r="AZ639" s="1634"/>
      <c r="BA639" s="1634"/>
      <c r="BB639" s="1634"/>
      <c r="BC639" s="1634"/>
      <c r="BD639" s="1634"/>
      <c r="BE639" s="1634"/>
      <c r="BF639" s="1634"/>
      <c r="BG639" s="1634"/>
      <c r="BH639" s="1634"/>
      <c r="BI639" s="1634"/>
      <c r="BJ639" s="1634"/>
      <c r="BK639" s="1634"/>
      <c r="BL639" s="1634"/>
      <c r="BM639" s="1634"/>
      <c r="BN639" s="1634"/>
      <c r="BO639" s="1634"/>
      <c r="BP639" s="1634"/>
      <c r="BQ639" s="1634"/>
      <c r="BR639" s="1634"/>
      <c r="BS639" s="1634"/>
      <c r="BT639" s="1634"/>
      <c r="BU639" s="1634"/>
      <c r="BV639" s="1634"/>
      <c r="BW639" s="1634"/>
      <c r="BX639" s="1634"/>
      <c r="BY639" s="1634"/>
      <c r="BZ639" s="1634"/>
      <c r="CA639" s="1634"/>
      <c r="CB639" s="1634"/>
      <c r="CC639" s="1634"/>
      <c r="CD639" s="1631"/>
      <c r="CE639" s="1631"/>
      <c r="CF639" s="1631"/>
      <c r="CG639" s="1631"/>
      <c r="CH639" s="1631"/>
      <c r="CI639" s="1631"/>
      <c r="CJ639" s="1631"/>
      <c r="CK639" s="1631"/>
      <c r="CL639" s="1631"/>
      <c r="CM639" s="1631"/>
      <c r="CN639" s="1631"/>
      <c r="CO639" s="1631"/>
      <c r="CP639" s="1631"/>
      <c r="CQ639" s="1631"/>
      <c r="CR639" s="1631"/>
      <c r="CS639" s="1631"/>
      <c r="CT639" s="1631"/>
      <c r="CU639" s="1631"/>
      <c r="CV639" s="1631"/>
      <c r="CW639" s="1631"/>
      <c r="CX639" s="1631"/>
      <c r="CY639" s="1631"/>
      <c r="CZ639" s="1631"/>
      <c r="DA639" s="1631"/>
      <c r="DB639" s="1631"/>
      <c r="DC639" s="1631"/>
      <c r="DD639" s="1631"/>
      <c r="DE639" s="1631"/>
      <c r="DF639" s="1631"/>
      <c r="DG639" s="1631"/>
      <c r="DH639" s="1631"/>
      <c r="DI639" s="1631"/>
      <c r="DJ639" s="1631"/>
      <c r="DK639" s="1631"/>
      <c r="DL639" s="1631"/>
      <c r="DM639" s="1631"/>
      <c r="DN639" s="1631"/>
      <c r="DO639" s="1631"/>
      <c r="DP639" s="1631"/>
      <c r="DQ639" s="1631"/>
      <c r="DR639" s="1631"/>
      <c r="DS639" s="1631"/>
      <c r="DT639" s="1631"/>
      <c r="DU639" s="1631"/>
      <c r="DV639" s="1631"/>
      <c r="DW639" s="1631"/>
      <c r="DX639" s="1631"/>
      <c r="DY639" s="1631"/>
      <c r="DZ639" s="1631"/>
      <c r="EA639" s="1631"/>
      <c r="EB639" s="1631"/>
      <c r="EC639" s="1631"/>
      <c r="ED639" s="1631"/>
      <c r="EE639" s="1631"/>
      <c r="EF639" s="1631"/>
      <c r="EG639" s="1631"/>
      <c r="EH639" s="1631"/>
      <c r="EI639" s="1631"/>
      <c r="EJ639" s="1631"/>
      <c r="EK639" s="1631"/>
      <c r="EL639" s="1631"/>
      <c r="EM639" s="1631"/>
      <c r="EN639" s="1631"/>
      <c r="EO639" s="1631"/>
      <c r="EP639" s="1631"/>
      <c r="EQ639" s="1631"/>
      <c r="ER639" s="1631"/>
      <c r="ES639" s="1631"/>
      <c r="ET639" s="1631"/>
      <c r="EU639" s="1631"/>
      <c r="EV639" s="828"/>
      <c r="EW639" s="828"/>
      <c r="EX639" s="828"/>
      <c r="EY639" s="828"/>
      <c r="EZ639" s="828"/>
      <c r="FA639" s="828"/>
      <c r="FB639" s="828"/>
      <c r="FC639" s="828"/>
      <c r="FD639" s="828"/>
      <c r="FE639" s="828"/>
      <c r="FF639" s="828"/>
      <c r="FG639" s="828"/>
      <c r="FH639" s="828"/>
      <c r="FI639" s="828"/>
      <c r="FJ639" s="828"/>
      <c r="FK639" s="828"/>
      <c r="FL639" s="828"/>
      <c r="FM639" s="828"/>
      <c r="FN639" s="828"/>
      <c r="FO639" s="828"/>
      <c r="FP639" s="828"/>
      <c r="FQ639" s="828"/>
      <c r="FR639" s="828"/>
      <c r="FS639" s="828"/>
      <c r="FT639" s="828"/>
      <c r="FU639" s="828"/>
      <c r="FV639" s="828"/>
      <c r="FW639" s="828"/>
      <c r="FX639" s="828"/>
      <c r="FY639" s="828"/>
      <c r="FZ639" s="828"/>
      <c r="GA639" s="828"/>
      <c r="GB639" s="828"/>
      <c r="GC639" s="828"/>
      <c r="GD639" s="828"/>
      <c r="GE639" s="828"/>
      <c r="GF639" s="828"/>
      <c r="GG639" s="828"/>
      <c r="GH639" s="828"/>
      <c r="GI639" s="828"/>
      <c r="GO639" s="1631"/>
      <c r="GP639" s="1631"/>
      <c r="GQ639" s="1631"/>
      <c r="GR639" s="1631"/>
      <c r="GS639" s="1631"/>
      <c r="GT639" s="1631"/>
      <c r="GU639" s="1631"/>
      <c r="GV639" s="1631"/>
      <c r="GW639" s="1631"/>
      <c r="GX639" s="1631"/>
      <c r="GY639" s="1631"/>
      <c r="GZ639" s="1631"/>
      <c r="HA639" s="1631"/>
      <c r="HB639" s="1631"/>
      <c r="HC639" s="1631"/>
      <c r="HD639" s="1631"/>
      <c r="HE639" s="1631"/>
      <c r="HF639" s="1631"/>
      <c r="HG639" s="1631"/>
      <c r="HH639" s="1631"/>
      <c r="HI639" s="1631"/>
      <c r="HJ639" s="1631"/>
      <c r="HK639" s="1631"/>
      <c r="HL639" s="1631"/>
      <c r="HM639" s="1631"/>
    </row>
    <row r="640" spans="1:221" s="583" customFormat="1" ht="13.15" customHeight="1">
      <c r="B640" s="1119" t="s">
        <v>1931</v>
      </c>
      <c r="E640" s="586"/>
      <c r="G640" s="832" t="str">
        <f>'Part VI-Revenues &amp; Expenses'!G6</f>
        <v>Yes</v>
      </c>
      <c r="J640" s="1070" t="s">
        <v>2567</v>
      </c>
      <c r="N640" s="1632" t="str">
        <f>'Part I-Project Information'!$O$29</f>
        <v>Rome</v>
      </c>
      <c r="O640" s="1632"/>
      <c r="P640" s="518">
        <f>VLOOKUP('Part I-Project Information'!$O$29,'DCA Underwriting Assumptions'!$C$82:$D$192,2)</f>
        <v>52300</v>
      </c>
      <c r="R640" s="1599" t="s">
        <v>2930</v>
      </c>
      <c r="S640" s="1599"/>
      <c r="V640" s="1634"/>
      <c r="W640" s="1634"/>
      <c r="X640" s="1634"/>
      <c r="Y640" s="1634"/>
      <c r="Z640" s="1634"/>
      <c r="AA640" s="1634"/>
      <c r="AB640" s="1634"/>
      <c r="AC640" s="1634"/>
      <c r="AD640" s="1634"/>
      <c r="AE640" s="1634"/>
      <c r="AF640" s="1634"/>
      <c r="AG640" s="1634"/>
      <c r="AH640" s="1634"/>
      <c r="AI640" s="1634"/>
      <c r="AJ640" s="1634"/>
      <c r="AK640" s="1634"/>
      <c r="AL640" s="1634"/>
      <c r="AM640" s="1634"/>
      <c r="AN640" s="1634"/>
      <c r="AO640" s="1634"/>
      <c r="AP640" s="1634"/>
      <c r="AQ640" s="1634"/>
      <c r="AR640" s="1634"/>
      <c r="AS640" s="1634"/>
      <c r="AT640" s="1634"/>
      <c r="AU640" s="1634"/>
      <c r="AV640" s="1634"/>
      <c r="AW640" s="1634"/>
      <c r="AX640" s="1634"/>
      <c r="AY640" s="1634"/>
      <c r="AZ640" s="1634"/>
      <c r="BA640" s="1634"/>
      <c r="BB640" s="1634"/>
      <c r="BC640" s="1634"/>
      <c r="BD640" s="1634"/>
      <c r="BE640" s="1634"/>
      <c r="BF640" s="1634"/>
      <c r="BG640" s="1634"/>
      <c r="BH640" s="1634"/>
      <c r="BI640" s="1634"/>
      <c r="BJ640" s="1634"/>
      <c r="BK640" s="1634"/>
      <c r="BL640" s="1634"/>
      <c r="BM640" s="1634"/>
      <c r="BN640" s="1634"/>
      <c r="BO640" s="1634"/>
      <c r="BP640" s="1634"/>
      <c r="BQ640" s="1634"/>
      <c r="BR640" s="1634"/>
      <c r="BS640" s="1634"/>
      <c r="BT640" s="1634"/>
      <c r="BU640" s="1634"/>
      <c r="BV640" s="1634"/>
      <c r="BW640" s="1634"/>
      <c r="BX640" s="1634"/>
      <c r="BY640" s="1634"/>
      <c r="BZ640" s="1634"/>
      <c r="CA640" s="1634"/>
      <c r="CB640" s="1634"/>
      <c r="CC640" s="1634"/>
      <c r="CD640" s="1631"/>
      <c r="CE640" s="1631"/>
      <c r="CF640" s="1631"/>
      <c r="CG640" s="1631"/>
      <c r="CH640" s="1631"/>
      <c r="CI640" s="1631"/>
      <c r="CJ640" s="1631"/>
      <c r="CK640" s="1631"/>
      <c r="CL640" s="1631"/>
      <c r="CM640" s="1631"/>
      <c r="CN640" s="1631"/>
      <c r="CO640" s="1631"/>
      <c r="CP640" s="1631"/>
      <c r="CQ640" s="1631"/>
      <c r="CR640" s="1631"/>
      <c r="CS640" s="1631"/>
      <c r="CT640" s="1631"/>
      <c r="CU640" s="1631"/>
      <c r="CV640" s="1631"/>
      <c r="CW640" s="1631"/>
      <c r="CX640" s="1631"/>
      <c r="CY640" s="1631"/>
      <c r="CZ640" s="1631"/>
      <c r="DA640" s="1631"/>
      <c r="DB640" s="1631"/>
      <c r="DC640" s="1631"/>
      <c r="DD640" s="1631"/>
      <c r="DE640" s="1631"/>
      <c r="DF640" s="1631"/>
      <c r="DG640" s="1631"/>
      <c r="DH640" s="1631"/>
      <c r="DI640" s="1631"/>
      <c r="DJ640" s="1631"/>
      <c r="DK640" s="1631"/>
      <c r="DL640" s="1631"/>
      <c r="DM640" s="1631"/>
      <c r="DN640" s="1631"/>
      <c r="DO640" s="1631"/>
      <c r="DP640" s="1631"/>
      <c r="DQ640" s="1631"/>
      <c r="DR640" s="1631"/>
      <c r="DS640" s="1631"/>
      <c r="DT640" s="1631"/>
      <c r="DU640" s="1631"/>
      <c r="DV640" s="1631"/>
      <c r="DW640" s="1631"/>
      <c r="DX640" s="1631"/>
      <c r="DY640" s="1631"/>
      <c r="DZ640" s="1631"/>
      <c r="EA640" s="1631"/>
      <c r="EB640" s="1631"/>
      <c r="EC640" s="1631"/>
      <c r="ED640" s="1631"/>
      <c r="EE640" s="1631"/>
      <c r="EF640" s="1631"/>
      <c r="EG640" s="1631"/>
      <c r="EH640" s="1631"/>
      <c r="EI640" s="1631"/>
      <c r="EJ640" s="1631"/>
      <c r="EK640" s="1631"/>
      <c r="EL640" s="1631"/>
      <c r="EM640" s="1631"/>
      <c r="EN640" s="1631"/>
      <c r="EO640" s="1631"/>
      <c r="EP640" s="1631"/>
      <c r="EQ640" s="1631"/>
      <c r="ER640" s="1631"/>
      <c r="ES640" s="1631"/>
      <c r="ET640" s="1631"/>
      <c r="EU640" s="1631"/>
      <c r="EV640" s="828"/>
      <c r="EW640" s="828"/>
      <c r="EX640" s="828"/>
      <c r="EY640" s="828"/>
      <c r="EZ640" s="828"/>
      <c r="FA640" s="828"/>
      <c r="FB640" s="828"/>
      <c r="FC640" s="828"/>
      <c r="FD640" s="828"/>
      <c r="FE640" s="828"/>
      <c r="FF640" s="828"/>
      <c r="FG640" s="828"/>
      <c r="FH640" s="828"/>
      <c r="FI640" s="828"/>
      <c r="FJ640" s="828"/>
      <c r="FK640" s="828"/>
      <c r="FL640" s="828"/>
      <c r="FM640" s="828"/>
      <c r="FN640" s="828"/>
      <c r="FO640" s="828"/>
      <c r="FP640" s="828"/>
      <c r="FQ640" s="828"/>
      <c r="FR640" s="828"/>
      <c r="FS640" s="828"/>
      <c r="FT640" s="828"/>
      <c r="FU640" s="828"/>
      <c r="FV640" s="828"/>
      <c r="FW640" s="828"/>
      <c r="FX640" s="828"/>
      <c r="FY640" s="828"/>
      <c r="FZ640" s="828"/>
      <c r="GA640" s="828"/>
      <c r="GB640" s="828"/>
      <c r="GC640" s="828"/>
      <c r="GD640" s="828"/>
      <c r="GE640" s="828"/>
      <c r="GF640" s="828"/>
      <c r="GG640" s="828"/>
      <c r="GH640" s="828"/>
      <c r="GI640" s="828"/>
      <c r="GO640" s="1631"/>
      <c r="GP640" s="1631"/>
      <c r="GQ640" s="1631"/>
      <c r="GR640" s="1631"/>
      <c r="GS640" s="1631"/>
      <c r="GT640" s="1631"/>
      <c r="GU640" s="1631"/>
      <c r="GV640" s="1631"/>
      <c r="GW640" s="1631"/>
      <c r="GX640" s="1631"/>
      <c r="GY640" s="1631"/>
      <c r="GZ640" s="1631"/>
      <c r="HA640" s="1631"/>
      <c r="HB640" s="1631"/>
      <c r="HC640" s="1631"/>
      <c r="HD640" s="1631"/>
      <c r="HE640" s="1631"/>
      <c r="HF640" s="1631"/>
      <c r="HG640" s="1631"/>
      <c r="HH640" s="1631"/>
      <c r="HI640" s="1631"/>
      <c r="HJ640" s="1631"/>
      <c r="HK640" s="1631"/>
      <c r="HL640" s="1631"/>
      <c r="HM640" s="1631"/>
    </row>
    <row r="641" spans="1:221" s="583" customFormat="1" ht="13.9" customHeight="1">
      <c r="A641" s="1633" t="str">
        <f>IF(A682&gt;0,"Finish!","")</f>
        <v/>
      </c>
      <c r="B641" s="586"/>
      <c r="D641" s="586"/>
      <c r="J641" s="1070" t="s">
        <v>2568</v>
      </c>
      <c r="N641" s="1076"/>
      <c r="O641" s="1076"/>
      <c r="P641" s="1076"/>
      <c r="Q641" s="1076"/>
      <c r="R641" s="604"/>
      <c r="S641" s="1126" t="s">
        <v>2927</v>
      </c>
      <c r="T641" s="1076"/>
      <c r="V641" s="1634"/>
      <c r="W641" s="1634"/>
      <c r="X641" s="1634"/>
      <c r="Y641" s="1634"/>
      <c r="Z641" s="1634"/>
      <c r="AA641" s="1634"/>
      <c r="AB641" s="1634"/>
      <c r="AC641" s="1634"/>
      <c r="AD641" s="1634"/>
      <c r="AE641" s="1634"/>
      <c r="AF641" s="1634"/>
      <c r="AG641" s="1634"/>
      <c r="AH641" s="1634"/>
      <c r="AI641" s="1634"/>
      <c r="AJ641" s="1634"/>
      <c r="AK641" s="1634"/>
      <c r="AL641" s="1634"/>
      <c r="AM641" s="1634"/>
      <c r="AN641" s="1634"/>
      <c r="AO641" s="1634"/>
      <c r="AP641" s="1634"/>
      <c r="AQ641" s="1634"/>
      <c r="AR641" s="1634"/>
      <c r="AS641" s="1634"/>
      <c r="AT641" s="1634"/>
      <c r="AU641" s="1634"/>
      <c r="AV641" s="1634"/>
      <c r="AW641" s="1634"/>
      <c r="AX641" s="1634"/>
      <c r="AY641" s="1634"/>
      <c r="AZ641" s="1634"/>
      <c r="BA641" s="1634"/>
      <c r="BB641" s="1634"/>
      <c r="BC641" s="1634"/>
      <c r="BD641" s="1634"/>
      <c r="BE641" s="1634"/>
      <c r="BF641" s="1634"/>
      <c r="BG641" s="1634"/>
      <c r="BH641" s="1634"/>
      <c r="BI641" s="1634"/>
      <c r="BJ641" s="1634"/>
      <c r="BK641" s="1634"/>
      <c r="BL641" s="1634"/>
      <c r="BM641" s="1634"/>
      <c r="BN641" s="1634"/>
      <c r="BO641" s="1634"/>
      <c r="BP641" s="1634"/>
      <c r="BQ641" s="1634"/>
      <c r="BR641" s="1634"/>
      <c r="BS641" s="1634"/>
      <c r="BT641" s="1634"/>
      <c r="BU641" s="1634"/>
      <c r="BV641" s="1634"/>
      <c r="BW641" s="1634"/>
      <c r="BX641" s="1634"/>
      <c r="BY641" s="1634"/>
      <c r="BZ641" s="1634"/>
      <c r="CA641" s="1634"/>
      <c r="CB641" s="1634"/>
      <c r="CC641" s="1634"/>
      <c r="CD641" s="1631"/>
      <c r="CE641" s="1631"/>
      <c r="CF641" s="1631"/>
      <c r="CG641" s="1631"/>
      <c r="CH641" s="1631"/>
      <c r="CI641" s="1631"/>
      <c r="CJ641" s="1631"/>
      <c r="CK641" s="1631"/>
      <c r="CL641" s="1631"/>
      <c r="CM641" s="1631"/>
      <c r="CN641" s="1631"/>
      <c r="CO641" s="1631"/>
      <c r="CP641" s="1631"/>
      <c r="CQ641" s="1631"/>
      <c r="CR641" s="1631"/>
      <c r="CS641" s="1631"/>
      <c r="CT641" s="1631"/>
      <c r="CU641" s="1631"/>
      <c r="CV641" s="1631"/>
      <c r="CW641" s="1631"/>
      <c r="CX641" s="1631"/>
      <c r="CY641" s="1631"/>
      <c r="CZ641" s="1631"/>
      <c r="DA641" s="1631"/>
      <c r="DB641" s="1631"/>
      <c r="DC641" s="1631"/>
      <c r="DD641" s="1631"/>
      <c r="DE641" s="1631"/>
      <c r="DF641" s="1631"/>
      <c r="DG641" s="1631"/>
      <c r="DH641" s="1631"/>
      <c r="DI641" s="1631"/>
      <c r="DJ641" s="1631"/>
      <c r="DK641" s="1631"/>
      <c r="DL641" s="1631"/>
      <c r="DM641" s="1631"/>
      <c r="DN641" s="1631"/>
      <c r="DO641" s="1631"/>
      <c r="DP641" s="1631"/>
      <c r="DQ641" s="1631"/>
      <c r="DR641" s="1631"/>
      <c r="DS641" s="1631"/>
      <c r="DT641" s="1631"/>
      <c r="DU641" s="1631"/>
      <c r="DV641" s="1631"/>
      <c r="DW641" s="1631"/>
      <c r="DX641" s="1631"/>
      <c r="DY641" s="1631"/>
      <c r="DZ641" s="1631"/>
      <c r="EA641" s="1631"/>
      <c r="EB641" s="1631"/>
      <c r="EC641" s="1631"/>
      <c r="ED641" s="1631"/>
      <c r="EE641" s="1631"/>
      <c r="EF641" s="1631"/>
      <c r="EG641" s="1631"/>
      <c r="EH641" s="1631"/>
      <c r="EI641" s="1631"/>
      <c r="EJ641" s="1631"/>
      <c r="EK641" s="1631"/>
      <c r="EL641" s="1631"/>
      <c r="EM641" s="1631"/>
      <c r="EN641" s="1631"/>
      <c r="EO641" s="1631"/>
      <c r="EP641" s="1631"/>
      <c r="EQ641" s="1631"/>
      <c r="ER641" s="1631"/>
      <c r="ES641" s="1631"/>
      <c r="ET641" s="1631"/>
      <c r="EU641" s="1631"/>
      <c r="EV641" s="828"/>
      <c r="EW641" s="828"/>
      <c r="EX641" s="828"/>
      <c r="EY641" s="828"/>
      <c r="EZ641" s="828"/>
      <c r="FA641" s="828"/>
      <c r="FB641" s="828"/>
      <c r="FC641" s="828"/>
      <c r="FD641" s="828"/>
      <c r="FE641" s="828"/>
      <c r="FF641" s="828"/>
      <c r="FG641" s="828"/>
      <c r="FH641" s="828"/>
      <c r="FI641" s="828"/>
      <c r="FJ641" s="828"/>
      <c r="FK641" s="828"/>
      <c r="FL641" s="828"/>
      <c r="FM641" s="828"/>
      <c r="FN641" s="828"/>
      <c r="FO641" s="828"/>
      <c r="FP641" s="828"/>
      <c r="FQ641" s="828"/>
      <c r="FR641" s="828"/>
      <c r="FS641" s="828"/>
      <c r="FT641" s="828"/>
      <c r="FU641" s="828"/>
      <c r="FV641" s="828"/>
      <c r="FW641" s="828"/>
      <c r="FX641" s="828"/>
      <c r="FY641" s="828"/>
      <c r="FZ641" s="828"/>
      <c r="GA641" s="828"/>
      <c r="GB641" s="828"/>
      <c r="GC641" s="828"/>
      <c r="GD641" s="828"/>
      <c r="GE641" s="828"/>
      <c r="GF641" s="828"/>
      <c r="GG641" s="828"/>
      <c r="GH641" s="828"/>
      <c r="GI641" s="828"/>
      <c r="GO641" s="1631"/>
      <c r="GP641" s="1631"/>
      <c r="GQ641" s="1631"/>
      <c r="GR641" s="1631"/>
      <c r="GS641" s="1631"/>
      <c r="GT641" s="1631"/>
      <c r="GU641" s="1631"/>
      <c r="GV641" s="1631"/>
      <c r="GW641" s="1631"/>
      <c r="GX641" s="1631"/>
      <c r="GY641" s="1631"/>
      <c r="GZ641" s="1631"/>
      <c r="HA641" s="1631"/>
      <c r="HB641" s="1631"/>
      <c r="HC641" s="1631"/>
      <c r="HD641" s="1631"/>
      <c r="HE641" s="1631"/>
      <c r="HF641" s="1631"/>
      <c r="HG641" s="1631"/>
      <c r="HH641" s="1631"/>
      <c r="HI641" s="1631"/>
      <c r="HJ641" s="1631"/>
      <c r="HK641" s="1631"/>
      <c r="HL641" s="1631"/>
      <c r="HM641" s="1631"/>
    </row>
    <row r="642" spans="1:221" s="829" customFormat="1" ht="13.9" customHeight="1">
      <c r="A642" s="1633"/>
      <c r="B642" s="906" t="s">
        <v>1577</v>
      </c>
      <c r="C642" s="1070" t="s">
        <v>179</v>
      </c>
      <c r="D642" s="1070" t="s">
        <v>578</v>
      </c>
      <c r="E642" s="1070" t="s">
        <v>1575</v>
      </c>
      <c r="F642" s="1070" t="s">
        <v>1575</v>
      </c>
      <c r="G642" s="1070" t="s">
        <v>2545</v>
      </c>
      <c r="H642" s="1070" t="s">
        <v>2543</v>
      </c>
      <c r="I642" s="1070" t="s">
        <v>852</v>
      </c>
      <c r="J642" s="1070" t="s">
        <v>3671</v>
      </c>
      <c r="K642" s="1583" t="s">
        <v>148</v>
      </c>
      <c r="L642" s="1583"/>
      <c r="M642" s="1070" t="s">
        <v>2521</v>
      </c>
      <c r="N642" s="1070" t="s">
        <v>565</v>
      </c>
      <c r="O642" s="1070" t="s">
        <v>402</v>
      </c>
      <c r="P642" s="1583" t="s">
        <v>1104</v>
      </c>
      <c r="Q642" s="1583"/>
      <c r="R642" s="1070" t="s">
        <v>2926</v>
      </c>
      <c r="S642" s="1070" t="s">
        <v>2928</v>
      </c>
      <c r="T642" s="1070"/>
      <c r="V642" s="1634"/>
      <c r="W642" s="1634"/>
      <c r="X642" s="1634"/>
      <c r="Y642" s="1634"/>
      <c r="Z642" s="1634"/>
      <c r="AA642" s="1634"/>
      <c r="AB642" s="1634"/>
      <c r="AC642" s="1634"/>
      <c r="AD642" s="1634"/>
      <c r="AE642" s="1634"/>
      <c r="AF642" s="1634"/>
      <c r="AG642" s="1634"/>
      <c r="AH642" s="1634"/>
      <c r="AI642" s="1634"/>
      <c r="AJ642" s="1634"/>
      <c r="AK642" s="1634"/>
      <c r="AL642" s="1634"/>
      <c r="AM642" s="1634"/>
      <c r="AN642" s="1634"/>
      <c r="AO642" s="1634"/>
      <c r="AP642" s="1634"/>
      <c r="AQ642" s="1634"/>
      <c r="AR642" s="1634"/>
      <c r="AS642" s="1634"/>
      <c r="AT642" s="1634"/>
      <c r="AU642" s="1634"/>
      <c r="AV642" s="1634"/>
      <c r="AW642" s="1634"/>
      <c r="AX642" s="1634"/>
      <c r="AY642" s="1634"/>
      <c r="AZ642" s="1634"/>
      <c r="BA642" s="1634"/>
      <c r="BB642" s="1634"/>
      <c r="BC642" s="1634"/>
      <c r="BD642" s="1634"/>
      <c r="BE642" s="1634"/>
      <c r="BF642" s="1634"/>
      <c r="BG642" s="1634"/>
      <c r="BH642" s="1634"/>
      <c r="BI642" s="1634"/>
      <c r="BJ642" s="1634"/>
      <c r="BK642" s="1634"/>
      <c r="BL642" s="1634"/>
      <c r="BM642" s="1634"/>
      <c r="BN642" s="1634"/>
      <c r="BO642" s="1634"/>
      <c r="BP642" s="1634"/>
      <c r="BQ642" s="1634"/>
      <c r="BR642" s="1634"/>
      <c r="BS642" s="1634"/>
      <c r="BT642" s="1634"/>
      <c r="BU642" s="1634"/>
      <c r="BV642" s="1634"/>
      <c r="BW642" s="1634"/>
      <c r="BX642" s="1634"/>
      <c r="BY642" s="1634"/>
      <c r="BZ642" s="1634"/>
      <c r="CA642" s="1634"/>
      <c r="CB642" s="1634"/>
      <c r="CC642" s="1634"/>
      <c r="CD642" s="1631"/>
      <c r="CE642" s="1631"/>
      <c r="CF642" s="1631"/>
      <c r="CG642" s="1631"/>
      <c r="CH642" s="1631"/>
      <c r="CI642" s="1631"/>
      <c r="CJ642" s="1631"/>
      <c r="CK642" s="1631"/>
      <c r="CL642" s="1631"/>
      <c r="CM642" s="1631"/>
      <c r="CN642" s="1631"/>
      <c r="CO642" s="1631"/>
      <c r="CP642" s="1631"/>
      <c r="CQ642" s="1631"/>
      <c r="CR642" s="1631"/>
      <c r="CS642" s="1631"/>
      <c r="CT642" s="1631"/>
      <c r="CU642" s="1631"/>
      <c r="CV642" s="1631"/>
      <c r="CW642" s="1631"/>
      <c r="CX642" s="1631"/>
      <c r="CY642" s="1631"/>
      <c r="CZ642" s="1631"/>
      <c r="DA642" s="1631"/>
      <c r="DB642" s="1631"/>
      <c r="DC642" s="1631"/>
      <c r="DD642" s="1631"/>
      <c r="DE642" s="1631"/>
      <c r="DF642" s="1631"/>
      <c r="DG642" s="1631"/>
      <c r="DH642" s="1631"/>
      <c r="DI642" s="1631"/>
      <c r="DJ642" s="1631"/>
      <c r="DK642" s="1631"/>
      <c r="DL642" s="1631"/>
      <c r="DM642" s="1631"/>
      <c r="DN642" s="1631"/>
      <c r="DO642" s="1631"/>
      <c r="DP642" s="1631"/>
      <c r="DQ642" s="1631"/>
      <c r="DR642" s="1631"/>
      <c r="DS642" s="1631"/>
      <c r="DT642" s="1631"/>
      <c r="DU642" s="1631"/>
      <c r="DV642" s="1631"/>
      <c r="DW642" s="1631"/>
      <c r="DX642" s="1631"/>
      <c r="DY642" s="1631"/>
      <c r="DZ642" s="1631"/>
      <c r="EA642" s="1631"/>
      <c r="EB642" s="1631"/>
      <c r="EC642" s="1631"/>
      <c r="ED642" s="1631"/>
      <c r="EE642" s="1631"/>
      <c r="EF642" s="1631"/>
      <c r="EG642" s="1631"/>
      <c r="EH642" s="1631"/>
      <c r="EI642" s="1631"/>
      <c r="EJ642" s="1631"/>
      <c r="EK642" s="1631"/>
      <c r="EL642" s="1631"/>
      <c r="EM642" s="1631"/>
      <c r="EN642" s="1631"/>
      <c r="EO642" s="1631"/>
      <c r="EP642" s="1631"/>
      <c r="EQ642" s="1631"/>
      <c r="ER642" s="1631"/>
      <c r="ES642" s="1631"/>
      <c r="ET642" s="1631"/>
      <c r="EU642" s="1631"/>
      <c r="EV642" s="1631" t="s">
        <v>1558</v>
      </c>
      <c r="EW642" s="832" t="s">
        <v>2604</v>
      </c>
      <c r="EX642" s="832" t="s">
        <v>2605</v>
      </c>
      <c r="EY642" s="832" t="s">
        <v>2606</v>
      </c>
      <c r="EZ642" s="832" t="s">
        <v>2607</v>
      </c>
      <c r="FA642" s="1631" t="s">
        <v>2665</v>
      </c>
      <c r="FB642" s="1631" t="s">
        <v>2665</v>
      </c>
      <c r="FC642" s="1631" t="s">
        <v>2665</v>
      </c>
      <c r="FD642" s="1631" t="s">
        <v>2665</v>
      </c>
      <c r="FE642" s="1631" t="s">
        <v>2665</v>
      </c>
      <c r="FF642" s="832" t="s">
        <v>516</v>
      </c>
      <c r="FG642" s="832" t="s">
        <v>2604</v>
      </c>
      <c r="FH642" s="832" t="s">
        <v>2605</v>
      </c>
      <c r="FI642" s="832" t="s">
        <v>2606</v>
      </c>
      <c r="FJ642" s="832" t="s">
        <v>2607</v>
      </c>
      <c r="FK642" s="1631" t="s">
        <v>2667</v>
      </c>
      <c r="FL642" s="1631" t="s">
        <v>2667</v>
      </c>
      <c r="FM642" s="1631" t="s">
        <v>2667</v>
      </c>
      <c r="FN642" s="1631" t="s">
        <v>2667</v>
      </c>
      <c r="FO642" s="1631" t="s">
        <v>2667</v>
      </c>
      <c r="FP642" s="1631" t="s">
        <v>377</v>
      </c>
      <c r="FQ642" s="1631" t="s">
        <v>377</v>
      </c>
      <c r="FR642" s="1631" t="s">
        <v>377</v>
      </c>
      <c r="FS642" s="1631" t="s">
        <v>377</v>
      </c>
      <c r="FT642" s="1631" t="s">
        <v>377</v>
      </c>
      <c r="FU642" s="1631" t="s">
        <v>378</v>
      </c>
      <c r="FV642" s="1631" t="s">
        <v>378</v>
      </c>
      <c r="FW642" s="1631" t="s">
        <v>378</v>
      </c>
      <c r="FX642" s="1631" t="s">
        <v>378</v>
      </c>
      <c r="FY642" s="1631" t="s">
        <v>378</v>
      </c>
      <c r="FZ642" s="1631" t="s">
        <v>379</v>
      </c>
      <c r="GA642" s="1631" t="s">
        <v>379</v>
      </c>
      <c r="GB642" s="1631" t="s">
        <v>379</v>
      </c>
      <c r="GC642" s="1631" t="s">
        <v>379</v>
      </c>
      <c r="GD642" s="1631" t="s">
        <v>379</v>
      </c>
      <c r="GE642" s="1631" t="s">
        <v>380</v>
      </c>
      <c r="GF642" s="1631" t="s">
        <v>380</v>
      </c>
      <c r="GG642" s="1631" t="s">
        <v>380</v>
      </c>
      <c r="GH642" s="1631" t="s">
        <v>380</v>
      </c>
      <c r="GI642" s="1631" t="s">
        <v>380</v>
      </c>
      <c r="GJ642" s="1631" t="s">
        <v>1557</v>
      </c>
      <c r="GK642" s="1631" t="s">
        <v>1557</v>
      </c>
      <c r="GL642" s="1631" t="s">
        <v>1557</v>
      </c>
      <c r="GM642" s="1631" t="s">
        <v>1557</v>
      </c>
      <c r="GN642" s="1631" t="s">
        <v>1557</v>
      </c>
      <c r="GO642" s="1631"/>
      <c r="GP642" s="1631"/>
      <c r="GQ642" s="1631"/>
      <c r="GR642" s="1631"/>
      <c r="GS642" s="1631"/>
      <c r="GT642" s="1631"/>
      <c r="GU642" s="1631"/>
      <c r="GV642" s="1631"/>
      <c r="GW642" s="1631"/>
      <c r="GX642" s="1631"/>
      <c r="GY642" s="1631"/>
      <c r="GZ642" s="1631"/>
      <c r="HA642" s="1631"/>
      <c r="HB642" s="1631"/>
      <c r="HC642" s="1631"/>
      <c r="HD642" s="1631"/>
      <c r="HE642" s="1631"/>
      <c r="HF642" s="1631"/>
      <c r="HG642" s="1631"/>
      <c r="HH642" s="1631"/>
      <c r="HI642" s="1631"/>
      <c r="HJ642" s="1631"/>
      <c r="HK642" s="1631"/>
      <c r="HL642" s="1631"/>
      <c r="HM642" s="1631"/>
    </row>
    <row r="643" spans="1:221" s="829" customFormat="1" ht="13.9" customHeight="1">
      <c r="A643" s="1633"/>
      <c r="B643" s="906" t="s">
        <v>1382</v>
      </c>
      <c r="C643" s="1070" t="s">
        <v>178</v>
      </c>
      <c r="D643" s="1070" t="s">
        <v>180</v>
      </c>
      <c r="E643" s="1070" t="s">
        <v>1576</v>
      </c>
      <c r="F643" s="1070" t="s">
        <v>1359</v>
      </c>
      <c r="G643" s="1070" t="s">
        <v>1360</v>
      </c>
      <c r="H643" s="1070" t="s">
        <v>2544</v>
      </c>
      <c r="I643" s="1070" t="s">
        <v>853</v>
      </c>
      <c r="J643" s="907" t="s">
        <v>368</v>
      </c>
      <c r="K643" s="1070" t="s">
        <v>1636</v>
      </c>
      <c r="L643" s="1070" t="s">
        <v>572</v>
      </c>
      <c r="M643" s="1070" t="s">
        <v>1575</v>
      </c>
      <c r="N643" s="1070" t="s">
        <v>1382</v>
      </c>
      <c r="O643" s="1070" t="s">
        <v>403</v>
      </c>
      <c r="P643" s="1070" t="s">
        <v>1102</v>
      </c>
      <c r="Q643" s="1070" t="s">
        <v>1103</v>
      </c>
      <c r="R643" s="1070" t="s">
        <v>1577</v>
      </c>
      <c r="S643" s="1070" t="s">
        <v>2929</v>
      </c>
      <c r="T643" s="1629" t="s">
        <v>1974</v>
      </c>
      <c r="U643" s="1629"/>
      <c r="V643" s="1634"/>
      <c r="W643" s="1634"/>
      <c r="X643" s="1634"/>
      <c r="Y643" s="1634"/>
      <c r="Z643" s="1634"/>
      <c r="AA643" s="1634"/>
      <c r="AB643" s="1634"/>
      <c r="AC643" s="1634"/>
      <c r="AD643" s="1634"/>
      <c r="AE643" s="1634"/>
      <c r="AF643" s="1634"/>
      <c r="AG643" s="1634"/>
      <c r="AH643" s="1634"/>
      <c r="AI643" s="1634"/>
      <c r="AJ643" s="1634"/>
      <c r="AK643" s="1634"/>
      <c r="AL643" s="1634"/>
      <c r="AM643" s="1634"/>
      <c r="AN643" s="1634"/>
      <c r="AO643" s="1634"/>
      <c r="AP643" s="1634"/>
      <c r="AQ643" s="1634"/>
      <c r="AR643" s="1634"/>
      <c r="AS643" s="1634"/>
      <c r="AT643" s="1634"/>
      <c r="AU643" s="1634"/>
      <c r="AV643" s="1634"/>
      <c r="AW643" s="1634"/>
      <c r="AX643" s="1634"/>
      <c r="AY643" s="1634"/>
      <c r="AZ643" s="1634"/>
      <c r="BA643" s="1634"/>
      <c r="BB643" s="1634"/>
      <c r="BC643" s="1634"/>
      <c r="BD643" s="1634"/>
      <c r="BE643" s="1634"/>
      <c r="BF643" s="1634"/>
      <c r="BG643" s="1634"/>
      <c r="BH643" s="1634"/>
      <c r="BI643" s="1634"/>
      <c r="BJ643" s="1634"/>
      <c r="BK643" s="1634"/>
      <c r="BL643" s="1634"/>
      <c r="BM643" s="1634"/>
      <c r="BN643" s="1634"/>
      <c r="BO643" s="1634"/>
      <c r="BP643" s="1634"/>
      <c r="BQ643" s="1634"/>
      <c r="BR643" s="1634"/>
      <c r="BS643" s="1634"/>
      <c r="BT643" s="1634"/>
      <c r="BU643" s="1634"/>
      <c r="BV643" s="1634"/>
      <c r="BW643" s="1634"/>
      <c r="BX643" s="1634"/>
      <c r="BY643" s="1634"/>
      <c r="BZ643" s="1634"/>
      <c r="CA643" s="1634"/>
      <c r="CB643" s="1634"/>
      <c r="CC643" s="1634"/>
      <c r="CD643" s="1631"/>
      <c r="CE643" s="1631"/>
      <c r="CF643" s="1631"/>
      <c r="CG643" s="1631"/>
      <c r="CH643" s="1631"/>
      <c r="CI643" s="1631"/>
      <c r="CJ643" s="1631"/>
      <c r="CK643" s="1631"/>
      <c r="CL643" s="1631"/>
      <c r="CM643" s="1631"/>
      <c r="CN643" s="1631"/>
      <c r="CO643" s="1631"/>
      <c r="CP643" s="1631"/>
      <c r="CQ643" s="1631"/>
      <c r="CR643" s="1631"/>
      <c r="CS643" s="1631"/>
      <c r="CT643" s="1631"/>
      <c r="CU643" s="1631"/>
      <c r="CV643" s="1631"/>
      <c r="CW643" s="1631"/>
      <c r="CX643" s="1631"/>
      <c r="CY643" s="1631"/>
      <c r="CZ643" s="1631"/>
      <c r="DA643" s="1631"/>
      <c r="DB643" s="1631"/>
      <c r="DC643" s="1631"/>
      <c r="DD643" s="1631"/>
      <c r="DE643" s="1631"/>
      <c r="DF643" s="1631"/>
      <c r="DG643" s="1631"/>
      <c r="DH643" s="1631"/>
      <c r="DI643" s="1631"/>
      <c r="DJ643" s="1631"/>
      <c r="DK643" s="1631"/>
      <c r="DL643" s="1631"/>
      <c r="DM643" s="1631"/>
      <c r="DN643" s="1631"/>
      <c r="DO643" s="1631"/>
      <c r="DP643" s="1631"/>
      <c r="DQ643" s="1631"/>
      <c r="DR643" s="1631"/>
      <c r="DS643" s="1631"/>
      <c r="DT643" s="1631"/>
      <c r="DU643" s="1631"/>
      <c r="DV643" s="1631"/>
      <c r="DW643" s="1631"/>
      <c r="DX643" s="1631"/>
      <c r="DY643" s="1631"/>
      <c r="DZ643" s="1631"/>
      <c r="EA643" s="1631"/>
      <c r="EB643" s="1631"/>
      <c r="EC643" s="1631"/>
      <c r="ED643" s="1631"/>
      <c r="EE643" s="1631"/>
      <c r="EF643" s="1631"/>
      <c r="EG643" s="1631"/>
      <c r="EH643" s="1631"/>
      <c r="EI643" s="1631"/>
      <c r="EJ643" s="1631"/>
      <c r="EK643" s="1631"/>
      <c r="EL643" s="1631"/>
      <c r="EM643" s="1631"/>
      <c r="EN643" s="1631"/>
      <c r="EO643" s="1631"/>
      <c r="EP643" s="1631"/>
      <c r="EQ643" s="1631"/>
      <c r="ER643" s="1631"/>
      <c r="ES643" s="1631"/>
      <c r="ET643" s="1631"/>
      <c r="EU643" s="1631"/>
      <c r="EV643" s="1631"/>
      <c r="EW643" s="832" t="s">
        <v>2664</v>
      </c>
      <c r="EX643" s="832" t="s">
        <v>2664</v>
      </c>
      <c r="EY643" s="832" t="s">
        <v>2664</v>
      </c>
      <c r="EZ643" s="832" t="s">
        <v>2664</v>
      </c>
      <c r="FA643" s="1631"/>
      <c r="FB643" s="1631"/>
      <c r="FC643" s="1631"/>
      <c r="FD643" s="1631"/>
      <c r="FE643" s="1631"/>
      <c r="FF643" s="832" t="s">
        <v>2666</v>
      </c>
      <c r="FG643" s="832" t="s">
        <v>2666</v>
      </c>
      <c r="FH643" s="832" t="s">
        <v>2666</v>
      </c>
      <c r="FI643" s="832" t="s">
        <v>2666</v>
      </c>
      <c r="FJ643" s="832" t="s">
        <v>2666</v>
      </c>
      <c r="FK643" s="1631"/>
      <c r="FL643" s="1631"/>
      <c r="FM643" s="1631"/>
      <c r="FN643" s="1631"/>
      <c r="FO643" s="1631"/>
      <c r="FP643" s="1631"/>
      <c r="FQ643" s="1631"/>
      <c r="FR643" s="1631"/>
      <c r="FS643" s="1631"/>
      <c r="FT643" s="1631"/>
      <c r="FU643" s="1631"/>
      <c r="FV643" s="1631"/>
      <c r="FW643" s="1631"/>
      <c r="FX643" s="1631"/>
      <c r="FY643" s="1631"/>
      <c r="FZ643" s="1631"/>
      <c r="GA643" s="1631"/>
      <c r="GB643" s="1631"/>
      <c r="GC643" s="1631"/>
      <c r="GD643" s="1631"/>
      <c r="GE643" s="1631"/>
      <c r="GF643" s="1631"/>
      <c r="GG643" s="1631"/>
      <c r="GH643" s="1631"/>
      <c r="GI643" s="1631"/>
      <c r="GJ643" s="1631"/>
      <c r="GK643" s="1631"/>
      <c r="GL643" s="1631"/>
      <c r="GM643" s="1631"/>
      <c r="GN643" s="1631"/>
      <c r="GO643" s="1631"/>
      <c r="GP643" s="1631"/>
      <c r="GQ643" s="1631"/>
      <c r="GR643" s="1631"/>
      <c r="GS643" s="1631"/>
      <c r="GT643" s="1631"/>
      <c r="GU643" s="1631"/>
      <c r="GV643" s="1631"/>
      <c r="GW643" s="1631"/>
      <c r="GX643" s="1631"/>
      <c r="GY643" s="1631"/>
      <c r="GZ643" s="1631"/>
      <c r="HA643" s="1631"/>
      <c r="HB643" s="1631"/>
      <c r="HC643" s="1631"/>
      <c r="HD643" s="1631"/>
      <c r="HE643" s="1631"/>
      <c r="HF643" s="1631"/>
      <c r="HG643" s="1631"/>
      <c r="HH643" s="1631"/>
      <c r="HI643" s="1631"/>
      <c r="HJ643" s="1631"/>
      <c r="HK643" s="1631"/>
      <c r="HL643" s="1631"/>
      <c r="HM643" s="1631"/>
    </row>
    <row r="644" spans="1:221" ht="13.15" customHeight="1">
      <c r="A644" s="1084" t="str">
        <f>IF(AND(E644&gt;0,OR(B644="",C644="",D644="",F644="",G644="", H644="",M644="",N644="",O644="")),1,"")</f>
        <v/>
      </c>
      <c r="B644" s="1037" t="str">
        <f>'Part VI-Revenues &amp; Expenses'!B10</f>
        <v>60% AMI</v>
      </c>
      <c r="C644" s="1038">
        <f>'Part VI-Revenues &amp; Expenses'!C10</f>
        <v>1</v>
      </c>
      <c r="D644" s="1039">
        <f>'Part VI-Revenues &amp; Expenses'!D10</f>
        <v>1</v>
      </c>
      <c r="E644" s="1040">
        <f>'Part VI-Revenues &amp; Expenses'!E10</f>
        <v>12</v>
      </c>
      <c r="F644" s="1040">
        <f>'Part VI-Revenues &amp; Expenses'!F10</f>
        <v>826</v>
      </c>
      <c r="G644" s="1040">
        <f>'Part VI-Revenues &amp; Expenses'!G10</f>
        <v>589</v>
      </c>
      <c r="H644" s="1040">
        <f>'Part VI-Revenues &amp; Expenses'!H10</f>
        <v>564</v>
      </c>
      <c r="I644" s="1040">
        <f>'Part VI-Revenues &amp; Expenses'!I10</f>
        <v>115</v>
      </c>
      <c r="J644" s="1103" t="str">
        <f>'Part VI-Revenues &amp; Expenses'!J10</f>
        <v>RAD</v>
      </c>
      <c r="K644" s="908">
        <f>MAX(0,H644-I644)</f>
        <v>449</v>
      </c>
      <c r="L644" s="908">
        <f t="shared" ref="L644:L681" si="0">MAX(0,E644*K644)</f>
        <v>5388</v>
      </c>
      <c r="M644" s="831" t="str">
        <f>'Part VI-Revenues &amp; Expenses'!M10</f>
        <v>No</v>
      </c>
      <c r="N644" s="831" t="str">
        <f>'Part VI-Revenues &amp; Expenses'!N10</f>
        <v>Duplex</v>
      </c>
      <c r="O644" s="831" t="str">
        <f>'Part VI-Revenues &amp; Expenses'!O10</f>
        <v>Acquisition/Rehab</v>
      </c>
      <c r="P644" s="909">
        <f>IF(H644="","",H644*12/0.3)</f>
        <v>22560</v>
      </c>
      <c r="Q644" s="910">
        <f>'Part VI-Revenues &amp; Expenses'!Q10</f>
        <v>0.57514340344168258</v>
      </c>
      <c r="R644" s="909"/>
      <c r="S644" s="910"/>
      <c r="T644" s="1576"/>
      <c r="U644" s="1576"/>
      <c r="V644" s="1072" t="str">
        <f t="shared" ref="V644:V681" si="1">IF(AND(C644="Efficiency",B644="60% AMI",NOT(M644="Common")),E644,"")</f>
        <v/>
      </c>
      <c r="W644" s="1072">
        <f t="shared" ref="W644:W681" si="2">IF(AND(C644=1,B644="60% AMI",NOT(M644="Common")),E644,"")</f>
        <v>12</v>
      </c>
      <c r="X644" s="1072" t="str">
        <f t="shared" ref="X644:X681" si="3">IF(AND(C644=2,B644="60% AMI",NOT(M644="Common")),E644,"")</f>
        <v/>
      </c>
      <c r="Y644" s="1072" t="str">
        <f t="shared" ref="Y644:Y681" si="4">IF(AND(C644=3,B644="60% AMI",NOT(M644="Common")),E644,"")</f>
        <v/>
      </c>
      <c r="Z644" s="1072" t="str">
        <f t="shared" ref="Z644:Z681" si="5">IF(AND(C644=4,B644="60% AMI",NOT(M644="Common")),E644,"")</f>
        <v/>
      </c>
      <c r="AA644" s="1072" t="str">
        <f t="shared" ref="AA644:AA681" si="6">IF(AND(C644="Efficiency",B644="50% AMI",NOT(M644="Common")),E644,"")</f>
        <v/>
      </c>
      <c r="AB644" s="1072" t="str">
        <f t="shared" ref="AB644:AB681" si="7">IF(AND(C644=1,B644="50% AMI",NOT(M644="Common")),E644,"")</f>
        <v/>
      </c>
      <c r="AC644" s="1072" t="str">
        <f t="shared" ref="AC644:AC681" si="8">IF(AND(C644=2,B644="50% AMI",NOT(M644="Common")),E644,"")</f>
        <v/>
      </c>
      <c r="AD644" s="1072" t="str">
        <f t="shared" ref="AD644:AD681" si="9">IF(AND(C644=3,B644="50% AMI",NOT(M644="Common")),E644,"")</f>
        <v/>
      </c>
      <c r="AE644" s="1072" t="str">
        <f t="shared" ref="AE644:AE681" si="10">IF(AND(C644=4,B644="50% AMI",NOT(M644="Common")),E644,"")</f>
        <v/>
      </c>
      <c r="AF644" s="1072" t="str">
        <f t="shared" ref="AF644:AF681" si="11">IF(AND(C644="Efficiency",B644="30% AMI",NOT(M644="Common")),E644,"")</f>
        <v/>
      </c>
      <c r="AG644" s="1072" t="str">
        <f t="shared" ref="AG644:AG681" si="12">IF(AND(C644=1,B644="30% AMI",NOT(M644="Common")),E644,"")</f>
        <v/>
      </c>
      <c r="AH644" s="1072" t="str">
        <f t="shared" ref="AH644:AH681" si="13">IF(AND(C644=2,B644="30% AMI",NOT(M644="Common")),E644,"")</f>
        <v/>
      </c>
      <c r="AI644" s="1072" t="str">
        <f t="shared" ref="AI644:AI681" si="14">IF(AND(C644=3,B644="30% AMI",NOT(M644="Common")),E644,"")</f>
        <v/>
      </c>
      <c r="AJ644" s="1072" t="str">
        <f t="shared" ref="AJ644:AJ681" si="15">IF(AND(C644=4,B644="30% AMI",NOT(M644="Common")),E644,"")</f>
        <v/>
      </c>
      <c r="AK644" s="1072" t="str">
        <f t="shared" ref="AK644:AK681" si="16">IF(AND(C644="Efficiency",B644="Unrestricted",NOT(M644="Common")),E644,"")</f>
        <v/>
      </c>
      <c r="AL644" s="1072" t="str">
        <f t="shared" ref="AL644:AL681" si="17">IF(AND(C644=1,B644="Unrestricted",NOT(M644="Common")),E644,"")</f>
        <v/>
      </c>
      <c r="AM644" s="1072" t="str">
        <f t="shared" ref="AM644:AM681" si="18">IF(AND(C644=2,B644="Unrestricted",NOT(M644="Common")),E644,"")</f>
        <v/>
      </c>
      <c r="AN644" s="1072" t="str">
        <f t="shared" ref="AN644:AN681" si="19">IF(AND(C644=3,B644="Unrestricted",NOT(M644="Common")),E644,"")</f>
        <v/>
      </c>
      <c r="AO644" s="1072" t="str">
        <f t="shared" ref="AO644:AO681" si="20">IF(AND(C644=4,B644="Unrestricted",NOT(M644="Common")),E644,"")</f>
        <v/>
      </c>
      <c r="AP644" s="1072" t="str">
        <f>IF(OR(AND($C644="Efficiency",NOT($J644=""),NOT($J644="PHA Oper Sub"),$B644="30% AMI",NOT($M644="Common")),AND($C644="Efficiency",NOT($J644=""),NOT($J644="PHA Oper Sub"),$B644="HOME 30% AMI",NOT($M644="Common"))),$E644,"")</f>
        <v/>
      </c>
      <c r="AQ644" s="1072" t="str">
        <f>IF(OR(AND($C644=1,NOT($J644=""),NOT($J644="PHA Oper Sub"),$B644="30% AMI",NOT($M644="Common")),AND($C644=1,NOT($J644=""),NOT($J644="PHA Oper Sub"),$B644="HOME 30% AMI",NOT($M644="Common"))),$E644,"")</f>
        <v/>
      </c>
      <c r="AR644" s="1072" t="str">
        <f>IF(OR(AND($C644=2,NOT($J644=""),NOT($J644="PHA Oper Sub"),$B644="30% AMI",NOT($M644="Common")),AND($C644=2,NOT($J644=""),NOT($J644="PHA Oper Sub"),$B644="HOME 30% AMI",NOT($M644="Common"))),$E644,"")</f>
        <v/>
      </c>
      <c r="AS644" s="1072" t="str">
        <f>IF(OR(AND($C644=3,NOT($J644=""),NOT($J644="PHA Oper Sub"),$B644="30% AMI",NOT($M644="Common")),AND($C644=3,NOT($J644=""),NOT($J644="PHA Oper Sub"),$B644="HOME 30% AMI",NOT($M644="Common"))),$E644,"")</f>
        <v/>
      </c>
      <c r="AT644" s="1072" t="str">
        <f>IF(OR(AND($C644=4,NOT($J644=""),NOT($J644="PHA Oper Sub"),$B644="30% AMI",NOT($M644="Common")),AND($C644=4,NOT($J644=""),NOT($J644="PHA Oper Sub"),$B644="HOME 30% AMI",NOT($M644="Common"))),$E644,"")</f>
        <v/>
      </c>
      <c r="AU644" s="1072" t="str">
        <f>IF(OR(AND($C644="Efficiency",NOT($J644=""),NOT($J644="PHA Oper Sub"),NOT($J644=0),$B644="50% AMI",NOT($M644="Common")),AND($C644="Efficiency",NOT($J644=""),NOT($J644=0),NOT($J644="PHA Oper Sub"),$B644="HOME 50% AMI",NOT($M644="Common"))),$E644,"")</f>
        <v/>
      </c>
      <c r="AV644" s="1072" t="str">
        <f>IF(OR(AND($C644=1,NOT($J644=""),NOT($J644=0),NOT($J644="PHA Oper Sub"),$B644="50% AMI",NOT($M644="Common")),AND($C644=1,NOT($J644=""),NOT($J644=0),NOT($J644="PHA Oper Sub"),$B644="HOME 50% AMI",NOT($M644="Common"))),$E644,"")</f>
        <v/>
      </c>
      <c r="AW644" s="1072" t="str">
        <f>IF(OR(AND($C644=2,NOT($J644=""),NOT($J644=0),NOT($J644="PHA Oper Sub"),$B644="50% AMI",NOT($M644="Common")),AND($C644=2,NOT($J644=""),NOT($J644=0),NOT($J644="PHA Oper Sub"),$B644="HOME 50% AMI",NOT($M644="Common"))),$E644,"")</f>
        <v/>
      </c>
      <c r="AX644" s="1072" t="str">
        <f>IF(OR(AND($C644=3,NOT($J644=""),NOT($J644=0),NOT($J644="PHA Oper Sub"),$B644="50% AMI",NOT($M644="Common")),AND($C644=3,NOT($J644=""),NOT($J644=0),NOT($J644="PHA Oper Sub"),$B644="HOME 50% AMI",NOT($M644="Common"))),$E644,"")</f>
        <v/>
      </c>
      <c r="AY644" s="1072" t="str">
        <f>IF(OR(AND($C644=4,NOT($J644=""),NOT($J644=0),NOT($J644="PHA Oper Sub"),$B644="50% AMI",NOT($M644="Common")),AND($C644=4,NOT($J644=""),NOT($J644=0),NOT($J644="PHA Oper Sub"),$B644="HOME 50% AMI",NOT($M644="Common"))),$E644,"")</f>
        <v/>
      </c>
      <c r="AZ644" s="1072" t="str">
        <f>IF(OR(AND($C644="Efficiency",NOT($J644=""),NOT($J644=0),NOT($J644="PHA Oper Sub"),$B644="60% AMI",NOT($M644="Common")),AND($C644="Efficiency",NOT($J644=""),NOT($J644=0),NOT($J644="PHA Oper Sub"),$B644="HOME 60% AMI",NOT($M644="Common"))),$E644,"")</f>
        <v/>
      </c>
      <c r="BA644" s="1072">
        <f>IF(OR(AND($C644=1,NOT($J644=""),NOT($J644=0),NOT($J644="PHA Oper Sub"),$B644="60% AMI",NOT($M644="Common")),AND($C644=1,NOT($J644=""),NOT($J644=0),NOT($J644="PHA Oper Sub"),$B644="HOME 60% AMI",NOT($M644="Common"))),$E644,"")</f>
        <v>12</v>
      </c>
      <c r="BB644" s="1072" t="str">
        <f>IF(OR(AND($C644=2,NOT($J644=""),NOT($J644=0),NOT($J644="PHA Oper Sub"),$B644="60% AMI",NOT($M644="Common")),AND($C644=2,NOT($J644=""),NOT($J644=0),NOT($J644="PHA Oper Sub"),$B644="HOME 60% AMI",NOT($M644="Common"))),$E644,"")</f>
        <v/>
      </c>
      <c r="BC644" s="1072" t="str">
        <f>IF(OR(AND($C644=3,NOT($J644=""),NOT($J644=0),NOT($J644="PHA Oper Sub"),$B644="60% AMI",NOT($M644="Common")),AND($C644=3,NOT($J644=""),NOT($J644=0),NOT($J644="PHA Oper Sub"),$B644="HOME 60% AMI",NOT($M644="Common"))),$E644,"")</f>
        <v/>
      </c>
      <c r="BD644" s="1072" t="str">
        <f>IF(OR(AND($C644=4,NOT($J644=""),NOT($J644=0),NOT($J644="PHA Oper Sub"),$B644="60% AMI",NOT($M644="Common")),AND($C644=4,NOT($J644=""),NOT($J644=0),NOT($J644="PHA Oper Sub"),$B644="HOME 60% AMI",NOT($M644="Common"))),$E644,"")</f>
        <v/>
      </c>
      <c r="BE644" s="1072" t="str">
        <f>IF(OR(AND($C644="Efficiency",$J644="PHA Oper Sub",$B644="30% AMI",NOT($M644="Common")),AND($C644="Efficiency",$J644="PHA Oper Sub",$B644="HOME 30% AMI",NOT($M644="Common"))),$E644,"")</f>
        <v/>
      </c>
      <c r="BF644" s="1072" t="str">
        <f>IF(OR(AND($C644=1,$J644="PHA Oper Sub",$B644="30% AMI",NOT($M644="Common")),AND($C644=1,$J644="PHA Oper Sub",$B644="HOME 30% AMI",NOT($M644="Common"))),$E644,"")</f>
        <v/>
      </c>
      <c r="BG644" s="1072" t="str">
        <f>IF(OR(AND($C644=2,$J644="PHA Oper Sub",$B644="30% AMI",NOT($M644="Common")),AND($C644=2,$J644="PHA Oper Sub",$B644="HOME 30% AMI",NOT($M644="Common"))),$E644,"")</f>
        <v/>
      </c>
      <c r="BH644" s="1072" t="str">
        <f>IF(OR(AND($C644=3,$J644="PHA Oper Sub",$B644="30% AMI",NOT($M644="Common")),AND($C644=3,$J644="PHA Oper Sub",$B644="HOME 30% AMI",NOT($M644="Common"))),$E644,"")</f>
        <v/>
      </c>
      <c r="BI644" s="1072" t="str">
        <f>IF(OR(AND($C644=4,$J644="PHA Oper Sub",$B644="30% AMI",NOT($M644="Common")),AND($C644=4,$J644="PHA Oper Sub",$B644="HOME 30% AMI",NOT($M644="Common"))),$E644,"")</f>
        <v/>
      </c>
      <c r="BJ644" s="1072" t="str">
        <f>IF(OR(AND($C644="Efficiency",$J644="PHA Oper Sub",$B644="50% AMI",NOT($M644="Common")),AND($C644="Efficiency",$J644="PHA Oper Sub",$B644="HOME 50% AMI",NOT($M644="Common"))),$E644,"")</f>
        <v/>
      </c>
      <c r="BK644" s="1072" t="str">
        <f>IF(OR(AND($C644=1,$J644="PHA Oper Sub",$B644="50% AMI",NOT($M644="Common")),AND($C644=1,$J644="PHA Oper Sub",$B644="HOME 50% AMI",NOT($M644="Common"))),$E644,"")</f>
        <v/>
      </c>
      <c r="BL644" s="1072" t="str">
        <f>IF(OR(AND($C644=2,$J644="PHA Oper Sub",$B644="50% AMI",NOT($M644="Common")),AND($C644=2,$J644="PHA Oper Sub",$B644="HOME 50% AMI",NOT($M644="Common"))),$E644,"")</f>
        <v/>
      </c>
      <c r="BM644" s="1072" t="str">
        <f>IF(OR(AND($C644=3,$J644="PHA Oper Sub",$B644="50% AMI",NOT($M644="Common")),AND($C644=3,$J644="PHA Oper Sub",$B644="HOME 50% AMI",NOT($M644="Common"))),$E644,"")</f>
        <v/>
      </c>
      <c r="BN644" s="1072" t="str">
        <f>IF(OR(AND($C644=4,$J644="PHA Oper Sub",$B644="50% AMI",NOT($M644="Common")),AND($C644=4,$J644="PHA Oper Sub",$B644="HOME 50% AMI",NOT($M644="Common"))),$E644,"")</f>
        <v/>
      </c>
      <c r="BO644" s="1072" t="str">
        <f>IF(OR(AND($C644="Efficiency",$J644="PHA Oper Sub",$B644="60% AMI",NOT($M644="Common")),AND($C644="Efficiency",$J644="PHA Oper Sub",$B644="HOME 60% AMI",NOT($M644="Common"))),$E644,"")</f>
        <v/>
      </c>
      <c r="BP644" s="1072" t="str">
        <f>IF(OR(AND($C644=1,$J644="PHA Oper Sub",$B644="60% AMI",NOT($M644="Common")),AND($C644=1,$J644="PHA Oper Sub",$B644="HOME 60% AMI",NOT($M644="Common"))),$E644,"")</f>
        <v/>
      </c>
      <c r="BQ644" s="1072" t="str">
        <f>IF(OR(AND($C644=2,$J644="PHA Oper Sub",$B644="60% AMI",NOT($M644="Common")),AND($C644=2,$J644="PHA Oper Sub",$B644="HOME 60% AMI",NOT($M644="Common"))),$E644,"")</f>
        <v/>
      </c>
      <c r="BR644" s="1072" t="str">
        <f>IF(OR(AND($C644=3,$J644="PHA Oper Sub",$B644="60% AMI",NOT($M644="Common")),AND($C644=3,$J644="PHA Oper Sub",$B644="HOME 60% AMI",NOT($M644="Common"))),$E644,"")</f>
        <v/>
      </c>
      <c r="BS644" s="1072" t="str">
        <f>IF(OR(AND($C644=4,$J644="PHA Oper Sub",$B644="60% AMI",NOT($M644="Common")),AND($C644=4,$J644="PHA Oper Sub",$B644="HOME 60% AMI",NOT($M644="Common"))),$E644,"")</f>
        <v/>
      </c>
      <c r="BT644" s="1072" t="str">
        <f t="shared" ref="BT644:BT681" si="21">IF(AND(C644="Efficiency",M644="Common"),E644,"")</f>
        <v/>
      </c>
      <c r="BU644" s="1072" t="str">
        <f t="shared" ref="BU644:BU681" si="22">IF(AND(C644=1,M644="Common"),E644,"")</f>
        <v/>
      </c>
      <c r="BV644" s="1072" t="str">
        <f t="shared" ref="BV644:BV681" si="23">IF(AND(C644=2,M644="Common"),E644,"")</f>
        <v/>
      </c>
      <c r="BW644" s="1072" t="str">
        <f t="shared" ref="BW644:BW681" si="24">IF(AND(C644=3,M644="Common"),E644,"")</f>
        <v/>
      </c>
      <c r="BX644" s="1072" t="str">
        <f t="shared" ref="BX644:BX681" si="25">IF(AND(C644=4,M644="Common"),E644,"")</f>
        <v/>
      </c>
      <c r="BY644" s="1072" t="str">
        <f t="shared" ref="BY644:BY681" si="26">IF(OR(AND(C644="Efficiency",B644="60% AMI",NOT(M644="Common")),AND(C644="Efficiency",B644="HOME 60% AMI",NOT(M644="Common"))),E644*F644,"")</f>
        <v/>
      </c>
      <c r="BZ644" s="1072">
        <f t="shared" ref="BZ644:BZ681" si="27">IF(OR(AND(C644=1,B644="60% AMI",NOT(M644="Common")),AND(C644=1,B644="HOME 60% AMI",NOT(M644="Common"))),E644*F644,"")</f>
        <v>9912</v>
      </c>
      <c r="CA644" s="1072" t="str">
        <f t="shared" ref="CA644:CA681" si="28">IF(OR(AND(C644=2,B644="60% AMI",NOT(M644="Common")),AND(C644=2,B644="HOME 60% AMI",NOT(M644="Common"))),E644*F644,"")</f>
        <v/>
      </c>
      <c r="CB644" s="1072" t="str">
        <f t="shared" ref="CB644:CB681" si="29">IF(OR(AND(C644=3,B644="60% AMI",NOT(M644="Common")),AND(C644=3,B644="HOME 60% AMI",NOT(M644="Common"))),E644*F644,"")</f>
        <v/>
      </c>
      <c r="CC644" s="1072" t="str">
        <f t="shared" ref="CC644:CC681" si="30">IF(OR(AND(C644=4,B644="60% AMI",NOT(M644="Common")),AND(C644=4,B644="HOME 60% AMI",NOT(M644="Common"))),E644*F644,"")</f>
        <v/>
      </c>
      <c r="CD644" s="1072" t="str">
        <f t="shared" ref="CD644:CD681" si="31">IF(OR(AND(C644="Efficiency",B644="50% AMI",NOT(M644="Common")),AND(C644="Efficiency",B644="HOME 50% AMI",NOT(M644="Common"))),E644*F644,"")</f>
        <v/>
      </c>
      <c r="CE644" s="1072" t="str">
        <f t="shared" ref="CE644:CE681" si="32">IF(OR(AND(C644=1,B644="50% AMI",NOT(M644="Common")),AND(C644=1,B644="HOME 50% AMI",NOT(M644="Common"))),E644*F644,"")</f>
        <v/>
      </c>
      <c r="CF644" s="1072" t="str">
        <f t="shared" ref="CF644:CF681" si="33">IF(OR(AND(C644=2,B644="50% AMI",NOT(M644="Common")),AND(C644=2,B644="HOME 50% AMI",NOT(M644="Common"))),E644*F644,"")</f>
        <v/>
      </c>
      <c r="CG644" s="1072" t="str">
        <f t="shared" ref="CG644:CG681" si="34">IF(OR(AND(C644=3,B644="50% AMI",NOT(M644="Common")),AND(C644=3,B644="HOME 50% AMI",NOT(M644="Common"))),E644*F644,"")</f>
        <v/>
      </c>
      <c r="CH644" s="1072" t="str">
        <f t="shared" ref="CH644:CH681" si="35">IF(OR(AND(C644=4,B644="50% AMI",NOT(M644="Common")),AND(C644=4,B644="HOME 50% AMI",NOT(M644="Common"))),E644*F644,"")</f>
        <v/>
      </c>
      <c r="CI644" s="1072" t="str">
        <f t="shared" ref="CI644:CI681" si="36">IF(OR(AND(C644="Efficiency",B644="30% AMI",NOT(M644="Common")),AND(C644="Efficiency",B644="HOME 30% AMI",NOT(M644="Common"))),E644*F644,"")</f>
        <v/>
      </c>
      <c r="CJ644" s="1072" t="str">
        <f t="shared" ref="CJ644:CJ681" si="37">IF(OR(AND(C644=1,B644="30% AMI",NOT(M644="Common")),AND(C644=1,B644="HOME 30% AMI",NOT(M644="Common"))),E644*F644,"")</f>
        <v/>
      </c>
      <c r="CK644" s="1072" t="str">
        <f t="shared" ref="CK644:CK681" si="38">IF(OR(AND(C644=2,B644="30% AMI",NOT(M644="Common")),AND(C644=2,B644="HOME 30% AMI",NOT(M644="Common"))),E644*F644,"")</f>
        <v/>
      </c>
      <c r="CL644" s="1072" t="str">
        <f t="shared" ref="CL644:CL681" si="39">IF(OR(AND(C644=3,B644="30% AMI",NOT(M644="Common")),AND(C644=3,B644="HOME 30% AMI",NOT(M644="Common"))),E644*F644,"")</f>
        <v/>
      </c>
      <c r="CM644" s="1072" t="str">
        <f t="shared" ref="CM644:CM681" si="40">IF(OR(AND(C644=4,B644="30% AMI",NOT(M644="Common")),AND(C644=4,B644="HOME 30% AMI",NOT(M644="Common"))),E644*F644,"")</f>
        <v/>
      </c>
      <c r="CN644" s="1072" t="str">
        <f t="shared" ref="CN644:CN681" si="41">IF(AND(C644="Efficiency",B644="Unrestricted",NOT(M644="Common")),E644*F644,"")</f>
        <v/>
      </c>
      <c r="CO644" s="1072" t="str">
        <f t="shared" ref="CO644:CO681" si="42">IF(AND(C644=1,B644="Unrestricted",NOT(M644="Common")),E644*F644,"")</f>
        <v/>
      </c>
      <c r="CP644" s="1072" t="str">
        <f t="shared" ref="CP644:CP681" si="43">IF(AND(C644=2,B644="Unrestricted",NOT(M644="Common")),E644*F644,"")</f>
        <v/>
      </c>
      <c r="CQ644" s="1072" t="str">
        <f t="shared" ref="CQ644:CQ681" si="44">IF(AND(C644=3,B644="Unrestricted",NOT(M644="Common")),E644*F644,"")</f>
        <v/>
      </c>
      <c r="CR644" s="1072" t="str">
        <f t="shared" ref="CR644:CR681" si="45">IF(AND(C644=4,B644="Unrestricted",NOT(M644="Common")),E644*F644,"")</f>
        <v/>
      </c>
      <c r="CS644" s="1072" t="str">
        <f t="shared" ref="CS644:CS681" si="46">IF(AND(C644="Efficiency",NOT(J644=""),NOT($J644=0),NOT(M644="Common")),E644*F644,"")</f>
        <v/>
      </c>
      <c r="CT644" s="1072">
        <f t="shared" ref="CT644:CT681" si="47">IF(AND(C644=1,NOT(J644=""),NOT($J644=0),NOT(M644="Common")),E644*F644,"")</f>
        <v>9912</v>
      </c>
      <c r="CU644" s="1072" t="str">
        <f t="shared" ref="CU644:CU681" si="48">IF(AND(C644=2,NOT(J644=""),NOT($J644=0),NOT(M644="Common")),E644*F644,"")</f>
        <v/>
      </c>
      <c r="CV644" s="1072" t="str">
        <f t="shared" ref="CV644:CV681" si="49">IF(AND(C644=3,NOT(J644=""),NOT($J644=0),NOT(M644="Common")),E644*F644,"")</f>
        <v/>
      </c>
      <c r="CW644" s="1072" t="str">
        <f t="shared" ref="CW644:CW681" si="50">IF(AND(C644=4,NOT(J644=""),NOT($J644=0),NOT(M644="Common")),E644*F644,"")</f>
        <v/>
      </c>
      <c r="CX644" s="1072" t="str">
        <f t="shared" ref="CX644:CX681" si="51">IF(AND(C644="Efficiency",M644="Common"),E644*F644,"")</f>
        <v/>
      </c>
      <c r="CY644" s="1072" t="str">
        <f t="shared" ref="CY644:CY681" si="52">IF(AND(C644=1,M644="Common"),E644*F644,"")</f>
        <v/>
      </c>
      <c r="CZ644" s="1072" t="str">
        <f t="shared" ref="CZ644:CZ681" si="53">IF(AND(C644=2,M644="Common"),E644*F644,"")</f>
        <v/>
      </c>
      <c r="DA644" s="1072" t="str">
        <f t="shared" ref="DA644:DA681" si="54">IF(AND(C644=3,M644="Common"),E644*F644,"")</f>
        <v/>
      </c>
      <c r="DB644" s="1072" t="str">
        <f t="shared" ref="DB644:DB681" si="55">IF(AND(C644=4,M644="Common"),E644*F644,"")</f>
        <v/>
      </c>
      <c r="DC644" s="1072" t="str">
        <f t="shared" ref="DC644:DC681" si="56">IF(AND($C644="Efficiency", $O644="New Construction",NOT($B644="Unrestricted"),NOT($B644="NSP 120% AMI"),NOT($B644="N/A-CS"),NOT($M644="Common")),$E644,"")</f>
        <v/>
      </c>
      <c r="DD644" s="1072" t="str">
        <f t="shared" ref="DD644:DD681" si="57">IF(AND($C644=1, $O644="New Construction",NOT($B644="Unrestricted"),NOT($B644="NSP 120% AMI"),NOT($B644="N/A-CS"),NOT($M644="Common")),$E644,"")</f>
        <v/>
      </c>
      <c r="DE644" s="1072" t="str">
        <f t="shared" ref="DE644:DE681" si="58">IF(AND($C644=2, $O644="New Construction",NOT($B644="Unrestricted"),NOT($B644="NSP 120% AMI"),NOT($B644="N/A-CS"),NOT($M644="Common")),$E644,"")</f>
        <v/>
      </c>
      <c r="DF644" s="1072" t="str">
        <f t="shared" ref="DF644:DF681" si="59">IF(AND($C644=3, $O644="New Construction",NOT($B644="Unrestricted"),NOT($B644="NSP 120% AMI"),NOT($B644="N/A-CS"),NOT($M644="Common")),$E644,"")</f>
        <v/>
      </c>
      <c r="DG644" s="1072" t="str">
        <f t="shared" ref="DG644:DG681" si="60">IF(AND($C644=4, $O644="New Construction",NOT($B644="Unrestricted"),NOT($B644="NSP 120% AMI"),NOT($B644="N/A-CS"),NOT($M644="Common")),$E644,"")</f>
        <v/>
      </c>
      <c r="DH644" s="1072" t="str">
        <f t="shared" ref="DH644:DH681" si="61">IF(AND($C644="Efficiency", $O644="New Construction",$B644="Unrestricted",NOT($B644="N/A-CS"),NOT($M644="Common")),$E644,"")</f>
        <v/>
      </c>
      <c r="DI644" s="1072" t="str">
        <f t="shared" ref="DI644:DI681" si="62">IF(AND($C644=1, $O644="New Construction",$B644="Unrestricted",NOT($B644="N/A-CS"),NOT($M644="Common")),$E644,"")</f>
        <v/>
      </c>
      <c r="DJ644" s="1072" t="str">
        <f t="shared" ref="DJ644:DJ681" si="63">IF(AND($C644=2, $O644="New Construction",$B644="Unrestricted",NOT($B644="N/A-CS"),NOT($M644="Common")),$E644,"")</f>
        <v/>
      </c>
      <c r="DK644" s="1072" t="str">
        <f t="shared" ref="DK644:DK681" si="64">IF(AND($C644=3, $O644="New Construction",$B644="Unrestricted",NOT($B644="N/A-CS"),NOT($M644="Common")),$E644,"")</f>
        <v/>
      </c>
      <c r="DL644" s="1072" t="str">
        <f t="shared" ref="DL644:DL681" si="65">IF(AND($C644=4, $O644="New Construction",$B644="Unrestricted",NOT($B644="N/A-CS"),NOT($M644="Common")),$E644,"")</f>
        <v/>
      </c>
      <c r="DM644" s="1072" t="str">
        <f t="shared" ref="DM644:DM681" si="66">IF(AND($C644="Efficiency", $O644="New Construction",$B644="N/A-CS",$M644="Common"),$E644,"")</f>
        <v/>
      </c>
      <c r="DN644" s="1072" t="str">
        <f t="shared" ref="DN644:DN681" si="67">IF(AND($C644=1, $O644="New Construction",$B644="N/A-CS",$M644="Common"),$E644,"")</f>
        <v/>
      </c>
      <c r="DO644" s="1072" t="str">
        <f t="shared" ref="DO644:DO681" si="68">IF(AND($C644=2, $O644="New Construction",$B644="N/A-CS",$M644="Common"),$E644,"")</f>
        <v/>
      </c>
      <c r="DP644" s="1072" t="str">
        <f t="shared" ref="DP644:DP681" si="69">IF(AND($C644=3, $O644="New Construction",$B644="N/A-CS",$M644="Common"),$E644,"")</f>
        <v/>
      </c>
      <c r="DQ644" s="1072" t="str">
        <f t="shared" ref="DQ644:DQ681" si="70">IF(AND($C644=4, $O644="New Construction",$B644="N/A-CS",$M644="Common"),$E644,"")</f>
        <v/>
      </c>
      <c r="DR644" s="1072" t="str">
        <f t="shared" ref="DR644:DR681" si="71">IF(AND($C644="Efficiency", $O644="Acquisition/Rehab",NOT($B644="Unrestricted"),NOT($B644="NSP 120% AMI"),NOT($B644="N/A-CS"),NOT($M644="Common")),$E644,"")</f>
        <v/>
      </c>
      <c r="DS644" s="1072">
        <f t="shared" ref="DS644:DS681" si="72">IF(AND($C644=1, $O644="Acquisition/Rehab",NOT($B644="Unrestricted"),NOT($B644="NSP 120% AMI"),NOT($B644="N/A-CS"),NOT($M644="Common")),$E644,"")</f>
        <v>12</v>
      </c>
      <c r="DT644" s="1072" t="str">
        <f t="shared" ref="DT644:DT681" si="73">IF(AND($C644=2, $O644="Acquisition/Rehab",NOT($B644="Unrestricted"),NOT($B644="NSP 120% AMI"),NOT($B644="N/A-CS"),NOT($M644="Common")),$E644,"")</f>
        <v/>
      </c>
      <c r="DU644" s="1072" t="str">
        <f t="shared" ref="DU644:DU681" si="74">IF(AND($C644=3, $O644="Acquisition/Rehab",NOT($B644="Unrestricted"),NOT($B644="NSP 120% AMI"),NOT($B644="N/A-CS"),NOT($M644="Common")),$E644,"")</f>
        <v/>
      </c>
      <c r="DV644" s="1072" t="str">
        <f t="shared" ref="DV644:DV681" si="75">IF(AND($C644=4, $O644="Acquisition/Rehab",NOT($B644="Unrestricted"),NOT($B644="NSP 120% AMI"),NOT($B644="N/A-CS"),NOT($M644="Common")),$E644,"")</f>
        <v/>
      </c>
      <c r="DW644" s="1072" t="str">
        <f t="shared" ref="DW644:DW681" si="76">IF(AND($C644="Efficiency", $O644="Acquisition/Rehab",$B644="Unrestricted",NOT($B644="N/A-CS"),NOT($M644="Common")),$E644,"")</f>
        <v/>
      </c>
      <c r="DX644" s="1072" t="str">
        <f t="shared" ref="DX644:DX681" si="77">IF(AND($C644=1, $O644="Acquisition/Rehab",$B644="Unrestricted",NOT($B644="N/A-CS"),NOT($M644="Common")),$E644,"")</f>
        <v/>
      </c>
      <c r="DY644" s="1072" t="str">
        <f t="shared" ref="DY644:DY681" si="78">IF(AND($C644=2, $O644="Acquisition/Rehab",$B644="Unrestricted",NOT($B644="N/A-CS"),NOT($M644="Common")),$E644,"")</f>
        <v/>
      </c>
      <c r="DZ644" s="1072" t="str">
        <f t="shared" ref="DZ644:DZ681" si="79">IF(AND($C644=3, $O644="Acquisition/Rehab",$B644="Unrestricted",NOT($B644="N/A-CS"),NOT($M644="Common")),$E644,"")</f>
        <v/>
      </c>
      <c r="EA644" s="1072" t="str">
        <f t="shared" ref="EA644:EA681" si="80">IF(AND($C644=4, $O644="Acquisition/Rehab",$B644="Unrestricted",NOT($B644="N/A-CS"),NOT($M644="Common")),$E644,"")</f>
        <v/>
      </c>
      <c r="EB644" s="1072" t="str">
        <f t="shared" ref="EB644:EB681" si="81">IF(AND($C644="Efficiency", $O644="Acquisition/Rehab",$B644="N/A-CS",$M644="Common"),$E644,"")</f>
        <v/>
      </c>
      <c r="EC644" s="1072" t="str">
        <f t="shared" ref="EC644:EC681" si="82">IF(AND($C644=1, $O644="Acquisition/Rehab",$B644="N/A-CS",$M644="Common"),$E644,"")</f>
        <v/>
      </c>
      <c r="ED644" s="1072" t="str">
        <f t="shared" ref="ED644:ED681" si="83">IF(AND($C644=2, $O644="Acquisition/Rehab",$B644="N/A-CS",$M644="Common"),$E644,"")</f>
        <v/>
      </c>
      <c r="EE644" s="1072" t="str">
        <f t="shared" ref="EE644:EE681" si="84">IF(AND($C644=3, $O644="Acquisition/Rehab",$B644="N/A-CS",$M644="Common"),$E644,"")</f>
        <v/>
      </c>
      <c r="EF644" s="1072" t="str">
        <f t="shared" ref="EF644:EF681" si="85">IF(AND($C644=4, $O644="Acquisition/Rehab",$B644="N/A-CS",$M644="Common"),$E644,"")</f>
        <v/>
      </c>
      <c r="EG644" s="1072" t="str">
        <f t="shared" ref="EG644:EG681" si="86">IF(AND($C644="Efficiency", $O644="Rehabilitation",NOT($B644="Unrestricted"),NOT($B644="NSP 120% AMI"),NOT($B644="N/A-CS"),NOT($M644="Common")),$E644,"")</f>
        <v/>
      </c>
      <c r="EH644" s="1072" t="str">
        <f t="shared" ref="EH644:EH681" si="87">IF(AND($C644=1, $O644="Rehabilitation",NOT($B644="Unrestricted"),NOT($B644="NSP 120% AMI"),NOT($B644="N/A-CS"),NOT($M644="Common")),$E644,"")</f>
        <v/>
      </c>
      <c r="EI644" s="1072" t="str">
        <f t="shared" ref="EI644:EI681" si="88">IF(AND($C644=2, $O644="Rehabilitation",NOT($B644="Unrestricted"),NOT($B644="NSP 120% AMI"),NOT($B644="N/A-CS"),NOT($M644="Common")),$E644,"")</f>
        <v/>
      </c>
      <c r="EJ644" s="1072" t="str">
        <f t="shared" ref="EJ644:EJ681" si="89">IF(AND($C644=3, $O644="Rehabilitation",NOT($B644="Unrestricted"),NOT($B644="NSP 120% AMI"),NOT($B644="N/A-CS"),NOT($M644="Common")),$E644,"")</f>
        <v/>
      </c>
      <c r="EK644" s="1072" t="str">
        <f t="shared" ref="EK644:EK681" si="90">IF(AND($C644=4, $O644="Rehabilitation",NOT($B644="Unrestricted"),NOT($B644="NSP 120% AMI"),NOT($B644="N/A-CS"),NOT($M644="Common")),$E644,"")</f>
        <v/>
      </c>
      <c r="EL644" s="1072" t="str">
        <f t="shared" ref="EL644:EL681" si="91">IF(AND($C644="Efficiency", $O644="Rehabilitation",$B644="Unrestricted",NOT($B644="N/A-CS"),NOT($M644="Common")),$E644,"")</f>
        <v/>
      </c>
      <c r="EM644" s="1072" t="str">
        <f t="shared" ref="EM644:EM681" si="92">IF(AND($C644=1, $O644="Rehabilitation",$B644="Unrestricted",NOT($B644="N/A-CS"),NOT($M644="Common")),$E644,"")</f>
        <v/>
      </c>
      <c r="EN644" s="1072" t="str">
        <f t="shared" ref="EN644:EN681" si="93">IF(AND($C644=2, $O644="Rehabilitation",$B644="Unrestricted",NOT($B644="N/A-CS"),NOT($M644="Common")),$E644,"")</f>
        <v/>
      </c>
      <c r="EO644" s="1072" t="str">
        <f t="shared" ref="EO644:EO681" si="94">IF(AND($C644=3, $O644="Rehabilitation",$B644="Unrestricted",NOT($B644="N/A-CS"),NOT($M644="Common")),$E644,"")</f>
        <v/>
      </c>
      <c r="EP644" s="1072" t="str">
        <f t="shared" ref="EP644:EP681" si="95">IF(AND($C644=4, $O644="Rehabilitation",$B644="Unrestricted",NOT($B644="N/A-CS"),NOT($M644="Common")),$E644,"")</f>
        <v/>
      </c>
      <c r="EQ644" s="1072" t="str">
        <f t="shared" ref="EQ644:EQ681" si="96">IF(AND($C644="Efficiency", $O644="Rehabilitation",$B644="N/A-CS",$M644="Common"),$E644,"")</f>
        <v/>
      </c>
      <c r="ER644" s="1072" t="str">
        <f t="shared" ref="ER644:ER681" si="97">IF(AND($C644=1, $O644="Rehabilitation",$B644="N/A-CS",$M644="Common"),$E644,"")</f>
        <v/>
      </c>
      <c r="ES644" s="1072" t="str">
        <f t="shared" ref="ES644:ES681" si="98">IF(AND($C644=2, $O644="Rehabilitation",$B644="N/A-CS",$M644="Common"),$E644,"")</f>
        <v/>
      </c>
      <c r="ET644" s="1072" t="str">
        <f t="shared" ref="ET644:ET681" si="99">IF(AND($C644=3, $O644="Rehabilitation",$B644="N/A-CS",$M644="Common"),$E644,"")</f>
        <v/>
      </c>
      <c r="EU644" s="1072" t="str">
        <f t="shared" ref="EU644:EU681" si="100">IF(AND($C644=4, $O644="Rehabilitation",$B644="N/A-CS",$M644="Common"),$E644,"")</f>
        <v/>
      </c>
      <c r="EV644" s="833" t="str">
        <f t="shared" ref="EV644:EV681" si="101">IF(AND($C644="Efficiency", NOT(OR($N644="SF Detached",$N644="Mfd Home",$N644="Duplex",$N644="Townhome"))),$E644,"")</f>
        <v/>
      </c>
      <c r="EW644" s="833" t="str">
        <f t="shared" ref="EW644:EW681" si="102">IF(AND($C644=1, NOT(OR($N644="SF Detached",$N644="Mfd Home",$N644="Duplex",$N644="Townhome"))),$E644,"")</f>
        <v/>
      </c>
      <c r="EX644" s="833" t="str">
        <f t="shared" ref="EX644:EX681" si="103">IF(AND($C644=2, NOT(OR($N644="SF Detached",$N644="Mfd Home",$N644="Duplex",$N644="Townhome"))),$E644,"")</f>
        <v/>
      </c>
      <c r="EY644" s="833" t="str">
        <f t="shared" ref="EY644:EY681" si="104">IF(AND($C644=3, NOT(OR($N644="SF Detached",$N644="Mfd Home",$N644="Duplex",$N644="Townhome"))),$E644,"")</f>
        <v/>
      </c>
      <c r="EZ644" s="833" t="str">
        <f t="shared" ref="EZ644:EZ681" si="105">IF(AND($C644=4, NOT(OR($N644="SF Detached",$N644="Mfd Home",$N644="Duplex",$N644="Townhome"))),$E644,"")</f>
        <v/>
      </c>
      <c r="FA644" s="833" t="str">
        <f t="shared" ref="FA644:FA681" si="106">IF(AND($C644="Efficiency", $N644="SF Detached"),$E644,"")</f>
        <v/>
      </c>
      <c r="FB644" s="833" t="str">
        <f t="shared" ref="FB644:FB681" si="107">IF(AND($C644=1, $N644="SF Detached"),$E644,"")</f>
        <v/>
      </c>
      <c r="FC644" s="833" t="str">
        <f t="shared" ref="FC644:FC681" si="108">IF(AND($C644=2, $N644="SF Detached"),$E644,"")</f>
        <v/>
      </c>
      <c r="FD644" s="833" t="str">
        <f t="shared" ref="FD644:FD681" si="109">IF(AND($C644=3, $N644="SF Detached"),$E644,"")</f>
        <v/>
      </c>
      <c r="FE644" s="833" t="str">
        <f t="shared" ref="FE644:FE681" si="110">IF(AND($C644=4, $N644="SF Detached"),$E644,"")</f>
        <v/>
      </c>
      <c r="FF644" s="833" t="str">
        <f t="shared" ref="FF644:FF681" si="111">IF(AND($C644="Efficiency", $N644="MH"),$E644,"")</f>
        <v/>
      </c>
      <c r="FG644" s="833" t="str">
        <f t="shared" ref="FG644:FG681" si="112">IF(AND($C644=1, $N644="MH"),$E644,"")</f>
        <v/>
      </c>
      <c r="FH644" s="833" t="str">
        <f t="shared" ref="FH644:FH681" si="113">IF(AND($C644=2, $N644="MH"),$E644,"")</f>
        <v/>
      </c>
      <c r="FI644" s="833" t="str">
        <f t="shared" ref="FI644:FI681" si="114">IF(AND($C644=3, $N644="MH"),$E644,"")</f>
        <v/>
      </c>
      <c r="FJ644" s="833" t="str">
        <f t="shared" ref="FJ644:FJ681" si="115">IF(AND($C644=4, $N644="MH"),$E644,"")</f>
        <v/>
      </c>
      <c r="FK644" s="833" t="str">
        <f t="shared" ref="FK644:FK681" si="116">IF(AND($C644="Efficiency", $N644="Duplex"),$E644,"")</f>
        <v/>
      </c>
      <c r="FL644" s="833">
        <f t="shared" ref="FL644:FL681" si="117">IF(AND($C644=1, $N644="Duplex"),$E644,"")</f>
        <v>12</v>
      </c>
      <c r="FM644" s="833" t="str">
        <f t="shared" ref="FM644:FM681" si="118">IF(AND($C644=2, $N644="Duplex"),$E644,"")</f>
        <v/>
      </c>
      <c r="FN644" s="833" t="str">
        <f t="shared" ref="FN644:FN681" si="119">IF(AND($C644=3, $N644="Duplex"),$E644,"")</f>
        <v/>
      </c>
      <c r="FO644" s="833" t="str">
        <f t="shared" ref="FO644:FO681" si="120">IF(AND($C644=4, $N644="Duplex"),$E644,"")</f>
        <v/>
      </c>
      <c r="FP644" s="833" t="str">
        <f t="shared" ref="FP644:FP681" si="121">IF(AND($C644="Efficiency", $N644="Townhome"),$E644,"")</f>
        <v/>
      </c>
      <c r="FQ644" s="833" t="str">
        <f t="shared" ref="FQ644:FQ681" si="122">IF(AND($C644=1, $N644="Townhome"),$E644,"")</f>
        <v/>
      </c>
      <c r="FR644" s="833" t="str">
        <f t="shared" ref="FR644:FR681" si="123">IF(AND($C644=2, $N644="Townhome"),$E644,"")</f>
        <v/>
      </c>
      <c r="FS644" s="833" t="str">
        <f t="shared" ref="FS644:FS681" si="124">IF(AND($C644=3, $N644="Townhome"),$E644,"")</f>
        <v/>
      </c>
      <c r="FT644" s="833" t="str">
        <f t="shared" ref="FT644:FT681" si="125">IF(AND($C644=4, $N644="Townhome"),$E644,"")</f>
        <v/>
      </c>
      <c r="FU644" s="833" t="str">
        <f t="shared" ref="FU644:FU681" si="126">IF(AND($C644="Efficiency", $N644="1-Story"),$E644,"")</f>
        <v/>
      </c>
      <c r="FV644" s="833" t="str">
        <f t="shared" ref="FV644:FV681" si="127">IF(AND($C644=1, $N644="1-Story"),$E644,"")</f>
        <v/>
      </c>
      <c r="FW644" s="833" t="str">
        <f t="shared" ref="FW644:FW681" si="128">IF(AND($C644=2, $N644="1-Story"),$E644,"")</f>
        <v/>
      </c>
      <c r="FX644" s="833" t="str">
        <f t="shared" ref="FX644:FX681" si="129">IF(AND($C644=3, $N644="1-Story"),$E644,"")</f>
        <v/>
      </c>
      <c r="FY644" s="833" t="str">
        <f t="shared" ref="FY644:FY681" si="130">IF(AND($C644=4, $N644="1-Story"),$E644,"")</f>
        <v/>
      </c>
      <c r="FZ644" s="833" t="str">
        <f t="shared" ref="FZ644:FZ681" si="131">IF(AND($C644="Efficiency", $N644="2-Story"),$E644,"")</f>
        <v/>
      </c>
      <c r="GA644" s="833" t="str">
        <f t="shared" ref="GA644:GA681" si="132">IF(AND($C644=1, $N644="2-Story"),$E644,"")</f>
        <v/>
      </c>
      <c r="GB644" s="833" t="str">
        <f t="shared" ref="GB644:GB681" si="133">IF(AND($C644=2, $N644="2-Story"),$E644,"")</f>
        <v/>
      </c>
      <c r="GC644" s="833" t="str">
        <f t="shared" ref="GC644:GC681" si="134">IF(AND($C644=3, $N644="2-Story"),$E644,"")</f>
        <v/>
      </c>
      <c r="GD644" s="833" t="str">
        <f t="shared" ref="GD644:GD681" si="135">IF(AND($C644=4, $N644="2-Story"),$E644,"")</f>
        <v/>
      </c>
      <c r="GE644" s="833" t="str">
        <f t="shared" ref="GE644:GE681" si="136">IF(AND($C644="Efficiency", $N644="2-Story Walkup"),$E644,"")</f>
        <v/>
      </c>
      <c r="GF644" s="833" t="str">
        <f t="shared" ref="GF644:GF681" si="137">IF(AND($C644=1, $N644="2-Story Walkup"),$E644,"")</f>
        <v/>
      </c>
      <c r="GG644" s="833" t="str">
        <f t="shared" ref="GG644:GG681" si="138">IF(AND($C644=2, $N644="2-Story Walkup"),$E644,"")</f>
        <v/>
      </c>
      <c r="GH644" s="833" t="str">
        <f t="shared" ref="GH644:GH681" si="139">IF(AND($C644=3, $N644="2-Story Walkup"),$E644,"")</f>
        <v/>
      </c>
      <c r="GI644" s="833" t="str">
        <f t="shared" ref="GI644:GI681" si="140">IF(AND($C644=4, $N644="2-Story Walkup"),$E644,"")</f>
        <v/>
      </c>
      <c r="GJ644" s="833" t="str">
        <f t="shared" ref="GJ644:GJ681" si="141">IF(AND($C644="Efficiency", $N644="3+ Story"),$E644,"")</f>
        <v/>
      </c>
      <c r="GK644" s="833" t="str">
        <f t="shared" ref="GK644:GK681" si="142">IF(AND($C644=1, $N644="3+ Story"),$E644,"")</f>
        <v/>
      </c>
      <c r="GL644" s="833" t="str">
        <f t="shared" ref="GL644:GL681" si="143">IF(AND($C644=2, $N644="3+ Story"),$E644,"")</f>
        <v/>
      </c>
      <c r="GM644" s="833" t="str">
        <f t="shared" ref="GM644:GM681" si="144">IF(AND($C644=3, $N644="3+ Story"),$E644,"")</f>
        <v/>
      </c>
      <c r="GN644" s="833" t="str">
        <f t="shared" ref="GN644:GN681" si="145">IF(AND($C644=4, $N644="3+ Story"),$E644,"")</f>
        <v/>
      </c>
      <c r="GO644" s="1115" t="str">
        <f t="shared" ref="GO644:GO681" si="146">IF(AND($B644="NSP 120% AMI",$C644="Efficiency", NOT($M644="Common")),$E644,"")</f>
        <v/>
      </c>
      <c r="GP644" s="1115" t="str">
        <f t="shared" ref="GP644:GP681" si="147">IF(AND($B644="NSP 120% AMI",$C644=1,NOT($M644="Common")),$E644,"")</f>
        <v/>
      </c>
      <c r="GQ644" s="1115" t="str">
        <f t="shared" ref="GQ644:GQ681" si="148">IF(AND($B644="NSP 120% AMI",$C644=2,NOT($M644="Common")),$E644,"")</f>
        <v/>
      </c>
      <c r="GR644" s="1115" t="str">
        <f t="shared" ref="GR644:GR681" si="149">IF(AND($B644="NSP 120% AMI",$C644=3,NOT($M644="Common")),$E644,"")</f>
        <v/>
      </c>
      <c r="GS644" s="1115" t="str">
        <f t="shared" ref="GS644:GS681" si="150">IF(AND($B644="NSP 120% AMI",$C644=4,NOT($M644="Common")),$E644,"")</f>
        <v/>
      </c>
      <c r="GT644" s="1072" t="str">
        <f t="shared" ref="GT644:GT681" si="151">IF(AND(C644="Efficiency",B644="NSP 120% AMI",NOT(M644="Common")),E644*F644,"")</f>
        <v/>
      </c>
      <c r="GU644" s="1072" t="str">
        <f t="shared" ref="GU644:GU681" si="152">IF(AND(C644=1,B644="NSP 120% AMI",NOT(M644="Common")),E644*F644,"")</f>
        <v/>
      </c>
      <c r="GV644" s="1072" t="str">
        <f t="shared" ref="GV644:GV681" si="153">IF(AND(C644=2,B644="NSP 120% AMI",NOT(M644="Common")),E644*F644,"")</f>
        <v/>
      </c>
      <c r="GW644" s="1072" t="str">
        <f t="shared" ref="GW644:GW681" si="154">IF(AND(C644=3,B644="NSP 120% AMI",NOT(M644="Common")),E644*F644,"")</f>
        <v/>
      </c>
      <c r="GX644" s="1072" t="str">
        <f t="shared" ref="GX644:GX681" si="155">IF(AND(C644=4,B644="NSP 120% AMI",NOT(M644="Common")),E644*F644,"")</f>
        <v/>
      </c>
      <c r="GY644" s="1072" t="str">
        <f t="shared" ref="GY644:GY681" si="156">IF(AND($C644="Efficiency", $O644="New Construction",$B644="NSP 120% AMI",NOT($M644="Common")),$E644,"")</f>
        <v/>
      </c>
      <c r="GZ644" s="1072" t="str">
        <f t="shared" ref="GZ644:GZ681" si="157">IF(AND($C644=1, $O644="New Construction",$B644="NSP 120% AMI",NOT($M644="Common")),$E644,"")</f>
        <v/>
      </c>
      <c r="HA644" s="1072" t="str">
        <f t="shared" ref="HA644:HA681" si="158">IF(AND($C644=2, $O644="New Construction",$B644="NSP 120% AMI",NOT($M644="Common")),$E644,"")</f>
        <v/>
      </c>
      <c r="HB644" s="1072" t="str">
        <f t="shared" ref="HB644:HB681" si="159">IF(AND($C644=3, $O644="New Construction",$B644="NSP 120% AMI",NOT($M644="Common")),$E644,"")</f>
        <v/>
      </c>
      <c r="HC644" s="1072" t="str">
        <f t="shared" ref="HC644:HC681" si="160">IF(AND($C644=4, $O644="New Construction",$B644="NSP 120% AMI",NOT($M644="Common")),$E644,"")</f>
        <v/>
      </c>
      <c r="HD644" s="1072" t="str">
        <f t="shared" ref="HD644:HD681" si="161">IF(AND($C644="Efficiency", $O644="Acquisition/Rehab",$B644="NSP 120% AMI",NOT($M644="Common")),$E644,"")</f>
        <v/>
      </c>
      <c r="HE644" s="1072" t="str">
        <f t="shared" ref="HE644:HE681" si="162">IF(AND($C644=1, $O644="Acquisition/Rehab",$B644="NSP 120% AMI",NOT($M644="Common")),$E644,"")</f>
        <v/>
      </c>
      <c r="HF644" s="1072" t="str">
        <f t="shared" ref="HF644:HF681" si="163">IF(AND($C644=2, $O644="Acquisition/Rehab",$B644="NSP 120% AMI",NOT($M644="Common")),$E644,"")</f>
        <v/>
      </c>
      <c r="HG644" s="1072" t="str">
        <f t="shared" ref="HG644:HG681" si="164">IF(AND($C644=3, $O644="Acquisition/Rehab",$B644="NSP 120% AMI",NOT($M644="Common")),$E644,"")</f>
        <v/>
      </c>
      <c r="HH644" s="1072" t="str">
        <f t="shared" ref="HH644:HH681" si="165">IF(AND($C644=4, $O644="Acquisition/Rehab",$B644="NSP 120% AMI",NOT($M644="Common")),$E644,"")</f>
        <v/>
      </c>
      <c r="HI644" s="1072" t="str">
        <f t="shared" ref="HI644:HI681" si="166">IF(AND($C644="Efficiency", $O644="Rehabilitation",$B644="NSP 120% AMI",NOT($M644="Common")),$E644,"")</f>
        <v/>
      </c>
      <c r="HJ644" s="1072" t="str">
        <f t="shared" ref="HJ644:HJ681" si="167">IF(AND($C644=1, $O644="Rehabilitation",$B644="NSP 120% AMI",NOT($M644="Common")),$E644,"")</f>
        <v/>
      </c>
      <c r="HK644" s="1072" t="str">
        <f t="shared" ref="HK644:HK681" si="168">IF(AND($C644=2, $O644="Rehabilitation",$B644="NSP 120% AMI",NOT($M644="Common")),$E644,"")</f>
        <v/>
      </c>
      <c r="HL644" s="1072" t="str">
        <f t="shared" ref="HL644:HL681" si="169">IF(AND($C644=3, $O644="Rehabilitation",$B644="NSP 120% AMI",NOT($M644="Common")),$E644,"")</f>
        <v/>
      </c>
      <c r="HM644" s="1072" t="str">
        <f t="shared" ref="HM644:HM681" si="170">IF(AND($C644=4, $O644="Rehabilitation",$B644="NSP 120% AMI",NOT($M644="Common")),$E644,"")</f>
        <v/>
      </c>
    </row>
    <row r="645" spans="1:221" ht="13.15" customHeight="1">
      <c r="A645" s="1084" t="str">
        <f t="shared" ref="A645:A681" si="171">IF(AND(E645&gt;0,OR(B645="",C645="",D645="",F645="",G645="", H645="",M645="",N645="",O645="")),1,"")</f>
        <v/>
      </c>
      <c r="B645" s="1037" t="str">
        <f>'Part VI-Revenues &amp; Expenses'!B11</f>
        <v>60% AMI</v>
      </c>
      <c r="C645" s="1038">
        <f>'Part VI-Revenues &amp; Expenses'!C11</f>
        <v>1</v>
      </c>
      <c r="D645" s="1039">
        <f>'Part VI-Revenues &amp; Expenses'!D11</f>
        <v>1</v>
      </c>
      <c r="E645" s="1040">
        <f>'Part VI-Revenues &amp; Expenses'!E11</f>
        <v>12</v>
      </c>
      <c r="F645" s="1040">
        <f>'Part VI-Revenues &amp; Expenses'!F11</f>
        <v>826</v>
      </c>
      <c r="G645" s="1040">
        <f>'Part VI-Revenues &amp; Expenses'!G11</f>
        <v>589</v>
      </c>
      <c r="H645" s="1040">
        <f>'Part VI-Revenues &amp; Expenses'!H11</f>
        <v>564</v>
      </c>
      <c r="I645" s="1040">
        <f>'Part VI-Revenues &amp; Expenses'!I11</f>
        <v>115</v>
      </c>
      <c r="J645" s="1103" t="str">
        <f>'Part VI-Revenues &amp; Expenses'!J11</f>
        <v>RAD</v>
      </c>
      <c r="K645" s="908">
        <f t="shared" ref="K645:K661" si="172">MAX(0,H645-I645)</f>
        <v>449</v>
      </c>
      <c r="L645" s="908">
        <f t="shared" si="0"/>
        <v>5388</v>
      </c>
      <c r="M645" s="831" t="str">
        <f>'Part VI-Revenues &amp; Expenses'!M11</f>
        <v>No</v>
      </c>
      <c r="N645" s="831" t="str">
        <f>'Part VI-Revenues &amp; Expenses'!N11</f>
        <v>1-Story</v>
      </c>
      <c r="O645" s="831" t="str">
        <f>'Part VI-Revenues &amp; Expenses'!O11</f>
        <v>Acquisition/Rehab</v>
      </c>
      <c r="P645" s="909">
        <f>IF(H645="","",H645*12/0.3)</f>
        <v>22560</v>
      </c>
      <c r="Q645" s="910">
        <f>'Part VI-Revenues &amp; Expenses'!Q11</f>
        <v>0.57514340344168258</v>
      </c>
      <c r="R645" s="909"/>
      <c r="S645" s="910"/>
      <c r="T645" s="1576"/>
      <c r="U645" s="1576"/>
      <c r="V645" s="1072" t="str">
        <f t="shared" si="1"/>
        <v/>
      </c>
      <c r="W645" s="1072">
        <f t="shared" si="2"/>
        <v>12</v>
      </c>
      <c r="X645" s="1072" t="str">
        <f t="shared" si="3"/>
        <v/>
      </c>
      <c r="Y645" s="1072" t="str">
        <f t="shared" si="4"/>
        <v/>
      </c>
      <c r="Z645" s="1072" t="str">
        <f t="shared" si="5"/>
        <v/>
      </c>
      <c r="AA645" s="1072" t="str">
        <f t="shared" si="6"/>
        <v/>
      </c>
      <c r="AB645" s="1072" t="str">
        <f t="shared" si="7"/>
        <v/>
      </c>
      <c r="AC645" s="1072" t="str">
        <f t="shared" si="8"/>
        <v/>
      </c>
      <c r="AD645" s="1072" t="str">
        <f t="shared" si="9"/>
        <v/>
      </c>
      <c r="AE645" s="1072" t="str">
        <f t="shared" si="10"/>
        <v/>
      </c>
      <c r="AF645" s="1072" t="str">
        <f t="shared" si="11"/>
        <v/>
      </c>
      <c r="AG645" s="1072" t="str">
        <f t="shared" si="12"/>
        <v/>
      </c>
      <c r="AH645" s="1072" t="str">
        <f t="shared" si="13"/>
        <v/>
      </c>
      <c r="AI645" s="1072" t="str">
        <f t="shared" si="14"/>
        <v/>
      </c>
      <c r="AJ645" s="1072" t="str">
        <f t="shared" si="15"/>
        <v/>
      </c>
      <c r="AK645" s="1072" t="str">
        <f t="shared" si="16"/>
        <v/>
      </c>
      <c r="AL645" s="1072" t="str">
        <f t="shared" si="17"/>
        <v/>
      </c>
      <c r="AM645" s="1072" t="str">
        <f t="shared" si="18"/>
        <v/>
      </c>
      <c r="AN645" s="1072" t="str">
        <f t="shared" si="19"/>
        <v/>
      </c>
      <c r="AO645" s="1072" t="str">
        <f t="shared" si="20"/>
        <v/>
      </c>
      <c r="AP645" s="1072" t="str">
        <f t="shared" ref="AP645:AP681" si="173">IF(OR(AND($C645="Efficiency",NOT($J645=""),NOT($J645="PHA Oper Sub"),$B645="30% AMI",NOT($M645="Common")),AND($C645="Efficiency",NOT($J645=""),NOT($J645="PHA Oper Sub"),$B645="HOME 30% AMI",NOT($M645="Common"))),$E645,"")</f>
        <v/>
      </c>
      <c r="AQ645" s="1072" t="str">
        <f t="shared" ref="AQ645:AQ681" si="174">IF(OR(AND($C645=1,NOT($J645=""),NOT($J645="PHA Oper Sub"),$B645="30% AMI",NOT($M645="Common")),AND($C645=1,NOT($J645=""),NOT($J645="PHA Oper Sub"),$B645="HOME 30% AMI",NOT($M645="Common"))),$E645,"")</f>
        <v/>
      </c>
      <c r="AR645" s="1072" t="str">
        <f t="shared" ref="AR645:AR681" si="175">IF(OR(AND($C645=2,NOT($J645=""),NOT($J645="PHA Oper Sub"),$B645="30% AMI",NOT($M645="Common")),AND($C645=2,NOT($J645=""),NOT($J645="PHA Oper Sub"),$B645="HOME 30% AMI",NOT($M645="Common"))),$E645,"")</f>
        <v/>
      </c>
      <c r="AS645" s="1072" t="str">
        <f t="shared" ref="AS645:AS681" si="176">IF(OR(AND($C645=3,NOT($J645=""),NOT($J645="PHA Oper Sub"),$B645="30% AMI",NOT($M645="Common")),AND($C645=3,NOT($J645=""),NOT($J645="PHA Oper Sub"),$B645="HOME 30% AMI",NOT($M645="Common"))),$E645,"")</f>
        <v/>
      </c>
      <c r="AT645" s="1072" t="str">
        <f t="shared" ref="AT645:AT681" si="177">IF(OR(AND($C645=4,NOT($J645=""),NOT($J645="PHA Oper Sub"),$B645="30% AMI",NOT($M645="Common")),AND($C645=4,NOT($J645=""),NOT($J645="PHA Oper Sub"),$B645="HOME 30% AMI",NOT($M645="Common"))),$E645,"")</f>
        <v/>
      </c>
      <c r="AU645" s="1072" t="str">
        <f t="shared" ref="AU645:AU681" si="178">IF(OR(AND($C645="Efficiency",NOT($J645=""),NOT($J645="PHA Oper Sub"),NOT($J645=0),$B645="50% AMI",NOT($M645="Common")),AND($C645="Efficiency",NOT($J645=""),NOT($J645=0),NOT($J645="PHA Oper Sub"),$B645="HOME 50% AMI",NOT($M645="Common"))),$E645,"")</f>
        <v/>
      </c>
      <c r="AV645" s="1072" t="str">
        <f t="shared" ref="AV645:AV681" si="179">IF(OR(AND($C645=1,NOT($J645=""),NOT($J645=0),NOT($J645="PHA Oper Sub"),$B645="50% AMI",NOT($M645="Common")),AND($C645=1,NOT($J645=""),NOT($J645=0),NOT($J645="PHA Oper Sub"),$B645="HOME 50% AMI",NOT($M645="Common"))),$E645,"")</f>
        <v/>
      </c>
      <c r="AW645" s="1072" t="str">
        <f t="shared" ref="AW645:AW681" si="180">IF(OR(AND($C645=2,NOT($J645=""),NOT($J645=0),NOT($J645="PHA Oper Sub"),$B645="50% AMI",NOT($M645="Common")),AND($C645=2,NOT($J645=""),NOT($J645=0),NOT($J645="PHA Oper Sub"),$B645="HOME 50% AMI",NOT($M645="Common"))),$E645,"")</f>
        <v/>
      </c>
      <c r="AX645" s="1072" t="str">
        <f t="shared" ref="AX645:AX681" si="181">IF(OR(AND($C645=3,NOT($J645=""),NOT($J645=0),NOT($J645="PHA Oper Sub"),$B645="50% AMI",NOT($M645="Common")),AND($C645=3,NOT($J645=""),NOT($J645=0),NOT($J645="PHA Oper Sub"),$B645="HOME 50% AMI",NOT($M645="Common"))),$E645,"")</f>
        <v/>
      </c>
      <c r="AY645" s="1072" t="str">
        <f t="shared" ref="AY645:AY681" si="182">IF(OR(AND($C645=4,NOT($J645=""),NOT($J645=0),NOT($J645="PHA Oper Sub"),$B645="50% AMI",NOT($M645="Common")),AND($C645=4,NOT($J645=""),NOT($J645=0),NOT($J645="PHA Oper Sub"),$B645="HOME 50% AMI",NOT($M645="Common"))),$E645,"")</f>
        <v/>
      </c>
      <c r="AZ645" s="1072" t="str">
        <f t="shared" ref="AZ645:AZ681" si="183">IF(OR(AND($C645="Efficiency",NOT($J645=""),NOT($J645=0),NOT($J645="PHA Oper Sub"),$B645="60% AMI",NOT($M645="Common")),AND($C645="Efficiency",NOT($J645=""),NOT($J645=0),NOT($J645="PHA Oper Sub"),$B645="HOME 60% AMI",NOT($M645="Common"))),$E645,"")</f>
        <v/>
      </c>
      <c r="BA645" s="1072">
        <f t="shared" ref="BA645:BA681" si="184">IF(OR(AND($C645=1,NOT($J645=""),NOT($J645=0),NOT($J645="PHA Oper Sub"),$B645="60% AMI",NOT($M645="Common")),AND($C645=1,NOT($J645=""),NOT($J645=0),NOT($J645="PHA Oper Sub"),$B645="HOME 60% AMI",NOT($M645="Common"))),$E645,"")</f>
        <v>12</v>
      </c>
      <c r="BB645" s="1072" t="str">
        <f t="shared" ref="BB645:BB681" si="185">IF(OR(AND($C645=2,NOT($J645=""),NOT($J645=0),NOT($J645="PHA Oper Sub"),$B645="60% AMI",NOT($M645="Common")),AND($C645=2,NOT($J645=""),NOT($J645=0),NOT($J645="PHA Oper Sub"),$B645="HOME 60% AMI",NOT($M645="Common"))),$E645,"")</f>
        <v/>
      </c>
      <c r="BC645" s="1072" t="str">
        <f t="shared" ref="BC645:BC681" si="186">IF(OR(AND($C645=3,NOT($J645=""),NOT($J645=0),NOT($J645="PHA Oper Sub"),$B645="60% AMI",NOT($M645="Common")),AND($C645=3,NOT($J645=""),NOT($J645=0),NOT($J645="PHA Oper Sub"),$B645="HOME 60% AMI",NOT($M645="Common"))),$E645,"")</f>
        <v/>
      </c>
      <c r="BD645" s="1072" t="str">
        <f t="shared" ref="BD645:BD681" si="187">IF(OR(AND($C645=4,NOT($J645=""),NOT($J645=0),NOT($J645="PHA Oper Sub"),$B645="60% AMI",NOT($M645="Common")),AND($C645=4,NOT($J645=""),NOT($J645=0),NOT($J645="PHA Oper Sub"),$B645="HOME 60% AMI",NOT($M645="Common"))),$E645,"")</f>
        <v/>
      </c>
      <c r="BE645" s="1072" t="str">
        <f t="shared" ref="BE645:BE681" si="188">IF(OR(AND($C645="Efficiency",$J645="PHA Oper Sub",$B645="30% AMI",NOT($M645="Common")),AND($C645="Efficiency",$J645="PHA Oper Sub",$B645="HOME 30% AMI",NOT($M645="Common"))),$E645,"")</f>
        <v/>
      </c>
      <c r="BF645" s="1072" t="str">
        <f t="shared" ref="BF645:BF681" si="189">IF(OR(AND($C645=1,$J645="PHA Oper Sub",$B645="30% AMI",NOT($M645="Common")),AND($C645=1,$J645="PHA Oper Sub",$B645="HOME 30% AMI",NOT($M645="Common"))),$E645,"")</f>
        <v/>
      </c>
      <c r="BG645" s="1072" t="str">
        <f t="shared" ref="BG645:BG681" si="190">IF(OR(AND($C645=2,$J645="PHA Oper Sub",$B645="30% AMI",NOT($M645="Common")),AND($C645=2,$J645="PHA Oper Sub",$B645="HOME 30% AMI",NOT($M645="Common"))),$E645,"")</f>
        <v/>
      </c>
      <c r="BH645" s="1072" t="str">
        <f t="shared" ref="BH645:BH681" si="191">IF(OR(AND($C645=3,$J645="PHA Oper Sub",$B645="30% AMI",NOT($M645="Common")),AND($C645=3,$J645="PHA Oper Sub",$B645="HOME 30% AMI",NOT($M645="Common"))),$E645,"")</f>
        <v/>
      </c>
      <c r="BI645" s="1072" t="str">
        <f t="shared" ref="BI645:BI681" si="192">IF(OR(AND($C645=4,$J645="PHA Oper Sub",$B645="30% AMI",NOT($M645="Common")),AND($C645=4,$J645="PHA Oper Sub",$B645="HOME 30% AMI",NOT($M645="Common"))),$E645,"")</f>
        <v/>
      </c>
      <c r="BJ645" s="1072" t="str">
        <f t="shared" ref="BJ645:BJ681" si="193">IF(OR(AND($C645="Efficiency",$J645="PHA Oper Sub",$B645="50% AMI",NOT($M645="Common")),AND($C645="Efficiency",$J645="PHA Oper Sub",$B645="HOME 50% AMI",NOT($M645="Common"))),$E645,"")</f>
        <v/>
      </c>
      <c r="BK645" s="1072" t="str">
        <f t="shared" ref="BK645:BK681" si="194">IF(OR(AND($C645=1,$J645="PHA Oper Sub",$B645="50% AMI",NOT($M645="Common")),AND($C645=1,$J645="PHA Oper Sub",$B645="HOME 50% AMI",NOT($M645="Common"))),$E645,"")</f>
        <v/>
      </c>
      <c r="BL645" s="1072" t="str">
        <f t="shared" ref="BL645:BL681" si="195">IF(OR(AND($C645=2,$J645="PHA Oper Sub",$B645="50% AMI",NOT($M645="Common")),AND($C645=2,$J645="PHA Oper Sub",$B645="HOME 50% AMI",NOT($M645="Common"))),$E645,"")</f>
        <v/>
      </c>
      <c r="BM645" s="1072" t="str">
        <f t="shared" ref="BM645:BM681" si="196">IF(OR(AND($C645=3,$J645="PHA Oper Sub",$B645="50% AMI",NOT($M645="Common")),AND($C645=3,$J645="PHA Oper Sub",$B645="HOME 50% AMI",NOT($M645="Common"))),$E645,"")</f>
        <v/>
      </c>
      <c r="BN645" s="1072" t="str">
        <f t="shared" ref="BN645:BN681" si="197">IF(OR(AND($C645=4,$J645="PHA Oper Sub",$B645="50% AMI",NOT($M645="Common")),AND($C645=4,$J645="PHA Oper Sub",$B645="HOME 50% AMI",NOT($M645="Common"))),$E645,"")</f>
        <v/>
      </c>
      <c r="BO645" s="1072" t="str">
        <f t="shared" ref="BO645:BO681" si="198">IF(OR(AND($C645="Efficiency",$J645="PHA Oper Sub",$B645="60% AMI",NOT($M645="Common")),AND($C645="Efficiency",$J645="PHA Oper Sub",$B645="HOME 60% AMI",NOT($M645="Common"))),$E645,"")</f>
        <v/>
      </c>
      <c r="BP645" s="1072" t="str">
        <f t="shared" ref="BP645:BP681" si="199">IF(OR(AND($C645=1,$J645="PHA Oper Sub",$B645="60% AMI",NOT($M645="Common")),AND($C645=1,$J645="PHA Oper Sub",$B645="HOME 60% AMI",NOT($M645="Common"))),$E645,"")</f>
        <v/>
      </c>
      <c r="BQ645" s="1072" t="str">
        <f t="shared" ref="BQ645:BQ681" si="200">IF(OR(AND($C645=2,$J645="PHA Oper Sub",$B645="60% AMI",NOT($M645="Common")),AND($C645=2,$J645="PHA Oper Sub",$B645="HOME 60% AMI",NOT($M645="Common"))),$E645,"")</f>
        <v/>
      </c>
      <c r="BR645" s="1072" t="str">
        <f t="shared" ref="BR645:BR681" si="201">IF(OR(AND($C645=3,$J645="PHA Oper Sub",$B645="60% AMI",NOT($M645="Common")),AND($C645=3,$J645="PHA Oper Sub",$B645="HOME 60% AMI",NOT($M645="Common"))),$E645,"")</f>
        <v/>
      </c>
      <c r="BS645" s="1072" t="str">
        <f t="shared" ref="BS645:BS681" si="202">IF(OR(AND($C645=4,$J645="PHA Oper Sub",$B645="60% AMI",NOT($M645="Common")),AND($C645=4,$J645="PHA Oper Sub",$B645="HOME 60% AMI",NOT($M645="Common"))),$E645,"")</f>
        <v/>
      </c>
      <c r="BT645" s="1072" t="str">
        <f t="shared" si="21"/>
        <v/>
      </c>
      <c r="BU645" s="1072" t="str">
        <f t="shared" si="22"/>
        <v/>
      </c>
      <c r="BV645" s="1072" t="str">
        <f t="shared" si="23"/>
        <v/>
      </c>
      <c r="BW645" s="1072" t="str">
        <f t="shared" si="24"/>
        <v/>
      </c>
      <c r="BX645" s="1072" t="str">
        <f t="shared" si="25"/>
        <v/>
      </c>
      <c r="BY645" s="1072" t="str">
        <f t="shared" si="26"/>
        <v/>
      </c>
      <c r="BZ645" s="1072">
        <f t="shared" si="27"/>
        <v>9912</v>
      </c>
      <c r="CA645" s="1072" t="str">
        <f t="shared" si="28"/>
        <v/>
      </c>
      <c r="CB645" s="1072" t="str">
        <f t="shared" si="29"/>
        <v/>
      </c>
      <c r="CC645" s="1072" t="str">
        <f t="shared" si="30"/>
        <v/>
      </c>
      <c r="CD645" s="1072" t="str">
        <f t="shared" si="31"/>
        <v/>
      </c>
      <c r="CE645" s="1072" t="str">
        <f t="shared" si="32"/>
        <v/>
      </c>
      <c r="CF645" s="1072" t="str">
        <f t="shared" si="33"/>
        <v/>
      </c>
      <c r="CG645" s="1072" t="str">
        <f t="shared" si="34"/>
        <v/>
      </c>
      <c r="CH645" s="1072" t="str">
        <f t="shared" si="35"/>
        <v/>
      </c>
      <c r="CI645" s="1072" t="str">
        <f t="shared" si="36"/>
        <v/>
      </c>
      <c r="CJ645" s="1072" t="str">
        <f t="shared" si="37"/>
        <v/>
      </c>
      <c r="CK645" s="1072" t="str">
        <f t="shared" si="38"/>
        <v/>
      </c>
      <c r="CL645" s="1072" t="str">
        <f t="shared" si="39"/>
        <v/>
      </c>
      <c r="CM645" s="1072" t="str">
        <f t="shared" si="40"/>
        <v/>
      </c>
      <c r="CN645" s="1072" t="str">
        <f t="shared" si="41"/>
        <v/>
      </c>
      <c r="CO645" s="1072" t="str">
        <f t="shared" si="42"/>
        <v/>
      </c>
      <c r="CP645" s="1072" t="str">
        <f t="shared" si="43"/>
        <v/>
      </c>
      <c r="CQ645" s="1072" t="str">
        <f t="shared" si="44"/>
        <v/>
      </c>
      <c r="CR645" s="1072" t="str">
        <f t="shared" si="45"/>
        <v/>
      </c>
      <c r="CS645" s="1072" t="str">
        <f t="shared" si="46"/>
        <v/>
      </c>
      <c r="CT645" s="1072">
        <f t="shared" si="47"/>
        <v>9912</v>
      </c>
      <c r="CU645" s="1072" t="str">
        <f t="shared" si="48"/>
        <v/>
      </c>
      <c r="CV645" s="1072" t="str">
        <f t="shared" si="49"/>
        <v/>
      </c>
      <c r="CW645" s="1072" t="str">
        <f t="shared" si="50"/>
        <v/>
      </c>
      <c r="CX645" s="1072" t="str">
        <f t="shared" si="51"/>
        <v/>
      </c>
      <c r="CY645" s="1072" t="str">
        <f t="shared" si="52"/>
        <v/>
      </c>
      <c r="CZ645" s="1072" t="str">
        <f t="shared" si="53"/>
        <v/>
      </c>
      <c r="DA645" s="1072" t="str">
        <f t="shared" si="54"/>
        <v/>
      </c>
      <c r="DB645" s="1072" t="str">
        <f t="shared" si="55"/>
        <v/>
      </c>
      <c r="DC645" s="1072" t="str">
        <f t="shared" si="56"/>
        <v/>
      </c>
      <c r="DD645" s="1072" t="str">
        <f t="shared" si="57"/>
        <v/>
      </c>
      <c r="DE645" s="1072" t="str">
        <f t="shared" si="58"/>
        <v/>
      </c>
      <c r="DF645" s="1072" t="str">
        <f t="shared" si="59"/>
        <v/>
      </c>
      <c r="DG645" s="1072" t="str">
        <f t="shared" si="60"/>
        <v/>
      </c>
      <c r="DH645" s="1072" t="str">
        <f t="shared" si="61"/>
        <v/>
      </c>
      <c r="DI645" s="1072" t="str">
        <f t="shared" si="62"/>
        <v/>
      </c>
      <c r="DJ645" s="1072" t="str">
        <f t="shared" si="63"/>
        <v/>
      </c>
      <c r="DK645" s="1072" t="str">
        <f t="shared" si="64"/>
        <v/>
      </c>
      <c r="DL645" s="1072" t="str">
        <f t="shared" si="65"/>
        <v/>
      </c>
      <c r="DM645" s="1072" t="str">
        <f t="shared" si="66"/>
        <v/>
      </c>
      <c r="DN645" s="1072" t="str">
        <f t="shared" si="67"/>
        <v/>
      </c>
      <c r="DO645" s="1072" t="str">
        <f t="shared" si="68"/>
        <v/>
      </c>
      <c r="DP645" s="1072" t="str">
        <f t="shared" si="69"/>
        <v/>
      </c>
      <c r="DQ645" s="1072" t="str">
        <f t="shared" si="70"/>
        <v/>
      </c>
      <c r="DR645" s="1072" t="str">
        <f t="shared" si="71"/>
        <v/>
      </c>
      <c r="DS645" s="1072">
        <f t="shared" si="72"/>
        <v>12</v>
      </c>
      <c r="DT645" s="1072" t="str">
        <f t="shared" si="73"/>
        <v/>
      </c>
      <c r="DU645" s="1072" t="str">
        <f t="shared" si="74"/>
        <v/>
      </c>
      <c r="DV645" s="1072" t="str">
        <f t="shared" si="75"/>
        <v/>
      </c>
      <c r="DW645" s="1072" t="str">
        <f t="shared" si="76"/>
        <v/>
      </c>
      <c r="DX645" s="1072" t="str">
        <f t="shared" si="77"/>
        <v/>
      </c>
      <c r="DY645" s="1072" t="str">
        <f t="shared" si="78"/>
        <v/>
      </c>
      <c r="DZ645" s="1072" t="str">
        <f t="shared" si="79"/>
        <v/>
      </c>
      <c r="EA645" s="1072" t="str">
        <f t="shared" si="80"/>
        <v/>
      </c>
      <c r="EB645" s="1072" t="str">
        <f t="shared" si="81"/>
        <v/>
      </c>
      <c r="EC645" s="1072" t="str">
        <f t="shared" si="82"/>
        <v/>
      </c>
      <c r="ED645" s="1072" t="str">
        <f t="shared" si="83"/>
        <v/>
      </c>
      <c r="EE645" s="1072" t="str">
        <f t="shared" si="84"/>
        <v/>
      </c>
      <c r="EF645" s="1072" t="str">
        <f t="shared" si="85"/>
        <v/>
      </c>
      <c r="EG645" s="1072" t="str">
        <f t="shared" si="86"/>
        <v/>
      </c>
      <c r="EH645" s="1072" t="str">
        <f t="shared" si="87"/>
        <v/>
      </c>
      <c r="EI645" s="1072" t="str">
        <f t="shared" si="88"/>
        <v/>
      </c>
      <c r="EJ645" s="1072" t="str">
        <f t="shared" si="89"/>
        <v/>
      </c>
      <c r="EK645" s="1072" t="str">
        <f t="shared" si="90"/>
        <v/>
      </c>
      <c r="EL645" s="1072" t="str">
        <f t="shared" si="91"/>
        <v/>
      </c>
      <c r="EM645" s="1072" t="str">
        <f t="shared" si="92"/>
        <v/>
      </c>
      <c r="EN645" s="1072" t="str">
        <f t="shared" si="93"/>
        <v/>
      </c>
      <c r="EO645" s="1072" t="str">
        <f t="shared" si="94"/>
        <v/>
      </c>
      <c r="EP645" s="1072" t="str">
        <f t="shared" si="95"/>
        <v/>
      </c>
      <c r="EQ645" s="1072" t="str">
        <f t="shared" si="96"/>
        <v/>
      </c>
      <c r="ER645" s="1072" t="str">
        <f t="shared" si="97"/>
        <v/>
      </c>
      <c r="ES645" s="1072" t="str">
        <f t="shared" si="98"/>
        <v/>
      </c>
      <c r="ET645" s="1072" t="str">
        <f t="shared" si="99"/>
        <v/>
      </c>
      <c r="EU645" s="1072" t="str">
        <f t="shared" si="100"/>
        <v/>
      </c>
      <c r="EV645" s="833" t="str">
        <f t="shared" si="101"/>
        <v/>
      </c>
      <c r="EW645" s="833">
        <f t="shared" si="102"/>
        <v>12</v>
      </c>
      <c r="EX645" s="833" t="str">
        <f t="shared" si="103"/>
        <v/>
      </c>
      <c r="EY645" s="833" t="str">
        <f t="shared" si="104"/>
        <v/>
      </c>
      <c r="EZ645" s="833" t="str">
        <f t="shared" si="105"/>
        <v/>
      </c>
      <c r="FA645" s="833" t="str">
        <f t="shared" si="106"/>
        <v/>
      </c>
      <c r="FB645" s="833" t="str">
        <f t="shared" si="107"/>
        <v/>
      </c>
      <c r="FC645" s="833" t="str">
        <f t="shared" si="108"/>
        <v/>
      </c>
      <c r="FD645" s="833" t="str">
        <f t="shared" si="109"/>
        <v/>
      </c>
      <c r="FE645" s="833" t="str">
        <f t="shared" si="110"/>
        <v/>
      </c>
      <c r="FF645" s="833" t="str">
        <f t="shared" si="111"/>
        <v/>
      </c>
      <c r="FG645" s="833" t="str">
        <f t="shared" si="112"/>
        <v/>
      </c>
      <c r="FH645" s="833" t="str">
        <f t="shared" si="113"/>
        <v/>
      </c>
      <c r="FI645" s="833" t="str">
        <f t="shared" si="114"/>
        <v/>
      </c>
      <c r="FJ645" s="833" t="str">
        <f t="shared" si="115"/>
        <v/>
      </c>
      <c r="FK645" s="833" t="str">
        <f t="shared" si="116"/>
        <v/>
      </c>
      <c r="FL645" s="833" t="str">
        <f t="shared" si="117"/>
        <v/>
      </c>
      <c r="FM645" s="833" t="str">
        <f t="shared" si="118"/>
        <v/>
      </c>
      <c r="FN645" s="833" t="str">
        <f t="shared" si="119"/>
        <v/>
      </c>
      <c r="FO645" s="833" t="str">
        <f t="shared" si="120"/>
        <v/>
      </c>
      <c r="FP645" s="833" t="str">
        <f t="shared" si="121"/>
        <v/>
      </c>
      <c r="FQ645" s="833" t="str">
        <f t="shared" si="122"/>
        <v/>
      </c>
      <c r="FR645" s="833" t="str">
        <f t="shared" si="123"/>
        <v/>
      </c>
      <c r="FS645" s="833" t="str">
        <f t="shared" si="124"/>
        <v/>
      </c>
      <c r="FT645" s="833" t="str">
        <f t="shared" si="125"/>
        <v/>
      </c>
      <c r="FU645" s="833" t="str">
        <f t="shared" si="126"/>
        <v/>
      </c>
      <c r="FV645" s="833">
        <f t="shared" si="127"/>
        <v>12</v>
      </c>
      <c r="FW645" s="833" t="str">
        <f t="shared" si="128"/>
        <v/>
      </c>
      <c r="FX645" s="833" t="str">
        <f t="shared" si="129"/>
        <v/>
      </c>
      <c r="FY645" s="833" t="str">
        <f t="shared" si="130"/>
        <v/>
      </c>
      <c r="FZ645" s="833" t="str">
        <f t="shared" si="131"/>
        <v/>
      </c>
      <c r="GA645" s="833" t="str">
        <f t="shared" si="132"/>
        <v/>
      </c>
      <c r="GB645" s="833" t="str">
        <f t="shared" si="133"/>
        <v/>
      </c>
      <c r="GC645" s="833" t="str">
        <f t="shared" si="134"/>
        <v/>
      </c>
      <c r="GD645" s="833" t="str">
        <f t="shared" si="135"/>
        <v/>
      </c>
      <c r="GE645" s="833" t="str">
        <f t="shared" si="136"/>
        <v/>
      </c>
      <c r="GF645" s="833" t="str">
        <f t="shared" si="137"/>
        <v/>
      </c>
      <c r="GG645" s="833" t="str">
        <f t="shared" si="138"/>
        <v/>
      </c>
      <c r="GH645" s="833" t="str">
        <f t="shared" si="139"/>
        <v/>
      </c>
      <c r="GI645" s="833" t="str">
        <f t="shared" si="140"/>
        <v/>
      </c>
      <c r="GJ645" s="833" t="str">
        <f t="shared" si="141"/>
        <v/>
      </c>
      <c r="GK645" s="833" t="str">
        <f t="shared" si="142"/>
        <v/>
      </c>
      <c r="GL645" s="833" t="str">
        <f t="shared" si="143"/>
        <v/>
      </c>
      <c r="GM645" s="833" t="str">
        <f t="shared" si="144"/>
        <v/>
      </c>
      <c r="GN645" s="833" t="str">
        <f t="shared" si="145"/>
        <v/>
      </c>
      <c r="GO645" s="1115" t="str">
        <f t="shared" si="146"/>
        <v/>
      </c>
      <c r="GP645" s="1115" t="str">
        <f t="shared" si="147"/>
        <v/>
      </c>
      <c r="GQ645" s="1115" t="str">
        <f t="shared" si="148"/>
        <v/>
      </c>
      <c r="GR645" s="1115" t="str">
        <f t="shared" si="149"/>
        <v/>
      </c>
      <c r="GS645" s="1115" t="str">
        <f t="shared" si="150"/>
        <v/>
      </c>
      <c r="GT645" s="1072" t="str">
        <f t="shared" si="151"/>
        <v/>
      </c>
      <c r="GU645" s="1072" t="str">
        <f t="shared" si="152"/>
        <v/>
      </c>
      <c r="GV645" s="1072" t="str">
        <f t="shared" si="153"/>
        <v/>
      </c>
      <c r="GW645" s="1072" t="str">
        <f t="shared" si="154"/>
        <v/>
      </c>
      <c r="GX645" s="1072" t="str">
        <f t="shared" si="155"/>
        <v/>
      </c>
      <c r="GY645" s="1072" t="str">
        <f t="shared" si="156"/>
        <v/>
      </c>
      <c r="GZ645" s="1072" t="str">
        <f t="shared" si="157"/>
        <v/>
      </c>
      <c r="HA645" s="1072" t="str">
        <f t="shared" si="158"/>
        <v/>
      </c>
      <c r="HB645" s="1072" t="str">
        <f t="shared" si="159"/>
        <v/>
      </c>
      <c r="HC645" s="1072" t="str">
        <f t="shared" si="160"/>
        <v/>
      </c>
      <c r="HD645" s="1072" t="str">
        <f t="shared" si="161"/>
        <v/>
      </c>
      <c r="HE645" s="1072" t="str">
        <f t="shared" si="162"/>
        <v/>
      </c>
      <c r="HF645" s="1072" t="str">
        <f t="shared" si="163"/>
        <v/>
      </c>
      <c r="HG645" s="1072" t="str">
        <f t="shared" si="164"/>
        <v/>
      </c>
      <c r="HH645" s="1072" t="str">
        <f t="shared" si="165"/>
        <v/>
      </c>
      <c r="HI645" s="1072" t="str">
        <f t="shared" si="166"/>
        <v/>
      </c>
      <c r="HJ645" s="1072" t="str">
        <f t="shared" si="167"/>
        <v/>
      </c>
      <c r="HK645" s="1072" t="str">
        <f t="shared" si="168"/>
        <v/>
      </c>
      <c r="HL645" s="1072" t="str">
        <f t="shared" si="169"/>
        <v/>
      </c>
      <c r="HM645" s="1072" t="str">
        <f t="shared" si="170"/>
        <v/>
      </c>
    </row>
    <row r="646" spans="1:221" ht="13.15" customHeight="1">
      <c r="A646" s="1084" t="str">
        <f t="shared" si="171"/>
        <v/>
      </c>
      <c r="B646" s="1037" t="str">
        <f>'Part VI-Revenues &amp; Expenses'!B12</f>
        <v>60% AMI</v>
      </c>
      <c r="C646" s="1038">
        <f>'Part VI-Revenues &amp; Expenses'!C12</f>
        <v>2</v>
      </c>
      <c r="D646" s="1039">
        <f>'Part VI-Revenues &amp; Expenses'!D12</f>
        <v>1</v>
      </c>
      <c r="E646" s="1040">
        <f>'Part VI-Revenues &amp; Expenses'!E12</f>
        <v>37</v>
      </c>
      <c r="F646" s="1040">
        <f>'Part VI-Revenues &amp; Expenses'!F12</f>
        <v>1014</v>
      </c>
      <c r="G646" s="1040">
        <f>'Part VI-Revenues &amp; Expenses'!G12</f>
        <v>706</v>
      </c>
      <c r="H646" s="1040">
        <f>'Part VI-Revenues &amp; Expenses'!H12</f>
        <v>728</v>
      </c>
      <c r="I646" s="1040">
        <f>'Part VI-Revenues &amp; Expenses'!I12</f>
        <v>143</v>
      </c>
      <c r="J646" s="1103" t="str">
        <f>'Part VI-Revenues &amp; Expenses'!J12</f>
        <v>RAD</v>
      </c>
      <c r="K646" s="908">
        <f t="shared" si="172"/>
        <v>585</v>
      </c>
      <c r="L646" s="908">
        <f t="shared" si="0"/>
        <v>21645</v>
      </c>
      <c r="M646" s="831" t="str">
        <f>'Part VI-Revenues &amp; Expenses'!M12</f>
        <v>No</v>
      </c>
      <c r="N646" s="831" t="str">
        <f>'Part VI-Revenues &amp; Expenses'!N12</f>
        <v>Duplex</v>
      </c>
      <c r="O646" s="831" t="str">
        <f>'Part VI-Revenues &amp; Expenses'!O12</f>
        <v>Acquisition/Rehab</v>
      </c>
      <c r="P646" s="909">
        <f>IF(H646="","",H646*12/0.3)</f>
        <v>29120</v>
      </c>
      <c r="Q646" s="910">
        <f>'Part VI-Revenues &amp; Expenses'!Q12</f>
        <v>0.61865306989589974</v>
      </c>
      <c r="R646" s="909"/>
      <c r="S646" s="910"/>
      <c r="T646" s="1576"/>
      <c r="U646" s="1576"/>
      <c r="V646" s="1072" t="str">
        <f t="shared" si="1"/>
        <v/>
      </c>
      <c r="W646" s="1072" t="str">
        <f t="shared" si="2"/>
        <v/>
      </c>
      <c r="X646" s="1072">
        <f t="shared" si="3"/>
        <v>37</v>
      </c>
      <c r="Y646" s="1072" t="str">
        <f t="shared" si="4"/>
        <v/>
      </c>
      <c r="Z646" s="1072" t="str">
        <f t="shared" si="5"/>
        <v/>
      </c>
      <c r="AA646" s="1072" t="str">
        <f t="shared" si="6"/>
        <v/>
      </c>
      <c r="AB646" s="1072" t="str">
        <f t="shared" si="7"/>
        <v/>
      </c>
      <c r="AC646" s="1072" t="str">
        <f t="shared" si="8"/>
        <v/>
      </c>
      <c r="AD646" s="1072" t="str">
        <f t="shared" si="9"/>
        <v/>
      </c>
      <c r="AE646" s="1072" t="str">
        <f t="shared" si="10"/>
        <v/>
      </c>
      <c r="AF646" s="1072" t="str">
        <f t="shared" si="11"/>
        <v/>
      </c>
      <c r="AG646" s="1072" t="str">
        <f t="shared" si="12"/>
        <v/>
      </c>
      <c r="AH646" s="1072" t="str">
        <f t="shared" si="13"/>
        <v/>
      </c>
      <c r="AI646" s="1072" t="str">
        <f t="shared" si="14"/>
        <v/>
      </c>
      <c r="AJ646" s="1072" t="str">
        <f t="shared" si="15"/>
        <v/>
      </c>
      <c r="AK646" s="1072" t="str">
        <f t="shared" si="16"/>
        <v/>
      </c>
      <c r="AL646" s="1072" t="str">
        <f t="shared" si="17"/>
        <v/>
      </c>
      <c r="AM646" s="1072" t="str">
        <f t="shared" si="18"/>
        <v/>
      </c>
      <c r="AN646" s="1072" t="str">
        <f t="shared" si="19"/>
        <v/>
      </c>
      <c r="AO646" s="1072" t="str">
        <f t="shared" si="20"/>
        <v/>
      </c>
      <c r="AP646" s="1072" t="str">
        <f t="shared" si="173"/>
        <v/>
      </c>
      <c r="AQ646" s="1072" t="str">
        <f t="shared" si="174"/>
        <v/>
      </c>
      <c r="AR646" s="1072" t="str">
        <f t="shared" si="175"/>
        <v/>
      </c>
      <c r="AS646" s="1072" t="str">
        <f t="shared" si="176"/>
        <v/>
      </c>
      <c r="AT646" s="1072" t="str">
        <f t="shared" si="177"/>
        <v/>
      </c>
      <c r="AU646" s="1072" t="str">
        <f t="shared" si="178"/>
        <v/>
      </c>
      <c r="AV646" s="1072" t="str">
        <f t="shared" si="179"/>
        <v/>
      </c>
      <c r="AW646" s="1072" t="str">
        <f t="shared" si="180"/>
        <v/>
      </c>
      <c r="AX646" s="1072" t="str">
        <f t="shared" si="181"/>
        <v/>
      </c>
      <c r="AY646" s="1072" t="str">
        <f t="shared" si="182"/>
        <v/>
      </c>
      <c r="AZ646" s="1072" t="str">
        <f t="shared" si="183"/>
        <v/>
      </c>
      <c r="BA646" s="1072" t="str">
        <f t="shared" si="184"/>
        <v/>
      </c>
      <c r="BB646" s="1072">
        <f t="shared" si="185"/>
        <v>37</v>
      </c>
      <c r="BC646" s="1072" t="str">
        <f t="shared" si="186"/>
        <v/>
      </c>
      <c r="BD646" s="1072" t="str">
        <f t="shared" si="187"/>
        <v/>
      </c>
      <c r="BE646" s="1072" t="str">
        <f t="shared" si="188"/>
        <v/>
      </c>
      <c r="BF646" s="1072" t="str">
        <f t="shared" si="189"/>
        <v/>
      </c>
      <c r="BG646" s="1072" t="str">
        <f t="shared" si="190"/>
        <v/>
      </c>
      <c r="BH646" s="1072" t="str">
        <f t="shared" si="191"/>
        <v/>
      </c>
      <c r="BI646" s="1072" t="str">
        <f t="shared" si="192"/>
        <v/>
      </c>
      <c r="BJ646" s="1072" t="str">
        <f t="shared" si="193"/>
        <v/>
      </c>
      <c r="BK646" s="1072" t="str">
        <f t="shared" si="194"/>
        <v/>
      </c>
      <c r="BL646" s="1072" t="str">
        <f t="shared" si="195"/>
        <v/>
      </c>
      <c r="BM646" s="1072" t="str">
        <f t="shared" si="196"/>
        <v/>
      </c>
      <c r="BN646" s="1072" t="str">
        <f t="shared" si="197"/>
        <v/>
      </c>
      <c r="BO646" s="1072" t="str">
        <f t="shared" si="198"/>
        <v/>
      </c>
      <c r="BP646" s="1072" t="str">
        <f t="shared" si="199"/>
        <v/>
      </c>
      <c r="BQ646" s="1072" t="str">
        <f t="shared" si="200"/>
        <v/>
      </c>
      <c r="BR646" s="1072" t="str">
        <f t="shared" si="201"/>
        <v/>
      </c>
      <c r="BS646" s="1072" t="str">
        <f t="shared" si="202"/>
        <v/>
      </c>
      <c r="BT646" s="1072" t="str">
        <f t="shared" si="21"/>
        <v/>
      </c>
      <c r="BU646" s="1072" t="str">
        <f t="shared" si="22"/>
        <v/>
      </c>
      <c r="BV646" s="1072" t="str">
        <f t="shared" si="23"/>
        <v/>
      </c>
      <c r="BW646" s="1072" t="str">
        <f t="shared" si="24"/>
        <v/>
      </c>
      <c r="BX646" s="1072" t="str">
        <f t="shared" si="25"/>
        <v/>
      </c>
      <c r="BY646" s="1072" t="str">
        <f t="shared" si="26"/>
        <v/>
      </c>
      <c r="BZ646" s="1072" t="str">
        <f t="shared" si="27"/>
        <v/>
      </c>
      <c r="CA646" s="1072">
        <f t="shared" si="28"/>
        <v>37518</v>
      </c>
      <c r="CB646" s="1072" t="str">
        <f t="shared" si="29"/>
        <v/>
      </c>
      <c r="CC646" s="1072" t="str">
        <f t="shared" si="30"/>
        <v/>
      </c>
      <c r="CD646" s="1072" t="str">
        <f t="shared" si="31"/>
        <v/>
      </c>
      <c r="CE646" s="1072" t="str">
        <f t="shared" si="32"/>
        <v/>
      </c>
      <c r="CF646" s="1072" t="str">
        <f t="shared" si="33"/>
        <v/>
      </c>
      <c r="CG646" s="1072" t="str">
        <f t="shared" si="34"/>
        <v/>
      </c>
      <c r="CH646" s="1072" t="str">
        <f t="shared" si="35"/>
        <v/>
      </c>
      <c r="CI646" s="1072" t="str">
        <f t="shared" si="36"/>
        <v/>
      </c>
      <c r="CJ646" s="1072" t="str">
        <f t="shared" si="37"/>
        <v/>
      </c>
      <c r="CK646" s="1072" t="str">
        <f t="shared" si="38"/>
        <v/>
      </c>
      <c r="CL646" s="1072" t="str">
        <f t="shared" si="39"/>
        <v/>
      </c>
      <c r="CM646" s="1072" t="str">
        <f t="shared" si="40"/>
        <v/>
      </c>
      <c r="CN646" s="1072" t="str">
        <f t="shared" si="41"/>
        <v/>
      </c>
      <c r="CO646" s="1072" t="str">
        <f t="shared" si="42"/>
        <v/>
      </c>
      <c r="CP646" s="1072" t="str">
        <f t="shared" si="43"/>
        <v/>
      </c>
      <c r="CQ646" s="1072" t="str">
        <f t="shared" si="44"/>
        <v/>
      </c>
      <c r="CR646" s="1072" t="str">
        <f t="shared" si="45"/>
        <v/>
      </c>
      <c r="CS646" s="1072" t="str">
        <f t="shared" si="46"/>
        <v/>
      </c>
      <c r="CT646" s="1072" t="str">
        <f t="shared" si="47"/>
        <v/>
      </c>
      <c r="CU646" s="1072">
        <f t="shared" si="48"/>
        <v>37518</v>
      </c>
      <c r="CV646" s="1072" t="str">
        <f t="shared" si="49"/>
        <v/>
      </c>
      <c r="CW646" s="1072" t="str">
        <f t="shared" si="50"/>
        <v/>
      </c>
      <c r="CX646" s="1072" t="str">
        <f t="shared" si="51"/>
        <v/>
      </c>
      <c r="CY646" s="1072" t="str">
        <f t="shared" si="52"/>
        <v/>
      </c>
      <c r="CZ646" s="1072" t="str">
        <f t="shared" si="53"/>
        <v/>
      </c>
      <c r="DA646" s="1072" t="str">
        <f t="shared" si="54"/>
        <v/>
      </c>
      <c r="DB646" s="1072" t="str">
        <f t="shared" si="55"/>
        <v/>
      </c>
      <c r="DC646" s="1072" t="str">
        <f t="shared" si="56"/>
        <v/>
      </c>
      <c r="DD646" s="1072" t="str">
        <f t="shared" si="57"/>
        <v/>
      </c>
      <c r="DE646" s="1072" t="str">
        <f t="shared" si="58"/>
        <v/>
      </c>
      <c r="DF646" s="1072" t="str">
        <f t="shared" si="59"/>
        <v/>
      </c>
      <c r="DG646" s="1072" t="str">
        <f t="shared" si="60"/>
        <v/>
      </c>
      <c r="DH646" s="1072" t="str">
        <f t="shared" si="61"/>
        <v/>
      </c>
      <c r="DI646" s="1072" t="str">
        <f t="shared" si="62"/>
        <v/>
      </c>
      <c r="DJ646" s="1072" t="str">
        <f t="shared" si="63"/>
        <v/>
      </c>
      <c r="DK646" s="1072" t="str">
        <f t="shared" si="64"/>
        <v/>
      </c>
      <c r="DL646" s="1072" t="str">
        <f t="shared" si="65"/>
        <v/>
      </c>
      <c r="DM646" s="1072" t="str">
        <f t="shared" si="66"/>
        <v/>
      </c>
      <c r="DN646" s="1072" t="str">
        <f t="shared" si="67"/>
        <v/>
      </c>
      <c r="DO646" s="1072" t="str">
        <f t="shared" si="68"/>
        <v/>
      </c>
      <c r="DP646" s="1072" t="str">
        <f t="shared" si="69"/>
        <v/>
      </c>
      <c r="DQ646" s="1072" t="str">
        <f t="shared" si="70"/>
        <v/>
      </c>
      <c r="DR646" s="1072" t="str">
        <f t="shared" si="71"/>
        <v/>
      </c>
      <c r="DS646" s="1072" t="str">
        <f t="shared" si="72"/>
        <v/>
      </c>
      <c r="DT646" s="1072">
        <f t="shared" si="73"/>
        <v>37</v>
      </c>
      <c r="DU646" s="1072" t="str">
        <f t="shared" si="74"/>
        <v/>
      </c>
      <c r="DV646" s="1072" t="str">
        <f t="shared" si="75"/>
        <v/>
      </c>
      <c r="DW646" s="1072" t="str">
        <f t="shared" si="76"/>
        <v/>
      </c>
      <c r="DX646" s="1072" t="str">
        <f t="shared" si="77"/>
        <v/>
      </c>
      <c r="DY646" s="1072" t="str">
        <f t="shared" si="78"/>
        <v/>
      </c>
      <c r="DZ646" s="1072" t="str">
        <f t="shared" si="79"/>
        <v/>
      </c>
      <c r="EA646" s="1072" t="str">
        <f t="shared" si="80"/>
        <v/>
      </c>
      <c r="EB646" s="1072" t="str">
        <f t="shared" si="81"/>
        <v/>
      </c>
      <c r="EC646" s="1072" t="str">
        <f t="shared" si="82"/>
        <v/>
      </c>
      <c r="ED646" s="1072" t="str">
        <f t="shared" si="83"/>
        <v/>
      </c>
      <c r="EE646" s="1072" t="str">
        <f t="shared" si="84"/>
        <v/>
      </c>
      <c r="EF646" s="1072" t="str">
        <f t="shared" si="85"/>
        <v/>
      </c>
      <c r="EG646" s="1072" t="str">
        <f t="shared" si="86"/>
        <v/>
      </c>
      <c r="EH646" s="1072" t="str">
        <f t="shared" si="87"/>
        <v/>
      </c>
      <c r="EI646" s="1072" t="str">
        <f t="shared" si="88"/>
        <v/>
      </c>
      <c r="EJ646" s="1072" t="str">
        <f t="shared" si="89"/>
        <v/>
      </c>
      <c r="EK646" s="1072" t="str">
        <f t="shared" si="90"/>
        <v/>
      </c>
      <c r="EL646" s="1072" t="str">
        <f t="shared" si="91"/>
        <v/>
      </c>
      <c r="EM646" s="1072" t="str">
        <f t="shared" si="92"/>
        <v/>
      </c>
      <c r="EN646" s="1072" t="str">
        <f t="shared" si="93"/>
        <v/>
      </c>
      <c r="EO646" s="1072" t="str">
        <f t="shared" si="94"/>
        <v/>
      </c>
      <c r="EP646" s="1072" t="str">
        <f t="shared" si="95"/>
        <v/>
      </c>
      <c r="EQ646" s="1072" t="str">
        <f t="shared" si="96"/>
        <v/>
      </c>
      <c r="ER646" s="1072" t="str">
        <f t="shared" si="97"/>
        <v/>
      </c>
      <c r="ES646" s="1072" t="str">
        <f t="shared" si="98"/>
        <v/>
      </c>
      <c r="ET646" s="1072" t="str">
        <f t="shared" si="99"/>
        <v/>
      </c>
      <c r="EU646" s="1072" t="str">
        <f t="shared" si="100"/>
        <v/>
      </c>
      <c r="EV646" s="833" t="str">
        <f t="shared" si="101"/>
        <v/>
      </c>
      <c r="EW646" s="833" t="str">
        <f t="shared" si="102"/>
        <v/>
      </c>
      <c r="EX646" s="833" t="str">
        <f t="shared" si="103"/>
        <v/>
      </c>
      <c r="EY646" s="833" t="str">
        <f t="shared" si="104"/>
        <v/>
      </c>
      <c r="EZ646" s="833" t="str">
        <f t="shared" si="105"/>
        <v/>
      </c>
      <c r="FA646" s="833" t="str">
        <f t="shared" si="106"/>
        <v/>
      </c>
      <c r="FB646" s="833" t="str">
        <f t="shared" si="107"/>
        <v/>
      </c>
      <c r="FC646" s="833" t="str">
        <f t="shared" si="108"/>
        <v/>
      </c>
      <c r="FD646" s="833" t="str">
        <f t="shared" si="109"/>
        <v/>
      </c>
      <c r="FE646" s="833" t="str">
        <f t="shared" si="110"/>
        <v/>
      </c>
      <c r="FF646" s="833" t="str">
        <f t="shared" si="111"/>
        <v/>
      </c>
      <c r="FG646" s="833" t="str">
        <f t="shared" si="112"/>
        <v/>
      </c>
      <c r="FH646" s="833" t="str">
        <f t="shared" si="113"/>
        <v/>
      </c>
      <c r="FI646" s="833" t="str">
        <f t="shared" si="114"/>
        <v/>
      </c>
      <c r="FJ646" s="833" t="str">
        <f t="shared" si="115"/>
        <v/>
      </c>
      <c r="FK646" s="833" t="str">
        <f t="shared" si="116"/>
        <v/>
      </c>
      <c r="FL646" s="833" t="str">
        <f t="shared" si="117"/>
        <v/>
      </c>
      <c r="FM646" s="833">
        <f t="shared" si="118"/>
        <v>37</v>
      </c>
      <c r="FN646" s="833" t="str">
        <f t="shared" si="119"/>
        <v/>
      </c>
      <c r="FO646" s="833" t="str">
        <f t="shared" si="120"/>
        <v/>
      </c>
      <c r="FP646" s="833" t="str">
        <f t="shared" si="121"/>
        <v/>
      </c>
      <c r="FQ646" s="833" t="str">
        <f t="shared" si="122"/>
        <v/>
      </c>
      <c r="FR646" s="833" t="str">
        <f t="shared" si="123"/>
        <v/>
      </c>
      <c r="FS646" s="833" t="str">
        <f t="shared" si="124"/>
        <v/>
      </c>
      <c r="FT646" s="833" t="str">
        <f t="shared" si="125"/>
        <v/>
      </c>
      <c r="FU646" s="833" t="str">
        <f t="shared" si="126"/>
        <v/>
      </c>
      <c r="FV646" s="833" t="str">
        <f t="shared" si="127"/>
        <v/>
      </c>
      <c r="FW646" s="833" t="str">
        <f t="shared" si="128"/>
        <v/>
      </c>
      <c r="FX646" s="833" t="str">
        <f t="shared" si="129"/>
        <v/>
      </c>
      <c r="FY646" s="833" t="str">
        <f t="shared" si="130"/>
        <v/>
      </c>
      <c r="FZ646" s="833" t="str">
        <f t="shared" si="131"/>
        <v/>
      </c>
      <c r="GA646" s="833" t="str">
        <f t="shared" si="132"/>
        <v/>
      </c>
      <c r="GB646" s="833" t="str">
        <f t="shared" si="133"/>
        <v/>
      </c>
      <c r="GC646" s="833" t="str">
        <f t="shared" si="134"/>
        <v/>
      </c>
      <c r="GD646" s="833" t="str">
        <f t="shared" si="135"/>
        <v/>
      </c>
      <c r="GE646" s="833" t="str">
        <f t="shared" si="136"/>
        <v/>
      </c>
      <c r="GF646" s="833" t="str">
        <f t="shared" si="137"/>
        <v/>
      </c>
      <c r="GG646" s="833" t="str">
        <f t="shared" si="138"/>
        <v/>
      </c>
      <c r="GH646" s="833" t="str">
        <f t="shared" si="139"/>
        <v/>
      </c>
      <c r="GI646" s="833" t="str">
        <f t="shared" si="140"/>
        <v/>
      </c>
      <c r="GJ646" s="833" t="str">
        <f t="shared" si="141"/>
        <v/>
      </c>
      <c r="GK646" s="833" t="str">
        <f t="shared" si="142"/>
        <v/>
      </c>
      <c r="GL646" s="833" t="str">
        <f t="shared" si="143"/>
        <v/>
      </c>
      <c r="GM646" s="833" t="str">
        <f t="shared" si="144"/>
        <v/>
      </c>
      <c r="GN646" s="833" t="str">
        <f t="shared" si="145"/>
        <v/>
      </c>
      <c r="GO646" s="1115" t="str">
        <f t="shared" si="146"/>
        <v/>
      </c>
      <c r="GP646" s="1115" t="str">
        <f t="shared" si="147"/>
        <v/>
      </c>
      <c r="GQ646" s="1115" t="str">
        <f t="shared" si="148"/>
        <v/>
      </c>
      <c r="GR646" s="1115" t="str">
        <f t="shared" si="149"/>
        <v/>
      </c>
      <c r="GS646" s="1115" t="str">
        <f t="shared" si="150"/>
        <v/>
      </c>
      <c r="GT646" s="1072" t="str">
        <f t="shared" si="151"/>
        <v/>
      </c>
      <c r="GU646" s="1072" t="str">
        <f t="shared" si="152"/>
        <v/>
      </c>
      <c r="GV646" s="1072" t="str">
        <f t="shared" si="153"/>
        <v/>
      </c>
      <c r="GW646" s="1072" t="str">
        <f t="shared" si="154"/>
        <v/>
      </c>
      <c r="GX646" s="1072" t="str">
        <f t="shared" si="155"/>
        <v/>
      </c>
      <c r="GY646" s="1072" t="str">
        <f t="shared" si="156"/>
        <v/>
      </c>
      <c r="GZ646" s="1072" t="str">
        <f t="shared" si="157"/>
        <v/>
      </c>
      <c r="HA646" s="1072" t="str">
        <f t="shared" si="158"/>
        <v/>
      </c>
      <c r="HB646" s="1072" t="str">
        <f t="shared" si="159"/>
        <v/>
      </c>
      <c r="HC646" s="1072" t="str">
        <f t="shared" si="160"/>
        <v/>
      </c>
      <c r="HD646" s="1072" t="str">
        <f t="shared" si="161"/>
        <v/>
      </c>
      <c r="HE646" s="1072" t="str">
        <f t="shared" si="162"/>
        <v/>
      </c>
      <c r="HF646" s="1072" t="str">
        <f t="shared" si="163"/>
        <v/>
      </c>
      <c r="HG646" s="1072" t="str">
        <f t="shared" si="164"/>
        <v/>
      </c>
      <c r="HH646" s="1072" t="str">
        <f t="shared" si="165"/>
        <v/>
      </c>
      <c r="HI646" s="1072" t="str">
        <f t="shared" si="166"/>
        <v/>
      </c>
      <c r="HJ646" s="1072" t="str">
        <f t="shared" si="167"/>
        <v/>
      </c>
      <c r="HK646" s="1072" t="str">
        <f t="shared" si="168"/>
        <v/>
      </c>
      <c r="HL646" s="1072" t="str">
        <f t="shared" si="169"/>
        <v/>
      </c>
      <c r="HM646" s="1072" t="str">
        <f t="shared" si="170"/>
        <v/>
      </c>
    </row>
    <row r="647" spans="1:221" ht="13.15" customHeight="1">
      <c r="A647" s="1084" t="str">
        <f t="shared" si="171"/>
        <v/>
      </c>
      <c r="B647" s="1037" t="str">
        <f>'Part VI-Revenues &amp; Expenses'!B13</f>
        <v>60% AMI</v>
      </c>
      <c r="C647" s="1038">
        <f>'Part VI-Revenues &amp; Expenses'!C13</f>
        <v>3</v>
      </c>
      <c r="D647" s="1039">
        <f>'Part VI-Revenues &amp; Expenses'!D13</f>
        <v>2</v>
      </c>
      <c r="E647" s="1040">
        <f>'Part VI-Revenues &amp; Expenses'!E13</f>
        <v>7</v>
      </c>
      <c r="F647" s="1040">
        <f>'Part VI-Revenues &amp; Expenses'!F13</f>
        <v>1250</v>
      </c>
      <c r="G647" s="1040">
        <f>'Part VI-Revenues &amp; Expenses'!G13</f>
        <v>816</v>
      </c>
      <c r="H647" s="1040">
        <f>'Part VI-Revenues &amp; Expenses'!H13</f>
        <v>863</v>
      </c>
      <c r="I647" s="1040">
        <f>'Part VI-Revenues &amp; Expenses'!I13</f>
        <v>190</v>
      </c>
      <c r="J647" s="1103" t="str">
        <f>'Part VI-Revenues &amp; Expenses'!J13</f>
        <v>RAD</v>
      </c>
      <c r="K647" s="908">
        <f t="shared" si="172"/>
        <v>673</v>
      </c>
      <c r="L647" s="908">
        <f t="shared" si="0"/>
        <v>4711</v>
      </c>
      <c r="M647" s="831" t="str">
        <f>'Part VI-Revenues &amp; Expenses'!M13</f>
        <v>No</v>
      </c>
      <c r="N647" s="831" t="str">
        <f>'Part VI-Revenues &amp; Expenses'!N13</f>
        <v>Duplex</v>
      </c>
      <c r="O647" s="831" t="str">
        <f>'Part VI-Revenues &amp; Expenses'!O13</f>
        <v>Acquisition/Rehab</v>
      </c>
      <c r="P647" s="909">
        <f>IF(H647="","",H647*12/0.3)</f>
        <v>34520</v>
      </c>
      <c r="Q647" s="910">
        <f>'Part VI-Revenues &amp; Expenses'!Q13</f>
        <v>0.63465215472863656</v>
      </c>
      <c r="R647" s="909"/>
      <c r="S647" s="910"/>
      <c r="T647" s="1576"/>
      <c r="U647" s="1576"/>
      <c r="V647" s="1072" t="str">
        <f t="shared" si="1"/>
        <v/>
      </c>
      <c r="W647" s="1072" t="str">
        <f t="shared" si="2"/>
        <v/>
      </c>
      <c r="X647" s="1072" t="str">
        <f t="shared" si="3"/>
        <v/>
      </c>
      <c r="Y647" s="1072">
        <f t="shared" si="4"/>
        <v>7</v>
      </c>
      <c r="Z647" s="1072" t="str">
        <f t="shared" si="5"/>
        <v/>
      </c>
      <c r="AA647" s="1072" t="str">
        <f t="shared" si="6"/>
        <v/>
      </c>
      <c r="AB647" s="1072" t="str">
        <f t="shared" si="7"/>
        <v/>
      </c>
      <c r="AC647" s="1072" t="str">
        <f t="shared" si="8"/>
        <v/>
      </c>
      <c r="AD647" s="1072" t="str">
        <f t="shared" si="9"/>
        <v/>
      </c>
      <c r="AE647" s="1072" t="str">
        <f t="shared" si="10"/>
        <v/>
      </c>
      <c r="AF647" s="1072" t="str">
        <f t="shared" si="11"/>
        <v/>
      </c>
      <c r="AG647" s="1072" t="str">
        <f t="shared" si="12"/>
        <v/>
      </c>
      <c r="AH647" s="1072" t="str">
        <f t="shared" si="13"/>
        <v/>
      </c>
      <c r="AI647" s="1072" t="str">
        <f t="shared" si="14"/>
        <v/>
      </c>
      <c r="AJ647" s="1072" t="str">
        <f t="shared" si="15"/>
        <v/>
      </c>
      <c r="AK647" s="1072" t="str">
        <f t="shared" si="16"/>
        <v/>
      </c>
      <c r="AL647" s="1072" t="str">
        <f t="shared" si="17"/>
        <v/>
      </c>
      <c r="AM647" s="1072" t="str">
        <f t="shared" si="18"/>
        <v/>
      </c>
      <c r="AN647" s="1072" t="str">
        <f t="shared" si="19"/>
        <v/>
      </c>
      <c r="AO647" s="1072" t="str">
        <f t="shared" si="20"/>
        <v/>
      </c>
      <c r="AP647" s="1072" t="str">
        <f t="shared" si="173"/>
        <v/>
      </c>
      <c r="AQ647" s="1072" t="str">
        <f t="shared" si="174"/>
        <v/>
      </c>
      <c r="AR647" s="1072" t="str">
        <f t="shared" si="175"/>
        <v/>
      </c>
      <c r="AS647" s="1072" t="str">
        <f t="shared" si="176"/>
        <v/>
      </c>
      <c r="AT647" s="1072" t="str">
        <f t="shared" si="177"/>
        <v/>
      </c>
      <c r="AU647" s="1072" t="str">
        <f t="shared" si="178"/>
        <v/>
      </c>
      <c r="AV647" s="1072" t="str">
        <f t="shared" si="179"/>
        <v/>
      </c>
      <c r="AW647" s="1072" t="str">
        <f t="shared" si="180"/>
        <v/>
      </c>
      <c r="AX647" s="1072" t="str">
        <f t="shared" si="181"/>
        <v/>
      </c>
      <c r="AY647" s="1072" t="str">
        <f t="shared" si="182"/>
        <v/>
      </c>
      <c r="AZ647" s="1072" t="str">
        <f t="shared" si="183"/>
        <v/>
      </c>
      <c r="BA647" s="1072" t="str">
        <f t="shared" si="184"/>
        <v/>
      </c>
      <c r="BB647" s="1072" t="str">
        <f t="shared" si="185"/>
        <v/>
      </c>
      <c r="BC647" s="1072">
        <f t="shared" si="186"/>
        <v>7</v>
      </c>
      <c r="BD647" s="1072" t="str">
        <f t="shared" si="187"/>
        <v/>
      </c>
      <c r="BE647" s="1072" t="str">
        <f t="shared" si="188"/>
        <v/>
      </c>
      <c r="BF647" s="1072" t="str">
        <f t="shared" si="189"/>
        <v/>
      </c>
      <c r="BG647" s="1072" t="str">
        <f t="shared" si="190"/>
        <v/>
      </c>
      <c r="BH647" s="1072" t="str">
        <f t="shared" si="191"/>
        <v/>
      </c>
      <c r="BI647" s="1072" t="str">
        <f t="shared" si="192"/>
        <v/>
      </c>
      <c r="BJ647" s="1072" t="str">
        <f t="shared" si="193"/>
        <v/>
      </c>
      <c r="BK647" s="1072" t="str">
        <f t="shared" si="194"/>
        <v/>
      </c>
      <c r="BL647" s="1072" t="str">
        <f t="shared" si="195"/>
        <v/>
      </c>
      <c r="BM647" s="1072" t="str">
        <f t="shared" si="196"/>
        <v/>
      </c>
      <c r="BN647" s="1072" t="str">
        <f t="shared" si="197"/>
        <v/>
      </c>
      <c r="BO647" s="1072" t="str">
        <f t="shared" si="198"/>
        <v/>
      </c>
      <c r="BP647" s="1072" t="str">
        <f t="shared" si="199"/>
        <v/>
      </c>
      <c r="BQ647" s="1072" t="str">
        <f t="shared" si="200"/>
        <v/>
      </c>
      <c r="BR647" s="1072" t="str">
        <f t="shared" si="201"/>
        <v/>
      </c>
      <c r="BS647" s="1072" t="str">
        <f t="shared" si="202"/>
        <v/>
      </c>
      <c r="BT647" s="1072" t="str">
        <f t="shared" si="21"/>
        <v/>
      </c>
      <c r="BU647" s="1072" t="str">
        <f t="shared" si="22"/>
        <v/>
      </c>
      <c r="BV647" s="1072" t="str">
        <f t="shared" si="23"/>
        <v/>
      </c>
      <c r="BW647" s="1072" t="str">
        <f t="shared" si="24"/>
        <v/>
      </c>
      <c r="BX647" s="1072" t="str">
        <f t="shared" si="25"/>
        <v/>
      </c>
      <c r="BY647" s="1072" t="str">
        <f t="shared" si="26"/>
        <v/>
      </c>
      <c r="BZ647" s="1072" t="str">
        <f t="shared" si="27"/>
        <v/>
      </c>
      <c r="CA647" s="1072" t="str">
        <f t="shared" si="28"/>
        <v/>
      </c>
      <c r="CB647" s="1072">
        <f t="shared" si="29"/>
        <v>8750</v>
      </c>
      <c r="CC647" s="1072" t="str">
        <f t="shared" si="30"/>
        <v/>
      </c>
      <c r="CD647" s="1072" t="str">
        <f t="shared" si="31"/>
        <v/>
      </c>
      <c r="CE647" s="1072" t="str">
        <f t="shared" si="32"/>
        <v/>
      </c>
      <c r="CF647" s="1072" t="str">
        <f t="shared" si="33"/>
        <v/>
      </c>
      <c r="CG647" s="1072" t="str">
        <f t="shared" si="34"/>
        <v/>
      </c>
      <c r="CH647" s="1072" t="str">
        <f t="shared" si="35"/>
        <v/>
      </c>
      <c r="CI647" s="1072" t="str">
        <f t="shared" si="36"/>
        <v/>
      </c>
      <c r="CJ647" s="1072" t="str">
        <f t="shared" si="37"/>
        <v/>
      </c>
      <c r="CK647" s="1072" t="str">
        <f t="shared" si="38"/>
        <v/>
      </c>
      <c r="CL647" s="1072" t="str">
        <f t="shared" si="39"/>
        <v/>
      </c>
      <c r="CM647" s="1072" t="str">
        <f t="shared" si="40"/>
        <v/>
      </c>
      <c r="CN647" s="1072" t="str">
        <f t="shared" si="41"/>
        <v/>
      </c>
      <c r="CO647" s="1072" t="str">
        <f t="shared" si="42"/>
        <v/>
      </c>
      <c r="CP647" s="1072" t="str">
        <f t="shared" si="43"/>
        <v/>
      </c>
      <c r="CQ647" s="1072" t="str">
        <f t="shared" si="44"/>
        <v/>
      </c>
      <c r="CR647" s="1072" t="str">
        <f t="shared" si="45"/>
        <v/>
      </c>
      <c r="CS647" s="1072" t="str">
        <f t="shared" si="46"/>
        <v/>
      </c>
      <c r="CT647" s="1072" t="str">
        <f t="shared" si="47"/>
        <v/>
      </c>
      <c r="CU647" s="1072" t="str">
        <f t="shared" si="48"/>
        <v/>
      </c>
      <c r="CV647" s="1072">
        <f t="shared" si="49"/>
        <v>8750</v>
      </c>
      <c r="CW647" s="1072" t="str">
        <f t="shared" si="50"/>
        <v/>
      </c>
      <c r="CX647" s="1072" t="str">
        <f t="shared" si="51"/>
        <v/>
      </c>
      <c r="CY647" s="1072" t="str">
        <f t="shared" si="52"/>
        <v/>
      </c>
      <c r="CZ647" s="1072" t="str">
        <f t="shared" si="53"/>
        <v/>
      </c>
      <c r="DA647" s="1072" t="str">
        <f t="shared" si="54"/>
        <v/>
      </c>
      <c r="DB647" s="1072" t="str">
        <f t="shared" si="55"/>
        <v/>
      </c>
      <c r="DC647" s="1072" t="str">
        <f t="shared" si="56"/>
        <v/>
      </c>
      <c r="DD647" s="1072" t="str">
        <f t="shared" si="57"/>
        <v/>
      </c>
      <c r="DE647" s="1072" t="str">
        <f t="shared" si="58"/>
        <v/>
      </c>
      <c r="DF647" s="1072" t="str">
        <f t="shared" si="59"/>
        <v/>
      </c>
      <c r="DG647" s="1072" t="str">
        <f t="shared" si="60"/>
        <v/>
      </c>
      <c r="DH647" s="1072" t="str">
        <f t="shared" si="61"/>
        <v/>
      </c>
      <c r="DI647" s="1072" t="str">
        <f t="shared" si="62"/>
        <v/>
      </c>
      <c r="DJ647" s="1072" t="str">
        <f t="shared" si="63"/>
        <v/>
      </c>
      <c r="DK647" s="1072" t="str">
        <f t="shared" si="64"/>
        <v/>
      </c>
      <c r="DL647" s="1072" t="str">
        <f t="shared" si="65"/>
        <v/>
      </c>
      <c r="DM647" s="1072" t="str">
        <f t="shared" si="66"/>
        <v/>
      </c>
      <c r="DN647" s="1072" t="str">
        <f t="shared" si="67"/>
        <v/>
      </c>
      <c r="DO647" s="1072" t="str">
        <f t="shared" si="68"/>
        <v/>
      </c>
      <c r="DP647" s="1072" t="str">
        <f t="shared" si="69"/>
        <v/>
      </c>
      <c r="DQ647" s="1072" t="str">
        <f t="shared" si="70"/>
        <v/>
      </c>
      <c r="DR647" s="1072" t="str">
        <f t="shared" si="71"/>
        <v/>
      </c>
      <c r="DS647" s="1072" t="str">
        <f t="shared" si="72"/>
        <v/>
      </c>
      <c r="DT647" s="1072" t="str">
        <f t="shared" si="73"/>
        <v/>
      </c>
      <c r="DU647" s="1072">
        <f t="shared" si="74"/>
        <v>7</v>
      </c>
      <c r="DV647" s="1072" t="str">
        <f t="shared" si="75"/>
        <v/>
      </c>
      <c r="DW647" s="1072" t="str">
        <f t="shared" si="76"/>
        <v/>
      </c>
      <c r="DX647" s="1072" t="str">
        <f t="shared" si="77"/>
        <v/>
      </c>
      <c r="DY647" s="1072" t="str">
        <f t="shared" si="78"/>
        <v/>
      </c>
      <c r="DZ647" s="1072" t="str">
        <f t="shared" si="79"/>
        <v/>
      </c>
      <c r="EA647" s="1072" t="str">
        <f t="shared" si="80"/>
        <v/>
      </c>
      <c r="EB647" s="1072" t="str">
        <f t="shared" si="81"/>
        <v/>
      </c>
      <c r="EC647" s="1072" t="str">
        <f t="shared" si="82"/>
        <v/>
      </c>
      <c r="ED647" s="1072" t="str">
        <f t="shared" si="83"/>
        <v/>
      </c>
      <c r="EE647" s="1072" t="str">
        <f t="shared" si="84"/>
        <v/>
      </c>
      <c r="EF647" s="1072" t="str">
        <f t="shared" si="85"/>
        <v/>
      </c>
      <c r="EG647" s="1072" t="str">
        <f t="shared" si="86"/>
        <v/>
      </c>
      <c r="EH647" s="1072" t="str">
        <f t="shared" si="87"/>
        <v/>
      </c>
      <c r="EI647" s="1072" t="str">
        <f t="shared" si="88"/>
        <v/>
      </c>
      <c r="EJ647" s="1072" t="str">
        <f t="shared" si="89"/>
        <v/>
      </c>
      <c r="EK647" s="1072" t="str">
        <f t="shared" si="90"/>
        <v/>
      </c>
      <c r="EL647" s="1072" t="str">
        <f t="shared" si="91"/>
        <v/>
      </c>
      <c r="EM647" s="1072" t="str">
        <f t="shared" si="92"/>
        <v/>
      </c>
      <c r="EN647" s="1072" t="str">
        <f t="shared" si="93"/>
        <v/>
      </c>
      <c r="EO647" s="1072" t="str">
        <f t="shared" si="94"/>
        <v/>
      </c>
      <c r="EP647" s="1072" t="str">
        <f t="shared" si="95"/>
        <v/>
      </c>
      <c r="EQ647" s="1072" t="str">
        <f t="shared" si="96"/>
        <v/>
      </c>
      <c r="ER647" s="1072" t="str">
        <f t="shared" si="97"/>
        <v/>
      </c>
      <c r="ES647" s="1072" t="str">
        <f t="shared" si="98"/>
        <v/>
      </c>
      <c r="ET647" s="1072" t="str">
        <f t="shared" si="99"/>
        <v/>
      </c>
      <c r="EU647" s="1072" t="str">
        <f t="shared" si="100"/>
        <v/>
      </c>
      <c r="EV647" s="833" t="str">
        <f t="shared" si="101"/>
        <v/>
      </c>
      <c r="EW647" s="833" t="str">
        <f t="shared" si="102"/>
        <v/>
      </c>
      <c r="EX647" s="833" t="str">
        <f t="shared" si="103"/>
        <v/>
      </c>
      <c r="EY647" s="833" t="str">
        <f t="shared" si="104"/>
        <v/>
      </c>
      <c r="EZ647" s="833" t="str">
        <f t="shared" si="105"/>
        <v/>
      </c>
      <c r="FA647" s="833" t="str">
        <f t="shared" si="106"/>
        <v/>
      </c>
      <c r="FB647" s="833" t="str">
        <f t="shared" si="107"/>
        <v/>
      </c>
      <c r="FC647" s="833" t="str">
        <f t="shared" si="108"/>
        <v/>
      </c>
      <c r="FD647" s="833" t="str">
        <f t="shared" si="109"/>
        <v/>
      </c>
      <c r="FE647" s="833" t="str">
        <f t="shared" si="110"/>
        <v/>
      </c>
      <c r="FF647" s="833" t="str">
        <f t="shared" si="111"/>
        <v/>
      </c>
      <c r="FG647" s="833" t="str">
        <f t="shared" si="112"/>
        <v/>
      </c>
      <c r="FH647" s="833" t="str">
        <f t="shared" si="113"/>
        <v/>
      </c>
      <c r="FI647" s="833" t="str">
        <f t="shared" si="114"/>
        <v/>
      </c>
      <c r="FJ647" s="833" t="str">
        <f t="shared" si="115"/>
        <v/>
      </c>
      <c r="FK647" s="833" t="str">
        <f t="shared" si="116"/>
        <v/>
      </c>
      <c r="FL647" s="833" t="str">
        <f t="shared" si="117"/>
        <v/>
      </c>
      <c r="FM647" s="833" t="str">
        <f t="shared" si="118"/>
        <v/>
      </c>
      <c r="FN647" s="833">
        <f t="shared" si="119"/>
        <v>7</v>
      </c>
      <c r="FO647" s="833" t="str">
        <f t="shared" si="120"/>
        <v/>
      </c>
      <c r="FP647" s="833" t="str">
        <f t="shared" si="121"/>
        <v/>
      </c>
      <c r="FQ647" s="833" t="str">
        <f t="shared" si="122"/>
        <v/>
      </c>
      <c r="FR647" s="833" t="str">
        <f t="shared" si="123"/>
        <v/>
      </c>
      <c r="FS647" s="833" t="str">
        <f t="shared" si="124"/>
        <v/>
      </c>
      <c r="FT647" s="833" t="str">
        <f t="shared" si="125"/>
        <v/>
      </c>
      <c r="FU647" s="833" t="str">
        <f t="shared" si="126"/>
        <v/>
      </c>
      <c r="FV647" s="833" t="str">
        <f t="shared" si="127"/>
        <v/>
      </c>
      <c r="FW647" s="833" t="str">
        <f t="shared" si="128"/>
        <v/>
      </c>
      <c r="FX647" s="833" t="str">
        <f t="shared" si="129"/>
        <v/>
      </c>
      <c r="FY647" s="833" t="str">
        <f t="shared" si="130"/>
        <v/>
      </c>
      <c r="FZ647" s="833" t="str">
        <f t="shared" si="131"/>
        <v/>
      </c>
      <c r="GA647" s="833" t="str">
        <f t="shared" si="132"/>
        <v/>
      </c>
      <c r="GB647" s="833" t="str">
        <f t="shared" si="133"/>
        <v/>
      </c>
      <c r="GC647" s="833" t="str">
        <f t="shared" si="134"/>
        <v/>
      </c>
      <c r="GD647" s="833" t="str">
        <f t="shared" si="135"/>
        <v/>
      </c>
      <c r="GE647" s="833" t="str">
        <f t="shared" si="136"/>
        <v/>
      </c>
      <c r="GF647" s="833" t="str">
        <f t="shared" si="137"/>
        <v/>
      </c>
      <c r="GG647" s="833" t="str">
        <f t="shared" si="138"/>
        <v/>
      </c>
      <c r="GH647" s="833" t="str">
        <f t="shared" si="139"/>
        <v/>
      </c>
      <c r="GI647" s="833" t="str">
        <f t="shared" si="140"/>
        <v/>
      </c>
      <c r="GJ647" s="833" t="str">
        <f t="shared" si="141"/>
        <v/>
      </c>
      <c r="GK647" s="833" t="str">
        <f t="shared" si="142"/>
        <v/>
      </c>
      <c r="GL647" s="833" t="str">
        <f t="shared" si="143"/>
        <v/>
      </c>
      <c r="GM647" s="833" t="str">
        <f t="shared" si="144"/>
        <v/>
      </c>
      <c r="GN647" s="833" t="str">
        <f t="shared" si="145"/>
        <v/>
      </c>
      <c r="GO647" s="1115" t="str">
        <f t="shared" si="146"/>
        <v/>
      </c>
      <c r="GP647" s="1115" t="str">
        <f t="shared" si="147"/>
        <v/>
      </c>
      <c r="GQ647" s="1115" t="str">
        <f t="shared" si="148"/>
        <v/>
      </c>
      <c r="GR647" s="1115" t="str">
        <f t="shared" si="149"/>
        <v/>
      </c>
      <c r="GS647" s="1115" t="str">
        <f t="shared" si="150"/>
        <v/>
      </c>
      <c r="GT647" s="1072" t="str">
        <f t="shared" si="151"/>
        <v/>
      </c>
      <c r="GU647" s="1072" t="str">
        <f t="shared" si="152"/>
        <v/>
      </c>
      <c r="GV647" s="1072" t="str">
        <f t="shared" si="153"/>
        <v/>
      </c>
      <c r="GW647" s="1072" t="str">
        <f t="shared" si="154"/>
        <v/>
      </c>
      <c r="GX647" s="1072" t="str">
        <f t="shared" si="155"/>
        <v/>
      </c>
      <c r="GY647" s="1072" t="str">
        <f t="shared" si="156"/>
        <v/>
      </c>
      <c r="GZ647" s="1072" t="str">
        <f t="shared" si="157"/>
        <v/>
      </c>
      <c r="HA647" s="1072" t="str">
        <f t="shared" si="158"/>
        <v/>
      </c>
      <c r="HB647" s="1072" t="str">
        <f t="shared" si="159"/>
        <v/>
      </c>
      <c r="HC647" s="1072" t="str">
        <f t="shared" si="160"/>
        <v/>
      </c>
      <c r="HD647" s="1072" t="str">
        <f t="shared" si="161"/>
        <v/>
      </c>
      <c r="HE647" s="1072" t="str">
        <f t="shared" si="162"/>
        <v/>
      </c>
      <c r="HF647" s="1072" t="str">
        <f t="shared" si="163"/>
        <v/>
      </c>
      <c r="HG647" s="1072" t="str">
        <f t="shared" si="164"/>
        <v/>
      </c>
      <c r="HH647" s="1072" t="str">
        <f t="shared" si="165"/>
        <v/>
      </c>
      <c r="HI647" s="1072" t="str">
        <f t="shared" si="166"/>
        <v/>
      </c>
      <c r="HJ647" s="1072" t="str">
        <f t="shared" si="167"/>
        <v/>
      </c>
      <c r="HK647" s="1072" t="str">
        <f t="shared" si="168"/>
        <v/>
      </c>
      <c r="HL647" s="1072" t="str">
        <f t="shared" si="169"/>
        <v/>
      </c>
      <c r="HM647" s="1072" t="str">
        <f t="shared" si="170"/>
        <v/>
      </c>
    </row>
    <row r="648" spans="1:221" ht="13.15" customHeight="1">
      <c r="A648" s="1084" t="str">
        <f t="shared" si="171"/>
        <v/>
      </c>
      <c r="B648" s="1037" t="str">
        <f>'Part VI-Revenues &amp; Expenses'!B14</f>
        <v>60% AMI</v>
      </c>
      <c r="C648" s="1038">
        <f>'Part VI-Revenues &amp; Expenses'!C14</f>
        <v>3</v>
      </c>
      <c r="D648" s="1039">
        <f>'Part VI-Revenues &amp; Expenses'!D14</f>
        <v>2</v>
      </c>
      <c r="E648" s="1040">
        <f>'Part VI-Revenues &amp; Expenses'!E14</f>
        <v>5</v>
      </c>
      <c r="F648" s="1040">
        <f>'Part VI-Revenues &amp; Expenses'!F14</f>
        <v>1250</v>
      </c>
      <c r="G648" s="1040">
        <f>'Part VI-Revenues &amp; Expenses'!G14</f>
        <v>816</v>
      </c>
      <c r="H648" s="1040">
        <f>'Part VI-Revenues &amp; Expenses'!H14</f>
        <v>863</v>
      </c>
      <c r="I648" s="1040">
        <f>'Part VI-Revenues &amp; Expenses'!I14</f>
        <v>190</v>
      </c>
      <c r="J648" s="1103" t="str">
        <f>'Part VI-Revenues &amp; Expenses'!J14</f>
        <v>RAD</v>
      </c>
      <c r="K648" s="908">
        <f t="shared" si="172"/>
        <v>673</v>
      </c>
      <c r="L648" s="908">
        <f t="shared" si="0"/>
        <v>3365</v>
      </c>
      <c r="M648" s="831" t="str">
        <f>'Part VI-Revenues &amp; Expenses'!M14</f>
        <v>No</v>
      </c>
      <c r="N648" s="831" t="str">
        <f>'Part VI-Revenues &amp; Expenses'!N14</f>
        <v>SF Detached</v>
      </c>
      <c r="O648" s="831" t="str">
        <f>'Part VI-Revenues &amp; Expenses'!O14</f>
        <v>Acquisition/Rehab</v>
      </c>
      <c r="P648" s="909">
        <f>IF(H648="","",H648*12/0.3)</f>
        <v>34520</v>
      </c>
      <c r="Q648" s="910">
        <f>'Part VI-Revenues &amp; Expenses'!Q14</f>
        <v>0.63465215472863656</v>
      </c>
      <c r="R648" s="909"/>
      <c r="S648" s="910"/>
      <c r="T648" s="1576"/>
      <c r="U648" s="1576"/>
      <c r="V648" s="1072" t="str">
        <f t="shared" si="1"/>
        <v/>
      </c>
      <c r="W648" s="1072" t="str">
        <f t="shared" si="2"/>
        <v/>
      </c>
      <c r="X648" s="1072" t="str">
        <f t="shared" si="3"/>
        <v/>
      </c>
      <c r="Y648" s="1072">
        <f t="shared" si="4"/>
        <v>5</v>
      </c>
      <c r="Z648" s="1072" t="str">
        <f t="shared" si="5"/>
        <v/>
      </c>
      <c r="AA648" s="1072" t="str">
        <f t="shared" si="6"/>
        <v/>
      </c>
      <c r="AB648" s="1072" t="str">
        <f t="shared" si="7"/>
        <v/>
      </c>
      <c r="AC648" s="1072" t="str">
        <f t="shared" si="8"/>
        <v/>
      </c>
      <c r="AD648" s="1072" t="str">
        <f t="shared" si="9"/>
        <v/>
      </c>
      <c r="AE648" s="1072" t="str">
        <f t="shared" si="10"/>
        <v/>
      </c>
      <c r="AF648" s="1072" t="str">
        <f t="shared" si="11"/>
        <v/>
      </c>
      <c r="AG648" s="1072" t="str">
        <f t="shared" si="12"/>
        <v/>
      </c>
      <c r="AH648" s="1072" t="str">
        <f t="shared" si="13"/>
        <v/>
      </c>
      <c r="AI648" s="1072" t="str">
        <f t="shared" si="14"/>
        <v/>
      </c>
      <c r="AJ648" s="1072" t="str">
        <f t="shared" si="15"/>
        <v/>
      </c>
      <c r="AK648" s="1072" t="str">
        <f t="shared" si="16"/>
        <v/>
      </c>
      <c r="AL648" s="1072" t="str">
        <f t="shared" si="17"/>
        <v/>
      </c>
      <c r="AM648" s="1072" t="str">
        <f t="shared" si="18"/>
        <v/>
      </c>
      <c r="AN648" s="1072" t="str">
        <f t="shared" si="19"/>
        <v/>
      </c>
      <c r="AO648" s="1072" t="str">
        <f t="shared" si="20"/>
        <v/>
      </c>
      <c r="AP648" s="1072" t="str">
        <f t="shared" si="173"/>
        <v/>
      </c>
      <c r="AQ648" s="1072" t="str">
        <f t="shared" si="174"/>
        <v/>
      </c>
      <c r="AR648" s="1072" t="str">
        <f t="shared" si="175"/>
        <v/>
      </c>
      <c r="AS648" s="1072" t="str">
        <f t="shared" si="176"/>
        <v/>
      </c>
      <c r="AT648" s="1072" t="str">
        <f t="shared" si="177"/>
        <v/>
      </c>
      <c r="AU648" s="1072" t="str">
        <f t="shared" si="178"/>
        <v/>
      </c>
      <c r="AV648" s="1072" t="str">
        <f t="shared" si="179"/>
        <v/>
      </c>
      <c r="AW648" s="1072" t="str">
        <f t="shared" si="180"/>
        <v/>
      </c>
      <c r="AX648" s="1072" t="str">
        <f t="shared" si="181"/>
        <v/>
      </c>
      <c r="AY648" s="1072" t="str">
        <f t="shared" si="182"/>
        <v/>
      </c>
      <c r="AZ648" s="1072" t="str">
        <f t="shared" si="183"/>
        <v/>
      </c>
      <c r="BA648" s="1072" t="str">
        <f t="shared" si="184"/>
        <v/>
      </c>
      <c r="BB648" s="1072" t="str">
        <f t="shared" si="185"/>
        <v/>
      </c>
      <c r="BC648" s="1072">
        <f t="shared" si="186"/>
        <v>5</v>
      </c>
      <c r="BD648" s="1072" t="str">
        <f t="shared" si="187"/>
        <v/>
      </c>
      <c r="BE648" s="1072" t="str">
        <f t="shared" si="188"/>
        <v/>
      </c>
      <c r="BF648" s="1072" t="str">
        <f t="shared" si="189"/>
        <v/>
      </c>
      <c r="BG648" s="1072" t="str">
        <f t="shared" si="190"/>
        <v/>
      </c>
      <c r="BH648" s="1072" t="str">
        <f t="shared" si="191"/>
        <v/>
      </c>
      <c r="BI648" s="1072" t="str">
        <f t="shared" si="192"/>
        <v/>
      </c>
      <c r="BJ648" s="1072" t="str">
        <f t="shared" si="193"/>
        <v/>
      </c>
      <c r="BK648" s="1072" t="str">
        <f t="shared" si="194"/>
        <v/>
      </c>
      <c r="BL648" s="1072" t="str">
        <f t="shared" si="195"/>
        <v/>
      </c>
      <c r="BM648" s="1072" t="str">
        <f t="shared" si="196"/>
        <v/>
      </c>
      <c r="BN648" s="1072" t="str">
        <f t="shared" si="197"/>
        <v/>
      </c>
      <c r="BO648" s="1072" t="str">
        <f t="shared" si="198"/>
        <v/>
      </c>
      <c r="BP648" s="1072" t="str">
        <f t="shared" si="199"/>
        <v/>
      </c>
      <c r="BQ648" s="1072" t="str">
        <f t="shared" si="200"/>
        <v/>
      </c>
      <c r="BR648" s="1072" t="str">
        <f t="shared" si="201"/>
        <v/>
      </c>
      <c r="BS648" s="1072" t="str">
        <f t="shared" si="202"/>
        <v/>
      </c>
      <c r="BT648" s="1072" t="str">
        <f t="shared" si="21"/>
        <v/>
      </c>
      <c r="BU648" s="1072" t="str">
        <f t="shared" si="22"/>
        <v/>
      </c>
      <c r="BV648" s="1072" t="str">
        <f t="shared" si="23"/>
        <v/>
      </c>
      <c r="BW648" s="1072" t="str">
        <f t="shared" si="24"/>
        <v/>
      </c>
      <c r="BX648" s="1072" t="str">
        <f t="shared" si="25"/>
        <v/>
      </c>
      <c r="BY648" s="1072" t="str">
        <f t="shared" si="26"/>
        <v/>
      </c>
      <c r="BZ648" s="1072" t="str">
        <f t="shared" si="27"/>
        <v/>
      </c>
      <c r="CA648" s="1072" t="str">
        <f t="shared" si="28"/>
        <v/>
      </c>
      <c r="CB648" s="1072">
        <f t="shared" si="29"/>
        <v>6250</v>
      </c>
      <c r="CC648" s="1072" t="str">
        <f t="shared" si="30"/>
        <v/>
      </c>
      <c r="CD648" s="1072" t="str">
        <f t="shared" si="31"/>
        <v/>
      </c>
      <c r="CE648" s="1072" t="str">
        <f t="shared" si="32"/>
        <v/>
      </c>
      <c r="CF648" s="1072" t="str">
        <f t="shared" si="33"/>
        <v/>
      </c>
      <c r="CG648" s="1072" t="str">
        <f t="shared" si="34"/>
        <v/>
      </c>
      <c r="CH648" s="1072" t="str">
        <f t="shared" si="35"/>
        <v/>
      </c>
      <c r="CI648" s="1072" t="str">
        <f t="shared" si="36"/>
        <v/>
      </c>
      <c r="CJ648" s="1072" t="str">
        <f t="shared" si="37"/>
        <v/>
      </c>
      <c r="CK648" s="1072" t="str">
        <f t="shared" si="38"/>
        <v/>
      </c>
      <c r="CL648" s="1072" t="str">
        <f t="shared" si="39"/>
        <v/>
      </c>
      <c r="CM648" s="1072" t="str">
        <f t="shared" si="40"/>
        <v/>
      </c>
      <c r="CN648" s="1072" t="str">
        <f t="shared" si="41"/>
        <v/>
      </c>
      <c r="CO648" s="1072" t="str">
        <f t="shared" si="42"/>
        <v/>
      </c>
      <c r="CP648" s="1072" t="str">
        <f t="shared" si="43"/>
        <v/>
      </c>
      <c r="CQ648" s="1072" t="str">
        <f t="shared" si="44"/>
        <v/>
      </c>
      <c r="CR648" s="1072" t="str">
        <f t="shared" si="45"/>
        <v/>
      </c>
      <c r="CS648" s="1072" t="str">
        <f t="shared" si="46"/>
        <v/>
      </c>
      <c r="CT648" s="1072" t="str">
        <f t="shared" si="47"/>
        <v/>
      </c>
      <c r="CU648" s="1072" t="str">
        <f t="shared" si="48"/>
        <v/>
      </c>
      <c r="CV648" s="1072">
        <f t="shared" si="49"/>
        <v>6250</v>
      </c>
      <c r="CW648" s="1072" t="str">
        <f t="shared" si="50"/>
        <v/>
      </c>
      <c r="CX648" s="1072" t="str">
        <f t="shared" si="51"/>
        <v/>
      </c>
      <c r="CY648" s="1072" t="str">
        <f t="shared" si="52"/>
        <v/>
      </c>
      <c r="CZ648" s="1072" t="str">
        <f t="shared" si="53"/>
        <v/>
      </c>
      <c r="DA648" s="1072" t="str">
        <f t="shared" si="54"/>
        <v/>
      </c>
      <c r="DB648" s="1072" t="str">
        <f t="shared" si="55"/>
        <v/>
      </c>
      <c r="DC648" s="1072" t="str">
        <f t="shared" si="56"/>
        <v/>
      </c>
      <c r="DD648" s="1072" t="str">
        <f t="shared" si="57"/>
        <v/>
      </c>
      <c r="DE648" s="1072" t="str">
        <f t="shared" si="58"/>
        <v/>
      </c>
      <c r="DF648" s="1072" t="str">
        <f t="shared" si="59"/>
        <v/>
      </c>
      <c r="DG648" s="1072" t="str">
        <f t="shared" si="60"/>
        <v/>
      </c>
      <c r="DH648" s="1072" t="str">
        <f t="shared" si="61"/>
        <v/>
      </c>
      <c r="DI648" s="1072" t="str">
        <f t="shared" si="62"/>
        <v/>
      </c>
      <c r="DJ648" s="1072" t="str">
        <f t="shared" si="63"/>
        <v/>
      </c>
      <c r="DK648" s="1072" t="str">
        <f t="shared" si="64"/>
        <v/>
      </c>
      <c r="DL648" s="1072" t="str">
        <f t="shared" si="65"/>
        <v/>
      </c>
      <c r="DM648" s="1072" t="str">
        <f t="shared" si="66"/>
        <v/>
      </c>
      <c r="DN648" s="1072" t="str">
        <f t="shared" si="67"/>
        <v/>
      </c>
      <c r="DO648" s="1072" t="str">
        <f t="shared" si="68"/>
        <v/>
      </c>
      <c r="DP648" s="1072" t="str">
        <f t="shared" si="69"/>
        <v/>
      </c>
      <c r="DQ648" s="1072" t="str">
        <f t="shared" si="70"/>
        <v/>
      </c>
      <c r="DR648" s="1072" t="str">
        <f t="shared" si="71"/>
        <v/>
      </c>
      <c r="DS648" s="1072" t="str">
        <f t="shared" si="72"/>
        <v/>
      </c>
      <c r="DT648" s="1072" t="str">
        <f t="shared" si="73"/>
        <v/>
      </c>
      <c r="DU648" s="1072">
        <f t="shared" si="74"/>
        <v>5</v>
      </c>
      <c r="DV648" s="1072" t="str">
        <f t="shared" si="75"/>
        <v/>
      </c>
      <c r="DW648" s="1072" t="str">
        <f t="shared" si="76"/>
        <v/>
      </c>
      <c r="DX648" s="1072" t="str">
        <f t="shared" si="77"/>
        <v/>
      </c>
      <c r="DY648" s="1072" t="str">
        <f t="shared" si="78"/>
        <v/>
      </c>
      <c r="DZ648" s="1072" t="str">
        <f t="shared" si="79"/>
        <v/>
      </c>
      <c r="EA648" s="1072" t="str">
        <f t="shared" si="80"/>
        <v/>
      </c>
      <c r="EB648" s="1072" t="str">
        <f t="shared" si="81"/>
        <v/>
      </c>
      <c r="EC648" s="1072" t="str">
        <f t="shared" si="82"/>
        <v/>
      </c>
      <c r="ED648" s="1072" t="str">
        <f t="shared" si="83"/>
        <v/>
      </c>
      <c r="EE648" s="1072" t="str">
        <f t="shared" si="84"/>
        <v/>
      </c>
      <c r="EF648" s="1072" t="str">
        <f t="shared" si="85"/>
        <v/>
      </c>
      <c r="EG648" s="1072" t="str">
        <f t="shared" si="86"/>
        <v/>
      </c>
      <c r="EH648" s="1072" t="str">
        <f t="shared" si="87"/>
        <v/>
      </c>
      <c r="EI648" s="1072" t="str">
        <f t="shared" si="88"/>
        <v/>
      </c>
      <c r="EJ648" s="1072" t="str">
        <f t="shared" si="89"/>
        <v/>
      </c>
      <c r="EK648" s="1072" t="str">
        <f t="shared" si="90"/>
        <v/>
      </c>
      <c r="EL648" s="1072" t="str">
        <f t="shared" si="91"/>
        <v/>
      </c>
      <c r="EM648" s="1072" t="str">
        <f t="shared" si="92"/>
        <v/>
      </c>
      <c r="EN648" s="1072" t="str">
        <f t="shared" si="93"/>
        <v/>
      </c>
      <c r="EO648" s="1072" t="str">
        <f t="shared" si="94"/>
        <v/>
      </c>
      <c r="EP648" s="1072" t="str">
        <f t="shared" si="95"/>
        <v/>
      </c>
      <c r="EQ648" s="1072" t="str">
        <f t="shared" si="96"/>
        <v/>
      </c>
      <c r="ER648" s="1072" t="str">
        <f t="shared" si="97"/>
        <v/>
      </c>
      <c r="ES648" s="1072" t="str">
        <f t="shared" si="98"/>
        <v/>
      </c>
      <c r="ET648" s="1072" t="str">
        <f t="shared" si="99"/>
        <v/>
      </c>
      <c r="EU648" s="1072" t="str">
        <f t="shared" si="100"/>
        <v/>
      </c>
      <c r="EV648" s="833" t="str">
        <f t="shared" si="101"/>
        <v/>
      </c>
      <c r="EW648" s="833" t="str">
        <f t="shared" si="102"/>
        <v/>
      </c>
      <c r="EX648" s="833" t="str">
        <f t="shared" si="103"/>
        <v/>
      </c>
      <c r="EY648" s="833" t="str">
        <f t="shared" si="104"/>
        <v/>
      </c>
      <c r="EZ648" s="833" t="str">
        <f t="shared" si="105"/>
        <v/>
      </c>
      <c r="FA648" s="833" t="str">
        <f t="shared" si="106"/>
        <v/>
      </c>
      <c r="FB648" s="833" t="str">
        <f t="shared" si="107"/>
        <v/>
      </c>
      <c r="FC648" s="833" t="str">
        <f t="shared" si="108"/>
        <v/>
      </c>
      <c r="FD648" s="833">
        <f t="shared" si="109"/>
        <v>5</v>
      </c>
      <c r="FE648" s="833" t="str">
        <f t="shared" si="110"/>
        <v/>
      </c>
      <c r="FF648" s="833" t="str">
        <f t="shared" si="111"/>
        <v/>
      </c>
      <c r="FG648" s="833" t="str">
        <f t="shared" si="112"/>
        <v/>
      </c>
      <c r="FH648" s="833" t="str">
        <f t="shared" si="113"/>
        <v/>
      </c>
      <c r="FI648" s="833" t="str">
        <f t="shared" si="114"/>
        <v/>
      </c>
      <c r="FJ648" s="833" t="str">
        <f t="shared" si="115"/>
        <v/>
      </c>
      <c r="FK648" s="833" t="str">
        <f t="shared" si="116"/>
        <v/>
      </c>
      <c r="FL648" s="833" t="str">
        <f t="shared" si="117"/>
        <v/>
      </c>
      <c r="FM648" s="833" t="str">
        <f t="shared" si="118"/>
        <v/>
      </c>
      <c r="FN648" s="833" t="str">
        <f t="shared" si="119"/>
        <v/>
      </c>
      <c r="FO648" s="833" t="str">
        <f t="shared" si="120"/>
        <v/>
      </c>
      <c r="FP648" s="833" t="str">
        <f t="shared" si="121"/>
        <v/>
      </c>
      <c r="FQ648" s="833" t="str">
        <f t="shared" si="122"/>
        <v/>
      </c>
      <c r="FR648" s="833" t="str">
        <f t="shared" si="123"/>
        <v/>
      </c>
      <c r="FS648" s="833" t="str">
        <f t="shared" si="124"/>
        <v/>
      </c>
      <c r="FT648" s="833" t="str">
        <f t="shared" si="125"/>
        <v/>
      </c>
      <c r="FU648" s="833" t="str">
        <f t="shared" si="126"/>
        <v/>
      </c>
      <c r="FV648" s="833" t="str">
        <f t="shared" si="127"/>
        <v/>
      </c>
      <c r="FW648" s="833" t="str">
        <f t="shared" si="128"/>
        <v/>
      </c>
      <c r="FX648" s="833" t="str">
        <f t="shared" si="129"/>
        <v/>
      </c>
      <c r="FY648" s="833" t="str">
        <f t="shared" si="130"/>
        <v/>
      </c>
      <c r="FZ648" s="833" t="str">
        <f t="shared" si="131"/>
        <v/>
      </c>
      <c r="GA648" s="833" t="str">
        <f t="shared" si="132"/>
        <v/>
      </c>
      <c r="GB648" s="833" t="str">
        <f t="shared" si="133"/>
        <v/>
      </c>
      <c r="GC648" s="833" t="str">
        <f t="shared" si="134"/>
        <v/>
      </c>
      <c r="GD648" s="833" t="str">
        <f t="shared" si="135"/>
        <v/>
      </c>
      <c r="GE648" s="833" t="str">
        <f t="shared" si="136"/>
        <v/>
      </c>
      <c r="GF648" s="833" t="str">
        <f t="shared" si="137"/>
        <v/>
      </c>
      <c r="GG648" s="833" t="str">
        <f t="shared" si="138"/>
        <v/>
      </c>
      <c r="GH648" s="833" t="str">
        <f t="shared" si="139"/>
        <v/>
      </c>
      <c r="GI648" s="833" t="str">
        <f t="shared" si="140"/>
        <v/>
      </c>
      <c r="GJ648" s="833" t="str">
        <f t="shared" si="141"/>
        <v/>
      </c>
      <c r="GK648" s="833" t="str">
        <f t="shared" si="142"/>
        <v/>
      </c>
      <c r="GL648" s="833" t="str">
        <f t="shared" si="143"/>
        <v/>
      </c>
      <c r="GM648" s="833" t="str">
        <f t="shared" si="144"/>
        <v/>
      </c>
      <c r="GN648" s="833" t="str">
        <f t="shared" si="145"/>
        <v/>
      </c>
      <c r="GO648" s="1115" t="str">
        <f t="shared" si="146"/>
        <v/>
      </c>
      <c r="GP648" s="1115" t="str">
        <f t="shared" si="147"/>
        <v/>
      </c>
      <c r="GQ648" s="1115" t="str">
        <f t="shared" si="148"/>
        <v/>
      </c>
      <c r="GR648" s="1115" t="str">
        <f t="shared" si="149"/>
        <v/>
      </c>
      <c r="GS648" s="1115" t="str">
        <f t="shared" si="150"/>
        <v/>
      </c>
      <c r="GT648" s="1072" t="str">
        <f t="shared" si="151"/>
        <v/>
      </c>
      <c r="GU648" s="1072" t="str">
        <f t="shared" si="152"/>
        <v/>
      </c>
      <c r="GV648" s="1072" t="str">
        <f t="shared" si="153"/>
        <v/>
      </c>
      <c r="GW648" s="1072" t="str">
        <f t="shared" si="154"/>
        <v/>
      </c>
      <c r="GX648" s="1072" t="str">
        <f t="shared" si="155"/>
        <v/>
      </c>
      <c r="GY648" s="1072" t="str">
        <f t="shared" si="156"/>
        <v/>
      </c>
      <c r="GZ648" s="1072" t="str">
        <f t="shared" si="157"/>
        <v/>
      </c>
      <c r="HA648" s="1072" t="str">
        <f t="shared" si="158"/>
        <v/>
      </c>
      <c r="HB648" s="1072" t="str">
        <f t="shared" si="159"/>
        <v/>
      </c>
      <c r="HC648" s="1072" t="str">
        <f t="shared" si="160"/>
        <v/>
      </c>
      <c r="HD648" s="1072" t="str">
        <f t="shared" si="161"/>
        <v/>
      </c>
      <c r="HE648" s="1072" t="str">
        <f t="shared" si="162"/>
        <v/>
      </c>
      <c r="HF648" s="1072" t="str">
        <f t="shared" si="163"/>
        <v/>
      </c>
      <c r="HG648" s="1072" t="str">
        <f t="shared" si="164"/>
        <v/>
      </c>
      <c r="HH648" s="1072" t="str">
        <f t="shared" si="165"/>
        <v/>
      </c>
      <c r="HI648" s="1072" t="str">
        <f t="shared" si="166"/>
        <v/>
      </c>
      <c r="HJ648" s="1072" t="str">
        <f t="shared" si="167"/>
        <v/>
      </c>
      <c r="HK648" s="1072" t="str">
        <f t="shared" si="168"/>
        <v/>
      </c>
      <c r="HL648" s="1072" t="str">
        <f t="shared" si="169"/>
        <v/>
      </c>
      <c r="HM648" s="1072" t="str">
        <f t="shared" si="170"/>
        <v/>
      </c>
    </row>
    <row r="649" spans="1:221" ht="13.15" customHeight="1">
      <c r="A649" s="1084" t="str">
        <f t="shared" si="171"/>
        <v/>
      </c>
      <c r="B649" s="1037" t="str">
        <f>'Part VI-Revenues &amp; Expenses'!B15</f>
        <v>60% AMI</v>
      </c>
      <c r="C649" s="1038">
        <f>'Part VI-Revenues &amp; Expenses'!C15</f>
        <v>4</v>
      </c>
      <c r="D649" s="1039">
        <f>'Part VI-Revenues &amp; Expenses'!D15</f>
        <v>2</v>
      </c>
      <c r="E649" s="1040">
        <f>'Part VI-Revenues &amp; Expenses'!E15</f>
        <v>2</v>
      </c>
      <c r="F649" s="1040">
        <f>'Part VI-Revenues &amp; Expenses'!F15</f>
        <v>1476</v>
      </c>
      <c r="G649" s="1040">
        <f>'Part VI-Revenues &amp; Expenses'!G15</f>
        <v>910</v>
      </c>
      <c r="H649" s="1040">
        <f>'Part VI-Revenues &amp; Expenses'!H15</f>
        <v>975</v>
      </c>
      <c r="I649" s="1040">
        <f>'Part VI-Revenues &amp; Expenses'!I15</f>
        <v>238</v>
      </c>
      <c r="J649" s="1103" t="str">
        <f>'Part VI-Revenues &amp; Expenses'!J15</f>
        <v>RAD</v>
      </c>
      <c r="K649" s="908">
        <f t="shared" si="172"/>
        <v>737</v>
      </c>
      <c r="L649" s="908">
        <f t="shared" si="0"/>
        <v>1474</v>
      </c>
      <c r="M649" s="831" t="str">
        <f>'Part VI-Revenues &amp; Expenses'!M15</f>
        <v>No</v>
      </c>
      <c r="N649" s="831" t="str">
        <f>'Part VI-Revenues &amp; Expenses'!N15</f>
        <v>SF Detached</v>
      </c>
      <c r="O649" s="831" t="str">
        <f>'Part VI-Revenues &amp; Expenses'!O15</f>
        <v>Acquisition/Rehab</v>
      </c>
      <c r="P649" s="909">
        <f t="shared" ref="P649:P681" si="203">IF(H649="","",H649*12/0.3)</f>
        <v>39000</v>
      </c>
      <c r="Q649" s="910">
        <f>'Part VI-Revenues &amp; Expenses'!Q15</f>
        <v>0.64284301443924319</v>
      </c>
      <c r="R649" s="909"/>
      <c r="S649" s="910"/>
      <c r="T649" s="1576"/>
      <c r="U649" s="1576"/>
      <c r="V649" s="1072" t="str">
        <f t="shared" si="1"/>
        <v/>
      </c>
      <c r="W649" s="1072" t="str">
        <f t="shared" si="2"/>
        <v/>
      </c>
      <c r="X649" s="1072" t="str">
        <f t="shared" si="3"/>
        <v/>
      </c>
      <c r="Y649" s="1072" t="str">
        <f t="shared" si="4"/>
        <v/>
      </c>
      <c r="Z649" s="1072">
        <f t="shared" si="5"/>
        <v>2</v>
      </c>
      <c r="AA649" s="1072" t="str">
        <f t="shared" si="6"/>
        <v/>
      </c>
      <c r="AB649" s="1072" t="str">
        <f t="shared" si="7"/>
        <v/>
      </c>
      <c r="AC649" s="1072" t="str">
        <f t="shared" si="8"/>
        <v/>
      </c>
      <c r="AD649" s="1072" t="str">
        <f t="shared" si="9"/>
        <v/>
      </c>
      <c r="AE649" s="1072" t="str">
        <f t="shared" si="10"/>
        <v/>
      </c>
      <c r="AF649" s="1072" t="str">
        <f t="shared" si="11"/>
        <v/>
      </c>
      <c r="AG649" s="1072" t="str">
        <f t="shared" si="12"/>
        <v/>
      </c>
      <c r="AH649" s="1072" t="str">
        <f t="shared" si="13"/>
        <v/>
      </c>
      <c r="AI649" s="1072" t="str">
        <f t="shared" si="14"/>
        <v/>
      </c>
      <c r="AJ649" s="1072" t="str">
        <f t="shared" si="15"/>
        <v/>
      </c>
      <c r="AK649" s="1072" t="str">
        <f t="shared" si="16"/>
        <v/>
      </c>
      <c r="AL649" s="1072" t="str">
        <f t="shared" si="17"/>
        <v/>
      </c>
      <c r="AM649" s="1072" t="str">
        <f t="shared" si="18"/>
        <v/>
      </c>
      <c r="AN649" s="1072" t="str">
        <f t="shared" si="19"/>
        <v/>
      </c>
      <c r="AO649" s="1072" t="str">
        <f t="shared" si="20"/>
        <v/>
      </c>
      <c r="AP649" s="1072" t="str">
        <f t="shared" si="173"/>
        <v/>
      </c>
      <c r="AQ649" s="1072" t="str">
        <f t="shared" si="174"/>
        <v/>
      </c>
      <c r="AR649" s="1072" t="str">
        <f t="shared" si="175"/>
        <v/>
      </c>
      <c r="AS649" s="1072" t="str">
        <f t="shared" si="176"/>
        <v/>
      </c>
      <c r="AT649" s="1072" t="str">
        <f t="shared" si="177"/>
        <v/>
      </c>
      <c r="AU649" s="1072" t="str">
        <f t="shared" si="178"/>
        <v/>
      </c>
      <c r="AV649" s="1072" t="str">
        <f t="shared" si="179"/>
        <v/>
      </c>
      <c r="AW649" s="1072" t="str">
        <f t="shared" si="180"/>
        <v/>
      </c>
      <c r="AX649" s="1072" t="str">
        <f t="shared" si="181"/>
        <v/>
      </c>
      <c r="AY649" s="1072" t="str">
        <f t="shared" si="182"/>
        <v/>
      </c>
      <c r="AZ649" s="1072" t="str">
        <f t="shared" si="183"/>
        <v/>
      </c>
      <c r="BA649" s="1072" t="str">
        <f t="shared" si="184"/>
        <v/>
      </c>
      <c r="BB649" s="1072" t="str">
        <f t="shared" si="185"/>
        <v/>
      </c>
      <c r="BC649" s="1072" t="str">
        <f t="shared" si="186"/>
        <v/>
      </c>
      <c r="BD649" s="1072">
        <f t="shared" si="187"/>
        <v>2</v>
      </c>
      <c r="BE649" s="1072" t="str">
        <f t="shared" si="188"/>
        <v/>
      </c>
      <c r="BF649" s="1072" t="str">
        <f t="shared" si="189"/>
        <v/>
      </c>
      <c r="BG649" s="1072" t="str">
        <f t="shared" si="190"/>
        <v/>
      </c>
      <c r="BH649" s="1072" t="str">
        <f t="shared" si="191"/>
        <v/>
      </c>
      <c r="BI649" s="1072" t="str">
        <f t="shared" si="192"/>
        <v/>
      </c>
      <c r="BJ649" s="1072" t="str">
        <f t="shared" si="193"/>
        <v/>
      </c>
      <c r="BK649" s="1072" t="str">
        <f t="shared" si="194"/>
        <v/>
      </c>
      <c r="BL649" s="1072" t="str">
        <f t="shared" si="195"/>
        <v/>
      </c>
      <c r="BM649" s="1072" t="str">
        <f t="shared" si="196"/>
        <v/>
      </c>
      <c r="BN649" s="1072" t="str">
        <f t="shared" si="197"/>
        <v/>
      </c>
      <c r="BO649" s="1072" t="str">
        <f t="shared" si="198"/>
        <v/>
      </c>
      <c r="BP649" s="1072" t="str">
        <f t="shared" si="199"/>
        <v/>
      </c>
      <c r="BQ649" s="1072" t="str">
        <f t="shared" si="200"/>
        <v/>
      </c>
      <c r="BR649" s="1072" t="str">
        <f t="shared" si="201"/>
        <v/>
      </c>
      <c r="BS649" s="1072" t="str">
        <f t="shared" si="202"/>
        <v/>
      </c>
      <c r="BT649" s="1072" t="str">
        <f t="shared" si="21"/>
        <v/>
      </c>
      <c r="BU649" s="1072" t="str">
        <f t="shared" si="22"/>
        <v/>
      </c>
      <c r="BV649" s="1072" t="str">
        <f t="shared" si="23"/>
        <v/>
      </c>
      <c r="BW649" s="1072" t="str">
        <f t="shared" si="24"/>
        <v/>
      </c>
      <c r="BX649" s="1072" t="str">
        <f t="shared" si="25"/>
        <v/>
      </c>
      <c r="BY649" s="1072" t="str">
        <f t="shared" si="26"/>
        <v/>
      </c>
      <c r="BZ649" s="1072" t="str">
        <f t="shared" si="27"/>
        <v/>
      </c>
      <c r="CA649" s="1072" t="str">
        <f t="shared" si="28"/>
        <v/>
      </c>
      <c r="CB649" s="1072" t="str">
        <f t="shared" si="29"/>
        <v/>
      </c>
      <c r="CC649" s="1072">
        <f t="shared" si="30"/>
        <v>2952</v>
      </c>
      <c r="CD649" s="1072" t="str">
        <f t="shared" si="31"/>
        <v/>
      </c>
      <c r="CE649" s="1072" t="str">
        <f t="shared" si="32"/>
        <v/>
      </c>
      <c r="CF649" s="1072" t="str">
        <f t="shared" si="33"/>
        <v/>
      </c>
      <c r="CG649" s="1072" t="str">
        <f t="shared" si="34"/>
        <v/>
      </c>
      <c r="CH649" s="1072" t="str">
        <f t="shared" si="35"/>
        <v/>
      </c>
      <c r="CI649" s="1072" t="str">
        <f t="shared" si="36"/>
        <v/>
      </c>
      <c r="CJ649" s="1072" t="str">
        <f t="shared" si="37"/>
        <v/>
      </c>
      <c r="CK649" s="1072" t="str">
        <f t="shared" si="38"/>
        <v/>
      </c>
      <c r="CL649" s="1072" t="str">
        <f t="shared" si="39"/>
        <v/>
      </c>
      <c r="CM649" s="1072" t="str">
        <f t="shared" si="40"/>
        <v/>
      </c>
      <c r="CN649" s="1072" t="str">
        <f t="shared" si="41"/>
        <v/>
      </c>
      <c r="CO649" s="1072" t="str">
        <f t="shared" si="42"/>
        <v/>
      </c>
      <c r="CP649" s="1072" t="str">
        <f t="shared" si="43"/>
        <v/>
      </c>
      <c r="CQ649" s="1072" t="str">
        <f t="shared" si="44"/>
        <v/>
      </c>
      <c r="CR649" s="1072" t="str">
        <f t="shared" si="45"/>
        <v/>
      </c>
      <c r="CS649" s="1072" t="str">
        <f t="shared" si="46"/>
        <v/>
      </c>
      <c r="CT649" s="1072" t="str">
        <f t="shared" si="47"/>
        <v/>
      </c>
      <c r="CU649" s="1072" t="str">
        <f t="shared" si="48"/>
        <v/>
      </c>
      <c r="CV649" s="1072" t="str">
        <f t="shared" si="49"/>
        <v/>
      </c>
      <c r="CW649" s="1072">
        <f t="shared" si="50"/>
        <v>2952</v>
      </c>
      <c r="CX649" s="1072" t="str">
        <f t="shared" si="51"/>
        <v/>
      </c>
      <c r="CY649" s="1072" t="str">
        <f t="shared" si="52"/>
        <v/>
      </c>
      <c r="CZ649" s="1072" t="str">
        <f t="shared" si="53"/>
        <v/>
      </c>
      <c r="DA649" s="1072" t="str">
        <f t="shared" si="54"/>
        <v/>
      </c>
      <c r="DB649" s="1072" t="str">
        <f t="shared" si="55"/>
        <v/>
      </c>
      <c r="DC649" s="1072" t="str">
        <f t="shared" si="56"/>
        <v/>
      </c>
      <c r="DD649" s="1072" t="str">
        <f t="shared" si="57"/>
        <v/>
      </c>
      <c r="DE649" s="1072" t="str">
        <f t="shared" si="58"/>
        <v/>
      </c>
      <c r="DF649" s="1072" t="str">
        <f t="shared" si="59"/>
        <v/>
      </c>
      <c r="DG649" s="1072" t="str">
        <f t="shared" si="60"/>
        <v/>
      </c>
      <c r="DH649" s="1072" t="str">
        <f t="shared" si="61"/>
        <v/>
      </c>
      <c r="DI649" s="1072" t="str">
        <f t="shared" si="62"/>
        <v/>
      </c>
      <c r="DJ649" s="1072" t="str">
        <f t="shared" si="63"/>
        <v/>
      </c>
      <c r="DK649" s="1072" t="str">
        <f t="shared" si="64"/>
        <v/>
      </c>
      <c r="DL649" s="1072" t="str">
        <f t="shared" si="65"/>
        <v/>
      </c>
      <c r="DM649" s="1072" t="str">
        <f t="shared" si="66"/>
        <v/>
      </c>
      <c r="DN649" s="1072" t="str">
        <f t="shared" si="67"/>
        <v/>
      </c>
      <c r="DO649" s="1072" t="str">
        <f t="shared" si="68"/>
        <v/>
      </c>
      <c r="DP649" s="1072" t="str">
        <f t="shared" si="69"/>
        <v/>
      </c>
      <c r="DQ649" s="1072" t="str">
        <f t="shared" si="70"/>
        <v/>
      </c>
      <c r="DR649" s="1072" t="str">
        <f t="shared" si="71"/>
        <v/>
      </c>
      <c r="DS649" s="1072" t="str">
        <f t="shared" si="72"/>
        <v/>
      </c>
      <c r="DT649" s="1072" t="str">
        <f t="shared" si="73"/>
        <v/>
      </c>
      <c r="DU649" s="1072" t="str">
        <f t="shared" si="74"/>
        <v/>
      </c>
      <c r="DV649" s="1072">
        <f t="shared" si="75"/>
        <v>2</v>
      </c>
      <c r="DW649" s="1072" t="str">
        <f t="shared" si="76"/>
        <v/>
      </c>
      <c r="DX649" s="1072" t="str">
        <f t="shared" si="77"/>
        <v/>
      </c>
      <c r="DY649" s="1072" t="str">
        <f t="shared" si="78"/>
        <v/>
      </c>
      <c r="DZ649" s="1072" t="str">
        <f t="shared" si="79"/>
        <v/>
      </c>
      <c r="EA649" s="1072" t="str">
        <f t="shared" si="80"/>
        <v/>
      </c>
      <c r="EB649" s="1072" t="str">
        <f t="shared" si="81"/>
        <v/>
      </c>
      <c r="EC649" s="1072" t="str">
        <f t="shared" si="82"/>
        <v/>
      </c>
      <c r="ED649" s="1072" t="str">
        <f t="shared" si="83"/>
        <v/>
      </c>
      <c r="EE649" s="1072" t="str">
        <f t="shared" si="84"/>
        <v/>
      </c>
      <c r="EF649" s="1072" t="str">
        <f t="shared" si="85"/>
        <v/>
      </c>
      <c r="EG649" s="1072" t="str">
        <f t="shared" si="86"/>
        <v/>
      </c>
      <c r="EH649" s="1072" t="str">
        <f t="shared" si="87"/>
        <v/>
      </c>
      <c r="EI649" s="1072" t="str">
        <f t="shared" si="88"/>
        <v/>
      </c>
      <c r="EJ649" s="1072" t="str">
        <f t="shared" si="89"/>
        <v/>
      </c>
      <c r="EK649" s="1072" t="str">
        <f t="shared" si="90"/>
        <v/>
      </c>
      <c r="EL649" s="1072" t="str">
        <f t="shared" si="91"/>
        <v/>
      </c>
      <c r="EM649" s="1072" t="str">
        <f t="shared" si="92"/>
        <v/>
      </c>
      <c r="EN649" s="1072" t="str">
        <f t="shared" si="93"/>
        <v/>
      </c>
      <c r="EO649" s="1072" t="str">
        <f t="shared" si="94"/>
        <v/>
      </c>
      <c r="EP649" s="1072" t="str">
        <f t="shared" si="95"/>
        <v/>
      </c>
      <c r="EQ649" s="1072" t="str">
        <f t="shared" si="96"/>
        <v/>
      </c>
      <c r="ER649" s="1072" t="str">
        <f t="shared" si="97"/>
        <v/>
      </c>
      <c r="ES649" s="1072" t="str">
        <f t="shared" si="98"/>
        <v/>
      </c>
      <c r="ET649" s="1072" t="str">
        <f t="shared" si="99"/>
        <v/>
      </c>
      <c r="EU649" s="1072" t="str">
        <f t="shared" si="100"/>
        <v/>
      </c>
      <c r="EV649" s="833" t="str">
        <f t="shared" si="101"/>
        <v/>
      </c>
      <c r="EW649" s="833" t="str">
        <f t="shared" si="102"/>
        <v/>
      </c>
      <c r="EX649" s="833" t="str">
        <f t="shared" si="103"/>
        <v/>
      </c>
      <c r="EY649" s="833" t="str">
        <f t="shared" si="104"/>
        <v/>
      </c>
      <c r="EZ649" s="833" t="str">
        <f t="shared" si="105"/>
        <v/>
      </c>
      <c r="FA649" s="833" t="str">
        <f t="shared" si="106"/>
        <v/>
      </c>
      <c r="FB649" s="833" t="str">
        <f t="shared" si="107"/>
        <v/>
      </c>
      <c r="FC649" s="833" t="str">
        <f t="shared" si="108"/>
        <v/>
      </c>
      <c r="FD649" s="833" t="str">
        <f t="shared" si="109"/>
        <v/>
      </c>
      <c r="FE649" s="833">
        <f t="shared" si="110"/>
        <v>2</v>
      </c>
      <c r="FF649" s="833" t="str">
        <f t="shared" si="111"/>
        <v/>
      </c>
      <c r="FG649" s="833" t="str">
        <f t="shared" si="112"/>
        <v/>
      </c>
      <c r="FH649" s="833" t="str">
        <f t="shared" si="113"/>
        <v/>
      </c>
      <c r="FI649" s="833" t="str">
        <f t="shared" si="114"/>
        <v/>
      </c>
      <c r="FJ649" s="833" t="str">
        <f t="shared" si="115"/>
        <v/>
      </c>
      <c r="FK649" s="833" t="str">
        <f t="shared" si="116"/>
        <v/>
      </c>
      <c r="FL649" s="833" t="str">
        <f t="shared" si="117"/>
        <v/>
      </c>
      <c r="FM649" s="833" t="str">
        <f t="shared" si="118"/>
        <v/>
      </c>
      <c r="FN649" s="833" t="str">
        <f t="shared" si="119"/>
        <v/>
      </c>
      <c r="FO649" s="833" t="str">
        <f t="shared" si="120"/>
        <v/>
      </c>
      <c r="FP649" s="833" t="str">
        <f t="shared" si="121"/>
        <v/>
      </c>
      <c r="FQ649" s="833" t="str">
        <f t="shared" si="122"/>
        <v/>
      </c>
      <c r="FR649" s="833" t="str">
        <f t="shared" si="123"/>
        <v/>
      </c>
      <c r="FS649" s="833" t="str">
        <f t="shared" si="124"/>
        <v/>
      </c>
      <c r="FT649" s="833" t="str">
        <f t="shared" si="125"/>
        <v/>
      </c>
      <c r="FU649" s="833" t="str">
        <f t="shared" si="126"/>
        <v/>
      </c>
      <c r="FV649" s="833" t="str">
        <f t="shared" si="127"/>
        <v/>
      </c>
      <c r="FW649" s="833" t="str">
        <f t="shared" si="128"/>
        <v/>
      </c>
      <c r="FX649" s="833" t="str">
        <f t="shared" si="129"/>
        <v/>
      </c>
      <c r="FY649" s="833" t="str">
        <f t="shared" si="130"/>
        <v/>
      </c>
      <c r="FZ649" s="833" t="str">
        <f t="shared" si="131"/>
        <v/>
      </c>
      <c r="GA649" s="833" t="str">
        <f t="shared" si="132"/>
        <v/>
      </c>
      <c r="GB649" s="833" t="str">
        <f t="shared" si="133"/>
        <v/>
      </c>
      <c r="GC649" s="833" t="str">
        <f t="shared" si="134"/>
        <v/>
      </c>
      <c r="GD649" s="833" t="str">
        <f t="shared" si="135"/>
        <v/>
      </c>
      <c r="GE649" s="833" t="str">
        <f t="shared" si="136"/>
        <v/>
      </c>
      <c r="GF649" s="833" t="str">
        <f t="shared" si="137"/>
        <v/>
      </c>
      <c r="GG649" s="833" t="str">
        <f t="shared" si="138"/>
        <v/>
      </c>
      <c r="GH649" s="833" t="str">
        <f t="shared" si="139"/>
        <v/>
      </c>
      <c r="GI649" s="833" t="str">
        <f t="shared" si="140"/>
        <v/>
      </c>
      <c r="GJ649" s="833" t="str">
        <f t="shared" si="141"/>
        <v/>
      </c>
      <c r="GK649" s="833" t="str">
        <f t="shared" si="142"/>
        <v/>
      </c>
      <c r="GL649" s="833" t="str">
        <f t="shared" si="143"/>
        <v/>
      </c>
      <c r="GM649" s="833" t="str">
        <f t="shared" si="144"/>
        <v/>
      </c>
      <c r="GN649" s="833" t="str">
        <f t="shared" si="145"/>
        <v/>
      </c>
      <c r="GO649" s="1115" t="str">
        <f t="shared" si="146"/>
        <v/>
      </c>
      <c r="GP649" s="1115" t="str">
        <f t="shared" si="147"/>
        <v/>
      </c>
      <c r="GQ649" s="1115" t="str">
        <f t="shared" si="148"/>
        <v/>
      </c>
      <c r="GR649" s="1115" t="str">
        <f t="shared" si="149"/>
        <v/>
      </c>
      <c r="GS649" s="1115" t="str">
        <f t="shared" si="150"/>
        <v/>
      </c>
      <c r="GT649" s="1072" t="str">
        <f t="shared" si="151"/>
        <v/>
      </c>
      <c r="GU649" s="1072" t="str">
        <f t="shared" si="152"/>
        <v/>
      </c>
      <c r="GV649" s="1072" t="str">
        <f t="shared" si="153"/>
        <v/>
      </c>
      <c r="GW649" s="1072" t="str">
        <f t="shared" si="154"/>
        <v/>
      </c>
      <c r="GX649" s="1072" t="str">
        <f t="shared" si="155"/>
        <v/>
      </c>
      <c r="GY649" s="1072" t="str">
        <f t="shared" si="156"/>
        <v/>
      </c>
      <c r="GZ649" s="1072" t="str">
        <f t="shared" si="157"/>
        <v/>
      </c>
      <c r="HA649" s="1072" t="str">
        <f t="shared" si="158"/>
        <v/>
      </c>
      <c r="HB649" s="1072" t="str">
        <f t="shared" si="159"/>
        <v/>
      </c>
      <c r="HC649" s="1072" t="str">
        <f t="shared" si="160"/>
        <v/>
      </c>
      <c r="HD649" s="1072" t="str">
        <f t="shared" si="161"/>
        <v/>
      </c>
      <c r="HE649" s="1072" t="str">
        <f t="shared" si="162"/>
        <v/>
      </c>
      <c r="HF649" s="1072" t="str">
        <f t="shared" si="163"/>
        <v/>
      </c>
      <c r="HG649" s="1072" t="str">
        <f t="shared" si="164"/>
        <v/>
      </c>
      <c r="HH649" s="1072" t="str">
        <f t="shared" si="165"/>
        <v/>
      </c>
      <c r="HI649" s="1072" t="str">
        <f t="shared" si="166"/>
        <v/>
      </c>
      <c r="HJ649" s="1072" t="str">
        <f t="shared" si="167"/>
        <v/>
      </c>
      <c r="HK649" s="1072" t="str">
        <f t="shared" si="168"/>
        <v/>
      </c>
      <c r="HL649" s="1072" t="str">
        <f t="shared" si="169"/>
        <v/>
      </c>
      <c r="HM649" s="1072" t="str">
        <f t="shared" si="170"/>
        <v/>
      </c>
    </row>
    <row r="650" spans="1:221" ht="13.15" customHeight="1">
      <c r="A650" s="1084" t="str">
        <f t="shared" si="171"/>
        <v/>
      </c>
      <c r="B650" s="1037" t="str">
        <f>'Part VI-Revenues &amp; Expenses'!B16</f>
        <v>&lt;&lt;Select&gt;&gt;</v>
      </c>
      <c r="C650" s="1038">
        <f>'Part VI-Revenues &amp; Expenses'!C16</f>
        <v>0</v>
      </c>
      <c r="D650" s="1039">
        <f>'Part VI-Revenues &amp; Expenses'!D16</f>
        <v>0</v>
      </c>
      <c r="E650" s="1040">
        <f>'Part VI-Revenues &amp; Expenses'!E16</f>
        <v>0</v>
      </c>
      <c r="F650" s="1040">
        <f>'Part VI-Revenues &amp; Expenses'!F16</f>
        <v>0</v>
      </c>
      <c r="G650" s="1040">
        <f>'Part VI-Revenues &amp; Expenses'!G16</f>
        <v>0</v>
      </c>
      <c r="H650" s="1040">
        <f>'Part VI-Revenues &amp; Expenses'!H16</f>
        <v>0</v>
      </c>
      <c r="I650" s="1040">
        <f>'Part VI-Revenues &amp; Expenses'!I16</f>
        <v>0</v>
      </c>
      <c r="J650" s="1103">
        <f>'Part VI-Revenues &amp; Expenses'!J16</f>
        <v>0</v>
      </c>
      <c r="K650" s="908">
        <f t="shared" si="172"/>
        <v>0</v>
      </c>
      <c r="L650" s="908">
        <f t="shared" si="0"/>
        <v>0</v>
      </c>
      <c r="M650" s="831">
        <f>'Part VI-Revenues &amp; Expenses'!M16</f>
        <v>0</v>
      </c>
      <c r="N650" s="831">
        <f>'Part VI-Revenues &amp; Expenses'!N16</f>
        <v>0</v>
      </c>
      <c r="O650" s="831">
        <f>'Part VI-Revenues &amp; Expenses'!O16</f>
        <v>0</v>
      </c>
      <c r="P650" s="909">
        <f t="shared" si="203"/>
        <v>0</v>
      </c>
      <c r="Q650" s="910" t="str">
        <f>'Part VI-Revenues &amp; Expenses'!Q16</f>
        <v/>
      </c>
      <c r="R650" s="909"/>
      <c r="S650" s="910"/>
      <c r="T650" s="1576"/>
      <c r="U650" s="1576"/>
      <c r="V650" s="1072" t="str">
        <f t="shared" si="1"/>
        <v/>
      </c>
      <c r="W650" s="1072" t="str">
        <f t="shared" si="2"/>
        <v/>
      </c>
      <c r="X650" s="1072" t="str">
        <f t="shared" si="3"/>
        <v/>
      </c>
      <c r="Y650" s="1072" t="str">
        <f t="shared" si="4"/>
        <v/>
      </c>
      <c r="Z650" s="1072" t="str">
        <f t="shared" si="5"/>
        <v/>
      </c>
      <c r="AA650" s="1072" t="str">
        <f t="shared" si="6"/>
        <v/>
      </c>
      <c r="AB650" s="1072" t="str">
        <f t="shared" si="7"/>
        <v/>
      </c>
      <c r="AC650" s="1072" t="str">
        <f t="shared" si="8"/>
        <v/>
      </c>
      <c r="AD650" s="1072" t="str">
        <f t="shared" si="9"/>
        <v/>
      </c>
      <c r="AE650" s="1072" t="str">
        <f t="shared" si="10"/>
        <v/>
      </c>
      <c r="AF650" s="1072" t="str">
        <f t="shared" si="11"/>
        <v/>
      </c>
      <c r="AG650" s="1072" t="str">
        <f t="shared" si="12"/>
        <v/>
      </c>
      <c r="AH650" s="1072" t="str">
        <f t="shared" si="13"/>
        <v/>
      </c>
      <c r="AI650" s="1072" t="str">
        <f t="shared" si="14"/>
        <v/>
      </c>
      <c r="AJ650" s="1072" t="str">
        <f t="shared" si="15"/>
        <v/>
      </c>
      <c r="AK650" s="1072" t="str">
        <f t="shared" si="16"/>
        <v/>
      </c>
      <c r="AL650" s="1072" t="str">
        <f t="shared" si="17"/>
        <v/>
      </c>
      <c r="AM650" s="1072" t="str">
        <f t="shared" si="18"/>
        <v/>
      </c>
      <c r="AN650" s="1072" t="str">
        <f t="shared" si="19"/>
        <v/>
      </c>
      <c r="AO650" s="1072" t="str">
        <f t="shared" si="20"/>
        <v/>
      </c>
      <c r="AP650" s="1072" t="str">
        <f t="shared" si="173"/>
        <v/>
      </c>
      <c r="AQ650" s="1072" t="str">
        <f t="shared" si="174"/>
        <v/>
      </c>
      <c r="AR650" s="1072" t="str">
        <f t="shared" si="175"/>
        <v/>
      </c>
      <c r="AS650" s="1072" t="str">
        <f t="shared" si="176"/>
        <v/>
      </c>
      <c r="AT650" s="1072" t="str">
        <f t="shared" si="177"/>
        <v/>
      </c>
      <c r="AU650" s="1072" t="str">
        <f t="shared" si="178"/>
        <v/>
      </c>
      <c r="AV650" s="1072" t="str">
        <f t="shared" si="179"/>
        <v/>
      </c>
      <c r="AW650" s="1072" t="str">
        <f t="shared" si="180"/>
        <v/>
      </c>
      <c r="AX650" s="1072" t="str">
        <f t="shared" si="181"/>
        <v/>
      </c>
      <c r="AY650" s="1072" t="str">
        <f t="shared" si="182"/>
        <v/>
      </c>
      <c r="AZ650" s="1072" t="str">
        <f t="shared" si="183"/>
        <v/>
      </c>
      <c r="BA650" s="1072" t="str">
        <f t="shared" si="184"/>
        <v/>
      </c>
      <c r="BB650" s="1072" t="str">
        <f t="shared" si="185"/>
        <v/>
      </c>
      <c r="BC650" s="1072" t="str">
        <f t="shared" si="186"/>
        <v/>
      </c>
      <c r="BD650" s="1072" t="str">
        <f t="shared" si="187"/>
        <v/>
      </c>
      <c r="BE650" s="1072" t="str">
        <f t="shared" si="188"/>
        <v/>
      </c>
      <c r="BF650" s="1072" t="str">
        <f t="shared" si="189"/>
        <v/>
      </c>
      <c r="BG650" s="1072" t="str">
        <f t="shared" si="190"/>
        <v/>
      </c>
      <c r="BH650" s="1072" t="str">
        <f t="shared" si="191"/>
        <v/>
      </c>
      <c r="BI650" s="1072" t="str">
        <f t="shared" si="192"/>
        <v/>
      </c>
      <c r="BJ650" s="1072" t="str">
        <f t="shared" si="193"/>
        <v/>
      </c>
      <c r="BK650" s="1072" t="str">
        <f t="shared" si="194"/>
        <v/>
      </c>
      <c r="BL650" s="1072" t="str">
        <f t="shared" si="195"/>
        <v/>
      </c>
      <c r="BM650" s="1072" t="str">
        <f t="shared" si="196"/>
        <v/>
      </c>
      <c r="BN650" s="1072" t="str">
        <f t="shared" si="197"/>
        <v/>
      </c>
      <c r="BO650" s="1072" t="str">
        <f t="shared" si="198"/>
        <v/>
      </c>
      <c r="BP650" s="1072" t="str">
        <f t="shared" si="199"/>
        <v/>
      </c>
      <c r="BQ650" s="1072" t="str">
        <f t="shared" si="200"/>
        <v/>
      </c>
      <c r="BR650" s="1072" t="str">
        <f t="shared" si="201"/>
        <v/>
      </c>
      <c r="BS650" s="1072" t="str">
        <f t="shared" si="202"/>
        <v/>
      </c>
      <c r="BT650" s="1072" t="str">
        <f t="shared" si="21"/>
        <v/>
      </c>
      <c r="BU650" s="1072" t="str">
        <f t="shared" si="22"/>
        <v/>
      </c>
      <c r="BV650" s="1072" t="str">
        <f t="shared" si="23"/>
        <v/>
      </c>
      <c r="BW650" s="1072" t="str">
        <f t="shared" si="24"/>
        <v/>
      </c>
      <c r="BX650" s="1072" t="str">
        <f t="shared" si="25"/>
        <v/>
      </c>
      <c r="BY650" s="1072" t="str">
        <f t="shared" si="26"/>
        <v/>
      </c>
      <c r="BZ650" s="1072" t="str">
        <f t="shared" si="27"/>
        <v/>
      </c>
      <c r="CA650" s="1072" t="str">
        <f t="shared" si="28"/>
        <v/>
      </c>
      <c r="CB650" s="1072" t="str">
        <f t="shared" si="29"/>
        <v/>
      </c>
      <c r="CC650" s="1072" t="str">
        <f t="shared" si="30"/>
        <v/>
      </c>
      <c r="CD650" s="1072" t="str">
        <f t="shared" si="31"/>
        <v/>
      </c>
      <c r="CE650" s="1072" t="str">
        <f t="shared" si="32"/>
        <v/>
      </c>
      <c r="CF650" s="1072" t="str">
        <f t="shared" si="33"/>
        <v/>
      </c>
      <c r="CG650" s="1072" t="str">
        <f t="shared" si="34"/>
        <v/>
      </c>
      <c r="CH650" s="1072" t="str">
        <f t="shared" si="35"/>
        <v/>
      </c>
      <c r="CI650" s="1072" t="str">
        <f t="shared" si="36"/>
        <v/>
      </c>
      <c r="CJ650" s="1072" t="str">
        <f t="shared" si="37"/>
        <v/>
      </c>
      <c r="CK650" s="1072" t="str">
        <f t="shared" si="38"/>
        <v/>
      </c>
      <c r="CL650" s="1072" t="str">
        <f t="shared" si="39"/>
        <v/>
      </c>
      <c r="CM650" s="1072" t="str">
        <f t="shared" si="40"/>
        <v/>
      </c>
      <c r="CN650" s="1072" t="str">
        <f t="shared" si="41"/>
        <v/>
      </c>
      <c r="CO650" s="1072" t="str">
        <f t="shared" si="42"/>
        <v/>
      </c>
      <c r="CP650" s="1072" t="str">
        <f t="shared" si="43"/>
        <v/>
      </c>
      <c r="CQ650" s="1072" t="str">
        <f t="shared" si="44"/>
        <v/>
      </c>
      <c r="CR650" s="1072" t="str">
        <f t="shared" si="45"/>
        <v/>
      </c>
      <c r="CS650" s="1072" t="str">
        <f t="shared" si="46"/>
        <v/>
      </c>
      <c r="CT650" s="1072" t="str">
        <f t="shared" si="47"/>
        <v/>
      </c>
      <c r="CU650" s="1072" t="str">
        <f t="shared" si="48"/>
        <v/>
      </c>
      <c r="CV650" s="1072" t="str">
        <f t="shared" si="49"/>
        <v/>
      </c>
      <c r="CW650" s="1072" t="str">
        <f t="shared" si="50"/>
        <v/>
      </c>
      <c r="CX650" s="1072" t="str">
        <f t="shared" si="51"/>
        <v/>
      </c>
      <c r="CY650" s="1072" t="str">
        <f t="shared" si="52"/>
        <v/>
      </c>
      <c r="CZ650" s="1072" t="str">
        <f t="shared" si="53"/>
        <v/>
      </c>
      <c r="DA650" s="1072" t="str">
        <f t="shared" si="54"/>
        <v/>
      </c>
      <c r="DB650" s="1072" t="str">
        <f t="shared" si="55"/>
        <v/>
      </c>
      <c r="DC650" s="1072" t="str">
        <f t="shared" si="56"/>
        <v/>
      </c>
      <c r="DD650" s="1072" t="str">
        <f t="shared" si="57"/>
        <v/>
      </c>
      <c r="DE650" s="1072" t="str">
        <f t="shared" si="58"/>
        <v/>
      </c>
      <c r="DF650" s="1072" t="str">
        <f t="shared" si="59"/>
        <v/>
      </c>
      <c r="DG650" s="1072" t="str">
        <f t="shared" si="60"/>
        <v/>
      </c>
      <c r="DH650" s="1072" t="str">
        <f t="shared" si="61"/>
        <v/>
      </c>
      <c r="DI650" s="1072" t="str">
        <f t="shared" si="62"/>
        <v/>
      </c>
      <c r="DJ650" s="1072" t="str">
        <f t="shared" si="63"/>
        <v/>
      </c>
      <c r="DK650" s="1072" t="str">
        <f t="shared" si="64"/>
        <v/>
      </c>
      <c r="DL650" s="1072" t="str">
        <f t="shared" si="65"/>
        <v/>
      </c>
      <c r="DM650" s="1072" t="str">
        <f t="shared" si="66"/>
        <v/>
      </c>
      <c r="DN650" s="1072" t="str">
        <f t="shared" si="67"/>
        <v/>
      </c>
      <c r="DO650" s="1072" t="str">
        <f t="shared" si="68"/>
        <v/>
      </c>
      <c r="DP650" s="1072" t="str">
        <f t="shared" si="69"/>
        <v/>
      </c>
      <c r="DQ650" s="1072" t="str">
        <f t="shared" si="70"/>
        <v/>
      </c>
      <c r="DR650" s="1072" t="str">
        <f t="shared" si="71"/>
        <v/>
      </c>
      <c r="DS650" s="1072" t="str">
        <f t="shared" si="72"/>
        <v/>
      </c>
      <c r="DT650" s="1072" t="str">
        <f t="shared" si="73"/>
        <v/>
      </c>
      <c r="DU650" s="1072" t="str">
        <f t="shared" si="74"/>
        <v/>
      </c>
      <c r="DV650" s="1072" t="str">
        <f t="shared" si="75"/>
        <v/>
      </c>
      <c r="DW650" s="1072" t="str">
        <f t="shared" si="76"/>
        <v/>
      </c>
      <c r="DX650" s="1072" t="str">
        <f t="shared" si="77"/>
        <v/>
      </c>
      <c r="DY650" s="1072" t="str">
        <f t="shared" si="78"/>
        <v/>
      </c>
      <c r="DZ650" s="1072" t="str">
        <f t="shared" si="79"/>
        <v/>
      </c>
      <c r="EA650" s="1072" t="str">
        <f t="shared" si="80"/>
        <v/>
      </c>
      <c r="EB650" s="1072" t="str">
        <f t="shared" si="81"/>
        <v/>
      </c>
      <c r="EC650" s="1072" t="str">
        <f t="shared" si="82"/>
        <v/>
      </c>
      <c r="ED650" s="1072" t="str">
        <f t="shared" si="83"/>
        <v/>
      </c>
      <c r="EE650" s="1072" t="str">
        <f t="shared" si="84"/>
        <v/>
      </c>
      <c r="EF650" s="1072" t="str">
        <f t="shared" si="85"/>
        <v/>
      </c>
      <c r="EG650" s="1072" t="str">
        <f t="shared" si="86"/>
        <v/>
      </c>
      <c r="EH650" s="1072" t="str">
        <f t="shared" si="87"/>
        <v/>
      </c>
      <c r="EI650" s="1072" t="str">
        <f t="shared" si="88"/>
        <v/>
      </c>
      <c r="EJ650" s="1072" t="str">
        <f t="shared" si="89"/>
        <v/>
      </c>
      <c r="EK650" s="1072" t="str">
        <f t="shared" si="90"/>
        <v/>
      </c>
      <c r="EL650" s="1072" t="str">
        <f t="shared" si="91"/>
        <v/>
      </c>
      <c r="EM650" s="1072" t="str">
        <f t="shared" si="92"/>
        <v/>
      </c>
      <c r="EN650" s="1072" t="str">
        <f t="shared" si="93"/>
        <v/>
      </c>
      <c r="EO650" s="1072" t="str">
        <f t="shared" si="94"/>
        <v/>
      </c>
      <c r="EP650" s="1072" t="str">
        <f t="shared" si="95"/>
        <v/>
      </c>
      <c r="EQ650" s="1072" t="str">
        <f t="shared" si="96"/>
        <v/>
      </c>
      <c r="ER650" s="1072" t="str">
        <f t="shared" si="97"/>
        <v/>
      </c>
      <c r="ES650" s="1072" t="str">
        <f t="shared" si="98"/>
        <v/>
      </c>
      <c r="ET650" s="1072" t="str">
        <f t="shared" si="99"/>
        <v/>
      </c>
      <c r="EU650" s="1072" t="str">
        <f t="shared" si="100"/>
        <v/>
      </c>
      <c r="EV650" s="833" t="str">
        <f t="shared" si="101"/>
        <v/>
      </c>
      <c r="EW650" s="833" t="str">
        <f t="shared" si="102"/>
        <v/>
      </c>
      <c r="EX650" s="833" t="str">
        <f t="shared" si="103"/>
        <v/>
      </c>
      <c r="EY650" s="833" t="str">
        <f t="shared" si="104"/>
        <v/>
      </c>
      <c r="EZ650" s="833" t="str">
        <f t="shared" si="105"/>
        <v/>
      </c>
      <c r="FA650" s="833" t="str">
        <f t="shared" si="106"/>
        <v/>
      </c>
      <c r="FB650" s="833" t="str">
        <f t="shared" si="107"/>
        <v/>
      </c>
      <c r="FC650" s="833" t="str">
        <f t="shared" si="108"/>
        <v/>
      </c>
      <c r="FD650" s="833" t="str">
        <f t="shared" si="109"/>
        <v/>
      </c>
      <c r="FE650" s="833" t="str">
        <f t="shared" si="110"/>
        <v/>
      </c>
      <c r="FF650" s="833" t="str">
        <f t="shared" si="111"/>
        <v/>
      </c>
      <c r="FG650" s="833" t="str">
        <f t="shared" si="112"/>
        <v/>
      </c>
      <c r="FH650" s="833" t="str">
        <f t="shared" si="113"/>
        <v/>
      </c>
      <c r="FI650" s="833" t="str">
        <f t="shared" si="114"/>
        <v/>
      </c>
      <c r="FJ650" s="833" t="str">
        <f t="shared" si="115"/>
        <v/>
      </c>
      <c r="FK650" s="833" t="str">
        <f t="shared" si="116"/>
        <v/>
      </c>
      <c r="FL650" s="833" t="str">
        <f t="shared" si="117"/>
        <v/>
      </c>
      <c r="FM650" s="833" t="str">
        <f t="shared" si="118"/>
        <v/>
      </c>
      <c r="FN650" s="833" t="str">
        <f t="shared" si="119"/>
        <v/>
      </c>
      <c r="FO650" s="833" t="str">
        <f t="shared" si="120"/>
        <v/>
      </c>
      <c r="FP650" s="833" t="str">
        <f t="shared" si="121"/>
        <v/>
      </c>
      <c r="FQ650" s="833" t="str">
        <f t="shared" si="122"/>
        <v/>
      </c>
      <c r="FR650" s="833" t="str">
        <f t="shared" si="123"/>
        <v/>
      </c>
      <c r="FS650" s="833" t="str">
        <f t="shared" si="124"/>
        <v/>
      </c>
      <c r="FT650" s="833" t="str">
        <f t="shared" si="125"/>
        <v/>
      </c>
      <c r="FU650" s="833" t="str">
        <f t="shared" si="126"/>
        <v/>
      </c>
      <c r="FV650" s="833" t="str">
        <f t="shared" si="127"/>
        <v/>
      </c>
      <c r="FW650" s="833" t="str">
        <f t="shared" si="128"/>
        <v/>
      </c>
      <c r="FX650" s="833" t="str">
        <f t="shared" si="129"/>
        <v/>
      </c>
      <c r="FY650" s="833" t="str">
        <f t="shared" si="130"/>
        <v/>
      </c>
      <c r="FZ650" s="833" t="str">
        <f t="shared" si="131"/>
        <v/>
      </c>
      <c r="GA650" s="833" t="str">
        <f t="shared" si="132"/>
        <v/>
      </c>
      <c r="GB650" s="833" t="str">
        <f t="shared" si="133"/>
        <v/>
      </c>
      <c r="GC650" s="833" t="str">
        <f t="shared" si="134"/>
        <v/>
      </c>
      <c r="GD650" s="833" t="str">
        <f t="shared" si="135"/>
        <v/>
      </c>
      <c r="GE650" s="833" t="str">
        <f t="shared" si="136"/>
        <v/>
      </c>
      <c r="GF650" s="833" t="str">
        <f t="shared" si="137"/>
        <v/>
      </c>
      <c r="GG650" s="833" t="str">
        <f t="shared" si="138"/>
        <v/>
      </c>
      <c r="GH650" s="833" t="str">
        <f t="shared" si="139"/>
        <v/>
      </c>
      <c r="GI650" s="833" t="str">
        <f t="shared" si="140"/>
        <v/>
      </c>
      <c r="GJ650" s="833" t="str">
        <f t="shared" si="141"/>
        <v/>
      </c>
      <c r="GK650" s="833" t="str">
        <f t="shared" si="142"/>
        <v/>
      </c>
      <c r="GL650" s="833" t="str">
        <f t="shared" si="143"/>
        <v/>
      </c>
      <c r="GM650" s="833" t="str">
        <f t="shared" si="144"/>
        <v/>
      </c>
      <c r="GN650" s="833" t="str">
        <f t="shared" si="145"/>
        <v/>
      </c>
      <c r="GO650" s="1115" t="str">
        <f t="shared" si="146"/>
        <v/>
      </c>
      <c r="GP650" s="1115" t="str">
        <f t="shared" si="147"/>
        <v/>
      </c>
      <c r="GQ650" s="1115" t="str">
        <f t="shared" si="148"/>
        <v/>
      </c>
      <c r="GR650" s="1115" t="str">
        <f t="shared" si="149"/>
        <v/>
      </c>
      <c r="GS650" s="1115" t="str">
        <f t="shared" si="150"/>
        <v/>
      </c>
      <c r="GT650" s="1072" t="str">
        <f t="shared" si="151"/>
        <v/>
      </c>
      <c r="GU650" s="1072" t="str">
        <f t="shared" si="152"/>
        <v/>
      </c>
      <c r="GV650" s="1072" t="str">
        <f t="shared" si="153"/>
        <v/>
      </c>
      <c r="GW650" s="1072" t="str">
        <f t="shared" si="154"/>
        <v/>
      </c>
      <c r="GX650" s="1072" t="str">
        <f t="shared" si="155"/>
        <v/>
      </c>
      <c r="GY650" s="1072" t="str">
        <f t="shared" si="156"/>
        <v/>
      </c>
      <c r="GZ650" s="1072" t="str">
        <f t="shared" si="157"/>
        <v/>
      </c>
      <c r="HA650" s="1072" t="str">
        <f t="shared" si="158"/>
        <v/>
      </c>
      <c r="HB650" s="1072" t="str">
        <f t="shared" si="159"/>
        <v/>
      </c>
      <c r="HC650" s="1072" t="str">
        <f t="shared" si="160"/>
        <v/>
      </c>
      <c r="HD650" s="1072" t="str">
        <f t="shared" si="161"/>
        <v/>
      </c>
      <c r="HE650" s="1072" t="str">
        <f t="shared" si="162"/>
        <v/>
      </c>
      <c r="HF650" s="1072" t="str">
        <f t="shared" si="163"/>
        <v/>
      </c>
      <c r="HG650" s="1072" t="str">
        <f t="shared" si="164"/>
        <v/>
      </c>
      <c r="HH650" s="1072" t="str">
        <f t="shared" si="165"/>
        <v/>
      </c>
      <c r="HI650" s="1072" t="str">
        <f t="shared" si="166"/>
        <v/>
      </c>
      <c r="HJ650" s="1072" t="str">
        <f t="shared" si="167"/>
        <v/>
      </c>
      <c r="HK650" s="1072" t="str">
        <f t="shared" si="168"/>
        <v/>
      </c>
      <c r="HL650" s="1072" t="str">
        <f t="shared" si="169"/>
        <v/>
      </c>
      <c r="HM650" s="1072" t="str">
        <f t="shared" si="170"/>
        <v/>
      </c>
    </row>
    <row r="651" spans="1:221" ht="13.15" customHeight="1">
      <c r="A651" s="1084" t="str">
        <f t="shared" si="171"/>
        <v/>
      </c>
      <c r="B651" s="1037" t="str">
        <f>'Part VI-Revenues &amp; Expenses'!B17</f>
        <v>&lt;&lt;Select&gt;&gt;</v>
      </c>
      <c r="C651" s="1038">
        <f>'Part VI-Revenues &amp; Expenses'!C17</f>
        <v>0</v>
      </c>
      <c r="D651" s="1039">
        <f>'Part VI-Revenues &amp; Expenses'!D17</f>
        <v>0</v>
      </c>
      <c r="E651" s="1040">
        <f>'Part VI-Revenues &amp; Expenses'!E17</f>
        <v>0</v>
      </c>
      <c r="F651" s="1040">
        <f>'Part VI-Revenues &amp; Expenses'!F17</f>
        <v>0</v>
      </c>
      <c r="G651" s="1040">
        <f>'Part VI-Revenues &amp; Expenses'!G17</f>
        <v>0</v>
      </c>
      <c r="H651" s="1040">
        <f>'Part VI-Revenues &amp; Expenses'!H17</f>
        <v>0</v>
      </c>
      <c r="I651" s="1040">
        <f>'Part VI-Revenues &amp; Expenses'!I17</f>
        <v>0</v>
      </c>
      <c r="J651" s="1103">
        <f>'Part VI-Revenues &amp; Expenses'!J17</f>
        <v>0</v>
      </c>
      <c r="K651" s="908">
        <f t="shared" si="172"/>
        <v>0</v>
      </c>
      <c r="L651" s="908">
        <f t="shared" si="0"/>
        <v>0</v>
      </c>
      <c r="M651" s="831">
        <f>'Part VI-Revenues &amp; Expenses'!M17</f>
        <v>0</v>
      </c>
      <c r="N651" s="831">
        <f>'Part VI-Revenues &amp; Expenses'!N17</f>
        <v>0</v>
      </c>
      <c r="O651" s="831">
        <f>'Part VI-Revenues &amp; Expenses'!O17</f>
        <v>0</v>
      </c>
      <c r="P651" s="909">
        <f t="shared" si="203"/>
        <v>0</v>
      </c>
      <c r="Q651" s="910" t="str">
        <f>'Part VI-Revenues &amp; Expenses'!Q17</f>
        <v/>
      </c>
      <c r="R651" s="909"/>
      <c r="S651" s="910"/>
      <c r="T651" s="1576"/>
      <c r="U651" s="1576"/>
      <c r="V651" s="1072" t="str">
        <f t="shared" si="1"/>
        <v/>
      </c>
      <c r="W651" s="1072" t="str">
        <f t="shared" si="2"/>
        <v/>
      </c>
      <c r="X651" s="1072" t="str">
        <f t="shared" si="3"/>
        <v/>
      </c>
      <c r="Y651" s="1072" t="str">
        <f t="shared" si="4"/>
        <v/>
      </c>
      <c r="Z651" s="1072" t="str">
        <f t="shared" si="5"/>
        <v/>
      </c>
      <c r="AA651" s="1072" t="str">
        <f t="shared" si="6"/>
        <v/>
      </c>
      <c r="AB651" s="1072" t="str">
        <f t="shared" si="7"/>
        <v/>
      </c>
      <c r="AC651" s="1072" t="str">
        <f t="shared" si="8"/>
        <v/>
      </c>
      <c r="AD651" s="1072" t="str">
        <f t="shared" si="9"/>
        <v/>
      </c>
      <c r="AE651" s="1072" t="str">
        <f t="shared" si="10"/>
        <v/>
      </c>
      <c r="AF651" s="1072" t="str">
        <f t="shared" si="11"/>
        <v/>
      </c>
      <c r="AG651" s="1072" t="str">
        <f t="shared" si="12"/>
        <v/>
      </c>
      <c r="AH651" s="1072" t="str">
        <f t="shared" si="13"/>
        <v/>
      </c>
      <c r="AI651" s="1072" t="str">
        <f t="shared" si="14"/>
        <v/>
      </c>
      <c r="AJ651" s="1072" t="str">
        <f t="shared" si="15"/>
        <v/>
      </c>
      <c r="AK651" s="1072" t="str">
        <f t="shared" si="16"/>
        <v/>
      </c>
      <c r="AL651" s="1072" t="str">
        <f t="shared" si="17"/>
        <v/>
      </c>
      <c r="AM651" s="1072" t="str">
        <f t="shared" si="18"/>
        <v/>
      </c>
      <c r="AN651" s="1072" t="str">
        <f t="shared" si="19"/>
        <v/>
      </c>
      <c r="AO651" s="1072" t="str">
        <f t="shared" si="20"/>
        <v/>
      </c>
      <c r="AP651" s="1072" t="str">
        <f t="shared" si="173"/>
        <v/>
      </c>
      <c r="AQ651" s="1072" t="str">
        <f t="shared" si="174"/>
        <v/>
      </c>
      <c r="AR651" s="1072" t="str">
        <f t="shared" si="175"/>
        <v/>
      </c>
      <c r="AS651" s="1072" t="str">
        <f t="shared" si="176"/>
        <v/>
      </c>
      <c r="AT651" s="1072" t="str">
        <f t="shared" si="177"/>
        <v/>
      </c>
      <c r="AU651" s="1072" t="str">
        <f t="shared" si="178"/>
        <v/>
      </c>
      <c r="AV651" s="1072" t="str">
        <f t="shared" si="179"/>
        <v/>
      </c>
      <c r="AW651" s="1072" t="str">
        <f t="shared" si="180"/>
        <v/>
      </c>
      <c r="AX651" s="1072" t="str">
        <f t="shared" si="181"/>
        <v/>
      </c>
      <c r="AY651" s="1072" t="str">
        <f t="shared" si="182"/>
        <v/>
      </c>
      <c r="AZ651" s="1072" t="str">
        <f t="shared" si="183"/>
        <v/>
      </c>
      <c r="BA651" s="1072" t="str">
        <f t="shared" si="184"/>
        <v/>
      </c>
      <c r="BB651" s="1072" t="str">
        <f t="shared" si="185"/>
        <v/>
      </c>
      <c r="BC651" s="1072" t="str">
        <f t="shared" si="186"/>
        <v/>
      </c>
      <c r="BD651" s="1072" t="str">
        <f t="shared" si="187"/>
        <v/>
      </c>
      <c r="BE651" s="1072" t="str">
        <f t="shared" si="188"/>
        <v/>
      </c>
      <c r="BF651" s="1072" t="str">
        <f t="shared" si="189"/>
        <v/>
      </c>
      <c r="BG651" s="1072" t="str">
        <f t="shared" si="190"/>
        <v/>
      </c>
      <c r="BH651" s="1072" t="str">
        <f t="shared" si="191"/>
        <v/>
      </c>
      <c r="BI651" s="1072" t="str">
        <f t="shared" si="192"/>
        <v/>
      </c>
      <c r="BJ651" s="1072" t="str">
        <f t="shared" si="193"/>
        <v/>
      </c>
      <c r="BK651" s="1072" t="str">
        <f t="shared" si="194"/>
        <v/>
      </c>
      <c r="BL651" s="1072" t="str">
        <f t="shared" si="195"/>
        <v/>
      </c>
      <c r="BM651" s="1072" t="str">
        <f t="shared" si="196"/>
        <v/>
      </c>
      <c r="BN651" s="1072" t="str">
        <f t="shared" si="197"/>
        <v/>
      </c>
      <c r="BO651" s="1072" t="str">
        <f t="shared" si="198"/>
        <v/>
      </c>
      <c r="BP651" s="1072" t="str">
        <f t="shared" si="199"/>
        <v/>
      </c>
      <c r="BQ651" s="1072" t="str">
        <f t="shared" si="200"/>
        <v/>
      </c>
      <c r="BR651" s="1072" t="str">
        <f t="shared" si="201"/>
        <v/>
      </c>
      <c r="BS651" s="1072" t="str">
        <f t="shared" si="202"/>
        <v/>
      </c>
      <c r="BT651" s="1072" t="str">
        <f t="shared" si="21"/>
        <v/>
      </c>
      <c r="BU651" s="1072" t="str">
        <f t="shared" si="22"/>
        <v/>
      </c>
      <c r="BV651" s="1072" t="str">
        <f t="shared" si="23"/>
        <v/>
      </c>
      <c r="BW651" s="1072" t="str">
        <f t="shared" si="24"/>
        <v/>
      </c>
      <c r="BX651" s="1072" t="str">
        <f t="shared" si="25"/>
        <v/>
      </c>
      <c r="BY651" s="1072" t="str">
        <f t="shared" si="26"/>
        <v/>
      </c>
      <c r="BZ651" s="1072" t="str">
        <f t="shared" si="27"/>
        <v/>
      </c>
      <c r="CA651" s="1072" t="str">
        <f t="shared" si="28"/>
        <v/>
      </c>
      <c r="CB651" s="1072" t="str">
        <f t="shared" si="29"/>
        <v/>
      </c>
      <c r="CC651" s="1072" t="str">
        <f t="shared" si="30"/>
        <v/>
      </c>
      <c r="CD651" s="1072" t="str">
        <f t="shared" si="31"/>
        <v/>
      </c>
      <c r="CE651" s="1072" t="str">
        <f t="shared" si="32"/>
        <v/>
      </c>
      <c r="CF651" s="1072" t="str">
        <f t="shared" si="33"/>
        <v/>
      </c>
      <c r="CG651" s="1072" t="str">
        <f t="shared" si="34"/>
        <v/>
      </c>
      <c r="CH651" s="1072" t="str">
        <f t="shared" si="35"/>
        <v/>
      </c>
      <c r="CI651" s="1072" t="str">
        <f t="shared" si="36"/>
        <v/>
      </c>
      <c r="CJ651" s="1072" t="str">
        <f t="shared" si="37"/>
        <v/>
      </c>
      <c r="CK651" s="1072" t="str">
        <f t="shared" si="38"/>
        <v/>
      </c>
      <c r="CL651" s="1072" t="str">
        <f t="shared" si="39"/>
        <v/>
      </c>
      <c r="CM651" s="1072" t="str">
        <f t="shared" si="40"/>
        <v/>
      </c>
      <c r="CN651" s="1072" t="str">
        <f t="shared" si="41"/>
        <v/>
      </c>
      <c r="CO651" s="1072" t="str">
        <f t="shared" si="42"/>
        <v/>
      </c>
      <c r="CP651" s="1072" t="str">
        <f t="shared" si="43"/>
        <v/>
      </c>
      <c r="CQ651" s="1072" t="str">
        <f t="shared" si="44"/>
        <v/>
      </c>
      <c r="CR651" s="1072" t="str">
        <f t="shared" si="45"/>
        <v/>
      </c>
      <c r="CS651" s="1072" t="str">
        <f t="shared" si="46"/>
        <v/>
      </c>
      <c r="CT651" s="1072" t="str">
        <f t="shared" si="47"/>
        <v/>
      </c>
      <c r="CU651" s="1072" t="str">
        <f t="shared" si="48"/>
        <v/>
      </c>
      <c r="CV651" s="1072" t="str">
        <f t="shared" si="49"/>
        <v/>
      </c>
      <c r="CW651" s="1072" t="str">
        <f t="shared" si="50"/>
        <v/>
      </c>
      <c r="CX651" s="1072" t="str">
        <f t="shared" si="51"/>
        <v/>
      </c>
      <c r="CY651" s="1072" t="str">
        <f t="shared" si="52"/>
        <v/>
      </c>
      <c r="CZ651" s="1072" t="str">
        <f t="shared" si="53"/>
        <v/>
      </c>
      <c r="DA651" s="1072" t="str">
        <f t="shared" si="54"/>
        <v/>
      </c>
      <c r="DB651" s="1072" t="str">
        <f t="shared" si="55"/>
        <v/>
      </c>
      <c r="DC651" s="1072" t="str">
        <f t="shared" si="56"/>
        <v/>
      </c>
      <c r="DD651" s="1072" t="str">
        <f t="shared" si="57"/>
        <v/>
      </c>
      <c r="DE651" s="1072" t="str">
        <f t="shared" si="58"/>
        <v/>
      </c>
      <c r="DF651" s="1072" t="str">
        <f t="shared" si="59"/>
        <v/>
      </c>
      <c r="DG651" s="1072" t="str">
        <f t="shared" si="60"/>
        <v/>
      </c>
      <c r="DH651" s="1072" t="str">
        <f t="shared" si="61"/>
        <v/>
      </c>
      <c r="DI651" s="1072" t="str">
        <f t="shared" si="62"/>
        <v/>
      </c>
      <c r="DJ651" s="1072" t="str">
        <f t="shared" si="63"/>
        <v/>
      </c>
      <c r="DK651" s="1072" t="str">
        <f t="shared" si="64"/>
        <v/>
      </c>
      <c r="DL651" s="1072" t="str">
        <f t="shared" si="65"/>
        <v/>
      </c>
      <c r="DM651" s="1072" t="str">
        <f t="shared" si="66"/>
        <v/>
      </c>
      <c r="DN651" s="1072" t="str">
        <f t="shared" si="67"/>
        <v/>
      </c>
      <c r="DO651" s="1072" t="str">
        <f t="shared" si="68"/>
        <v/>
      </c>
      <c r="DP651" s="1072" t="str">
        <f t="shared" si="69"/>
        <v/>
      </c>
      <c r="DQ651" s="1072" t="str">
        <f t="shared" si="70"/>
        <v/>
      </c>
      <c r="DR651" s="1072" t="str">
        <f t="shared" si="71"/>
        <v/>
      </c>
      <c r="DS651" s="1072" t="str">
        <f t="shared" si="72"/>
        <v/>
      </c>
      <c r="DT651" s="1072" t="str">
        <f t="shared" si="73"/>
        <v/>
      </c>
      <c r="DU651" s="1072" t="str">
        <f t="shared" si="74"/>
        <v/>
      </c>
      <c r="DV651" s="1072" t="str">
        <f t="shared" si="75"/>
        <v/>
      </c>
      <c r="DW651" s="1072" t="str">
        <f t="shared" si="76"/>
        <v/>
      </c>
      <c r="DX651" s="1072" t="str">
        <f t="shared" si="77"/>
        <v/>
      </c>
      <c r="DY651" s="1072" t="str">
        <f t="shared" si="78"/>
        <v/>
      </c>
      <c r="DZ651" s="1072" t="str">
        <f t="shared" si="79"/>
        <v/>
      </c>
      <c r="EA651" s="1072" t="str">
        <f t="shared" si="80"/>
        <v/>
      </c>
      <c r="EB651" s="1072" t="str">
        <f t="shared" si="81"/>
        <v/>
      </c>
      <c r="EC651" s="1072" t="str">
        <f t="shared" si="82"/>
        <v/>
      </c>
      <c r="ED651" s="1072" t="str">
        <f t="shared" si="83"/>
        <v/>
      </c>
      <c r="EE651" s="1072" t="str">
        <f t="shared" si="84"/>
        <v/>
      </c>
      <c r="EF651" s="1072" t="str">
        <f t="shared" si="85"/>
        <v/>
      </c>
      <c r="EG651" s="1072" t="str">
        <f t="shared" si="86"/>
        <v/>
      </c>
      <c r="EH651" s="1072" t="str">
        <f t="shared" si="87"/>
        <v/>
      </c>
      <c r="EI651" s="1072" t="str">
        <f t="shared" si="88"/>
        <v/>
      </c>
      <c r="EJ651" s="1072" t="str">
        <f t="shared" si="89"/>
        <v/>
      </c>
      <c r="EK651" s="1072" t="str">
        <f t="shared" si="90"/>
        <v/>
      </c>
      <c r="EL651" s="1072" t="str">
        <f t="shared" si="91"/>
        <v/>
      </c>
      <c r="EM651" s="1072" t="str">
        <f t="shared" si="92"/>
        <v/>
      </c>
      <c r="EN651" s="1072" t="str">
        <f t="shared" si="93"/>
        <v/>
      </c>
      <c r="EO651" s="1072" t="str">
        <f t="shared" si="94"/>
        <v/>
      </c>
      <c r="EP651" s="1072" t="str">
        <f t="shared" si="95"/>
        <v/>
      </c>
      <c r="EQ651" s="1072" t="str">
        <f t="shared" si="96"/>
        <v/>
      </c>
      <c r="ER651" s="1072" t="str">
        <f t="shared" si="97"/>
        <v/>
      </c>
      <c r="ES651" s="1072" t="str">
        <f t="shared" si="98"/>
        <v/>
      </c>
      <c r="ET651" s="1072" t="str">
        <f t="shared" si="99"/>
        <v/>
      </c>
      <c r="EU651" s="1072" t="str">
        <f t="shared" si="100"/>
        <v/>
      </c>
      <c r="EV651" s="833" t="str">
        <f t="shared" si="101"/>
        <v/>
      </c>
      <c r="EW651" s="833" t="str">
        <f t="shared" si="102"/>
        <v/>
      </c>
      <c r="EX651" s="833" t="str">
        <f t="shared" si="103"/>
        <v/>
      </c>
      <c r="EY651" s="833" t="str">
        <f t="shared" si="104"/>
        <v/>
      </c>
      <c r="EZ651" s="833" t="str">
        <f t="shared" si="105"/>
        <v/>
      </c>
      <c r="FA651" s="833" t="str">
        <f t="shared" si="106"/>
        <v/>
      </c>
      <c r="FB651" s="833" t="str">
        <f t="shared" si="107"/>
        <v/>
      </c>
      <c r="FC651" s="833" t="str">
        <f t="shared" si="108"/>
        <v/>
      </c>
      <c r="FD651" s="833" t="str">
        <f t="shared" si="109"/>
        <v/>
      </c>
      <c r="FE651" s="833" t="str">
        <f t="shared" si="110"/>
        <v/>
      </c>
      <c r="FF651" s="833" t="str">
        <f t="shared" si="111"/>
        <v/>
      </c>
      <c r="FG651" s="833" t="str">
        <f t="shared" si="112"/>
        <v/>
      </c>
      <c r="FH651" s="833" t="str">
        <f t="shared" si="113"/>
        <v/>
      </c>
      <c r="FI651" s="833" t="str">
        <f t="shared" si="114"/>
        <v/>
      </c>
      <c r="FJ651" s="833" t="str">
        <f t="shared" si="115"/>
        <v/>
      </c>
      <c r="FK651" s="833" t="str">
        <f t="shared" si="116"/>
        <v/>
      </c>
      <c r="FL651" s="833" t="str">
        <f t="shared" si="117"/>
        <v/>
      </c>
      <c r="FM651" s="833" t="str">
        <f t="shared" si="118"/>
        <v/>
      </c>
      <c r="FN651" s="833" t="str">
        <f t="shared" si="119"/>
        <v/>
      </c>
      <c r="FO651" s="833" t="str">
        <f t="shared" si="120"/>
        <v/>
      </c>
      <c r="FP651" s="833" t="str">
        <f t="shared" si="121"/>
        <v/>
      </c>
      <c r="FQ651" s="833" t="str">
        <f t="shared" si="122"/>
        <v/>
      </c>
      <c r="FR651" s="833" t="str">
        <f t="shared" si="123"/>
        <v/>
      </c>
      <c r="FS651" s="833" t="str">
        <f t="shared" si="124"/>
        <v/>
      </c>
      <c r="FT651" s="833" t="str">
        <f t="shared" si="125"/>
        <v/>
      </c>
      <c r="FU651" s="833" t="str">
        <f t="shared" si="126"/>
        <v/>
      </c>
      <c r="FV651" s="833" t="str">
        <f t="shared" si="127"/>
        <v/>
      </c>
      <c r="FW651" s="833" t="str">
        <f t="shared" si="128"/>
        <v/>
      </c>
      <c r="FX651" s="833" t="str">
        <f t="shared" si="129"/>
        <v/>
      </c>
      <c r="FY651" s="833" t="str">
        <f t="shared" si="130"/>
        <v/>
      </c>
      <c r="FZ651" s="833" t="str">
        <f t="shared" si="131"/>
        <v/>
      </c>
      <c r="GA651" s="833" t="str">
        <f t="shared" si="132"/>
        <v/>
      </c>
      <c r="GB651" s="833" t="str">
        <f t="shared" si="133"/>
        <v/>
      </c>
      <c r="GC651" s="833" t="str">
        <f t="shared" si="134"/>
        <v/>
      </c>
      <c r="GD651" s="833" t="str">
        <f t="shared" si="135"/>
        <v/>
      </c>
      <c r="GE651" s="833" t="str">
        <f t="shared" si="136"/>
        <v/>
      </c>
      <c r="GF651" s="833" t="str">
        <f t="shared" si="137"/>
        <v/>
      </c>
      <c r="GG651" s="833" t="str">
        <f t="shared" si="138"/>
        <v/>
      </c>
      <c r="GH651" s="833" t="str">
        <f t="shared" si="139"/>
        <v/>
      </c>
      <c r="GI651" s="833" t="str">
        <f t="shared" si="140"/>
        <v/>
      </c>
      <c r="GJ651" s="833" t="str">
        <f t="shared" si="141"/>
        <v/>
      </c>
      <c r="GK651" s="833" t="str">
        <f t="shared" si="142"/>
        <v/>
      </c>
      <c r="GL651" s="833" t="str">
        <f t="shared" si="143"/>
        <v/>
      </c>
      <c r="GM651" s="833" t="str">
        <f t="shared" si="144"/>
        <v/>
      </c>
      <c r="GN651" s="833" t="str">
        <f t="shared" si="145"/>
        <v/>
      </c>
      <c r="GO651" s="1115" t="str">
        <f t="shared" si="146"/>
        <v/>
      </c>
      <c r="GP651" s="1115" t="str">
        <f t="shared" si="147"/>
        <v/>
      </c>
      <c r="GQ651" s="1115" t="str">
        <f t="shared" si="148"/>
        <v/>
      </c>
      <c r="GR651" s="1115" t="str">
        <f t="shared" si="149"/>
        <v/>
      </c>
      <c r="GS651" s="1115" t="str">
        <f t="shared" si="150"/>
        <v/>
      </c>
      <c r="GT651" s="1072" t="str">
        <f t="shared" si="151"/>
        <v/>
      </c>
      <c r="GU651" s="1072" t="str">
        <f t="shared" si="152"/>
        <v/>
      </c>
      <c r="GV651" s="1072" t="str">
        <f t="shared" si="153"/>
        <v/>
      </c>
      <c r="GW651" s="1072" t="str">
        <f t="shared" si="154"/>
        <v/>
      </c>
      <c r="GX651" s="1072" t="str">
        <f t="shared" si="155"/>
        <v/>
      </c>
      <c r="GY651" s="1072" t="str">
        <f t="shared" si="156"/>
        <v/>
      </c>
      <c r="GZ651" s="1072" t="str">
        <f t="shared" si="157"/>
        <v/>
      </c>
      <c r="HA651" s="1072" t="str">
        <f t="shared" si="158"/>
        <v/>
      </c>
      <c r="HB651" s="1072" t="str">
        <f t="shared" si="159"/>
        <v/>
      </c>
      <c r="HC651" s="1072" t="str">
        <f t="shared" si="160"/>
        <v/>
      </c>
      <c r="HD651" s="1072" t="str">
        <f t="shared" si="161"/>
        <v/>
      </c>
      <c r="HE651" s="1072" t="str">
        <f t="shared" si="162"/>
        <v/>
      </c>
      <c r="HF651" s="1072" t="str">
        <f t="shared" si="163"/>
        <v/>
      </c>
      <c r="HG651" s="1072" t="str">
        <f t="shared" si="164"/>
        <v/>
      </c>
      <c r="HH651" s="1072" t="str">
        <f t="shared" si="165"/>
        <v/>
      </c>
      <c r="HI651" s="1072" t="str">
        <f t="shared" si="166"/>
        <v/>
      </c>
      <c r="HJ651" s="1072" t="str">
        <f t="shared" si="167"/>
        <v/>
      </c>
      <c r="HK651" s="1072" t="str">
        <f t="shared" si="168"/>
        <v/>
      </c>
      <c r="HL651" s="1072" t="str">
        <f t="shared" si="169"/>
        <v/>
      </c>
      <c r="HM651" s="1072" t="str">
        <f t="shared" si="170"/>
        <v/>
      </c>
    </row>
    <row r="652" spans="1:221" ht="13.15" customHeight="1">
      <c r="A652" s="1084" t="str">
        <f t="shared" si="171"/>
        <v/>
      </c>
      <c r="B652" s="1037" t="str">
        <f>'Part VI-Revenues &amp; Expenses'!B18</f>
        <v>&lt;&lt;Select&gt;&gt;</v>
      </c>
      <c r="C652" s="1038">
        <f>'Part VI-Revenues &amp; Expenses'!C18</f>
        <v>0</v>
      </c>
      <c r="D652" s="1039">
        <f>'Part VI-Revenues &amp; Expenses'!D18</f>
        <v>0</v>
      </c>
      <c r="E652" s="1040">
        <f>'Part VI-Revenues &amp; Expenses'!E18</f>
        <v>0</v>
      </c>
      <c r="F652" s="1040">
        <f>'Part VI-Revenues &amp; Expenses'!F18</f>
        <v>0</v>
      </c>
      <c r="G652" s="1040">
        <f>'Part VI-Revenues &amp; Expenses'!G18</f>
        <v>0</v>
      </c>
      <c r="H652" s="1040">
        <f>'Part VI-Revenues &amp; Expenses'!H18</f>
        <v>0</v>
      </c>
      <c r="I652" s="1040">
        <f>'Part VI-Revenues &amp; Expenses'!I18</f>
        <v>0</v>
      </c>
      <c r="J652" s="1103">
        <f>'Part VI-Revenues &amp; Expenses'!J18</f>
        <v>0</v>
      </c>
      <c r="K652" s="908">
        <f t="shared" si="172"/>
        <v>0</v>
      </c>
      <c r="L652" s="908">
        <f t="shared" si="0"/>
        <v>0</v>
      </c>
      <c r="M652" s="831">
        <f>'Part VI-Revenues &amp; Expenses'!M18</f>
        <v>0</v>
      </c>
      <c r="N652" s="831">
        <f>'Part VI-Revenues &amp; Expenses'!N18</f>
        <v>0</v>
      </c>
      <c r="O652" s="831">
        <f>'Part VI-Revenues &amp; Expenses'!O18</f>
        <v>0</v>
      </c>
      <c r="P652" s="909">
        <f t="shared" si="203"/>
        <v>0</v>
      </c>
      <c r="Q652" s="910" t="str">
        <f>'Part VI-Revenues &amp; Expenses'!Q18</f>
        <v/>
      </c>
      <c r="R652" s="909"/>
      <c r="S652" s="910"/>
      <c r="T652" s="1576"/>
      <c r="U652" s="1576"/>
      <c r="V652" s="1072" t="str">
        <f t="shared" si="1"/>
        <v/>
      </c>
      <c r="W652" s="1072" t="str">
        <f t="shared" si="2"/>
        <v/>
      </c>
      <c r="X652" s="1072" t="str">
        <f t="shared" si="3"/>
        <v/>
      </c>
      <c r="Y652" s="1072" t="str">
        <f t="shared" si="4"/>
        <v/>
      </c>
      <c r="Z652" s="1072" t="str">
        <f t="shared" si="5"/>
        <v/>
      </c>
      <c r="AA652" s="1072" t="str">
        <f t="shared" si="6"/>
        <v/>
      </c>
      <c r="AB652" s="1072" t="str">
        <f t="shared" si="7"/>
        <v/>
      </c>
      <c r="AC652" s="1072" t="str">
        <f t="shared" si="8"/>
        <v/>
      </c>
      <c r="AD652" s="1072" t="str">
        <f t="shared" si="9"/>
        <v/>
      </c>
      <c r="AE652" s="1072" t="str">
        <f t="shared" si="10"/>
        <v/>
      </c>
      <c r="AF652" s="1072" t="str">
        <f t="shared" si="11"/>
        <v/>
      </c>
      <c r="AG652" s="1072" t="str">
        <f t="shared" si="12"/>
        <v/>
      </c>
      <c r="AH652" s="1072" t="str">
        <f t="shared" si="13"/>
        <v/>
      </c>
      <c r="AI652" s="1072" t="str">
        <f t="shared" si="14"/>
        <v/>
      </c>
      <c r="AJ652" s="1072" t="str">
        <f t="shared" si="15"/>
        <v/>
      </c>
      <c r="AK652" s="1072" t="str">
        <f t="shared" si="16"/>
        <v/>
      </c>
      <c r="AL652" s="1072" t="str">
        <f t="shared" si="17"/>
        <v/>
      </c>
      <c r="AM652" s="1072" t="str">
        <f t="shared" si="18"/>
        <v/>
      </c>
      <c r="AN652" s="1072" t="str">
        <f t="shared" si="19"/>
        <v/>
      </c>
      <c r="AO652" s="1072" t="str">
        <f t="shared" si="20"/>
        <v/>
      </c>
      <c r="AP652" s="1072" t="str">
        <f t="shared" si="173"/>
        <v/>
      </c>
      <c r="AQ652" s="1072" t="str">
        <f t="shared" si="174"/>
        <v/>
      </c>
      <c r="AR652" s="1072" t="str">
        <f t="shared" si="175"/>
        <v/>
      </c>
      <c r="AS652" s="1072" t="str">
        <f t="shared" si="176"/>
        <v/>
      </c>
      <c r="AT652" s="1072" t="str">
        <f t="shared" si="177"/>
        <v/>
      </c>
      <c r="AU652" s="1072" t="str">
        <f t="shared" si="178"/>
        <v/>
      </c>
      <c r="AV652" s="1072" t="str">
        <f t="shared" si="179"/>
        <v/>
      </c>
      <c r="AW652" s="1072" t="str">
        <f t="shared" si="180"/>
        <v/>
      </c>
      <c r="AX652" s="1072" t="str">
        <f t="shared" si="181"/>
        <v/>
      </c>
      <c r="AY652" s="1072" t="str">
        <f t="shared" si="182"/>
        <v/>
      </c>
      <c r="AZ652" s="1072" t="str">
        <f t="shared" si="183"/>
        <v/>
      </c>
      <c r="BA652" s="1072" t="str">
        <f t="shared" si="184"/>
        <v/>
      </c>
      <c r="BB652" s="1072" t="str">
        <f t="shared" si="185"/>
        <v/>
      </c>
      <c r="BC652" s="1072" t="str">
        <f t="shared" si="186"/>
        <v/>
      </c>
      <c r="BD652" s="1072" t="str">
        <f t="shared" si="187"/>
        <v/>
      </c>
      <c r="BE652" s="1072" t="str">
        <f t="shared" si="188"/>
        <v/>
      </c>
      <c r="BF652" s="1072" t="str">
        <f t="shared" si="189"/>
        <v/>
      </c>
      <c r="BG652" s="1072" t="str">
        <f t="shared" si="190"/>
        <v/>
      </c>
      <c r="BH652" s="1072" t="str">
        <f t="shared" si="191"/>
        <v/>
      </c>
      <c r="BI652" s="1072" t="str">
        <f t="shared" si="192"/>
        <v/>
      </c>
      <c r="BJ652" s="1072" t="str">
        <f t="shared" si="193"/>
        <v/>
      </c>
      <c r="BK652" s="1072" t="str">
        <f t="shared" si="194"/>
        <v/>
      </c>
      <c r="BL652" s="1072" t="str">
        <f t="shared" si="195"/>
        <v/>
      </c>
      <c r="BM652" s="1072" t="str">
        <f t="shared" si="196"/>
        <v/>
      </c>
      <c r="BN652" s="1072" t="str">
        <f t="shared" si="197"/>
        <v/>
      </c>
      <c r="BO652" s="1072" t="str">
        <f t="shared" si="198"/>
        <v/>
      </c>
      <c r="BP652" s="1072" t="str">
        <f t="shared" si="199"/>
        <v/>
      </c>
      <c r="BQ652" s="1072" t="str">
        <f t="shared" si="200"/>
        <v/>
      </c>
      <c r="BR652" s="1072" t="str">
        <f t="shared" si="201"/>
        <v/>
      </c>
      <c r="BS652" s="1072" t="str">
        <f t="shared" si="202"/>
        <v/>
      </c>
      <c r="BT652" s="1072" t="str">
        <f t="shared" si="21"/>
        <v/>
      </c>
      <c r="BU652" s="1072" t="str">
        <f t="shared" si="22"/>
        <v/>
      </c>
      <c r="BV652" s="1072" t="str">
        <f t="shared" si="23"/>
        <v/>
      </c>
      <c r="BW652" s="1072" t="str">
        <f t="shared" si="24"/>
        <v/>
      </c>
      <c r="BX652" s="1072" t="str">
        <f t="shared" si="25"/>
        <v/>
      </c>
      <c r="BY652" s="1072" t="str">
        <f t="shared" si="26"/>
        <v/>
      </c>
      <c r="BZ652" s="1072" t="str">
        <f t="shared" si="27"/>
        <v/>
      </c>
      <c r="CA652" s="1072" t="str">
        <f t="shared" si="28"/>
        <v/>
      </c>
      <c r="CB652" s="1072" t="str">
        <f t="shared" si="29"/>
        <v/>
      </c>
      <c r="CC652" s="1072" t="str">
        <f t="shared" si="30"/>
        <v/>
      </c>
      <c r="CD652" s="1072" t="str">
        <f t="shared" si="31"/>
        <v/>
      </c>
      <c r="CE652" s="1072" t="str">
        <f t="shared" si="32"/>
        <v/>
      </c>
      <c r="CF652" s="1072" t="str">
        <f t="shared" si="33"/>
        <v/>
      </c>
      <c r="CG652" s="1072" t="str">
        <f t="shared" si="34"/>
        <v/>
      </c>
      <c r="CH652" s="1072" t="str">
        <f t="shared" si="35"/>
        <v/>
      </c>
      <c r="CI652" s="1072" t="str">
        <f t="shared" si="36"/>
        <v/>
      </c>
      <c r="CJ652" s="1072" t="str">
        <f t="shared" si="37"/>
        <v/>
      </c>
      <c r="CK652" s="1072" t="str">
        <f t="shared" si="38"/>
        <v/>
      </c>
      <c r="CL652" s="1072" t="str">
        <f t="shared" si="39"/>
        <v/>
      </c>
      <c r="CM652" s="1072" t="str">
        <f t="shared" si="40"/>
        <v/>
      </c>
      <c r="CN652" s="1072" t="str">
        <f t="shared" si="41"/>
        <v/>
      </c>
      <c r="CO652" s="1072" t="str">
        <f t="shared" si="42"/>
        <v/>
      </c>
      <c r="CP652" s="1072" t="str">
        <f t="shared" si="43"/>
        <v/>
      </c>
      <c r="CQ652" s="1072" t="str">
        <f t="shared" si="44"/>
        <v/>
      </c>
      <c r="CR652" s="1072" t="str">
        <f t="shared" si="45"/>
        <v/>
      </c>
      <c r="CS652" s="1072" t="str">
        <f t="shared" si="46"/>
        <v/>
      </c>
      <c r="CT652" s="1072" t="str">
        <f t="shared" si="47"/>
        <v/>
      </c>
      <c r="CU652" s="1072" t="str">
        <f t="shared" si="48"/>
        <v/>
      </c>
      <c r="CV652" s="1072" t="str">
        <f t="shared" si="49"/>
        <v/>
      </c>
      <c r="CW652" s="1072" t="str">
        <f t="shared" si="50"/>
        <v/>
      </c>
      <c r="CX652" s="1072" t="str">
        <f t="shared" si="51"/>
        <v/>
      </c>
      <c r="CY652" s="1072" t="str">
        <f t="shared" si="52"/>
        <v/>
      </c>
      <c r="CZ652" s="1072" t="str">
        <f t="shared" si="53"/>
        <v/>
      </c>
      <c r="DA652" s="1072" t="str">
        <f t="shared" si="54"/>
        <v/>
      </c>
      <c r="DB652" s="1072" t="str">
        <f t="shared" si="55"/>
        <v/>
      </c>
      <c r="DC652" s="1072" t="str">
        <f t="shared" si="56"/>
        <v/>
      </c>
      <c r="DD652" s="1072" t="str">
        <f t="shared" si="57"/>
        <v/>
      </c>
      <c r="DE652" s="1072" t="str">
        <f t="shared" si="58"/>
        <v/>
      </c>
      <c r="DF652" s="1072" t="str">
        <f t="shared" si="59"/>
        <v/>
      </c>
      <c r="DG652" s="1072" t="str">
        <f t="shared" si="60"/>
        <v/>
      </c>
      <c r="DH652" s="1072" t="str">
        <f t="shared" si="61"/>
        <v/>
      </c>
      <c r="DI652" s="1072" t="str">
        <f t="shared" si="62"/>
        <v/>
      </c>
      <c r="DJ652" s="1072" t="str">
        <f t="shared" si="63"/>
        <v/>
      </c>
      <c r="DK652" s="1072" t="str">
        <f t="shared" si="64"/>
        <v/>
      </c>
      <c r="DL652" s="1072" t="str">
        <f t="shared" si="65"/>
        <v/>
      </c>
      <c r="DM652" s="1072" t="str">
        <f t="shared" si="66"/>
        <v/>
      </c>
      <c r="DN652" s="1072" t="str">
        <f t="shared" si="67"/>
        <v/>
      </c>
      <c r="DO652" s="1072" t="str">
        <f t="shared" si="68"/>
        <v/>
      </c>
      <c r="DP652" s="1072" t="str">
        <f t="shared" si="69"/>
        <v/>
      </c>
      <c r="DQ652" s="1072" t="str">
        <f t="shared" si="70"/>
        <v/>
      </c>
      <c r="DR652" s="1072" t="str">
        <f t="shared" si="71"/>
        <v/>
      </c>
      <c r="DS652" s="1072" t="str">
        <f t="shared" si="72"/>
        <v/>
      </c>
      <c r="DT652" s="1072" t="str">
        <f t="shared" si="73"/>
        <v/>
      </c>
      <c r="DU652" s="1072" t="str">
        <f t="shared" si="74"/>
        <v/>
      </c>
      <c r="DV652" s="1072" t="str">
        <f t="shared" si="75"/>
        <v/>
      </c>
      <c r="DW652" s="1072" t="str">
        <f t="shared" si="76"/>
        <v/>
      </c>
      <c r="DX652" s="1072" t="str">
        <f t="shared" si="77"/>
        <v/>
      </c>
      <c r="DY652" s="1072" t="str">
        <f t="shared" si="78"/>
        <v/>
      </c>
      <c r="DZ652" s="1072" t="str">
        <f t="shared" si="79"/>
        <v/>
      </c>
      <c r="EA652" s="1072" t="str">
        <f t="shared" si="80"/>
        <v/>
      </c>
      <c r="EB652" s="1072" t="str">
        <f t="shared" si="81"/>
        <v/>
      </c>
      <c r="EC652" s="1072" t="str">
        <f t="shared" si="82"/>
        <v/>
      </c>
      <c r="ED652" s="1072" t="str">
        <f t="shared" si="83"/>
        <v/>
      </c>
      <c r="EE652" s="1072" t="str">
        <f t="shared" si="84"/>
        <v/>
      </c>
      <c r="EF652" s="1072" t="str">
        <f t="shared" si="85"/>
        <v/>
      </c>
      <c r="EG652" s="1072" t="str">
        <f t="shared" si="86"/>
        <v/>
      </c>
      <c r="EH652" s="1072" t="str">
        <f t="shared" si="87"/>
        <v/>
      </c>
      <c r="EI652" s="1072" t="str">
        <f t="shared" si="88"/>
        <v/>
      </c>
      <c r="EJ652" s="1072" t="str">
        <f t="shared" si="89"/>
        <v/>
      </c>
      <c r="EK652" s="1072" t="str">
        <f t="shared" si="90"/>
        <v/>
      </c>
      <c r="EL652" s="1072" t="str">
        <f t="shared" si="91"/>
        <v/>
      </c>
      <c r="EM652" s="1072" t="str">
        <f t="shared" si="92"/>
        <v/>
      </c>
      <c r="EN652" s="1072" t="str">
        <f t="shared" si="93"/>
        <v/>
      </c>
      <c r="EO652" s="1072" t="str">
        <f t="shared" si="94"/>
        <v/>
      </c>
      <c r="EP652" s="1072" t="str">
        <f t="shared" si="95"/>
        <v/>
      </c>
      <c r="EQ652" s="1072" t="str">
        <f t="shared" si="96"/>
        <v/>
      </c>
      <c r="ER652" s="1072" t="str">
        <f t="shared" si="97"/>
        <v/>
      </c>
      <c r="ES652" s="1072" t="str">
        <f t="shared" si="98"/>
        <v/>
      </c>
      <c r="ET652" s="1072" t="str">
        <f t="shared" si="99"/>
        <v/>
      </c>
      <c r="EU652" s="1072" t="str">
        <f t="shared" si="100"/>
        <v/>
      </c>
      <c r="EV652" s="833" t="str">
        <f t="shared" si="101"/>
        <v/>
      </c>
      <c r="EW652" s="833" t="str">
        <f t="shared" si="102"/>
        <v/>
      </c>
      <c r="EX652" s="833" t="str">
        <f t="shared" si="103"/>
        <v/>
      </c>
      <c r="EY652" s="833" t="str">
        <f t="shared" si="104"/>
        <v/>
      </c>
      <c r="EZ652" s="833" t="str">
        <f t="shared" si="105"/>
        <v/>
      </c>
      <c r="FA652" s="833" t="str">
        <f t="shared" si="106"/>
        <v/>
      </c>
      <c r="FB652" s="833" t="str">
        <f t="shared" si="107"/>
        <v/>
      </c>
      <c r="FC652" s="833" t="str">
        <f t="shared" si="108"/>
        <v/>
      </c>
      <c r="FD652" s="833" t="str">
        <f t="shared" si="109"/>
        <v/>
      </c>
      <c r="FE652" s="833" t="str">
        <f t="shared" si="110"/>
        <v/>
      </c>
      <c r="FF652" s="833" t="str">
        <f t="shared" si="111"/>
        <v/>
      </c>
      <c r="FG652" s="833" t="str">
        <f t="shared" si="112"/>
        <v/>
      </c>
      <c r="FH652" s="833" t="str">
        <f t="shared" si="113"/>
        <v/>
      </c>
      <c r="FI652" s="833" t="str">
        <f t="shared" si="114"/>
        <v/>
      </c>
      <c r="FJ652" s="833" t="str">
        <f t="shared" si="115"/>
        <v/>
      </c>
      <c r="FK652" s="833" t="str">
        <f t="shared" si="116"/>
        <v/>
      </c>
      <c r="FL652" s="833" t="str">
        <f t="shared" si="117"/>
        <v/>
      </c>
      <c r="FM652" s="833" t="str">
        <f t="shared" si="118"/>
        <v/>
      </c>
      <c r="FN652" s="833" t="str">
        <f t="shared" si="119"/>
        <v/>
      </c>
      <c r="FO652" s="833" t="str">
        <f t="shared" si="120"/>
        <v/>
      </c>
      <c r="FP652" s="833" t="str">
        <f t="shared" si="121"/>
        <v/>
      </c>
      <c r="FQ652" s="833" t="str">
        <f t="shared" si="122"/>
        <v/>
      </c>
      <c r="FR652" s="833" t="str">
        <f t="shared" si="123"/>
        <v/>
      </c>
      <c r="FS652" s="833" t="str">
        <f t="shared" si="124"/>
        <v/>
      </c>
      <c r="FT652" s="833" t="str">
        <f t="shared" si="125"/>
        <v/>
      </c>
      <c r="FU652" s="833" t="str">
        <f t="shared" si="126"/>
        <v/>
      </c>
      <c r="FV652" s="833" t="str">
        <f t="shared" si="127"/>
        <v/>
      </c>
      <c r="FW652" s="833" t="str">
        <f t="shared" si="128"/>
        <v/>
      </c>
      <c r="FX652" s="833" t="str">
        <f t="shared" si="129"/>
        <v/>
      </c>
      <c r="FY652" s="833" t="str">
        <f t="shared" si="130"/>
        <v/>
      </c>
      <c r="FZ652" s="833" t="str">
        <f t="shared" si="131"/>
        <v/>
      </c>
      <c r="GA652" s="833" t="str">
        <f t="shared" si="132"/>
        <v/>
      </c>
      <c r="GB652" s="833" t="str">
        <f t="shared" si="133"/>
        <v/>
      </c>
      <c r="GC652" s="833" t="str">
        <f t="shared" si="134"/>
        <v/>
      </c>
      <c r="GD652" s="833" t="str">
        <f t="shared" si="135"/>
        <v/>
      </c>
      <c r="GE652" s="833" t="str">
        <f t="shared" si="136"/>
        <v/>
      </c>
      <c r="GF652" s="833" t="str">
        <f t="shared" si="137"/>
        <v/>
      </c>
      <c r="GG652" s="833" t="str">
        <f t="shared" si="138"/>
        <v/>
      </c>
      <c r="GH652" s="833" t="str">
        <f t="shared" si="139"/>
        <v/>
      </c>
      <c r="GI652" s="833" t="str">
        <f t="shared" si="140"/>
        <v/>
      </c>
      <c r="GJ652" s="833" t="str">
        <f t="shared" si="141"/>
        <v/>
      </c>
      <c r="GK652" s="833" t="str">
        <f t="shared" si="142"/>
        <v/>
      </c>
      <c r="GL652" s="833" t="str">
        <f t="shared" si="143"/>
        <v/>
      </c>
      <c r="GM652" s="833" t="str">
        <f t="shared" si="144"/>
        <v/>
      </c>
      <c r="GN652" s="833" t="str">
        <f t="shared" si="145"/>
        <v/>
      </c>
      <c r="GO652" s="1115" t="str">
        <f t="shared" si="146"/>
        <v/>
      </c>
      <c r="GP652" s="1115" t="str">
        <f t="shared" si="147"/>
        <v/>
      </c>
      <c r="GQ652" s="1115" t="str">
        <f t="shared" si="148"/>
        <v/>
      </c>
      <c r="GR652" s="1115" t="str">
        <f t="shared" si="149"/>
        <v/>
      </c>
      <c r="GS652" s="1115" t="str">
        <f t="shared" si="150"/>
        <v/>
      </c>
      <c r="GT652" s="1072" t="str">
        <f t="shared" si="151"/>
        <v/>
      </c>
      <c r="GU652" s="1072" t="str">
        <f t="shared" si="152"/>
        <v/>
      </c>
      <c r="GV652" s="1072" t="str">
        <f t="shared" si="153"/>
        <v/>
      </c>
      <c r="GW652" s="1072" t="str">
        <f t="shared" si="154"/>
        <v/>
      </c>
      <c r="GX652" s="1072" t="str">
        <f t="shared" si="155"/>
        <v/>
      </c>
      <c r="GY652" s="1072" t="str">
        <f t="shared" si="156"/>
        <v/>
      </c>
      <c r="GZ652" s="1072" t="str">
        <f t="shared" si="157"/>
        <v/>
      </c>
      <c r="HA652" s="1072" t="str">
        <f t="shared" si="158"/>
        <v/>
      </c>
      <c r="HB652" s="1072" t="str">
        <f t="shared" si="159"/>
        <v/>
      </c>
      <c r="HC652" s="1072" t="str">
        <f t="shared" si="160"/>
        <v/>
      </c>
      <c r="HD652" s="1072" t="str">
        <f t="shared" si="161"/>
        <v/>
      </c>
      <c r="HE652" s="1072" t="str">
        <f t="shared" si="162"/>
        <v/>
      </c>
      <c r="HF652" s="1072" t="str">
        <f t="shared" si="163"/>
        <v/>
      </c>
      <c r="HG652" s="1072" t="str">
        <f t="shared" si="164"/>
        <v/>
      </c>
      <c r="HH652" s="1072" t="str">
        <f t="shared" si="165"/>
        <v/>
      </c>
      <c r="HI652" s="1072" t="str">
        <f t="shared" si="166"/>
        <v/>
      </c>
      <c r="HJ652" s="1072" t="str">
        <f t="shared" si="167"/>
        <v/>
      </c>
      <c r="HK652" s="1072" t="str">
        <f t="shared" si="168"/>
        <v/>
      </c>
      <c r="HL652" s="1072" t="str">
        <f t="shared" si="169"/>
        <v/>
      </c>
      <c r="HM652" s="1072" t="str">
        <f t="shared" si="170"/>
        <v/>
      </c>
    </row>
    <row r="653" spans="1:221" ht="13.15" customHeight="1">
      <c r="A653" s="1084" t="str">
        <f t="shared" si="171"/>
        <v/>
      </c>
      <c r="B653" s="1037" t="str">
        <f>'Part VI-Revenues &amp; Expenses'!B19</f>
        <v>&lt;&lt;Select&gt;&gt;</v>
      </c>
      <c r="C653" s="1038">
        <f>'Part VI-Revenues &amp; Expenses'!C19</f>
        <v>0</v>
      </c>
      <c r="D653" s="1039">
        <f>'Part VI-Revenues &amp; Expenses'!D19</f>
        <v>0</v>
      </c>
      <c r="E653" s="1040">
        <f>'Part VI-Revenues &amp; Expenses'!E19</f>
        <v>0</v>
      </c>
      <c r="F653" s="1040">
        <f>'Part VI-Revenues &amp; Expenses'!F19</f>
        <v>0</v>
      </c>
      <c r="G653" s="1040">
        <f>'Part VI-Revenues &amp; Expenses'!G19</f>
        <v>0</v>
      </c>
      <c r="H653" s="1040">
        <f>'Part VI-Revenues &amp; Expenses'!H19</f>
        <v>0</v>
      </c>
      <c r="I653" s="1040">
        <f>'Part VI-Revenues &amp; Expenses'!I19</f>
        <v>0</v>
      </c>
      <c r="J653" s="1103">
        <f>'Part VI-Revenues &amp; Expenses'!J19</f>
        <v>0</v>
      </c>
      <c r="K653" s="908">
        <f t="shared" si="172"/>
        <v>0</v>
      </c>
      <c r="L653" s="908">
        <f t="shared" si="0"/>
        <v>0</v>
      </c>
      <c r="M653" s="831">
        <f>'Part VI-Revenues &amp; Expenses'!M19</f>
        <v>0</v>
      </c>
      <c r="N653" s="831">
        <f>'Part VI-Revenues &amp; Expenses'!N19</f>
        <v>0</v>
      </c>
      <c r="O653" s="831">
        <f>'Part VI-Revenues &amp; Expenses'!O19</f>
        <v>0</v>
      </c>
      <c r="P653" s="909">
        <f t="shared" si="203"/>
        <v>0</v>
      </c>
      <c r="Q653" s="910" t="str">
        <f>'Part VI-Revenues &amp; Expenses'!Q19</f>
        <v/>
      </c>
      <c r="R653" s="909"/>
      <c r="S653" s="910"/>
      <c r="T653" s="1576"/>
      <c r="U653" s="1576"/>
      <c r="V653" s="1072" t="str">
        <f t="shared" si="1"/>
        <v/>
      </c>
      <c r="W653" s="1072" t="str">
        <f t="shared" si="2"/>
        <v/>
      </c>
      <c r="X653" s="1072" t="str">
        <f t="shared" si="3"/>
        <v/>
      </c>
      <c r="Y653" s="1072" t="str">
        <f t="shared" si="4"/>
        <v/>
      </c>
      <c r="Z653" s="1072" t="str">
        <f t="shared" si="5"/>
        <v/>
      </c>
      <c r="AA653" s="1072" t="str">
        <f t="shared" si="6"/>
        <v/>
      </c>
      <c r="AB653" s="1072" t="str">
        <f t="shared" si="7"/>
        <v/>
      </c>
      <c r="AC653" s="1072" t="str">
        <f t="shared" si="8"/>
        <v/>
      </c>
      <c r="AD653" s="1072" t="str">
        <f t="shared" si="9"/>
        <v/>
      </c>
      <c r="AE653" s="1072" t="str">
        <f t="shared" si="10"/>
        <v/>
      </c>
      <c r="AF653" s="1072" t="str">
        <f t="shared" si="11"/>
        <v/>
      </c>
      <c r="AG653" s="1072" t="str">
        <f t="shared" si="12"/>
        <v/>
      </c>
      <c r="AH653" s="1072" t="str">
        <f t="shared" si="13"/>
        <v/>
      </c>
      <c r="AI653" s="1072" t="str">
        <f t="shared" si="14"/>
        <v/>
      </c>
      <c r="AJ653" s="1072" t="str">
        <f t="shared" si="15"/>
        <v/>
      </c>
      <c r="AK653" s="1072" t="str">
        <f t="shared" si="16"/>
        <v/>
      </c>
      <c r="AL653" s="1072" t="str">
        <f t="shared" si="17"/>
        <v/>
      </c>
      <c r="AM653" s="1072" t="str">
        <f t="shared" si="18"/>
        <v/>
      </c>
      <c r="AN653" s="1072" t="str">
        <f t="shared" si="19"/>
        <v/>
      </c>
      <c r="AO653" s="1072" t="str">
        <f t="shared" si="20"/>
        <v/>
      </c>
      <c r="AP653" s="1072" t="str">
        <f t="shared" si="173"/>
        <v/>
      </c>
      <c r="AQ653" s="1072" t="str">
        <f t="shared" si="174"/>
        <v/>
      </c>
      <c r="AR653" s="1072" t="str">
        <f t="shared" si="175"/>
        <v/>
      </c>
      <c r="AS653" s="1072" t="str">
        <f t="shared" si="176"/>
        <v/>
      </c>
      <c r="AT653" s="1072" t="str">
        <f t="shared" si="177"/>
        <v/>
      </c>
      <c r="AU653" s="1072" t="str">
        <f t="shared" si="178"/>
        <v/>
      </c>
      <c r="AV653" s="1072" t="str">
        <f t="shared" si="179"/>
        <v/>
      </c>
      <c r="AW653" s="1072" t="str">
        <f t="shared" si="180"/>
        <v/>
      </c>
      <c r="AX653" s="1072" t="str">
        <f t="shared" si="181"/>
        <v/>
      </c>
      <c r="AY653" s="1072" t="str">
        <f t="shared" si="182"/>
        <v/>
      </c>
      <c r="AZ653" s="1072" t="str">
        <f t="shared" si="183"/>
        <v/>
      </c>
      <c r="BA653" s="1072" t="str">
        <f t="shared" si="184"/>
        <v/>
      </c>
      <c r="BB653" s="1072" t="str">
        <f t="shared" si="185"/>
        <v/>
      </c>
      <c r="BC653" s="1072" t="str">
        <f t="shared" si="186"/>
        <v/>
      </c>
      <c r="BD653" s="1072" t="str">
        <f t="shared" si="187"/>
        <v/>
      </c>
      <c r="BE653" s="1072" t="str">
        <f t="shared" si="188"/>
        <v/>
      </c>
      <c r="BF653" s="1072" t="str">
        <f t="shared" si="189"/>
        <v/>
      </c>
      <c r="BG653" s="1072" t="str">
        <f t="shared" si="190"/>
        <v/>
      </c>
      <c r="BH653" s="1072" t="str">
        <f t="shared" si="191"/>
        <v/>
      </c>
      <c r="BI653" s="1072" t="str">
        <f t="shared" si="192"/>
        <v/>
      </c>
      <c r="BJ653" s="1072" t="str">
        <f t="shared" si="193"/>
        <v/>
      </c>
      <c r="BK653" s="1072" t="str">
        <f t="shared" si="194"/>
        <v/>
      </c>
      <c r="BL653" s="1072" t="str">
        <f t="shared" si="195"/>
        <v/>
      </c>
      <c r="BM653" s="1072" t="str">
        <f t="shared" si="196"/>
        <v/>
      </c>
      <c r="BN653" s="1072" t="str">
        <f t="shared" si="197"/>
        <v/>
      </c>
      <c r="BO653" s="1072" t="str">
        <f t="shared" si="198"/>
        <v/>
      </c>
      <c r="BP653" s="1072" t="str">
        <f t="shared" si="199"/>
        <v/>
      </c>
      <c r="BQ653" s="1072" t="str">
        <f t="shared" si="200"/>
        <v/>
      </c>
      <c r="BR653" s="1072" t="str">
        <f t="shared" si="201"/>
        <v/>
      </c>
      <c r="BS653" s="1072" t="str">
        <f t="shared" si="202"/>
        <v/>
      </c>
      <c r="BT653" s="1072" t="str">
        <f t="shared" si="21"/>
        <v/>
      </c>
      <c r="BU653" s="1072" t="str">
        <f t="shared" si="22"/>
        <v/>
      </c>
      <c r="BV653" s="1072" t="str">
        <f t="shared" si="23"/>
        <v/>
      </c>
      <c r="BW653" s="1072" t="str">
        <f t="shared" si="24"/>
        <v/>
      </c>
      <c r="BX653" s="1072" t="str">
        <f t="shared" si="25"/>
        <v/>
      </c>
      <c r="BY653" s="1072" t="str">
        <f t="shared" si="26"/>
        <v/>
      </c>
      <c r="BZ653" s="1072" t="str">
        <f t="shared" si="27"/>
        <v/>
      </c>
      <c r="CA653" s="1072" t="str">
        <f t="shared" si="28"/>
        <v/>
      </c>
      <c r="CB653" s="1072" t="str">
        <f t="shared" si="29"/>
        <v/>
      </c>
      <c r="CC653" s="1072" t="str">
        <f t="shared" si="30"/>
        <v/>
      </c>
      <c r="CD653" s="1072" t="str">
        <f t="shared" si="31"/>
        <v/>
      </c>
      <c r="CE653" s="1072" t="str">
        <f t="shared" si="32"/>
        <v/>
      </c>
      <c r="CF653" s="1072" t="str">
        <f t="shared" si="33"/>
        <v/>
      </c>
      <c r="CG653" s="1072" t="str">
        <f t="shared" si="34"/>
        <v/>
      </c>
      <c r="CH653" s="1072" t="str">
        <f t="shared" si="35"/>
        <v/>
      </c>
      <c r="CI653" s="1072" t="str">
        <f t="shared" si="36"/>
        <v/>
      </c>
      <c r="CJ653" s="1072" t="str">
        <f t="shared" si="37"/>
        <v/>
      </c>
      <c r="CK653" s="1072" t="str">
        <f t="shared" si="38"/>
        <v/>
      </c>
      <c r="CL653" s="1072" t="str">
        <f t="shared" si="39"/>
        <v/>
      </c>
      <c r="CM653" s="1072" t="str">
        <f t="shared" si="40"/>
        <v/>
      </c>
      <c r="CN653" s="1072" t="str">
        <f t="shared" si="41"/>
        <v/>
      </c>
      <c r="CO653" s="1072" t="str">
        <f t="shared" si="42"/>
        <v/>
      </c>
      <c r="CP653" s="1072" t="str">
        <f t="shared" si="43"/>
        <v/>
      </c>
      <c r="CQ653" s="1072" t="str">
        <f t="shared" si="44"/>
        <v/>
      </c>
      <c r="CR653" s="1072" t="str">
        <f t="shared" si="45"/>
        <v/>
      </c>
      <c r="CS653" s="1072" t="str">
        <f t="shared" si="46"/>
        <v/>
      </c>
      <c r="CT653" s="1072" t="str">
        <f t="shared" si="47"/>
        <v/>
      </c>
      <c r="CU653" s="1072" t="str">
        <f t="shared" si="48"/>
        <v/>
      </c>
      <c r="CV653" s="1072" t="str">
        <f t="shared" si="49"/>
        <v/>
      </c>
      <c r="CW653" s="1072" t="str">
        <f t="shared" si="50"/>
        <v/>
      </c>
      <c r="CX653" s="1072" t="str">
        <f t="shared" si="51"/>
        <v/>
      </c>
      <c r="CY653" s="1072" t="str">
        <f t="shared" si="52"/>
        <v/>
      </c>
      <c r="CZ653" s="1072" t="str">
        <f t="shared" si="53"/>
        <v/>
      </c>
      <c r="DA653" s="1072" t="str">
        <f t="shared" si="54"/>
        <v/>
      </c>
      <c r="DB653" s="1072" t="str">
        <f t="shared" si="55"/>
        <v/>
      </c>
      <c r="DC653" s="1072" t="str">
        <f t="shared" si="56"/>
        <v/>
      </c>
      <c r="DD653" s="1072" t="str">
        <f t="shared" si="57"/>
        <v/>
      </c>
      <c r="DE653" s="1072" t="str">
        <f t="shared" si="58"/>
        <v/>
      </c>
      <c r="DF653" s="1072" t="str">
        <f t="shared" si="59"/>
        <v/>
      </c>
      <c r="DG653" s="1072" t="str">
        <f t="shared" si="60"/>
        <v/>
      </c>
      <c r="DH653" s="1072" t="str">
        <f t="shared" si="61"/>
        <v/>
      </c>
      <c r="DI653" s="1072" t="str">
        <f t="shared" si="62"/>
        <v/>
      </c>
      <c r="DJ653" s="1072" t="str">
        <f t="shared" si="63"/>
        <v/>
      </c>
      <c r="DK653" s="1072" t="str">
        <f t="shared" si="64"/>
        <v/>
      </c>
      <c r="DL653" s="1072" t="str">
        <f t="shared" si="65"/>
        <v/>
      </c>
      <c r="DM653" s="1072" t="str">
        <f t="shared" si="66"/>
        <v/>
      </c>
      <c r="DN653" s="1072" t="str">
        <f t="shared" si="67"/>
        <v/>
      </c>
      <c r="DO653" s="1072" t="str">
        <f t="shared" si="68"/>
        <v/>
      </c>
      <c r="DP653" s="1072" t="str">
        <f t="shared" si="69"/>
        <v/>
      </c>
      <c r="DQ653" s="1072" t="str">
        <f t="shared" si="70"/>
        <v/>
      </c>
      <c r="DR653" s="1072" t="str">
        <f t="shared" si="71"/>
        <v/>
      </c>
      <c r="DS653" s="1072" t="str">
        <f t="shared" si="72"/>
        <v/>
      </c>
      <c r="DT653" s="1072" t="str">
        <f t="shared" si="73"/>
        <v/>
      </c>
      <c r="DU653" s="1072" t="str">
        <f t="shared" si="74"/>
        <v/>
      </c>
      <c r="DV653" s="1072" t="str">
        <f t="shared" si="75"/>
        <v/>
      </c>
      <c r="DW653" s="1072" t="str">
        <f t="shared" si="76"/>
        <v/>
      </c>
      <c r="DX653" s="1072" t="str">
        <f t="shared" si="77"/>
        <v/>
      </c>
      <c r="DY653" s="1072" t="str">
        <f t="shared" si="78"/>
        <v/>
      </c>
      <c r="DZ653" s="1072" t="str">
        <f t="shared" si="79"/>
        <v/>
      </c>
      <c r="EA653" s="1072" t="str">
        <f t="shared" si="80"/>
        <v/>
      </c>
      <c r="EB653" s="1072" t="str">
        <f t="shared" si="81"/>
        <v/>
      </c>
      <c r="EC653" s="1072" t="str">
        <f t="shared" si="82"/>
        <v/>
      </c>
      <c r="ED653" s="1072" t="str">
        <f t="shared" si="83"/>
        <v/>
      </c>
      <c r="EE653" s="1072" t="str">
        <f t="shared" si="84"/>
        <v/>
      </c>
      <c r="EF653" s="1072" t="str">
        <f t="shared" si="85"/>
        <v/>
      </c>
      <c r="EG653" s="1072" t="str">
        <f t="shared" si="86"/>
        <v/>
      </c>
      <c r="EH653" s="1072" t="str">
        <f t="shared" si="87"/>
        <v/>
      </c>
      <c r="EI653" s="1072" t="str">
        <f t="shared" si="88"/>
        <v/>
      </c>
      <c r="EJ653" s="1072" t="str">
        <f t="shared" si="89"/>
        <v/>
      </c>
      <c r="EK653" s="1072" t="str">
        <f t="shared" si="90"/>
        <v/>
      </c>
      <c r="EL653" s="1072" t="str">
        <f t="shared" si="91"/>
        <v/>
      </c>
      <c r="EM653" s="1072" t="str">
        <f t="shared" si="92"/>
        <v/>
      </c>
      <c r="EN653" s="1072" t="str">
        <f t="shared" si="93"/>
        <v/>
      </c>
      <c r="EO653" s="1072" t="str">
        <f t="shared" si="94"/>
        <v/>
      </c>
      <c r="EP653" s="1072" t="str">
        <f t="shared" si="95"/>
        <v/>
      </c>
      <c r="EQ653" s="1072" t="str">
        <f t="shared" si="96"/>
        <v/>
      </c>
      <c r="ER653" s="1072" t="str">
        <f t="shared" si="97"/>
        <v/>
      </c>
      <c r="ES653" s="1072" t="str">
        <f t="shared" si="98"/>
        <v/>
      </c>
      <c r="ET653" s="1072" t="str">
        <f t="shared" si="99"/>
        <v/>
      </c>
      <c r="EU653" s="1072" t="str">
        <f t="shared" si="100"/>
        <v/>
      </c>
      <c r="EV653" s="833" t="str">
        <f t="shared" si="101"/>
        <v/>
      </c>
      <c r="EW653" s="833" t="str">
        <f t="shared" si="102"/>
        <v/>
      </c>
      <c r="EX653" s="833" t="str">
        <f t="shared" si="103"/>
        <v/>
      </c>
      <c r="EY653" s="833" t="str">
        <f t="shared" si="104"/>
        <v/>
      </c>
      <c r="EZ653" s="833" t="str">
        <f t="shared" si="105"/>
        <v/>
      </c>
      <c r="FA653" s="833" t="str">
        <f t="shared" si="106"/>
        <v/>
      </c>
      <c r="FB653" s="833" t="str">
        <f t="shared" si="107"/>
        <v/>
      </c>
      <c r="FC653" s="833" t="str">
        <f t="shared" si="108"/>
        <v/>
      </c>
      <c r="FD653" s="833" t="str">
        <f t="shared" si="109"/>
        <v/>
      </c>
      <c r="FE653" s="833" t="str">
        <f t="shared" si="110"/>
        <v/>
      </c>
      <c r="FF653" s="833" t="str">
        <f t="shared" si="111"/>
        <v/>
      </c>
      <c r="FG653" s="833" t="str">
        <f t="shared" si="112"/>
        <v/>
      </c>
      <c r="FH653" s="833" t="str">
        <f t="shared" si="113"/>
        <v/>
      </c>
      <c r="FI653" s="833" t="str">
        <f t="shared" si="114"/>
        <v/>
      </c>
      <c r="FJ653" s="833" t="str">
        <f t="shared" si="115"/>
        <v/>
      </c>
      <c r="FK653" s="833" t="str">
        <f t="shared" si="116"/>
        <v/>
      </c>
      <c r="FL653" s="833" t="str">
        <f t="shared" si="117"/>
        <v/>
      </c>
      <c r="FM653" s="833" t="str">
        <f t="shared" si="118"/>
        <v/>
      </c>
      <c r="FN653" s="833" t="str">
        <f t="shared" si="119"/>
        <v/>
      </c>
      <c r="FO653" s="833" t="str">
        <f t="shared" si="120"/>
        <v/>
      </c>
      <c r="FP653" s="833" t="str">
        <f t="shared" si="121"/>
        <v/>
      </c>
      <c r="FQ653" s="833" t="str">
        <f t="shared" si="122"/>
        <v/>
      </c>
      <c r="FR653" s="833" t="str">
        <f t="shared" si="123"/>
        <v/>
      </c>
      <c r="FS653" s="833" t="str">
        <f t="shared" si="124"/>
        <v/>
      </c>
      <c r="FT653" s="833" t="str">
        <f t="shared" si="125"/>
        <v/>
      </c>
      <c r="FU653" s="833" t="str">
        <f t="shared" si="126"/>
        <v/>
      </c>
      <c r="FV653" s="833" t="str">
        <f t="shared" si="127"/>
        <v/>
      </c>
      <c r="FW653" s="833" t="str">
        <f t="shared" si="128"/>
        <v/>
      </c>
      <c r="FX653" s="833" t="str">
        <f t="shared" si="129"/>
        <v/>
      </c>
      <c r="FY653" s="833" t="str">
        <f t="shared" si="130"/>
        <v/>
      </c>
      <c r="FZ653" s="833" t="str">
        <f t="shared" si="131"/>
        <v/>
      </c>
      <c r="GA653" s="833" t="str">
        <f t="shared" si="132"/>
        <v/>
      </c>
      <c r="GB653" s="833" t="str">
        <f t="shared" si="133"/>
        <v/>
      </c>
      <c r="GC653" s="833" t="str">
        <f t="shared" si="134"/>
        <v/>
      </c>
      <c r="GD653" s="833" t="str">
        <f t="shared" si="135"/>
        <v/>
      </c>
      <c r="GE653" s="833" t="str">
        <f t="shared" si="136"/>
        <v/>
      </c>
      <c r="GF653" s="833" t="str">
        <f t="shared" si="137"/>
        <v/>
      </c>
      <c r="GG653" s="833" t="str">
        <f t="shared" si="138"/>
        <v/>
      </c>
      <c r="GH653" s="833" t="str">
        <f t="shared" si="139"/>
        <v/>
      </c>
      <c r="GI653" s="833" t="str">
        <f t="shared" si="140"/>
        <v/>
      </c>
      <c r="GJ653" s="833" t="str">
        <f t="shared" si="141"/>
        <v/>
      </c>
      <c r="GK653" s="833" t="str">
        <f t="shared" si="142"/>
        <v/>
      </c>
      <c r="GL653" s="833" t="str">
        <f t="shared" si="143"/>
        <v/>
      </c>
      <c r="GM653" s="833" t="str">
        <f t="shared" si="144"/>
        <v/>
      </c>
      <c r="GN653" s="833" t="str">
        <f t="shared" si="145"/>
        <v/>
      </c>
      <c r="GO653" s="1115" t="str">
        <f t="shared" si="146"/>
        <v/>
      </c>
      <c r="GP653" s="1115" t="str">
        <f t="shared" si="147"/>
        <v/>
      </c>
      <c r="GQ653" s="1115" t="str">
        <f t="shared" si="148"/>
        <v/>
      </c>
      <c r="GR653" s="1115" t="str">
        <f t="shared" si="149"/>
        <v/>
      </c>
      <c r="GS653" s="1115" t="str">
        <f t="shared" si="150"/>
        <v/>
      </c>
      <c r="GT653" s="1072" t="str">
        <f t="shared" si="151"/>
        <v/>
      </c>
      <c r="GU653" s="1072" t="str">
        <f t="shared" si="152"/>
        <v/>
      </c>
      <c r="GV653" s="1072" t="str">
        <f t="shared" si="153"/>
        <v/>
      </c>
      <c r="GW653" s="1072" t="str">
        <f t="shared" si="154"/>
        <v/>
      </c>
      <c r="GX653" s="1072" t="str">
        <f t="shared" si="155"/>
        <v/>
      </c>
      <c r="GY653" s="1072" t="str">
        <f t="shared" si="156"/>
        <v/>
      </c>
      <c r="GZ653" s="1072" t="str">
        <f t="shared" si="157"/>
        <v/>
      </c>
      <c r="HA653" s="1072" t="str">
        <f t="shared" si="158"/>
        <v/>
      </c>
      <c r="HB653" s="1072" t="str">
        <f t="shared" si="159"/>
        <v/>
      </c>
      <c r="HC653" s="1072" t="str">
        <f t="shared" si="160"/>
        <v/>
      </c>
      <c r="HD653" s="1072" t="str">
        <f t="shared" si="161"/>
        <v/>
      </c>
      <c r="HE653" s="1072" t="str">
        <f t="shared" si="162"/>
        <v/>
      </c>
      <c r="HF653" s="1072" t="str">
        <f t="shared" si="163"/>
        <v/>
      </c>
      <c r="HG653" s="1072" t="str">
        <f t="shared" si="164"/>
        <v/>
      </c>
      <c r="HH653" s="1072" t="str">
        <f t="shared" si="165"/>
        <v/>
      </c>
      <c r="HI653" s="1072" t="str">
        <f t="shared" si="166"/>
        <v/>
      </c>
      <c r="HJ653" s="1072" t="str">
        <f t="shared" si="167"/>
        <v/>
      </c>
      <c r="HK653" s="1072" t="str">
        <f t="shared" si="168"/>
        <v/>
      </c>
      <c r="HL653" s="1072" t="str">
        <f t="shared" si="169"/>
        <v/>
      </c>
      <c r="HM653" s="1072" t="str">
        <f t="shared" si="170"/>
        <v/>
      </c>
    </row>
    <row r="654" spans="1:221" ht="13.15" customHeight="1">
      <c r="A654" s="1084" t="str">
        <f t="shared" si="171"/>
        <v/>
      </c>
      <c r="B654" s="1037" t="str">
        <f>'Part VI-Revenues &amp; Expenses'!B20</f>
        <v>&lt;&lt;Select&gt;&gt;</v>
      </c>
      <c r="C654" s="1038">
        <f>'Part VI-Revenues &amp; Expenses'!C20</f>
        <v>0</v>
      </c>
      <c r="D654" s="1039">
        <f>'Part VI-Revenues &amp; Expenses'!D20</f>
        <v>0</v>
      </c>
      <c r="E654" s="1040">
        <f>'Part VI-Revenues &amp; Expenses'!E20</f>
        <v>0</v>
      </c>
      <c r="F654" s="1040">
        <f>'Part VI-Revenues &amp; Expenses'!F20</f>
        <v>0</v>
      </c>
      <c r="G654" s="1040">
        <f>'Part VI-Revenues &amp; Expenses'!G20</f>
        <v>0</v>
      </c>
      <c r="H654" s="1040">
        <f>'Part VI-Revenues &amp; Expenses'!H20</f>
        <v>0</v>
      </c>
      <c r="I654" s="1040">
        <f>'Part VI-Revenues &amp; Expenses'!I20</f>
        <v>0</v>
      </c>
      <c r="J654" s="1103">
        <f>'Part VI-Revenues &amp; Expenses'!J20</f>
        <v>0</v>
      </c>
      <c r="K654" s="908">
        <f t="shared" si="172"/>
        <v>0</v>
      </c>
      <c r="L654" s="908">
        <f t="shared" si="0"/>
        <v>0</v>
      </c>
      <c r="M654" s="831">
        <f>'Part VI-Revenues &amp; Expenses'!M20</f>
        <v>0</v>
      </c>
      <c r="N654" s="831">
        <f>'Part VI-Revenues &amp; Expenses'!N20</f>
        <v>0</v>
      </c>
      <c r="O654" s="831">
        <f>'Part VI-Revenues &amp; Expenses'!O20</f>
        <v>0</v>
      </c>
      <c r="P654" s="909">
        <f t="shared" si="203"/>
        <v>0</v>
      </c>
      <c r="Q654" s="910" t="str">
        <f>'Part VI-Revenues &amp; Expenses'!Q20</f>
        <v/>
      </c>
      <c r="R654" s="909"/>
      <c r="S654" s="910"/>
      <c r="T654" s="1576"/>
      <c r="U654" s="1576"/>
      <c r="V654" s="1072" t="str">
        <f t="shared" si="1"/>
        <v/>
      </c>
      <c r="W654" s="1072" t="str">
        <f t="shared" si="2"/>
        <v/>
      </c>
      <c r="X654" s="1072" t="str">
        <f t="shared" si="3"/>
        <v/>
      </c>
      <c r="Y654" s="1072" t="str">
        <f t="shared" si="4"/>
        <v/>
      </c>
      <c r="Z654" s="1072" t="str">
        <f t="shared" si="5"/>
        <v/>
      </c>
      <c r="AA654" s="1072" t="str">
        <f t="shared" si="6"/>
        <v/>
      </c>
      <c r="AB654" s="1072" t="str">
        <f t="shared" si="7"/>
        <v/>
      </c>
      <c r="AC654" s="1072" t="str">
        <f t="shared" si="8"/>
        <v/>
      </c>
      <c r="AD654" s="1072" t="str">
        <f t="shared" si="9"/>
        <v/>
      </c>
      <c r="AE654" s="1072" t="str">
        <f t="shared" si="10"/>
        <v/>
      </c>
      <c r="AF654" s="1072" t="str">
        <f t="shared" si="11"/>
        <v/>
      </c>
      <c r="AG654" s="1072" t="str">
        <f t="shared" si="12"/>
        <v/>
      </c>
      <c r="AH654" s="1072" t="str">
        <f t="shared" si="13"/>
        <v/>
      </c>
      <c r="AI654" s="1072" t="str">
        <f t="shared" si="14"/>
        <v/>
      </c>
      <c r="AJ654" s="1072" t="str">
        <f t="shared" si="15"/>
        <v/>
      </c>
      <c r="AK654" s="1072" t="str">
        <f t="shared" si="16"/>
        <v/>
      </c>
      <c r="AL654" s="1072" t="str">
        <f t="shared" si="17"/>
        <v/>
      </c>
      <c r="AM654" s="1072" t="str">
        <f t="shared" si="18"/>
        <v/>
      </c>
      <c r="AN654" s="1072" t="str">
        <f t="shared" si="19"/>
        <v/>
      </c>
      <c r="AO654" s="1072" t="str">
        <f t="shared" si="20"/>
        <v/>
      </c>
      <c r="AP654" s="1072" t="str">
        <f t="shared" si="173"/>
        <v/>
      </c>
      <c r="AQ654" s="1072" t="str">
        <f t="shared" si="174"/>
        <v/>
      </c>
      <c r="AR654" s="1072" t="str">
        <f t="shared" si="175"/>
        <v/>
      </c>
      <c r="AS654" s="1072" t="str">
        <f t="shared" si="176"/>
        <v/>
      </c>
      <c r="AT654" s="1072" t="str">
        <f t="shared" si="177"/>
        <v/>
      </c>
      <c r="AU654" s="1072" t="str">
        <f t="shared" si="178"/>
        <v/>
      </c>
      <c r="AV654" s="1072" t="str">
        <f t="shared" si="179"/>
        <v/>
      </c>
      <c r="AW654" s="1072" t="str">
        <f t="shared" si="180"/>
        <v/>
      </c>
      <c r="AX654" s="1072" t="str">
        <f t="shared" si="181"/>
        <v/>
      </c>
      <c r="AY654" s="1072" t="str">
        <f t="shared" si="182"/>
        <v/>
      </c>
      <c r="AZ654" s="1072" t="str">
        <f t="shared" si="183"/>
        <v/>
      </c>
      <c r="BA654" s="1072" t="str">
        <f t="shared" si="184"/>
        <v/>
      </c>
      <c r="BB654" s="1072" t="str">
        <f t="shared" si="185"/>
        <v/>
      </c>
      <c r="BC654" s="1072" t="str">
        <f t="shared" si="186"/>
        <v/>
      </c>
      <c r="BD654" s="1072" t="str">
        <f t="shared" si="187"/>
        <v/>
      </c>
      <c r="BE654" s="1072" t="str">
        <f t="shared" si="188"/>
        <v/>
      </c>
      <c r="BF654" s="1072" t="str">
        <f t="shared" si="189"/>
        <v/>
      </c>
      <c r="BG654" s="1072" t="str">
        <f t="shared" si="190"/>
        <v/>
      </c>
      <c r="BH654" s="1072" t="str">
        <f t="shared" si="191"/>
        <v/>
      </c>
      <c r="BI654" s="1072" t="str">
        <f t="shared" si="192"/>
        <v/>
      </c>
      <c r="BJ654" s="1072" t="str">
        <f t="shared" si="193"/>
        <v/>
      </c>
      <c r="BK654" s="1072" t="str">
        <f t="shared" si="194"/>
        <v/>
      </c>
      <c r="BL654" s="1072" t="str">
        <f t="shared" si="195"/>
        <v/>
      </c>
      <c r="BM654" s="1072" t="str">
        <f t="shared" si="196"/>
        <v/>
      </c>
      <c r="BN654" s="1072" t="str">
        <f t="shared" si="197"/>
        <v/>
      </c>
      <c r="BO654" s="1072" t="str">
        <f t="shared" si="198"/>
        <v/>
      </c>
      <c r="BP654" s="1072" t="str">
        <f t="shared" si="199"/>
        <v/>
      </c>
      <c r="BQ654" s="1072" t="str">
        <f t="shared" si="200"/>
        <v/>
      </c>
      <c r="BR654" s="1072" t="str">
        <f t="shared" si="201"/>
        <v/>
      </c>
      <c r="BS654" s="1072" t="str">
        <f t="shared" si="202"/>
        <v/>
      </c>
      <c r="BT654" s="1072" t="str">
        <f t="shared" si="21"/>
        <v/>
      </c>
      <c r="BU654" s="1072" t="str">
        <f t="shared" si="22"/>
        <v/>
      </c>
      <c r="BV654" s="1072" t="str">
        <f t="shared" si="23"/>
        <v/>
      </c>
      <c r="BW654" s="1072" t="str">
        <f t="shared" si="24"/>
        <v/>
      </c>
      <c r="BX654" s="1072" t="str">
        <f t="shared" si="25"/>
        <v/>
      </c>
      <c r="BY654" s="1072" t="str">
        <f t="shared" si="26"/>
        <v/>
      </c>
      <c r="BZ654" s="1072" t="str">
        <f t="shared" si="27"/>
        <v/>
      </c>
      <c r="CA654" s="1072" t="str">
        <f t="shared" si="28"/>
        <v/>
      </c>
      <c r="CB654" s="1072" t="str">
        <f t="shared" si="29"/>
        <v/>
      </c>
      <c r="CC654" s="1072" t="str">
        <f t="shared" si="30"/>
        <v/>
      </c>
      <c r="CD654" s="1072" t="str">
        <f t="shared" si="31"/>
        <v/>
      </c>
      <c r="CE654" s="1072" t="str">
        <f t="shared" si="32"/>
        <v/>
      </c>
      <c r="CF654" s="1072" t="str">
        <f t="shared" si="33"/>
        <v/>
      </c>
      <c r="CG654" s="1072" t="str">
        <f t="shared" si="34"/>
        <v/>
      </c>
      <c r="CH654" s="1072" t="str">
        <f t="shared" si="35"/>
        <v/>
      </c>
      <c r="CI654" s="1072" t="str">
        <f t="shared" si="36"/>
        <v/>
      </c>
      <c r="CJ654" s="1072" t="str">
        <f t="shared" si="37"/>
        <v/>
      </c>
      <c r="CK654" s="1072" t="str">
        <f t="shared" si="38"/>
        <v/>
      </c>
      <c r="CL654" s="1072" t="str">
        <f t="shared" si="39"/>
        <v/>
      </c>
      <c r="CM654" s="1072" t="str">
        <f t="shared" si="40"/>
        <v/>
      </c>
      <c r="CN654" s="1072" t="str">
        <f t="shared" si="41"/>
        <v/>
      </c>
      <c r="CO654" s="1072" t="str">
        <f t="shared" si="42"/>
        <v/>
      </c>
      <c r="CP654" s="1072" t="str">
        <f t="shared" si="43"/>
        <v/>
      </c>
      <c r="CQ654" s="1072" t="str">
        <f t="shared" si="44"/>
        <v/>
      </c>
      <c r="CR654" s="1072" t="str">
        <f t="shared" si="45"/>
        <v/>
      </c>
      <c r="CS654" s="1072" t="str">
        <f t="shared" si="46"/>
        <v/>
      </c>
      <c r="CT654" s="1072" t="str">
        <f t="shared" si="47"/>
        <v/>
      </c>
      <c r="CU654" s="1072" t="str">
        <f t="shared" si="48"/>
        <v/>
      </c>
      <c r="CV654" s="1072" t="str">
        <f t="shared" si="49"/>
        <v/>
      </c>
      <c r="CW654" s="1072" t="str">
        <f t="shared" si="50"/>
        <v/>
      </c>
      <c r="CX654" s="1072" t="str">
        <f t="shared" si="51"/>
        <v/>
      </c>
      <c r="CY654" s="1072" t="str">
        <f t="shared" si="52"/>
        <v/>
      </c>
      <c r="CZ654" s="1072" t="str">
        <f t="shared" si="53"/>
        <v/>
      </c>
      <c r="DA654" s="1072" t="str">
        <f t="shared" si="54"/>
        <v/>
      </c>
      <c r="DB654" s="1072" t="str">
        <f t="shared" si="55"/>
        <v/>
      </c>
      <c r="DC654" s="1072" t="str">
        <f t="shared" si="56"/>
        <v/>
      </c>
      <c r="DD654" s="1072" t="str">
        <f t="shared" si="57"/>
        <v/>
      </c>
      <c r="DE654" s="1072" t="str">
        <f t="shared" si="58"/>
        <v/>
      </c>
      <c r="DF654" s="1072" t="str">
        <f t="shared" si="59"/>
        <v/>
      </c>
      <c r="DG654" s="1072" t="str">
        <f t="shared" si="60"/>
        <v/>
      </c>
      <c r="DH654" s="1072" t="str">
        <f t="shared" si="61"/>
        <v/>
      </c>
      <c r="DI654" s="1072" t="str">
        <f t="shared" si="62"/>
        <v/>
      </c>
      <c r="DJ654" s="1072" t="str">
        <f t="shared" si="63"/>
        <v/>
      </c>
      <c r="DK654" s="1072" t="str">
        <f t="shared" si="64"/>
        <v/>
      </c>
      <c r="DL654" s="1072" t="str">
        <f t="shared" si="65"/>
        <v/>
      </c>
      <c r="DM654" s="1072" t="str">
        <f t="shared" si="66"/>
        <v/>
      </c>
      <c r="DN654" s="1072" t="str">
        <f t="shared" si="67"/>
        <v/>
      </c>
      <c r="DO654" s="1072" t="str">
        <f t="shared" si="68"/>
        <v/>
      </c>
      <c r="DP654" s="1072" t="str">
        <f t="shared" si="69"/>
        <v/>
      </c>
      <c r="DQ654" s="1072" t="str">
        <f t="shared" si="70"/>
        <v/>
      </c>
      <c r="DR654" s="1072" t="str">
        <f t="shared" si="71"/>
        <v/>
      </c>
      <c r="DS654" s="1072" t="str">
        <f t="shared" si="72"/>
        <v/>
      </c>
      <c r="DT654" s="1072" t="str">
        <f t="shared" si="73"/>
        <v/>
      </c>
      <c r="DU654" s="1072" t="str">
        <f t="shared" si="74"/>
        <v/>
      </c>
      <c r="DV654" s="1072" t="str">
        <f t="shared" si="75"/>
        <v/>
      </c>
      <c r="DW654" s="1072" t="str">
        <f t="shared" si="76"/>
        <v/>
      </c>
      <c r="DX654" s="1072" t="str">
        <f t="shared" si="77"/>
        <v/>
      </c>
      <c r="DY654" s="1072" t="str">
        <f t="shared" si="78"/>
        <v/>
      </c>
      <c r="DZ654" s="1072" t="str">
        <f t="shared" si="79"/>
        <v/>
      </c>
      <c r="EA654" s="1072" t="str">
        <f t="shared" si="80"/>
        <v/>
      </c>
      <c r="EB654" s="1072" t="str">
        <f t="shared" si="81"/>
        <v/>
      </c>
      <c r="EC654" s="1072" t="str">
        <f t="shared" si="82"/>
        <v/>
      </c>
      <c r="ED654" s="1072" t="str">
        <f t="shared" si="83"/>
        <v/>
      </c>
      <c r="EE654" s="1072" t="str">
        <f t="shared" si="84"/>
        <v/>
      </c>
      <c r="EF654" s="1072" t="str">
        <f t="shared" si="85"/>
        <v/>
      </c>
      <c r="EG654" s="1072" t="str">
        <f t="shared" si="86"/>
        <v/>
      </c>
      <c r="EH654" s="1072" t="str">
        <f t="shared" si="87"/>
        <v/>
      </c>
      <c r="EI654" s="1072" t="str">
        <f t="shared" si="88"/>
        <v/>
      </c>
      <c r="EJ654" s="1072" t="str">
        <f t="shared" si="89"/>
        <v/>
      </c>
      <c r="EK654" s="1072" t="str">
        <f t="shared" si="90"/>
        <v/>
      </c>
      <c r="EL654" s="1072" t="str">
        <f t="shared" si="91"/>
        <v/>
      </c>
      <c r="EM654" s="1072" t="str">
        <f t="shared" si="92"/>
        <v/>
      </c>
      <c r="EN654" s="1072" t="str">
        <f t="shared" si="93"/>
        <v/>
      </c>
      <c r="EO654" s="1072" t="str">
        <f t="shared" si="94"/>
        <v/>
      </c>
      <c r="EP654" s="1072" t="str">
        <f t="shared" si="95"/>
        <v/>
      </c>
      <c r="EQ654" s="1072" t="str">
        <f t="shared" si="96"/>
        <v/>
      </c>
      <c r="ER654" s="1072" t="str">
        <f t="shared" si="97"/>
        <v/>
      </c>
      <c r="ES654" s="1072" t="str">
        <f t="shared" si="98"/>
        <v/>
      </c>
      <c r="ET654" s="1072" t="str">
        <f t="shared" si="99"/>
        <v/>
      </c>
      <c r="EU654" s="1072" t="str">
        <f t="shared" si="100"/>
        <v/>
      </c>
      <c r="EV654" s="833" t="str">
        <f t="shared" si="101"/>
        <v/>
      </c>
      <c r="EW654" s="833" t="str">
        <f t="shared" si="102"/>
        <v/>
      </c>
      <c r="EX654" s="833" t="str">
        <f t="shared" si="103"/>
        <v/>
      </c>
      <c r="EY654" s="833" t="str">
        <f t="shared" si="104"/>
        <v/>
      </c>
      <c r="EZ654" s="833" t="str">
        <f t="shared" si="105"/>
        <v/>
      </c>
      <c r="FA654" s="833" t="str">
        <f t="shared" si="106"/>
        <v/>
      </c>
      <c r="FB654" s="833" t="str">
        <f t="shared" si="107"/>
        <v/>
      </c>
      <c r="FC654" s="833" t="str">
        <f t="shared" si="108"/>
        <v/>
      </c>
      <c r="FD654" s="833" t="str">
        <f t="shared" si="109"/>
        <v/>
      </c>
      <c r="FE654" s="833" t="str">
        <f t="shared" si="110"/>
        <v/>
      </c>
      <c r="FF654" s="833" t="str">
        <f t="shared" si="111"/>
        <v/>
      </c>
      <c r="FG654" s="833" t="str">
        <f t="shared" si="112"/>
        <v/>
      </c>
      <c r="FH654" s="833" t="str">
        <f t="shared" si="113"/>
        <v/>
      </c>
      <c r="FI654" s="833" t="str">
        <f t="shared" si="114"/>
        <v/>
      </c>
      <c r="FJ654" s="833" t="str">
        <f t="shared" si="115"/>
        <v/>
      </c>
      <c r="FK654" s="833" t="str">
        <f t="shared" si="116"/>
        <v/>
      </c>
      <c r="FL654" s="833" t="str">
        <f t="shared" si="117"/>
        <v/>
      </c>
      <c r="FM654" s="833" t="str">
        <f t="shared" si="118"/>
        <v/>
      </c>
      <c r="FN654" s="833" t="str">
        <f t="shared" si="119"/>
        <v/>
      </c>
      <c r="FO654" s="833" t="str">
        <f t="shared" si="120"/>
        <v/>
      </c>
      <c r="FP654" s="833" t="str">
        <f t="shared" si="121"/>
        <v/>
      </c>
      <c r="FQ654" s="833" t="str">
        <f t="shared" si="122"/>
        <v/>
      </c>
      <c r="FR654" s="833" t="str">
        <f t="shared" si="123"/>
        <v/>
      </c>
      <c r="FS654" s="833" t="str">
        <f t="shared" si="124"/>
        <v/>
      </c>
      <c r="FT654" s="833" t="str">
        <f t="shared" si="125"/>
        <v/>
      </c>
      <c r="FU654" s="833" t="str">
        <f t="shared" si="126"/>
        <v/>
      </c>
      <c r="FV654" s="833" t="str">
        <f t="shared" si="127"/>
        <v/>
      </c>
      <c r="FW654" s="833" t="str">
        <f t="shared" si="128"/>
        <v/>
      </c>
      <c r="FX654" s="833" t="str">
        <f t="shared" si="129"/>
        <v/>
      </c>
      <c r="FY654" s="833" t="str">
        <f t="shared" si="130"/>
        <v/>
      </c>
      <c r="FZ654" s="833" t="str">
        <f t="shared" si="131"/>
        <v/>
      </c>
      <c r="GA654" s="833" t="str">
        <f t="shared" si="132"/>
        <v/>
      </c>
      <c r="GB654" s="833" t="str">
        <f t="shared" si="133"/>
        <v/>
      </c>
      <c r="GC654" s="833" t="str">
        <f t="shared" si="134"/>
        <v/>
      </c>
      <c r="GD654" s="833" t="str">
        <f t="shared" si="135"/>
        <v/>
      </c>
      <c r="GE654" s="833" t="str">
        <f t="shared" si="136"/>
        <v/>
      </c>
      <c r="GF654" s="833" t="str">
        <f t="shared" si="137"/>
        <v/>
      </c>
      <c r="GG654" s="833" t="str">
        <f t="shared" si="138"/>
        <v/>
      </c>
      <c r="GH654" s="833" t="str">
        <f t="shared" si="139"/>
        <v/>
      </c>
      <c r="GI654" s="833" t="str">
        <f t="shared" si="140"/>
        <v/>
      </c>
      <c r="GJ654" s="833" t="str">
        <f t="shared" si="141"/>
        <v/>
      </c>
      <c r="GK654" s="833" t="str">
        <f t="shared" si="142"/>
        <v/>
      </c>
      <c r="GL654" s="833" t="str">
        <f t="shared" si="143"/>
        <v/>
      </c>
      <c r="GM654" s="833" t="str">
        <f t="shared" si="144"/>
        <v/>
      </c>
      <c r="GN654" s="833" t="str">
        <f t="shared" si="145"/>
        <v/>
      </c>
      <c r="GO654" s="1115" t="str">
        <f t="shared" si="146"/>
        <v/>
      </c>
      <c r="GP654" s="1115" t="str">
        <f t="shared" si="147"/>
        <v/>
      </c>
      <c r="GQ654" s="1115" t="str">
        <f t="shared" si="148"/>
        <v/>
      </c>
      <c r="GR654" s="1115" t="str">
        <f t="shared" si="149"/>
        <v/>
      </c>
      <c r="GS654" s="1115" t="str">
        <f t="shared" si="150"/>
        <v/>
      </c>
      <c r="GT654" s="1072" t="str">
        <f t="shared" si="151"/>
        <v/>
      </c>
      <c r="GU654" s="1072" t="str">
        <f t="shared" si="152"/>
        <v/>
      </c>
      <c r="GV654" s="1072" t="str">
        <f t="shared" si="153"/>
        <v/>
      </c>
      <c r="GW654" s="1072" t="str">
        <f t="shared" si="154"/>
        <v/>
      </c>
      <c r="GX654" s="1072" t="str">
        <f t="shared" si="155"/>
        <v/>
      </c>
      <c r="GY654" s="1072" t="str">
        <f t="shared" si="156"/>
        <v/>
      </c>
      <c r="GZ654" s="1072" t="str">
        <f t="shared" si="157"/>
        <v/>
      </c>
      <c r="HA654" s="1072" t="str">
        <f t="shared" si="158"/>
        <v/>
      </c>
      <c r="HB654" s="1072" t="str">
        <f t="shared" si="159"/>
        <v/>
      </c>
      <c r="HC654" s="1072" t="str">
        <f t="shared" si="160"/>
        <v/>
      </c>
      <c r="HD654" s="1072" t="str">
        <f t="shared" si="161"/>
        <v/>
      </c>
      <c r="HE654" s="1072" t="str">
        <f t="shared" si="162"/>
        <v/>
      </c>
      <c r="HF654" s="1072" t="str">
        <f t="shared" si="163"/>
        <v/>
      </c>
      <c r="HG654" s="1072" t="str">
        <f t="shared" si="164"/>
        <v/>
      </c>
      <c r="HH654" s="1072" t="str">
        <f t="shared" si="165"/>
        <v/>
      </c>
      <c r="HI654" s="1072" t="str">
        <f t="shared" si="166"/>
        <v/>
      </c>
      <c r="HJ654" s="1072" t="str">
        <f t="shared" si="167"/>
        <v/>
      </c>
      <c r="HK654" s="1072" t="str">
        <f t="shared" si="168"/>
        <v/>
      </c>
      <c r="HL654" s="1072" t="str">
        <f t="shared" si="169"/>
        <v/>
      </c>
      <c r="HM654" s="1072" t="str">
        <f t="shared" si="170"/>
        <v/>
      </c>
    </row>
    <row r="655" spans="1:221" ht="13.15" customHeight="1">
      <c r="A655" s="1084" t="str">
        <f t="shared" si="171"/>
        <v/>
      </c>
      <c r="B655" s="1037" t="str">
        <f>'Part VI-Revenues &amp; Expenses'!B21</f>
        <v>&lt;&lt;Select&gt;&gt;</v>
      </c>
      <c r="C655" s="1038">
        <f>'Part VI-Revenues &amp; Expenses'!C21</f>
        <v>0</v>
      </c>
      <c r="D655" s="1039">
        <f>'Part VI-Revenues &amp; Expenses'!D21</f>
        <v>0</v>
      </c>
      <c r="E655" s="1040">
        <f>'Part VI-Revenues &amp; Expenses'!E21</f>
        <v>0</v>
      </c>
      <c r="F655" s="1040">
        <f>'Part VI-Revenues &amp; Expenses'!F21</f>
        <v>0</v>
      </c>
      <c r="G655" s="1040">
        <f>'Part VI-Revenues &amp; Expenses'!G21</f>
        <v>0</v>
      </c>
      <c r="H655" s="1040">
        <f>'Part VI-Revenues &amp; Expenses'!H21</f>
        <v>0</v>
      </c>
      <c r="I655" s="1040">
        <f>'Part VI-Revenues &amp; Expenses'!I21</f>
        <v>0</v>
      </c>
      <c r="J655" s="1103">
        <f>'Part VI-Revenues &amp; Expenses'!J21</f>
        <v>0</v>
      </c>
      <c r="K655" s="908">
        <f t="shared" si="172"/>
        <v>0</v>
      </c>
      <c r="L655" s="908">
        <f t="shared" si="0"/>
        <v>0</v>
      </c>
      <c r="M655" s="831">
        <f>'Part VI-Revenues &amp; Expenses'!M21</f>
        <v>0</v>
      </c>
      <c r="N655" s="831">
        <f>'Part VI-Revenues &amp; Expenses'!N21</f>
        <v>0</v>
      </c>
      <c r="O655" s="831">
        <f>'Part VI-Revenues &amp; Expenses'!O21</f>
        <v>0</v>
      </c>
      <c r="P655" s="909">
        <f t="shared" si="203"/>
        <v>0</v>
      </c>
      <c r="Q655" s="910" t="str">
        <f>'Part VI-Revenues &amp; Expenses'!Q21</f>
        <v/>
      </c>
      <c r="R655" s="909"/>
      <c r="S655" s="910"/>
      <c r="T655" s="1576"/>
      <c r="U655" s="1576"/>
      <c r="V655" s="1072" t="str">
        <f t="shared" si="1"/>
        <v/>
      </c>
      <c r="W655" s="1072" t="str">
        <f t="shared" si="2"/>
        <v/>
      </c>
      <c r="X655" s="1072" t="str">
        <f t="shared" si="3"/>
        <v/>
      </c>
      <c r="Y655" s="1072" t="str">
        <f t="shared" si="4"/>
        <v/>
      </c>
      <c r="Z655" s="1072" t="str">
        <f t="shared" si="5"/>
        <v/>
      </c>
      <c r="AA655" s="1072" t="str">
        <f t="shared" si="6"/>
        <v/>
      </c>
      <c r="AB655" s="1072" t="str">
        <f t="shared" si="7"/>
        <v/>
      </c>
      <c r="AC655" s="1072" t="str">
        <f t="shared" si="8"/>
        <v/>
      </c>
      <c r="AD655" s="1072" t="str">
        <f t="shared" si="9"/>
        <v/>
      </c>
      <c r="AE655" s="1072" t="str">
        <f t="shared" si="10"/>
        <v/>
      </c>
      <c r="AF655" s="1072" t="str">
        <f t="shared" si="11"/>
        <v/>
      </c>
      <c r="AG655" s="1072" t="str">
        <f t="shared" si="12"/>
        <v/>
      </c>
      <c r="AH655" s="1072" t="str">
        <f t="shared" si="13"/>
        <v/>
      </c>
      <c r="AI655" s="1072" t="str">
        <f t="shared" si="14"/>
        <v/>
      </c>
      <c r="AJ655" s="1072" t="str">
        <f t="shared" si="15"/>
        <v/>
      </c>
      <c r="AK655" s="1072" t="str">
        <f t="shared" si="16"/>
        <v/>
      </c>
      <c r="AL655" s="1072" t="str">
        <f t="shared" si="17"/>
        <v/>
      </c>
      <c r="AM655" s="1072" t="str">
        <f t="shared" si="18"/>
        <v/>
      </c>
      <c r="AN655" s="1072" t="str">
        <f t="shared" si="19"/>
        <v/>
      </c>
      <c r="AO655" s="1072" t="str">
        <f t="shared" si="20"/>
        <v/>
      </c>
      <c r="AP655" s="1072" t="str">
        <f t="shared" si="173"/>
        <v/>
      </c>
      <c r="AQ655" s="1072" t="str">
        <f t="shared" si="174"/>
        <v/>
      </c>
      <c r="AR655" s="1072" t="str">
        <f t="shared" si="175"/>
        <v/>
      </c>
      <c r="AS655" s="1072" t="str">
        <f t="shared" si="176"/>
        <v/>
      </c>
      <c r="AT655" s="1072" t="str">
        <f t="shared" si="177"/>
        <v/>
      </c>
      <c r="AU655" s="1072" t="str">
        <f t="shared" si="178"/>
        <v/>
      </c>
      <c r="AV655" s="1072" t="str">
        <f t="shared" si="179"/>
        <v/>
      </c>
      <c r="AW655" s="1072" t="str">
        <f t="shared" si="180"/>
        <v/>
      </c>
      <c r="AX655" s="1072" t="str">
        <f t="shared" si="181"/>
        <v/>
      </c>
      <c r="AY655" s="1072" t="str">
        <f t="shared" si="182"/>
        <v/>
      </c>
      <c r="AZ655" s="1072" t="str">
        <f t="shared" si="183"/>
        <v/>
      </c>
      <c r="BA655" s="1072" t="str">
        <f t="shared" si="184"/>
        <v/>
      </c>
      <c r="BB655" s="1072" t="str">
        <f t="shared" si="185"/>
        <v/>
      </c>
      <c r="BC655" s="1072" t="str">
        <f t="shared" si="186"/>
        <v/>
      </c>
      <c r="BD655" s="1072" t="str">
        <f t="shared" si="187"/>
        <v/>
      </c>
      <c r="BE655" s="1072" t="str">
        <f t="shared" si="188"/>
        <v/>
      </c>
      <c r="BF655" s="1072" t="str">
        <f t="shared" si="189"/>
        <v/>
      </c>
      <c r="BG655" s="1072" t="str">
        <f t="shared" si="190"/>
        <v/>
      </c>
      <c r="BH655" s="1072" t="str">
        <f t="shared" si="191"/>
        <v/>
      </c>
      <c r="BI655" s="1072" t="str">
        <f t="shared" si="192"/>
        <v/>
      </c>
      <c r="BJ655" s="1072" t="str">
        <f t="shared" si="193"/>
        <v/>
      </c>
      <c r="BK655" s="1072" t="str">
        <f t="shared" si="194"/>
        <v/>
      </c>
      <c r="BL655" s="1072" t="str">
        <f t="shared" si="195"/>
        <v/>
      </c>
      <c r="BM655" s="1072" t="str">
        <f t="shared" si="196"/>
        <v/>
      </c>
      <c r="BN655" s="1072" t="str">
        <f t="shared" si="197"/>
        <v/>
      </c>
      <c r="BO655" s="1072" t="str">
        <f t="shared" si="198"/>
        <v/>
      </c>
      <c r="BP655" s="1072" t="str">
        <f t="shared" si="199"/>
        <v/>
      </c>
      <c r="BQ655" s="1072" t="str">
        <f t="shared" si="200"/>
        <v/>
      </c>
      <c r="BR655" s="1072" t="str">
        <f t="shared" si="201"/>
        <v/>
      </c>
      <c r="BS655" s="1072" t="str">
        <f t="shared" si="202"/>
        <v/>
      </c>
      <c r="BT655" s="1072" t="str">
        <f t="shared" si="21"/>
        <v/>
      </c>
      <c r="BU655" s="1072" t="str">
        <f t="shared" si="22"/>
        <v/>
      </c>
      <c r="BV655" s="1072" t="str">
        <f t="shared" si="23"/>
        <v/>
      </c>
      <c r="BW655" s="1072" t="str">
        <f t="shared" si="24"/>
        <v/>
      </c>
      <c r="BX655" s="1072" t="str">
        <f t="shared" si="25"/>
        <v/>
      </c>
      <c r="BY655" s="1072" t="str">
        <f t="shared" si="26"/>
        <v/>
      </c>
      <c r="BZ655" s="1072" t="str">
        <f t="shared" si="27"/>
        <v/>
      </c>
      <c r="CA655" s="1072" t="str">
        <f t="shared" si="28"/>
        <v/>
      </c>
      <c r="CB655" s="1072" t="str">
        <f t="shared" si="29"/>
        <v/>
      </c>
      <c r="CC655" s="1072" t="str">
        <f t="shared" si="30"/>
        <v/>
      </c>
      <c r="CD655" s="1072" t="str">
        <f t="shared" si="31"/>
        <v/>
      </c>
      <c r="CE655" s="1072" t="str">
        <f t="shared" si="32"/>
        <v/>
      </c>
      <c r="CF655" s="1072" t="str">
        <f t="shared" si="33"/>
        <v/>
      </c>
      <c r="CG655" s="1072" t="str">
        <f t="shared" si="34"/>
        <v/>
      </c>
      <c r="CH655" s="1072" t="str">
        <f t="shared" si="35"/>
        <v/>
      </c>
      <c r="CI655" s="1072" t="str">
        <f t="shared" si="36"/>
        <v/>
      </c>
      <c r="CJ655" s="1072" t="str">
        <f t="shared" si="37"/>
        <v/>
      </c>
      <c r="CK655" s="1072" t="str">
        <f t="shared" si="38"/>
        <v/>
      </c>
      <c r="CL655" s="1072" t="str">
        <f t="shared" si="39"/>
        <v/>
      </c>
      <c r="CM655" s="1072" t="str">
        <f t="shared" si="40"/>
        <v/>
      </c>
      <c r="CN655" s="1072" t="str">
        <f t="shared" si="41"/>
        <v/>
      </c>
      <c r="CO655" s="1072" t="str">
        <f t="shared" si="42"/>
        <v/>
      </c>
      <c r="CP655" s="1072" t="str">
        <f t="shared" si="43"/>
        <v/>
      </c>
      <c r="CQ655" s="1072" t="str">
        <f t="shared" si="44"/>
        <v/>
      </c>
      <c r="CR655" s="1072" t="str">
        <f t="shared" si="45"/>
        <v/>
      </c>
      <c r="CS655" s="1072" t="str">
        <f t="shared" si="46"/>
        <v/>
      </c>
      <c r="CT655" s="1072" t="str">
        <f t="shared" si="47"/>
        <v/>
      </c>
      <c r="CU655" s="1072" t="str">
        <f t="shared" si="48"/>
        <v/>
      </c>
      <c r="CV655" s="1072" t="str">
        <f t="shared" si="49"/>
        <v/>
      </c>
      <c r="CW655" s="1072" t="str">
        <f t="shared" si="50"/>
        <v/>
      </c>
      <c r="CX655" s="1072" t="str">
        <f t="shared" si="51"/>
        <v/>
      </c>
      <c r="CY655" s="1072" t="str">
        <f t="shared" si="52"/>
        <v/>
      </c>
      <c r="CZ655" s="1072" t="str">
        <f t="shared" si="53"/>
        <v/>
      </c>
      <c r="DA655" s="1072" t="str">
        <f t="shared" si="54"/>
        <v/>
      </c>
      <c r="DB655" s="1072" t="str">
        <f t="shared" si="55"/>
        <v/>
      </c>
      <c r="DC655" s="1072" t="str">
        <f t="shared" si="56"/>
        <v/>
      </c>
      <c r="DD655" s="1072" t="str">
        <f t="shared" si="57"/>
        <v/>
      </c>
      <c r="DE655" s="1072" t="str">
        <f t="shared" si="58"/>
        <v/>
      </c>
      <c r="DF655" s="1072" t="str">
        <f t="shared" si="59"/>
        <v/>
      </c>
      <c r="DG655" s="1072" t="str">
        <f t="shared" si="60"/>
        <v/>
      </c>
      <c r="DH655" s="1072" t="str">
        <f t="shared" si="61"/>
        <v/>
      </c>
      <c r="DI655" s="1072" t="str">
        <f t="shared" si="62"/>
        <v/>
      </c>
      <c r="DJ655" s="1072" t="str">
        <f t="shared" si="63"/>
        <v/>
      </c>
      <c r="DK655" s="1072" t="str">
        <f t="shared" si="64"/>
        <v/>
      </c>
      <c r="DL655" s="1072" t="str">
        <f t="shared" si="65"/>
        <v/>
      </c>
      <c r="DM655" s="1072" t="str">
        <f t="shared" si="66"/>
        <v/>
      </c>
      <c r="DN655" s="1072" t="str">
        <f t="shared" si="67"/>
        <v/>
      </c>
      <c r="DO655" s="1072" t="str">
        <f t="shared" si="68"/>
        <v/>
      </c>
      <c r="DP655" s="1072" t="str">
        <f t="shared" si="69"/>
        <v/>
      </c>
      <c r="DQ655" s="1072" t="str">
        <f t="shared" si="70"/>
        <v/>
      </c>
      <c r="DR655" s="1072" t="str">
        <f t="shared" si="71"/>
        <v/>
      </c>
      <c r="DS655" s="1072" t="str">
        <f t="shared" si="72"/>
        <v/>
      </c>
      <c r="DT655" s="1072" t="str">
        <f t="shared" si="73"/>
        <v/>
      </c>
      <c r="DU655" s="1072" t="str">
        <f t="shared" si="74"/>
        <v/>
      </c>
      <c r="DV655" s="1072" t="str">
        <f t="shared" si="75"/>
        <v/>
      </c>
      <c r="DW655" s="1072" t="str">
        <f t="shared" si="76"/>
        <v/>
      </c>
      <c r="DX655" s="1072" t="str">
        <f t="shared" si="77"/>
        <v/>
      </c>
      <c r="DY655" s="1072" t="str">
        <f t="shared" si="78"/>
        <v/>
      </c>
      <c r="DZ655" s="1072" t="str">
        <f t="shared" si="79"/>
        <v/>
      </c>
      <c r="EA655" s="1072" t="str">
        <f t="shared" si="80"/>
        <v/>
      </c>
      <c r="EB655" s="1072" t="str">
        <f t="shared" si="81"/>
        <v/>
      </c>
      <c r="EC655" s="1072" t="str">
        <f t="shared" si="82"/>
        <v/>
      </c>
      <c r="ED655" s="1072" t="str">
        <f t="shared" si="83"/>
        <v/>
      </c>
      <c r="EE655" s="1072" t="str">
        <f t="shared" si="84"/>
        <v/>
      </c>
      <c r="EF655" s="1072" t="str">
        <f t="shared" si="85"/>
        <v/>
      </c>
      <c r="EG655" s="1072" t="str">
        <f t="shared" si="86"/>
        <v/>
      </c>
      <c r="EH655" s="1072" t="str">
        <f t="shared" si="87"/>
        <v/>
      </c>
      <c r="EI655" s="1072" t="str">
        <f t="shared" si="88"/>
        <v/>
      </c>
      <c r="EJ655" s="1072" t="str">
        <f t="shared" si="89"/>
        <v/>
      </c>
      <c r="EK655" s="1072" t="str">
        <f t="shared" si="90"/>
        <v/>
      </c>
      <c r="EL655" s="1072" t="str">
        <f t="shared" si="91"/>
        <v/>
      </c>
      <c r="EM655" s="1072" t="str">
        <f t="shared" si="92"/>
        <v/>
      </c>
      <c r="EN655" s="1072" t="str">
        <f t="shared" si="93"/>
        <v/>
      </c>
      <c r="EO655" s="1072" t="str">
        <f t="shared" si="94"/>
        <v/>
      </c>
      <c r="EP655" s="1072" t="str">
        <f t="shared" si="95"/>
        <v/>
      </c>
      <c r="EQ655" s="1072" t="str">
        <f t="shared" si="96"/>
        <v/>
      </c>
      <c r="ER655" s="1072" t="str">
        <f t="shared" si="97"/>
        <v/>
      </c>
      <c r="ES655" s="1072" t="str">
        <f t="shared" si="98"/>
        <v/>
      </c>
      <c r="ET655" s="1072" t="str">
        <f t="shared" si="99"/>
        <v/>
      </c>
      <c r="EU655" s="1072" t="str">
        <f t="shared" si="100"/>
        <v/>
      </c>
      <c r="EV655" s="833" t="str">
        <f t="shared" si="101"/>
        <v/>
      </c>
      <c r="EW655" s="833" t="str">
        <f t="shared" si="102"/>
        <v/>
      </c>
      <c r="EX655" s="833" t="str">
        <f t="shared" si="103"/>
        <v/>
      </c>
      <c r="EY655" s="833" t="str">
        <f t="shared" si="104"/>
        <v/>
      </c>
      <c r="EZ655" s="833" t="str">
        <f t="shared" si="105"/>
        <v/>
      </c>
      <c r="FA655" s="833" t="str">
        <f t="shared" si="106"/>
        <v/>
      </c>
      <c r="FB655" s="833" t="str">
        <f t="shared" si="107"/>
        <v/>
      </c>
      <c r="FC655" s="833" t="str">
        <f t="shared" si="108"/>
        <v/>
      </c>
      <c r="FD655" s="833" t="str">
        <f t="shared" si="109"/>
        <v/>
      </c>
      <c r="FE655" s="833" t="str">
        <f t="shared" si="110"/>
        <v/>
      </c>
      <c r="FF655" s="833" t="str">
        <f t="shared" si="111"/>
        <v/>
      </c>
      <c r="FG655" s="833" t="str">
        <f t="shared" si="112"/>
        <v/>
      </c>
      <c r="FH655" s="833" t="str">
        <f t="shared" si="113"/>
        <v/>
      </c>
      <c r="FI655" s="833" t="str">
        <f t="shared" si="114"/>
        <v/>
      </c>
      <c r="FJ655" s="833" t="str">
        <f t="shared" si="115"/>
        <v/>
      </c>
      <c r="FK655" s="833" t="str">
        <f t="shared" si="116"/>
        <v/>
      </c>
      <c r="FL655" s="833" t="str">
        <f t="shared" si="117"/>
        <v/>
      </c>
      <c r="FM655" s="833" t="str">
        <f t="shared" si="118"/>
        <v/>
      </c>
      <c r="FN655" s="833" t="str">
        <f t="shared" si="119"/>
        <v/>
      </c>
      <c r="FO655" s="833" t="str">
        <f t="shared" si="120"/>
        <v/>
      </c>
      <c r="FP655" s="833" t="str">
        <f t="shared" si="121"/>
        <v/>
      </c>
      <c r="FQ655" s="833" t="str">
        <f t="shared" si="122"/>
        <v/>
      </c>
      <c r="FR655" s="833" t="str">
        <f t="shared" si="123"/>
        <v/>
      </c>
      <c r="FS655" s="833" t="str">
        <f t="shared" si="124"/>
        <v/>
      </c>
      <c r="FT655" s="833" t="str">
        <f t="shared" si="125"/>
        <v/>
      </c>
      <c r="FU655" s="833" t="str">
        <f t="shared" si="126"/>
        <v/>
      </c>
      <c r="FV655" s="833" t="str">
        <f t="shared" si="127"/>
        <v/>
      </c>
      <c r="FW655" s="833" t="str">
        <f t="shared" si="128"/>
        <v/>
      </c>
      <c r="FX655" s="833" t="str">
        <f t="shared" si="129"/>
        <v/>
      </c>
      <c r="FY655" s="833" t="str">
        <f t="shared" si="130"/>
        <v/>
      </c>
      <c r="FZ655" s="833" t="str">
        <f t="shared" si="131"/>
        <v/>
      </c>
      <c r="GA655" s="833" t="str">
        <f t="shared" si="132"/>
        <v/>
      </c>
      <c r="GB655" s="833" t="str">
        <f t="shared" si="133"/>
        <v/>
      </c>
      <c r="GC655" s="833" t="str">
        <f t="shared" si="134"/>
        <v/>
      </c>
      <c r="GD655" s="833" t="str">
        <f t="shared" si="135"/>
        <v/>
      </c>
      <c r="GE655" s="833" t="str">
        <f t="shared" si="136"/>
        <v/>
      </c>
      <c r="GF655" s="833" t="str">
        <f t="shared" si="137"/>
        <v/>
      </c>
      <c r="GG655" s="833" t="str">
        <f t="shared" si="138"/>
        <v/>
      </c>
      <c r="GH655" s="833" t="str">
        <f t="shared" si="139"/>
        <v/>
      </c>
      <c r="GI655" s="833" t="str">
        <f t="shared" si="140"/>
        <v/>
      </c>
      <c r="GJ655" s="833" t="str">
        <f t="shared" si="141"/>
        <v/>
      </c>
      <c r="GK655" s="833" t="str">
        <f t="shared" si="142"/>
        <v/>
      </c>
      <c r="GL655" s="833" t="str">
        <f t="shared" si="143"/>
        <v/>
      </c>
      <c r="GM655" s="833" t="str">
        <f t="shared" si="144"/>
        <v/>
      </c>
      <c r="GN655" s="833" t="str">
        <f t="shared" si="145"/>
        <v/>
      </c>
      <c r="GO655" s="1115" t="str">
        <f t="shared" si="146"/>
        <v/>
      </c>
      <c r="GP655" s="1115" t="str">
        <f t="shared" si="147"/>
        <v/>
      </c>
      <c r="GQ655" s="1115" t="str">
        <f t="shared" si="148"/>
        <v/>
      </c>
      <c r="GR655" s="1115" t="str">
        <f t="shared" si="149"/>
        <v/>
      </c>
      <c r="GS655" s="1115" t="str">
        <f t="shared" si="150"/>
        <v/>
      </c>
      <c r="GT655" s="1072" t="str">
        <f t="shared" si="151"/>
        <v/>
      </c>
      <c r="GU655" s="1072" t="str">
        <f t="shared" si="152"/>
        <v/>
      </c>
      <c r="GV655" s="1072" t="str">
        <f t="shared" si="153"/>
        <v/>
      </c>
      <c r="GW655" s="1072" t="str">
        <f t="shared" si="154"/>
        <v/>
      </c>
      <c r="GX655" s="1072" t="str">
        <f t="shared" si="155"/>
        <v/>
      </c>
      <c r="GY655" s="1072" t="str">
        <f t="shared" si="156"/>
        <v/>
      </c>
      <c r="GZ655" s="1072" t="str">
        <f t="shared" si="157"/>
        <v/>
      </c>
      <c r="HA655" s="1072" t="str">
        <f t="shared" si="158"/>
        <v/>
      </c>
      <c r="HB655" s="1072" t="str">
        <f t="shared" si="159"/>
        <v/>
      </c>
      <c r="HC655" s="1072" t="str">
        <f t="shared" si="160"/>
        <v/>
      </c>
      <c r="HD655" s="1072" t="str">
        <f t="shared" si="161"/>
        <v/>
      </c>
      <c r="HE655" s="1072" t="str">
        <f t="shared" si="162"/>
        <v/>
      </c>
      <c r="HF655" s="1072" t="str">
        <f t="shared" si="163"/>
        <v/>
      </c>
      <c r="HG655" s="1072" t="str">
        <f t="shared" si="164"/>
        <v/>
      </c>
      <c r="HH655" s="1072" t="str">
        <f t="shared" si="165"/>
        <v/>
      </c>
      <c r="HI655" s="1072" t="str">
        <f t="shared" si="166"/>
        <v/>
      </c>
      <c r="HJ655" s="1072" t="str">
        <f t="shared" si="167"/>
        <v/>
      </c>
      <c r="HK655" s="1072" t="str">
        <f t="shared" si="168"/>
        <v/>
      </c>
      <c r="HL655" s="1072" t="str">
        <f t="shared" si="169"/>
        <v/>
      </c>
      <c r="HM655" s="1072" t="str">
        <f t="shared" si="170"/>
        <v/>
      </c>
    </row>
    <row r="656" spans="1:221" ht="13.15" customHeight="1">
      <c r="A656" s="1084" t="str">
        <f t="shared" si="171"/>
        <v/>
      </c>
      <c r="B656" s="1037" t="str">
        <f>'Part VI-Revenues &amp; Expenses'!B22</f>
        <v>&lt;&lt;Select&gt;&gt;</v>
      </c>
      <c r="C656" s="1038">
        <f>'Part VI-Revenues &amp; Expenses'!C22</f>
        <v>0</v>
      </c>
      <c r="D656" s="1039">
        <f>'Part VI-Revenues &amp; Expenses'!D22</f>
        <v>0</v>
      </c>
      <c r="E656" s="1040">
        <f>'Part VI-Revenues &amp; Expenses'!E22</f>
        <v>0</v>
      </c>
      <c r="F656" s="1040">
        <f>'Part VI-Revenues &amp; Expenses'!F22</f>
        <v>0</v>
      </c>
      <c r="G656" s="1040">
        <f>'Part VI-Revenues &amp; Expenses'!G22</f>
        <v>0</v>
      </c>
      <c r="H656" s="1040">
        <f>'Part VI-Revenues &amp; Expenses'!H22</f>
        <v>0</v>
      </c>
      <c r="I656" s="1040">
        <f>'Part VI-Revenues &amp; Expenses'!I22</f>
        <v>0</v>
      </c>
      <c r="J656" s="1103">
        <f>'Part VI-Revenues &amp; Expenses'!J22</f>
        <v>0</v>
      </c>
      <c r="K656" s="908">
        <f t="shared" si="172"/>
        <v>0</v>
      </c>
      <c r="L656" s="908">
        <f t="shared" si="0"/>
        <v>0</v>
      </c>
      <c r="M656" s="831">
        <f>'Part VI-Revenues &amp; Expenses'!M22</f>
        <v>0</v>
      </c>
      <c r="N656" s="831">
        <f>'Part VI-Revenues &amp; Expenses'!N22</f>
        <v>0</v>
      </c>
      <c r="O656" s="831">
        <f>'Part VI-Revenues &amp; Expenses'!O22</f>
        <v>0</v>
      </c>
      <c r="P656" s="909">
        <f t="shared" si="203"/>
        <v>0</v>
      </c>
      <c r="Q656" s="910" t="str">
        <f>'Part VI-Revenues &amp; Expenses'!Q22</f>
        <v/>
      </c>
      <c r="R656" s="909"/>
      <c r="S656" s="910"/>
      <c r="T656" s="1576"/>
      <c r="U656" s="1576"/>
      <c r="V656" s="1072" t="str">
        <f t="shared" si="1"/>
        <v/>
      </c>
      <c r="W656" s="1072" t="str">
        <f t="shared" si="2"/>
        <v/>
      </c>
      <c r="X656" s="1072" t="str">
        <f t="shared" si="3"/>
        <v/>
      </c>
      <c r="Y656" s="1072" t="str">
        <f t="shared" si="4"/>
        <v/>
      </c>
      <c r="Z656" s="1072" t="str">
        <f t="shared" si="5"/>
        <v/>
      </c>
      <c r="AA656" s="1072" t="str">
        <f t="shared" si="6"/>
        <v/>
      </c>
      <c r="AB656" s="1072" t="str">
        <f t="shared" si="7"/>
        <v/>
      </c>
      <c r="AC656" s="1072" t="str">
        <f t="shared" si="8"/>
        <v/>
      </c>
      <c r="AD656" s="1072" t="str">
        <f t="shared" si="9"/>
        <v/>
      </c>
      <c r="AE656" s="1072" t="str">
        <f t="shared" si="10"/>
        <v/>
      </c>
      <c r="AF656" s="1072" t="str">
        <f t="shared" si="11"/>
        <v/>
      </c>
      <c r="AG656" s="1072" t="str">
        <f t="shared" si="12"/>
        <v/>
      </c>
      <c r="AH656" s="1072" t="str">
        <f t="shared" si="13"/>
        <v/>
      </c>
      <c r="AI656" s="1072" t="str">
        <f t="shared" si="14"/>
        <v/>
      </c>
      <c r="AJ656" s="1072" t="str">
        <f t="shared" si="15"/>
        <v/>
      </c>
      <c r="AK656" s="1072" t="str">
        <f t="shared" si="16"/>
        <v/>
      </c>
      <c r="AL656" s="1072" t="str">
        <f t="shared" si="17"/>
        <v/>
      </c>
      <c r="AM656" s="1072" t="str">
        <f t="shared" si="18"/>
        <v/>
      </c>
      <c r="AN656" s="1072" t="str">
        <f t="shared" si="19"/>
        <v/>
      </c>
      <c r="AO656" s="1072" t="str">
        <f t="shared" si="20"/>
        <v/>
      </c>
      <c r="AP656" s="1072" t="str">
        <f t="shared" si="173"/>
        <v/>
      </c>
      <c r="AQ656" s="1072" t="str">
        <f t="shared" si="174"/>
        <v/>
      </c>
      <c r="AR656" s="1072" t="str">
        <f t="shared" si="175"/>
        <v/>
      </c>
      <c r="AS656" s="1072" t="str">
        <f t="shared" si="176"/>
        <v/>
      </c>
      <c r="AT656" s="1072" t="str">
        <f t="shared" si="177"/>
        <v/>
      </c>
      <c r="AU656" s="1072" t="str">
        <f t="shared" si="178"/>
        <v/>
      </c>
      <c r="AV656" s="1072" t="str">
        <f t="shared" si="179"/>
        <v/>
      </c>
      <c r="AW656" s="1072" t="str">
        <f t="shared" si="180"/>
        <v/>
      </c>
      <c r="AX656" s="1072" t="str">
        <f t="shared" si="181"/>
        <v/>
      </c>
      <c r="AY656" s="1072" t="str">
        <f t="shared" si="182"/>
        <v/>
      </c>
      <c r="AZ656" s="1072" t="str">
        <f t="shared" si="183"/>
        <v/>
      </c>
      <c r="BA656" s="1072" t="str">
        <f t="shared" si="184"/>
        <v/>
      </c>
      <c r="BB656" s="1072" t="str">
        <f t="shared" si="185"/>
        <v/>
      </c>
      <c r="BC656" s="1072" t="str">
        <f t="shared" si="186"/>
        <v/>
      </c>
      <c r="BD656" s="1072" t="str">
        <f t="shared" si="187"/>
        <v/>
      </c>
      <c r="BE656" s="1072" t="str">
        <f t="shared" si="188"/>
        <v/>
      </c>
      <c r="BF656" s="1072" t="str">
        <f t="shared" si="189"/>
        <v/>
      </c>
      <c r="BG656" s="1072" t="str">
        <f t="shared" si="190"/>
        <v/>
      </c>
      <c r="BH656" s="1072" t="str">
        <f t="shared" si="191"/>
        <v/>
      </c>
      <c r="BI656" s="1072" t="str">
        <f t="shared" si="192"/>
        <v/>
      </c>
      <c r="BJ656" s="1072" t="str">
        <f t="shared" si="193"/>
        <v/>
      </c>
      <c r="BK656" s="1072" t="str">
        <f t="shared" si="194"/>
        <v/>
      </c>
      <c r="BL656" s="1072" t="str">
        <f t="shared" si="195"/>
        <v/>
      </c>
      <c r="BM656" s="1072" t="str">
        <f t="shared" si="196"/>
        <v/>
      </c>
      <c r="BN656" s="1072" t="str">
        <f t="shared" si="197"/>
        <v/>
      </c>
      <c r="BO656" s="1072" t="str">
        <f t="shared" si="198"/>
        <v/>
      </c>
      <c r="BP656" s="1072" t="str">
        <f t="shared" si="199"/>
        <v/>
      </c>
      <c r="BQ656" s="1072" t="str">
        <f t="shared" si="200"/>
        <v/>
      </c>
      <c r="BR656" s="1072" t="str">
        <f t="shared" si="201"/>
        <v/>
      </c>
      <c r="BS656" s="1072" t="str">
        <f t="shared" si="202"/>
        <v/>
      </c>
      <c r="BT656" s="1072" t="str">
        <f t="shared" si="21"/>
        <v/>
      </c>
      <c r="BU656" s="1072" t="str">
        <f t="shared" si="22"/>
        <v/>
      </c>
      <c r="BV656" s="1072" t="str">
        <f t="shared" si="23"/>
        <v/>
      </c>
      <c r="BW656" s="1072" t="str">
        <f t="shared" si="24"/>
        <v/>
      </c>
      <c r="BX656" s="1072" t="str">
        <f t="shared" si="25"/>
        <v/>
      </c>
      <c r="BY656" s="1072" t="str">
        <f t="shared" si="26"/>
        <v/>
      </c>
      <c r="BZ656" s="1072" t="str">
        <f t="shared" si="27"/>
        <v/>
      </c>
      <c r="CA656" s="1072" t="str">
        <f t="shared" si="28"/>
        <v/>
      </c>
      <c r="CB656" s="1072" t="str">
        <f t="shared" si="29"/>
        <v/>
      </c>
      <c r="CC656" s="1072" t="str">
        <f t="shared" si="30"/>
        <v/>
      </c>
      <c r="CD656" s="1072" t="str">
        <f t="shared" si="31"/>
        <v/>
      </c>
      <c r="CE656" s="1072" t="str">
        <f t="shared" si="32"/>
        <v/>
      </c>
      <c r="CF656" s="1072" t="str">
        <f t="shared" si="33"/>
        <v/>
      </c>
      <c r="CG656" s="1072" t="str">
        <f t="shared" si="34"/>
        <v/>
      </c>
      <c r="CH656" s="1072" t="str">
        <f t="shared" si="35"/>
        <v/>
      </c>
      <c r="CI656" s="1072" t="str">
        <f t="shared" si="36"/>
        <v/>
      </c>
      <c r="CJ656" s="1072" t="str">
        <f t="shared" si="37"/>
        <v/>
      </c>
      <c r="CK656" s="1072" t="str">
        <f t="shared" si="38"/>
        <v/>
      </c>
      <c r="CL656" s="1072" t="str">
        <f t="shared" si="39"/>
        <v/>
      </c>
      <c r="CM656" s="1072" t="str">
        <f t="shared" si="40"/>
        <v/>
      </c>
      <c r="CN656" s="1072" t="str">
        <f t="shared" si="41"/>
        <v/>
      </c>
      <c r="CO656" s="1072" t="str">
        <f t="shared" si="42"/>
        <v/>
      </c>
      <c r="CP656" s="1072" t="str">
        <f t="shared" si="43"/>
        <v/>
      </c>
      <c r="CQ656" s="1072" t="str">
        <f t="shared" si="44"/>
        <v/>
      </c>
      <c r="CR656" s="1072" t="str">
        <f t="shared" si="45"/>
        <v/>
      </c>
      <c r="CS656" s="1072" t="str">
        <f t="shared" si="46"/>
        <v/>
      </c>
      <c r="CT656" s="1072" t="str">
        <f t="shared" si="47"/>
        <v/>
      </c>
      <c r="CU656" s="1072" t="str">
        <f t="shared" si="48"/>
        <v/>
      </c>
      <c r="CV656" s="1072" t="str">
        <f t="shared" si="49"/>
        <v/>
      </c>
      <c r="CW656" s="1072" t="str">
        <f t="shared" si="50"/>
        <v/>
      </c>
      <c r="CX656" s="1072" t="str">
        <f t="shared" si="51"/>
        <v/>
      </c>
      <c r="CY656" s="1072" t="str">
        <f t="shared" si="52"/>
        <v/>
      </c>
      <c r="CZ656" s="1072" t="str">
        <f t="shared" si="53"/>
        <v/>
      </c>
      <c r="DA656" s="1072" t="str">
        <f t="shared" si="54"/>
        <v/>
      </c>
      <c r="DB656" s="1072" t="str">
        <f t="shared" si="55"/>
        <v/>
      </c>
      <c r="DC656" s="1072" t="str">
        <f t="shared" si="56"/>
        <v/>
      </c>
      <c r="DD656" s="1072" t="str">
        <f t="shared" si="57"/>
        <v/>
      </c>
      <c r="DE656" s="1072" t="str">
        <f t="shared" si="58"/>
        <v/>
      </c>
      <c r="DF656" s="1072" t="str">
        <f t="shared" si="59"/>
        <v/>
      </c>
      <c r="DG656" s="1072" t="str">
        <f t="shared" si="60"/>
        <v/>
      </c>
      <c r="DH656" s="1072" t="str">
        <f t="shared" si="61"/>
        <v/>
      </c>
      <c r="DI656" s="1072" t="str">
        <f t="shared" si="62"/>
        <v/>
      </c>
      <c r="DJ656" s="1072" t="str">
        <f t="shared" si="63"/>
        <v/>
      </c>
      <c r="DK656" s="1072" t="str">
        <f t="shared" si="64"/>
        <v/>
      </c>
      <c r="DL656" s="1072" t="str">
        <f t="shared" si="65"/>
        <v/>
      </c>
      <c r="DM656" s="1072" t="str">
        <f t="shared" si="66"/>
        <v/>
      </c>
      <c r="DN656" s="1072" t="str">
        <f t="shared" si="67"/>
        <v/>
      </c>
      <c r="DO656" s="1072" t="str">
        <f t="shared" si="68"/>
        <v/>
      </c>
      <c r="DP656" s="1072" t="str">
        <f t="shared" si="69"/>
        <v/>
      </c>
      <c r="DQ656" s="1072" t="str">
        <f t="shared" si="70"/>
        <v/>
      </c>
      <c r="DR656" s="1072" t="str">
        <f t="shared" si="71"/>
        <v/>
      </c>
      <c r="DS656" s="1072" t="str">
        <f t="shared" si="72"/>
        <v/>
      </c>
      <c r="DT656" s="1072" t="str">
        <f t="shared" si="73"/>
        <v/>
      </c>
      <c r="DU656" s="1072" t="str">
        <f t="shared" si="74"/>
        <v/>
      </c>
      <c r="DV656" s="1072" t="str">
        <f t="shared" si="75"/>
        <v/>
      </c>
      <c r="DW656" s="1072" t="str">
        <f t="shared" si="76"/>
        <v/>
      </c>
      <c r="DX656" s="1072" t="str">
        <f t="shared" si="77"/>
        <v/>
      </c>
      <c r="DY656" s="1072" t="str">
        <f t="shared" si="78"/>
        <v/>
      </c>
      <c r="DZ656" s="1072" t="str">
        <f t="shared" si="79"/>
        <v/>
      </c>
      <c r="EA656" s="1072" t="str">
        <f t="shared" si="80"/>
        <v/>
      </c>
      <c r="EB656" s="1072" t="str">
        <f t="shared" si="81"/>
        <v/>
      </c>
      <c r="EC656" s="1072" t="str">
        <f t="shared" si="82"/>
        <v/>
      </c>
      <c r="ED656" s="1072" t="str">
        <f t="shared" si="83"/>
        <v/>
      </c>
      <c r="EE656" s="1072" t="str">
        <f t="shared" si="84"/>
        <v/>
      </c>
      <c r="EF656" s="1072" t="str">
        <f t="shared" si="85"/>
        <v/>
      </c>
      <c r="EG656" s="1072" t="str">
        <f t="shared" si="86"/>
        <v/>
      </c>
      <c r="EH656" s="1072" t="str">
        <f t="shared" si="87"/>
        <v/>
      </c>
      <c r="EI656" s="1072" t="str">
        <f t="shared" si="88"/>
        <v/>
      </c>
      <c r="EJ656" s="1072" t="str">
        <f t="shared" si="89"/>
        <v/>
      </c>
      <c r="EK656" s="1072" t="str">
        <f t="shared" si="90"/>
        <v/>
      </c>
      <c r="EL656" s="1072" t="str">
        <f t="shared" si="91"/>
        <v/>
      </c>
      <c r="EM656" s="1072" t="str">
        <f t="shared" si="92"/>
        <v/>
      </c>
      <c r="EN656" s="1072" t="str">
        <f t="shared" si="93"/>
        <v/>
      </c>
      <c r="EO656" s="1072" t="str">
        <f t="shared" si="94"/>
        <v/>
      </c>
      <c r="EP656" s="1072" t="str">
        <f t="shared" si="95"/>
        <v/>
      </c>
      <c r="EQ656" s="1072" t="str">
        <f t="shared" si="96"/>
        <v/>
      </c>
      <c r="ER656" s="1072" t="str">
        <f t="shared" si="97"/>
        <v/>
      </c>
      <c r="ES656" s="1072" t="str">
        <f t="shared" si="98"/>
        <v/>
      </c>
      <c r="ET656" s="1072" t="str">
        <f t="shared" si="99"/>
        <v/>
      </c>
      <c r="EU656" s="1072" t="str">
        <f t="shared" si="100"/>
        <v/>
      </c>
      <c r="EV656" s="833" t="str">
        <f t="shared" si="101"/>
        <v/>
      </c>
      <c r="EW656" s="833" t="str">
        <f t="shared" si="102"/>
        <v/>
      </c>
      <c r="EX656" s="833" t="str">
        <f t="shared" si="103"/>
        <v/>
      </c>
      <c r="EY656" s="833" t="str">
        <f t="shared" si="104"/>
        <v/>
      </c>
      <c r="EZ656" s="833" t="str">
        <f t="shared" si="105"/>
        <v/>
      </c>
      <c r="FA656" s="833" t="str">
        <f t="shared" si="106"/>
        <v/>
      </c>
      <c r="FB656" s="833" t="str">
        <f t="shared" si="107"/>
        <v/>
      </c>
      <c r="FC656" s="833" t="str">
        <f t="shared" si="108"/>
        <v/>
      </c>
      <c r="FD656" s="833" t="str">
        <f t="shared" si="109"/>
        <v/>
      </c>
      <c r="FE656" s="833" t="str">
        <f t="shared" si="110"/>
        <v/>
      </c>
      <c r="FF656" s="833" t="str">
        <f t="shared" si="111"/>
        <v/>
      </c>
      <c r="FG656" s="833" t="str">
        <f t="shared" si="112"/>
        <v/>
      </c>
      <c r="FH656" s="833" t="str">
        <f t="shared" si="113"/>
        <v/>
      </c>
      <c r="FI656" s="833" t="str">
        <f t="shared" si="114"/>
        <v/>
      </c>
      <c r="FJ656" s="833" t="str">
        <f t="shared" si="115"/>
        <v/>
      </c>
      <c r="FK656" s="833" t="str">
        <f t="shared" si="116"/>
        <v/>
      </c>
      <c r="FL656" s="833" t="str">
        <f t="shared" si="117"/>
        <v/>
      </c>
      <c r="FM656" s="833" t="str">
        <f t="shared" si="118"/>
        <v/>
      </c>
      <c r="FN656" s="833" t="str">
        <f t="shared" si="119"/>
        <v/>
      </c>
      <c r="FO656" s="833" t="str">
        <f t="shared" si="120"/>
        <v/>
      </c>
      <c r="FP656" s="833" t="str">
        <f t="shared" si="121"/>
        <v/>
      </c>
      <c r="FQ656" s="833" t="str">
        <f t="shared" si="122"/>
        <v/>
      </c>
      <c r="FR656" s="833" t="str">
        <f t="shared" si="123"/>
        <v/>
      </c>
      <c r="FS656" s="833" t="str">
        <f t="shared" si="124"/>
        <v/>
      </c>
      <c r="FT656" s="833" t="str">
        <f t="shared" si="125"/>
        <v/>
      </c>
      <c r="FU656" s="833" t="str">
        <f t="shared" si="126"/>
        <v/>
      </c>
      <c r="FV656" s="833" t="str">
        <f t="shared" si="127"/>
        <v/>
      </c>
      <c r="FW656" s="833" t="str">
        <f t="shared" si="128"/>
        <v/>
      </c>
      <c r="FX656" s="833" t="str">
        <f t="shared" si="129"/>
        <v/>
      </c>
      <c r="FY656" s="833" t="str">
        <f t="shared" si="130"/>
        <v/>
      </c>
      <c r="FZ656" s="833" t="str">
        <f t="shared" si="131"/>
        <v/>
      </c>
      <c r="GA656" s="833" t="str">
        <f t="shared" si="132"/>
        <v/>
      </c>
      <c r="GB656" s="833" t="str">
        <f t="shared" si="133"/>
        <v/>
      </c>
      <c r="GC656" s="833" t="str">
        <f t="shared" si="134"/>
        <v/>
      </c>
      <c r="GD656" s="833" t="str">
        <f t="shared" si="135"/>
        <v/>
      </c>
      <c r="GE656" s="833" t="str">
        <f t="shared" si="136"/>
        <v/>
      </c>
      <c r="GF656" s="833" t="str">
        <f t="shared" si="137"/>
        <v/>
      </c>
      <c r="GG656" s="833" t="str">
        <f t="shared" si="138"/>
        <v/>
      </c>
      <c r="GH656" s="833" t="str">
        <f t="shared" si="139"/>
        <v/>
      </c>
      <c r="GI656" s="833" t="str">
        <f t="shared" si="140"/>
        <v/>
      </c>
      <c r="GJ656" s="833" t="str">
        <f t="shared" si="141"/>
        <v/>
      </c>
      <c r="GK656" s="833" t="str">
        <f t="shared" si="142"/>
        <v/>
      </c>
      <c r="GL656" s="833" t="str">
        <f t="shared" si="143"/>
        <v/>
      </c>
      <c r="GM656" s="833" t="str">
        <f t="shared" si="144"/>
        <v/>
      </c>
      <c r="GN656" s="833" t="str">
        <f t="shared" si="145"/>
        <v/>
      </c>
      <c r="GO656" s="1115" t="str">
        <f t="shared" si="146"/>
        <v/>
      </c>
      <c r="GP656" s="1115" t="str">
        <f t="shared" si="147"/>
        <v/>
      </c>
      <c r="GQ656" s="1115" t="str">
        <f t="shared" si="148"/>
        <v/>
      </c>
      <c r="GR656" s="1115" t="str">
        <f t="shared" si="149"/>
        <v/>
      </c>
      <c r="GS656" s="1115" t="str">
        <f t="shared" si="150"/>
        <v/>
      </c>
      <c r="GT656" s="1072" t="str">
        <f t="shared" si="151"/>
        <v/>
      </c>
      <c r="GU656" s="1072" t="str">
        <f t="shared" si="152"/>
        <v/>
      </c>
      <c r="GV656" s="1072" t="str">
        <f t="shared" si="153"/>
        <v/>
      </c>
      <c r="GW656" s="1072" t="str">
        <f t="shared" si="154"/>
        <v/>
      </c>
      <c r="GX656" s="1072" t="str">
        <f t="shared" si="155"/>
        <v/>
      </c>
      <c r="GY656" s="1072" t="str">
        <f t="shared" si="156"/>
        <v/>
      </c>
      <c r="GZ656" s="1072" t="str">
        <f t="shared" si="157"/>
        <v/>
      </c>
      <c r="HA656" s="1072" t="str">
        <f t="shared" si="158"/>
        <v/>
      </c>
      <c r="HB656" s="1072" t="str">
        <f t="shared" si="159"/>
        <v/>
      </c>
      <c r="HC656" s="1072" t="str">
        <f t="shared" si="160"/>
        <v/>
      </c>
      <c r="HD656" s="1072" t="str">
        <f t="shared" si="161"/>
        <v/>
      </c>
      <c r="HE656" s="1072" t="str">
        <f t="shared" si="162"/>
        <v/>
      </c>
      <c r="HF656" s="1072" t="str">
        <f t="shared" si="163"/>
        <v/>
      </c>
      <c r="HG656" s="1072" t="str">
        <f t="shared" si="164"/>
        <v/>
      </c>
      <c r="HH656" s="1072" t="str">
        <f t="shared" si="165"/>
        <v/>
      </c>
      <c r="HI656" s="1072" t="str">
        <f t="shared" si="166"/>
        <v/>
      </c>
      <c r="HJ656" s="1072" t="str">
        <f t="shared" si="167"/>
        <v/>
      </c>
      <c r="HK656" s="1072" t="str">
        <f t="shared" si="168"/>
        <v/>
      </c>
      <c r="HL656" s="1072" t="str">
        <f t="shared" si="169"/>
        <v/>
      </c>
      <c r="HM656" s="1072" t="str">
        <f t="shared" si="170"/>
        <v/>
      </c>
    </row>
    <row r="657" spans="1:221" ht="13.15" customHeight="1">
      <c r="A657" s="1084" t="str">
        <f t="shared" si="171"/>
        <v/>
      </c>
      <c r="B657" s="1037" t="str">
        <f>'Part VI-Revenues &amp; Expenses'!B23</f>
        <v>&lt;&lt;Select&gt;&gt;</v>
      </c>
      <c r="C657" s="1038">
        <f>'Part VI-Revenues &amp; Expenses'!C23</f>
        <v>0</v>
      </c>
      <c r="D657" s="1039">
        <f>'Part VI-Revenues &amp; Expenses'!D23</f>
        <v>0</v>
      </c>
      <c r="E657" s="1040">
        <f>'Part VI-Revenues &amp; Expenses'!E23</f>
        <v>0</v>
      </c>
      <c r="F657" s="1040">
        <f>'Part VI-Revenues &amp; Expenses'!F23</f>
        <v>0</v>
      </c>
      <c r="G657" s="1040">
        <f>'Part VI-Revenues &amp; Expenses'!G23</f>
        <v>0</v>
      </c>
      <c r="H657" s="1040">
        <f>'Part VI-Revenues &amp; Expenses'!H23</f>
        <v>0</v>
      </c>
      <c r="I657" s="1040">
        <f>'Part VI-Revenues &amp; Expenses'!I23</f>
        <v>0</v>
      </c>
      <c r="J657" s="1103">
        <f>'Part VI-Revenues &amp; Expenses'!J23</f>
        <v>0</v>
      </c>
      <c r="K657" s="908">
        <f t="shared" si="172"/>
        <v>0</v>
      </c>
      <c r="L657" s="908">
        <f t="shared" si="0"/>
        <v>0</v>
      </c>
      <c r="M657" s="831">
        <f>'Part VI-Revenues &amp; Expenses'!M23</f>
        <v>0</v>
      </c>
      <c r="N657" s="831">
        <f>'Part VI-Revenues &amp; Expenses'!N23</f>
        <v>0</v>
      </c>
      <c r="O657" s="831">
        <f>'Part VI-Revenues &amp; Expenses'!O23</f>
        <v>0</v>
      </c>
      <c r="P657" s="909">
        <f t="shared" si="203"/>
        <v>0</v>
      </c>
      <c r="Q657" s="910" t="str">
        <f>'Part VI-Revenues &amp; Expenses'!Q23</f>
        <v/>
      </c>
      <c r="R657" s="909"/>
      <c r="S657" s="910"/>
      <c r="T657" s="1576"/>
      <c r="U657" s="1576"/>
      <c r="V657" s="1072" t="str">
        <f t="shared" si="1"/>
        <v/>
      </c>
      <c r="W657" s="1072" t="str">
        <f t="shared" si="2"/>
        <v/>
      </c>
      <c r="X657" s="1072" t="str">
        <f t="shared" si="3"/>
        <v/>
      </c>
      <c r="Y657" s="1072" t="str">
        <f t="shared" si="4"/>
        <v/>
      </c>
      <c r="Z657" s="1072" t="str">
        <f t="shared" si="5"/>
        <v/>
      </c>
      <c r="AA657" s="1072" t="str">
        <f t="shared" si="6"/>
        <v/>
      </c>
      <c r="AB657" s="1072" t="str">
        <f t="shared" si="7"/>
        <v/>
      </c>
      <c r="AC657" s="1072" t="str">
        <f t="shared" si="8"/>
        <v/>
      </c>
      <c r="AD657" s="1072" t="str">
        <f t="shared" si="9"/>
        <v/>
      </c>
      <c r="AE657" s="1072" t="str">
        <f t="shared" si="10"/>
        <v/>
      </c>
      <c r="AF657" s="1072" t="str">
        <f t="shared" si="11"/>
        <v/>
      </c>
      <c r="AG657" s="1072" t="str">
        <f t="shared" si="12"/>
        <v/>
      </c>
      <c r="AH657" s="1072" t="str">
        <f t="shared" si="13"/>
        <v/>
      </c>
      <c r="AI657" s="1072" t="str">
        <f t="shared" si="14"/>
        <v/>
      </c>
      <c r="AJ657" s="1072" t="str">
        <f t="shared" si="15"/>
        <v/>
      </c>
      <c r="AK657" s="1072" t="str">
        <f t="shared" si="16"/>
        <v/>
      </c>
      <c r="AL657" s="1072" t="str">
        <f t="shared" si="17"/>
        <v/>
      </c>
      <c r="AM657" s="1072" t="str">
        <f t="shared" si="18"/>
        <v/>
      </c>
      <c r="AN657" s="1072" t="str">
        <f t="shared" si="19"/>
        <v/>
      </c>
      <c r="AO657" s="1072" t="str">
        <f t="shared" si="20"/>
        <v/>
      </c>
      <c r="AP657" s="1072" t="str">
        <f t="shared" si="173"/>
        <v/>
      </c>
      <c r="AQ657" s="1072" t="str">
        <f t="shared" si="174"/>
        <v/>
      </c>
      <c r="AR657" s="1072" t="str">
        <f t="shared" si="175"/>
        <v/>
      </c>
      <c r="AS657" s="1072" t="str">
        <f t="shared" si="176"/>
        <v/>
      </c>
      <c r="AT657" s="1072" t="str">
        <f t="shared" si="177"/>
        <v/>
      </c>
      <c r="AU657" s="1072" t="str">
        <f t="shared" si="178"/>
        <v/>
      </c>
      <c r="AV657" s="1072" t="str">
        <f t="shared" si="179"/>
        <v/>
      </c>
      <c r="AW657" s="1072" t="str">
        <f t="shared" si="180"/>
        <v/>
      </c>
      <c r="AX657" s="1072" t="str">
        <f t="shared" si="181"/>
        <v/>
      </c>
      <c r="AY657" s="1072" t="str">
        <f t="shared" si="182"/>
        <v/>
      </c>
      <c r="AZ657" s="1072" t="str">
        <f t="shared" si="183"/>
        <v/>
      </c>
      <c r="BA657" s="1072" t="str">
        <f t="shared" si="184"/>
        <v/>
      </c>
      <c r="BB657" s="1072" t="str">
        <f t="shared" si="185"/>
        <v/>
      </c>
      <c r="BC657" s="1072" t="str">
        <f t="shared" si="186"/>
        <v/>
      </c>
      <c r="BD657" s="1072" t="str">
        <f t="shared" si="187"/>
        <v/>
      </c>
      <c r="BE657" s="1072" t="str">
        <f t="shared" si="188"/>
        <v/>
      </c>
      <c r="BF657" s="1072" t="str">
        <f t="shared" si="189"/>
        <v/>
      </c>
      <c r="BG657" s="1072" t="str">
        <f t="shared" si="190"/>
        <v/>
      </c>
      <c r="BH657" s="1072" t="str">
        <f t="shared" si="191"/>
        <v/>
      </c>
      <c r="BI657" s="1072" t="str">
        <f t="shared" si="192"/>
        <v/>
      </c>
      <c r="BJ657" s="1072" t="str">
        <f t="shared" si="193"/>
        <v/>
      </c>
      <c r="BK657" s="1072" t="str">
        <f t="shared" si="194"/>
        <v/>
      </c>
      <c r="BL657" s="1072" t="str">
        <f t="shared" si="195"/>
        <v/>
      </c>
      <c r="BM657" s="1072" t="str">
        <f t="shared" si="196"/>
        <v/>
      </c>
      <c r="BN657" s="1072" t="str">
        <f t="shared" si="197"/>
        <v/>
      </c>
      <c r="BO657" s="1072" t="str">
        <f t="shared" si="198"/>
        <v/>
      </c>
      <c r="BP657" s="1072" t="str">
        <f t="shared" si="199"/>
        <v/>
      </c>
      <c r="BQ657" s="1072" t="str">
        <f t="shared" si="200"/>
        <v/>
      </c>
      <c r="BR657" s="1072" t="str">
        <f t="shared" si="201"/>
        <v/>
      </c>
      <c r="BS657" s="1072" t="str">
        <f t="shared" si="202"/>
        <v/>
      </c>
      <c r="BT657" s="1072" t="str">
        <f t="shared" si="21"/>
        <v/>
      </c>
      <c r="BU657" s="1072" t="str">
        <f t="shared" si="22"/>
        <v/>
      </c>
      <c r="BV657" s="1072" t="str">
        <f t="shared" si="23"/>
        <v/>
      </c>
      <c r="BW657" s="1072" t="str">
        <f t="shared" si="24"/>
        <v/>
      </c>
      <c r="BX657" s="1072" t="str">
        <f t="shared" si="25"/>
        <v/>
      </c>
      <c r="BY657" s="1072" t="str">
        <f t="shared" si="26"/>
        <v/>
      </c>
      <c r="BZ657" s="1072" t="str">
        <f t="shared" si="27"/>
        <v/>
      </c>
      <c r="CA657" s="1072" t="str">
        <f t="shared" si="28"/>
        <v/>
      </c>
      <c r="CB657" s="1072" t="str">
        <f t="shared" si="29"/>
        <v/>
      </c>
      <c r="CC657" s="1072" t="str">
        <f t="shared" si="30"/>
        <v/>
      </c>
      <c r="CD657" s="1072" t="str">
        <f t="shared" si="31"/>
        <v/>
      </c>
      <c r="CE657" s="1072" t="str">
        <f t="shared" si="32"/>
        <v/>
      </c>
      <c r="CF657" s="1072" t="str">
        <f t="shared" si="33"/>
        <v/>
      </c>
      <c r="CG657" s="1072" t="str">
        <f t="shared" si="34"/>
        <v/>
      </c>
      <c r="CH657" s="1072" t="str">
        <f t="shared" si="35"/>
        <v/>
      </c>
      <c r="CI657" s="1072" t="str">
        <f t="shared" si="36"/>
        <v/>
      </c>
      <c r="CJ657" s="1072" t="str">
        <f t="shared" si="37"/>
        <v/>
      </c>
      <c r="CK657" s="1072" t="str">
        <f t="shared" si="38"/>
        <v/>
      </c>
      <c r="CL657" s="1072" t="str">
        <f t="shared" si="39"/>
        <v/>
      </c>
      <c r="CM657" s="1072" t="str">
        <f t="shared" si="40"/>
        <v/>
      </c>
      <c r="CN657" s="1072" t="str">
        <f t="shared" si="41"/>
        <v/>
      </c>
      <c r="CO657" s="1072" t="str">
        <f t="shared" si="42"/>
        <v/>
      </c>
      <c r="CP657" s="1072" t="str">
        <f t="shared" si="43"/>
        <v/>
      </c>
      <c r="CQ657" s="1072" t="str">
        <f t="shared" si="44"/>
        <v/>
      </c>
      <c r="CR657" s="1072" t="str">
        <f t="shared" si="45"/>
        <v/>
      </c>
      <c r="CS657" s="1072" t="str">
        <f t="shared" si="46"/>
        <v/>
      </c>
      <c r="CT657" s="1072" t="str">
        <f t="shared" si="47"/>
        <v/>
      </c>
      <c r="CU657" s="1072" t="str">
        <f t="shared" si="48"/>
        <v/>
      </c>
      <c r="CV657" s="1072" t="str">
        <f t="shared" si="49"/>
        <v/>
      </c>
      <c r="CW657" s="1072" t="str">
        <f t="shared" si="50"/>
        <v/>
      </c>
      <c r="CX657" s="1072" t="str">
        <f t="shared" si="51"/>
        <v/>
      </c>
      <c r="CY657" s="1072" t="str">
        <f t="shared" si="52"/>
        <v/>
      </c>
      <c r="CZ657" s="1072" t="str">
        <f t="shared" si="53"/>
        <v/>
      </c>
      <c r="DA657" s="1072" t="str">
        <f t="shared" si="54"/>
        <v/>
      </c>
      <c r="DB657" s="1072" t="str">
        <f t="shared" si="55"/>
        <v/>
      </c>
      <c r="DC657" s="1072" t="str">
        <f t="shared" si="56"/>
        <v/>
      </c>
      <c r="DD657" s="1072" t="str">
        <f t="shared" si="57"/>
        <v/>
      </c>
      <c r="DE657" s="1072" t="str">
        <f t="shared" si="58"/>
        <v/>
      </c>
      <c r="DF657" s="1072" t="str">
        <f t="shared" si="59"/>
        <v/>
      </c>
      <c r="DG657" s="1072" t="str">
        <f t="shared" si="60"/>
        <v/>
      </c>
      <c r="DH657" s="1072" t="str">
        <f t="shared" si="61"/>
        <v/>
      </c>
      <c r="DI657" s="1072" t="str">
        <f t="shared" si="62"/>
        <v/>
      </c>
      <c r="DJ657" s="1072" t="str">
        <f t="shared" si="63"/>
        <v/>
      </c>
      <c r="DK657" s="1072" t="str">
        <f t="shared" si="64"/>
        <v/>
      </c>
      <c r="DL657" s="1072" t="str">
        <f t="shared" si="65"/>
        <v/>
      </c>
      <c r="DM657" s="1072" t="str">
        <f t="shared" si="66"/>
        <v/>
      </c>
      <c r="DN657" s="1072" t="str">
        <f t="shared" si="67"/>
        <v/>
      </c>
      <c r="DO657" s="1072" t="str">
        <f t="shared" si="68"/>
        <v/>
      </c>
      <c r="DP657" s="1072" t="str">
        <f t="shared" si="69"/>
        <v/>
      </c>
      <c r="DQ657" s="1072" t="str">
        <f t="shared" si="70"/>
        <v/>
      </c>
      <c r="DR657" s="1072" t="str">
        <f t="shared" si="71"/>
        <v/>
      </c>
      <c r="DS657" s="1072" t="str">
        <f t="shared" si="72"/>
        <v/>
      </c>
      <c r="DT657" s="1072" t="str">
        <f t="shared" si="73"/>
        <v/>
      </c>
      <c r="DU657" s="1072" t="str">
        <f t="shared" si="74"/>
        <v/>
      </c>
      <c r="DV657" s="1072" t="str">
        <f t="shared" si="75"/>
        <v/>
      </c>
      <c r="DW657" s="1072" t="str">
        <f t="shared" si="76"/>
        <v/>
      </c>
      <c r="DX657" s="1072" t="str">
        <f t="shared" si="77"/>
        <v/>
      </c>
      <c r="DY657" s="1072" t="str">
        <f t="shared" si="78"/>
        <v/>
      </c>
      <c r="DZ657" s="1072" t="str">
        <f t="shared" si="79"/>
        <v/>
      </c>
      <c r="EA657" s="1072" t="str">
        <f t="shared" si="80"/>
        <v/>
      </c>
      <c r="EB657" s="1072" t="str">
        <f t="shared" si="81"/>
        <v/>
      </c>
      <c r="EC657" s="1072" t="str">
        <f t="shared" si="82"/>
        <v/>
      </c>
      <c r="ED657" s="1072" t="str">
        <f t="shared" si="83"/>
        <v/>
      </c>
      <c r="EE657" s="1072" t="str">
        <f t="shared" si="84"/>
        <v/>
      </c>
      <c r="EF657" s="1072" t="str">
        <f t="shared" si="85"/>
        <v/>
      </c>
      <c r="EG657" s="1072" t="str">
        <f t="shared" si="86"/>
        <v/>
      </c>
      <c r="EH657" s="1072" t="str">
        <f t="shared" si="87"/>
        <v/>
      </c>
      <c r="EI657" s="1072" t="str">
        <f t="shared" si="88"/>
        <v/>
      </c>
      <c r="EJ657" s="1072" t="str">
        <f t="shared" si="89"/>
        <v/>
      </c>
      <c r="EK657" s="1072" t="str">
        <f t="shared" si="90"/>
        <v/>
      </c>
      <c r="EL657" s="1072" t="str">
        <f t="shared" si="91"/>
        <v/>
      </c>
      <c r="EM657" s="1072" t="str">
        <f t="shared" si="92"/>
        <v/>
      </c>
      <c r="EN657" s="1072" t="str">
        <f t="shared" si="93"/>
        <v/>
      </c>
      <c r="EO657" s="1072" t="str">
        <f t="shared" si="94"/>
        <v/>
      </c>
      <c r="EP657" s="1072" t="str">
        <f t="shared" si="95"/>
        <v/>
      </c>
      <c r="EQ657" s="1072" t="str">
        <f t="shared" si="96"/>
        <v/>
      </c>
      <c r="ER657" s="1072" t="str">
        <f t="shared" si="97"/>
        <v/>
      </c>
      <c r="ES657" s="1072" t="str">
        <f t="shared" si="98"/>
        <v/>
      </c>
      <c r="ET657" s="1072" t="str">
        <f t="shared" si="99"/>
        <v/>
      </c>
      <c r="EU657" s="1072" t="str">
        <f t="shared" si="100"/>
        <v/>
      </c>
      <c r="EV657" s="833" t="str">
        <f t="shared" si="101"/>
        <v/>
      </c>
      <c r="EW657" s="833" t="str">
        <f t="shared" si="102"/>
        <v/>
      </c>
      <c r="EX657" s="833" t="str">
        <f t="shared" si="103"/>
        <v/>
      </c>
      <c r="EY657" s="833" t="str">
        <f t="shared" si="104"/>
        <v/>
      </c>
      <c r="EZ657" s="833" t="str">
        <f t="shared" si="105"/>
        <v/>
      </c>
      <c r="FA657" s="833" t="str">
        <f t="shared" si="106"/>
        <v/>
      </c>
      <c r="FB657" s="833" t="str">
        <f t="shared" si="107"/>
        <v/>
      </c>
      <c r="FC657" s="833" t="str">
        <f t="shared" si="108"/>
        <v/>
      </c>
      <c r="FD657" s="833" t="str">
        <f t="shared" si="109"/>
        <v/>
      </c>
      <c r="FE657" s="833" t="str">
        <f t="shared" si="110"/>
        <v/>
      </c>
      <c r="FF657" s="833" t="str">
        <f t="shared" si="111"/>
        <v/>
      </c>
      <c r="FG657" s="833" t="str">
        <f t="shared" si="112"/>
        <v/>
      </c>
      <c r="FH657" s="833" t="str">
        <f t="shared" si="113"/>
        <v/>
      </c>
      <c r="FI657" s="833" t="str">
        <f t="shared" si="114"/>
        <v/>
      </c>
      <c r="FJ657" s="833" t="str">
        <f t="shared" si="115"/>
        <v/>
      </c>
      <c r="FK657" s="833" t="str">
        <f t="shared" si="116"/>
        <v/>
      </c>
      <c r="FL657" s="833" t="str">
        <f t="shared" si="117"/>
        <v/>
      </c>
      <c r="FM657" s="833" t="str">
        <f t="shared" si="118"/>
        <v/>
      </c>
      <c r="FN657" s="833" t="str">
        <f t="shared" si="119"/>
        <v/>
      </c>
      <c r="FO657" s="833" t="str">
        <f t="shared" si="120"/>
        <v/>
      </c>
      <c r="FP657" s="833" t="str">
        <f t="shared" si="121"/>
        <v/>
      </c>
      <c r="FQ657" s="833" t="str">
        <f t="shared" si="122"/>
        <v/>
      </c>
      <c r="FR657" s="833" t="str">
        <f t="shared" si="123"/>
        <v/>
      </c>
      <c r="FS657" s="833" t="str">
        <f t="shared" si="124"/>
        <v/>
      </c>
      <c r="FT657" s="833" t="str">
        <f t="shared" si="125"/>
        <v/>
      </c>
      <c r="FU657" s="833" t="str">
        <f t="shared" si="126"/>
        <v/>
      </c>
      <c r="FV657" s="833" t="str">
        <f t="shared" si="127"/>
        <v/>
      </c>
      <c r="FW657" s="833" t="str">
        <f t="shared" si="128"/>
        <v/>
      </c>
      <c r="FX657" s="833" t="str">
        <f t="shared" si="129"/>
        <v/>
      </c>
      <c r="FY657" s="833" t="str">
        <f t="shared" si="130"/>
        <v/>
      </c>
      <c r="FZ657" s="833" t="str">
        <f t="shared" si="131"/>
        <v/>
      </c>
      <c r="GA657" s="833" t="str">
        <f t="shared" si="132"/>
        <v/>
      </c>
      <c r="GB657" s="833" t="str">
        <f t="shared" si="133"/>
        <v/>
      </c>
      <c r="GC657" s="833" t="str">
        <f t="shared" si="134"/>
        <v/>
      </c>
      <c r="GD657" s="833" t="str">
        <f t="shared" si="135"/>
        <v/>
      </c>
      <c r="GE657" s="833" t="str">
        <f t="shared" si="136"/>
        <v/>
      </c>
      <c r="GF657" s="833" t="str">
        <f t="shared" si="137"/>
        <v/>
      </c>
      <c r="GG657" s="833" t="str">
        <f t="shared" si="138"/>
        <v/>
      </c>
      <c r="GH657" s="833" t="str">
        <f t="shared" si="139"/>
        <v/>
      </c>
      <c r="GI657" s="833" t="str">
        <f t="shared" si="140"/>
        <v/>
      </c>
      <c r="GJ657" s="833" t="str">
        <f t="shared" si="141"/>
        <v/>
      </c>
      <c r="GK657" s="833" t="str">
        <f t="shared" si="142"/>
        <v/>
      </c>
      <c r="GL657" s="833" t="str">
        <f t="shared" si="143"/>
        <v/>
      </c>
      <c r="GM657" s="833" t="str">
        <f t="shared" si="144"/>
        <v/>
      </c>
      <c r="GN657" s="833" t="str">
        <f t="shared" si="145"/>
        <v/>
      </c>
      <c r="GO657" s="1115" t="str">
        <f t="shared" si="146"/>
        <v/>
      </c>
      <c r="GP657" s="1115" t="str">
        <f t="shared" si="147"/>
        <v/>
      </c>
      <c r="GQ657" s="1115" t="str">
        <f t="shared" si="148"/>
        <v/>
      </c>
      <c r="GR657" s="1115" t="str">
        <f t="shared" si="149"/>
        <v/>
      </c>
      <c r="GS657" s="1115" t="str">
        <f t="shared" si="150"/>
        <v/>
      </c>
      <c r="GT657" s="1072" t="str">
        <f t="shared" si="151"/>
        <v/>
      </c>
      <c r="GU657" s="1072" t="str">
        <f t="shared" si="152"/>
        <v/>
      </c>
      <c r="GV657" s="1072" t="str">
        <f t="shared" si="153"/>
        <v/>
      </c>
      <c r="GW657" s="1072" t="str">
        <f t="shared" si="154"/>
        <v/>
      </c>
      <c r="GX657" s="1072" t="str">
        <f t="shared" si="155"/>
        <v/>
      </c>
      <c r="GY657" s="1072" t="str">
        <f t="shared" si="156"/>
        <v/>
      </c>
      <c r="GZ657" s="1072" t="str">
        <f t="shared" si="157"/>
        <v/>
      </c>
      <c r="HA657" s="1072" t="str">
        <f t="shared" si="158"/>
        <v/>
      </c>
      <c r="HB657" s="1072" t="str">
        <f t="shared" si="159"/>
        <v/>
      </c>
      <c r="HC657" s="1072" t="str">
        <f t="shared" si="160"/>
        <v/>
      </c>
      <c r="HD657" s="1072" t="str">
        <f t="shared" si="161"/>
        <v/>
      </c>
      <c r="HE657" s="1072" t="str">
        <f t="shared" si="162"/>
        <v/>
      </c>
      <c r="HF657" s="1072" t="str">
        <f t="shared" si="163"/>
        <v/>
      </c>
      <c r="HG657" s="1072" t="str">
        <f t="shared" si="164"/>
        <v/>
      </c>
      <c r="HH657" s="1072" t="str">
        <f t="shared" si="165"/>
        <v/>
      </c>
      <c r="HI657" s="1072" t="str">
        <f t="shared" si="166"/>
        <v/>
      </c>
      <c r="HJ657" s="1072" t="str">
        <f t="shared" si="167"/>
        <v/>
      </c>
      <c r="HK657" s="1072" t="str">
        <f t="shared" si="168"/>
        <v/>
      </c>
      <c r="HL657" s="1072" t="str">
        <f t="shared" si="169"/>
        <v/>
      </c>
      <c r="HM657" s="1072" t="str">
        <f t="shared" si="170"/>
        <v/>
      </c>
    </row>
    <row r="658" spans="1:221" ht="13.15" customHeight="1">
      <c r="A658" s="1084" t="str">
        <f t="shared" si="171"/>
        <v/>
      </c>
      <c r="B658" s="1037" t="str">
        <f>'Part VI-Revenues &amp; Expenses'!B24</f>
        <v>&lt;&lt;Select&gt;&gt;</v>
      </c>
      <c r="C658" s="1038">
        <f>'Part VI-Revenues &amp; Expenses'!C24</f>
        <v>0</v>
      </c>
      <c r="D658" s="1039">
        <f>'Part VI-Revenues &amp; Expenses'!D24</f>
        <v>0</v>
      </c>
      <c r="E658" s="1040">
        <f>'Part VI-Revenues &amp; Expenses'!E24</f>
        <v>0</v>
      </c>
      <c r="F658" s="1040">
        <f>'Part VI-Revenues &amp; Expenses'!F24</f>
        <v>0</v>
      </c>
      <c r="G658" s="1040">
        <f>'Part VI-Revenues &amp; Expenses'!G24</f>
        <v>0</v>
      </c>
      <c r="H658" s="1040">
        <f>'Part VI-Revenues &amp; Expenses'!H24</f>
        <v>0</v>
      </c>
      <c r="I658" s="1040">
        <f>'Part VI-Revenues &amp; Expenses'!I24</f>
        <v>0</v>
      </c>
      <c r="J658" s="1103">
        <f>'Part VI-Revenues &amp; Expenses'!J24</f>
        <v>0</v>
      </c>
      <c r="K658" s="908">
        <f t="shared" si="172"/>
        <v>0</v>
      </c>
      <c r="L658" s="908">
        <f t="shared" si="0"/>
        <v>0</v>
      </c>
      <c r="M658" s="831">
        <f>'Part VI-Revenues &amp; Expenses'!M24</f>
        <v>0</v>
      </c>
      <c r="N658" s="831">
        <f>'Part VI-Revenues &amp; Expenses'!N24</f>
        <v>0</v>
      </c>
      <c r="O658" s="831">
        <f>'Part VI-Revenues &amp; Expenses'!O24</f>
        <v>0</v>
      </c>
      <c r="P658" s="909">
        <f t="shared" si="203"/>
        <v>0</v>
      </c>
      <c r="Q658" s="910" t="str">
        <f>'Part VI-Revenues &amp; Expenses'!Q24</f>
        <v/>
      </c>
      <c r="R658" s="909"/>
      <c r="S658" s="910"/>
      <c r="T658" s="1576"/>
      <c r="U658" s="1576"/>
      <c r="V658" s="1072" t="str">
        <f t="shared" si="1"/>
        <v/>
      </c>
      <c r="W658" s="1072" t="str">
        <f t="shared" si="2"/>
        <v/>
      </c>
      <c r="X658" s="1072" t="str">
        <f t="shared" si="3"/>
        <v/>
      </c>
      <c r="Y658" s="1072" t="str">
        <f t="shared" si="4"/>
        <v/>
      </c>
      <c r="Z658" s="1072" t="str">
        <f t="shared" si="5"/>
        <v/>
      </c>
      <c r="AA658" s="1072" t="str">
        <f t="shared" si="6"/>
        <v/>
      </c>
      <c r="AB658" s="1072" t="str">
        <f t="shared" si="7"/>
        <v/>
      </c>
      <c r="AC658" s="1072" t="str">
        <f t="shared" si="8"/>
        <v/>
      </c>
      <c r="AD658" s="1072" t="str">
        <f t="shared" si="9"/>
        <v/>
      </c>
      <c r="AE658" s="1072" t="str">
        <f t="shared" si="10"/>
        <v/>
      </c>
      <c r="AF658" s="1072" t="str">
        <f t="shared" si="11"/>
        <v/>
      </c>
      <c r="AG658" s="1072" t="str">
        <f t="shared" si="12"/>
        <v/>
      </c>
      <c r="AH658" s="1072" t="str">
        <f t="shared" si="13"/>
        <v/>
      </c>
      <c r="AI658" s="1072" t="str">
        <f t="shared" si="14"/>
        <v/>
      </c>
      <c r="AJ658" s="1072" t="str">
        <f t="shared" si="15"/>
        <v/>
      </c>
      <c r="AK658" s="1072" t="str">
        <f t="shared" si="16"/>
        <v/>
      </c>
      <c r="AL658" s="1072" t="str">
        <f t="shared" si="17"/>
        <v/>
      </c>
      <c r="AM658" s="1072" t="str">
        <f t="shared" si="18"/>
        <v/>
      </c>
      <c r="AN658" s="1072" t="str">
        <f t="shared" si="19"/>
        <v/>
      </c>
      <c r="AO658" s="1072" t="str">
        <f t="shared" si="20"/>
        <v/>
      </c>
      <c r="AP658" s="1072" t="str">
        <f t="shared" si="173"/>
        <v/>
      </c>
      <c r="AQ658" s="1072" t="str">
        <f t="shared" si="174"/>
        <v/>
      </c>
      <c r="AR658" s="1072" t="str">
        <f t="shared" si="175"/>
        <v/>
      </c>
      <c r="AS658" s="1072" t="str">
        <f t="shared" si="176"/>
        <v/>
      </c>
      <c r="AT658" s="1072" t="str">
        <f t="shared" si="177"/>
        <v/>
      </c>
      <c r="AU658" s="1072" t="str">
        <f t="shared" si="178"/>
        <v/>
      </c>
      <c r="AV658" s="1072" t="str">
        <f t="shared" si="179"/>
        <v/>
      </c>
      <c r="AW658" s="1072" t="str">
        <f t="shared" si="180"/>
        <v/>
      </c>
      <c r="AX658" s="1072" t="str">
        <f t="shared" si="181"/>
        <v/>
      </c>
      <c r="AY658" s="1072" t="str">
        <f t="shared" si="182"/>
        <v/>
      </c>
      <c r="AZ658" s="1072" t="str">
        <f t="shared" si="183"/>
        <v/>
      </c>
      <c r="BA658" s="1072" t="str">
        <f t="shared" si="184"/>
        <v/>
      </c>
      <c r="BB658" s="1072" t="str">
        <f t="shared" si="185"/>
        <v/>
      </c>
      <c r="BC658" s="1072" t="str">
        <f t="shared" si="186"/>
        <v/>
      </c>
      <c r="BD658" s="1072" t="str">
        <f t="shared" si="187"/>
        <v/>
      </c>
      <c r="BE658" s="1072" t="str">
        <f t="shared" si="188"/>
        <v/>
      </c>
      <c r="BF658" s="1072" t="str">
        <f t="shared" si="189"/>
        <v/>
      </c>
      <c r="BG658" s="1072" t="str">
        <f t="shared" si="190"/>
        <v/>
      </c>
      <c r="BH658" s="1072" t="str">
        <f t="shared" si="191"/>
        <v/>
      </c>
      <c r="BI658" s="1072" t="str">
        <f t="shared" si="192"/>
        <v/>
      </c>
      <c r="BJ658" s="1072" t="str">
        <f t="shared" si="193"/>
        <v/>
      </c>
      <c r="BK658" s="1072" t="str">
        <f t="shared" si="194"/>
        <v/>
      </c>
      <c r="BL658" s="1072" t="str">
        <f t="shared" si="195"/>
        <v/>
      </c>
      <c r="BM658" s="1072" t="str">
        <f t="shared" si="196"/>
        <v/>
      </c>
      <c r="BN658" s="1072" t="str">
        <f t="shared" si="197"/>
        <v/>
      </c>
      <c r="BO658" s="1072" t="str">
        <f t="shared" si="198"/>
        <v/>
      </c>
      <c r="BP658" s="1072" t="str">
        <f t="shared" si="199"/>
        <v/>
      </c>
      <c r="BQ658" s="1072" t="str">
        <f t="shared" si="200"/>
        <v/>
      </c>
      <c r="BR658" s="1072" t="str">
        <f t="shared" si="201"/>
        <v/>
      </c>
      <c r="BS658" s="1072" t="str">
        <f t="shared" si="202"/>
        <v/>
      </c>
      <c r="BT658" s="1072" t="str">
        <f t="shared" si="21"/>
        <v/>
      </c>
      <c r="BU658" s="1072" t="str">
        <f t="shared" si="22"/>
        <v/>
      </c>
      <c r="BV658" s="1072" t="str">
        <f t="shared" si="23"/>
        <v/>
      </c>
      <c r="BW658" s="1072" t="str">
        <f t="shared" si="24"/>
        <v/>
      </c>
      <c r="BX658" s="1072" t="str">
        <f t="shared" si="25"/>
        <v/>
      </c>
      <c r="BY658" s="1072" t="str">
        <f t="shared" si="26"/>
        <v/>
      </c>
      <c r="BZ658" s="1072" t="str">
        <f t="shared" si="27"/>
        <v/>
      </c>
      <c r="CA658" s="1072" t="str">
        <f t="shared" si="28"/>
        <v/>
      </c>
      <c r="CB658" s="1072" t="str">
        <f t="shared" si="29"/>
        <v/>
      </c>
      <c r="CC658" s="1072" t="str">
        <f t="shared" si="30"/>
        <v/>
      </c>
      <c r="CD658" s="1072" t="str">
        <f t="shared" si="31"/>
        <v/>
      </c>
      <c r="CE658" s="1072" t="str">
        <f t="shared" si="32"/>
        <v/>
      </c>
      <c r="CF658" s="1072" t="str">
        <f t="shared" si="33"/>
        <v/>
      </c>
      <c r="CG658" s="1072" t="str">
        <f t="shared" si="34"/>
        <v/>
      </c>
      <c r="CH658" s="1072" t="str">
        <f t="shared" si="35"/>
        <v/>
      </c>
      <c r="CI658" s="1072" t="str">
        <f t="shared" si="36"/>
        <v/>
      </c>
      <c r="CJ658" s="1072" t="str">
        <f t="shared" si="37"/>
        <v/>
      </c>
      <c r="CK658" s="1072" t="str">
        <f t="shared" si="38"/>
        <v/>
      </c>
      <c r="CL658" s="1072" t="str">
        <f t="shared" si="39"/>
        <v/>
      </c>
      <c r="CM658" s="1072" t="str">
        <f t="shared" si="40"/>
        <v/>
      </c>
      <c r="CN658" s="1072" t="str">
        <f t="shared" si="41"/>
        <v/>
      </c>
      <c r="CO658" s="1072" t="str">
        <f t="shared" si="42"/>
        <v/>
      </c>
      <c r="CP658" s="1072" t="str">
        <f t="shared" si="43"/>
        <v/>
      </c>
      <c r="CQ658" s="1072" t="str">
        <f t="shared" si="44"/>
        <v/>
      </c>
      <c r="CR658" s="1072" t="str">
        <f t="shared" si="45"/>
        <v/>
      </c>
      <c r="CS658" s="1072" t="str">
        <f t="shared" si="46"/>
        <v/>
      </c>
      <c r="CT658" s="1072" t="str">
        <f t="shared" si="47"/>
        <v/>
      </c>
      <c r="CU658" s="1072" t="str">
        <f t="shared" si="48"/>
        <v/>
      </c>
      <c r="CV658" s="1072" t="str">
        <f t="shared" si="49"/>
        <v/>
      </c>
      <c r="CW658" s="1072" t="str">
        <f t="shared" si="50"/>
        <v/>
      </c>
      <c r="CX658" s="1072" t="str">
        <f t="shared" si="51"/>
        <v/>
      </c>
      <c r="CY658" s="1072" t="str">
        <f t="shared" si="52"/>
        <v/>
      </c>
      <c r="CZ658" s="1072" t="str">
        <f t="shared" si="53"/>
        <v/>
      </c>
      <c r="DA658" s="1072" t="str">
        <f t="shared" si="54"/>
        <v/>
      </c>
      <c r="DB658" s="1072" t="str">
        <f t="shared" si="55"/>
        <v/>
      </c>
      <c r="DC658" s="1072" t="str">
        <f t="shared" si="56"/>
        <v/>
      </c>
      <c r="DD658" s="1072" t="str">
        <f t="shared" si="57"/>
        <v/>
      </c>
      <c r="DE658" s="1072" t="str">
        <f t="shared" si="58"/>
        <v/>
      </c>
      <c r="DF658" s="1072" t="str">
        <f t="shared" si="59"/>
        <v/>
      </c>
      <c r="DG658" s="1072" t="str">
        <f t="shared" si="60"/>
        <v/>
      </c>
      <c r="DH658" s="1072" t="str">
        <f t="shared" si="61"/>
        <v/>
      </c>
      <c r="DI658" s="1072" t="str">
        <f t="shared" si="62"/>
        <v/>
      </c>
      <c r="DJ658" s="1072" t="str">
        <f t="shared" si="63"/>
        <v/>
      </c>
      <c r="DK658" s="1072" t="str">
        <f t="shared" si="64"/>
        <v/>
      </c>
      <c r="DL658" s="1072" t="str">
        <f t="shared" si="65"/>
        <v/>
      </c>
      <c r="DM658" s="1072" t="str">
        <f t="shared" si="66"/>
        <v/>
      </c>
      <c r="DN658" s="1072" t="str">
        <f t="shared" si="67"/>
        <v/>
      </c>
      <c r="DO658" s="1072" t="str">
        <f t="shared" si="68"/>
        <v/>
      </c>
      <c r="DP658" s="1072" t="str">
        <f t="shared" si="69"/>
        <v/>
      </c>
      <c r="DQ658" s="1072" t="str">
        <f t="shared" si="70"/>
        <v/>
      </c>
      <c r="DR658" s="1072" t="str">
        <f t="shared" si="71"/>
        <v/>
      </c>
      <c r="DS658" s="1072" t="str">
        <f t="shared" si="72"/>
        <v/>
      </c>
      <c r="DT658" s="1072" t="str">
        <f t="shared" si="73"/>
        <v/>
      </c>
      <c r="DU658" s="1072" t="str">
        <f t="shared" si="74"/>
        <v/>
      </c>
      <c r="DV658" s="1072" t="str">
        <f t="shared" si="75"/>
        <v/>
      </c>
      <c r="DW658" s="1072" t="str">
        <f t="shared" si="76"/>
        <v/>
      </c>
      <c r="DX658" s="1072" t="str">
        <f t="shared" si="77"/>
        <v/>
      </c>
      <c r="DY658" s="1072" t="str">
        <f t="shared" si="78"/>
        <v/>
      </c>
      <c r="DZ658" s="1072" t="str">
        <f t="shared" si="79"/>
        <v/>
      </c>
      <c r="EA658" s="1072" t="str">
        <f t="shared" si="80"/>
        <v/>
      </c>
      <c r="EB658" s="1072" t="str">
        <f t="shared" si="81"/>
        <v/>
      </c>
      <c r="EC658" s="1072" t="str">
        <f t="shared" si="82"/>
        <v/>
      </c>
      <c r="ED658" s="1072" t="str">
        <f t="shared" si="83"/>
        <v/>
      </c>
      <c r="EE658" s="1072" t="str">
        <f t="shared" si="84"/>
        <v/>
      </c>
      <c r="EF658" s="1072" t="str">
        <f t="shared" si="85"/>
        <v/>
      </c>
      <c r="EG658" s="1072" t="str">
        <f t="shared" si="86"/>
        <v/>
      </c>
      <c r="EH658" s="1072" t="str">
        <f t="shared" si="87"/>
        <v/>
      </c>
      <c r="EI658" s="1072" t="str">
        <f t="shared" si="88"/>
        <v/>
      </c>
      <c r="EJ658" s="1072" t="str">
        <f t="shared" si="89"/>
        <v/>
      </c>
      <c r="EK658" s="1072" t="str">
        <f t="shared" si="90"/>
        <v/>
      </c>
      <c r="EL658" s="1072" t="str">
        <f t="shared" si="91"/>
        <v/>
      </c>
      <c r="EM658" s="1072" t="str">
        <f t="shared" si="92"/>
        <v/>
      </c>
      <c r="EN658" s="1072" t="str">
        <f t="shared" si="93"/>
        <v/>
      </c>
      <c r="EO658" s="1072" t="str">
        <f t="shared" si="94"/>
        <v/>
      </c>
      <c r="EP658" s="1072" t="str">
        <f t="shared" si="95"/>
        <v/>
      </c>
      <c r="EQ658" s="1072" t="str">
        <f t="shared" si="96"/>
        <v/>
      </c>
      <c r="ER658" s="1072" t="str">
        <f t="shared" si="97"/>
        <v/>
      </c>
      <c r="ES658" s="1072" t="str">
        <f t="shared" si="98"/>
        <v/>
      </c>
      <c r="ET658" s="1072" t="str">
        <f t="shared" si="99"/>
        <v/>
      </c>
      <c r="EU658" s="1072" t="str">
        <f t="shared" si="100"/>
        <v/>
      </c>
      <c r="EV658" s="833" t="str">
        <f t="shared" si="101"/>
        <v/>
      </c>
      <c r="EW658" s="833" t="str">
        <f t="shared" si="102"/>
        <v/>
      </c>
      <c r="EX658" s="833" t="str">
        <f t="shared" si="103"/>
        <v/>
      </c>
      <c r="EY658" s="833" t="str">
        <f t="shared" si="104"/>
        <v/>
      </c>
      <c r="EZ658" s="833" t="str">
        <f t="shared" si="105"/>
        <v/>
      </c>
      <c r="FA658" s="833" t="str">
        <f t="shared" si="106"/>
        <v/>
      </c>
      <c r="FB658" s="833" t="str">
        <f t="shared" si="107"/>
        <v/>
      </c>
      <c r="FC658" s="833" t="str">
        <f t="shared" si="108"/>
        <v/>
      </c>
      <c r="FD658" s="833" t="str">
        <f t="shared" si="109"/>
        <v/>
      </c>
      <c r="FE658" s="833" t="str">
        <f t="shared" si="110"/>
        <v/>
      </c>
      <c r="FF658" s="833" t="str">
        <f t="shared" si="111"/>
        <v/>
      </c>
      <c r="FG658" s="833" t="str">
        <f t="shared" si="112"/>
        <v/>
      </c>
      <c r="FH658" s="833" t="str">
        <f t="shared" si="113"/>
        <v/>
      </c>
      <c r="FI658" s="833" t="str">
        <f t="shared" si="114"/>
        <v/>
      </c>
      <c r="FJ658" s="833" t="str">
        <f t="shared" si="115"/>
        <v/>
      </c>
      <c r="FK658" s="833" t="str">
        <f t="shared" si="116"/>
        <v/>
      </c>
      <c r="FL658" s="833" t="str">
        <f t="shared" si="117"/>
        <v/>
      </c>
      <c r="FM658" s="833" t="str">
        <f t="shared" si="118"/>
        <v/>
      </c>
      <c r="FN658" s="833" t="str">
        <f t="shared" si="119"/>
        <v/>
      </c>
      <c r="FO658" s="833" t="str">
        <f t="shared" si="120"/>
        <v/>
      </c>
      <c r="FP658" s="833" t="str">
        <f t="shared" si="121"/>
        <v/>
      </c>
      <c r="FQ658" s="833" t="str">
        <f t="shared" si="122"/>
        <v/>
      </c>
      <c r="FR658" s="833" t="str">
        <f t="shared" si="123"/>
        <v/>
      </c>
      <c r="FS658" s="833" t="str">
        <f t="shared" si="124"/>
        <v/>
      </c>
      <c r="FT658" s="833" t="str">
        <f t="shared" si="125"/>
        <v/>
      </c>
      <c r="FU658" s="833" t="str">
        <f t="shared" si="126"/>
        <v/>
      </c>
      <c r="FV658" s="833" t="str">
        <f t="shared" si="127"/>
        <v/>
      </c>
      <c r="FW658" s="833" t="str">
        <f t="shared" si="128"/>
        <v/>
      </c>
      <c r="FX658" s="833" t="str">
        <f t="shared" si="129"/>
        <v/>
      </c>
      <c r="FY658" s="833" t="str">
        <f t="shared" si="130"/>
        <v/>
      </c>
      <c r="FZ658" s="833" t="str">
        <f t="shared" si="131"/>
        <v/>
      </c>
      <c r="GA658" s="833" t="str">
        <f t="shared" si="132"/>
        <v/>
      </c>
      <c r="GB658" s="833" t="str">
        <f t="shared" si="133"/>
        <v/>
      </c>
      <c r="GC658" s="833" t="str">
        <f t="shared" si="134"/>
        <v/>
      </c>
      <c r="GD658" s="833" t="str">
        <f t="shared" si="135"/>
        <v/>
      </c>
      <c r="GE658" s="833" t="str">
        <f t="shared" si="136"/>
        <v/>
      </c>
      <c r="GF658" s="833" t="str">
        <f t="shared" si="137"/>
        <v/>
      </c>
      <c r="GG658" s="833" t="str">
        <f t="shared" si="138"/>
        <v/>
      </c>
      <c r="GH658" s="833" t="str">
        <f t="shared" si="139"/>
        <v/>
      </c>
      <c r="GI658" s="833" t="str">
        <f t="shared" si="140"/>
        <v/>
      </c>
      <c r="GJ658" s="833" t="str">
        <f t="shared" si="141"/>
        <v/>
      </c>
      <c r="GK658" s="833" t="str">
        <f t="shared" si="142"/>
        <v/>
      </c>
      <c r="GL658" s="833" t="str">
        <f t="shared" si="143"/>
        <v/>
      </c>
      <c r="GM658" s="833" t="str">
        <f t="shared" si="144"/>
        <v/>
      </c>
      <c r="GN658" s="833" t="str">
        <f t="shared" si="145"/>
        <v/>
      </c>
      <c r="GO658" s="1115" t="str">
        <f t="shared" si="146"/>
        <v/>
      </c>
      <c r="GP658" s="1115" t="str">
        <f t="shared" si="147"/>
        <v/>
      </c>
      <c r="GQ658" s="1115" t="str">
        <f t="shared" si="148"/>
        <v/>
      </c>
      <c r="GR658" s="1115" t="str">
        <f t="shared" si="149"/>
        <v/>
      </c>
      <c r="GS658" s="1115" t="str">
        <f t="shared" si="150"/>
        <v/>
      </c>
      <c r="GT658" s="1072" t="str">
        <f t="shared" si="151"/>
        <v/>
      </c>
      <c r="GU658" s="1072" t="str">
        <f t="shared" si="152"/>
        <v/>
      </c>
      <c r="GV658" s="1072" t="str">
        <f t="shared" si="153"/>
        <v/>
      </c>
      <c r="GW658" s="1072" t="str">
        <f t="shared" si="154"/>
        <v/>
      </c>
      <c r="GX658" s="1072" t="str">
        <f t="shared" si="155"/>
        <v/>
      </c>
      <c r="GY658" s="1072" t="str">
        <f t="shared" si="156"/>
        <v/>
      </c>
      <c r="GZ658" s="1072" t="str">
        <f t="shared" si="157"/>
        <v/>
      </c>
      <c r="HA658" s="1072" t="str">
        <f t="shared" si="158"/>
        <v/>
      </c>
      <c r="HB658" s="1072" t="str">
        <f t="shared" si="159"/>
        <v/>
      </c>
      <c r="HC658" s="1072" t="str">
        <f t="shared" si="160"/>
        <v/>
      </c>
      <c r="HD658" s="1072" t="str">
        <f t="shared" si="161"/>
        <v/>
      </c>
      <c r="HE658" s="1072" t="str">
        <f t="shared" si="162"/>
        <v/>
      </c>
      <c r="HF658" s="1072" t="str">
        <f t="shared" si="163"/>
        <v/>
      </c>
      <c r="HG658" s="1072" t="str">
        <f t="shared" si="164"/>
        <v/>
      </c>
      <c r="HH658" s="1072" t="str">
        <f t="shared" si="165"/>
        <v/>
      </c>
      <c r="HI658" s="1072" t="str">
        <f t="shared" si="166"/>
        <v/>
      </c>
      <c r="HJ658" s="1072" t="str">
        <f t="shared" si="167"/>
        <v/>
      </c>
      <c r="HK658" s="1072" t="str">
        <f t="shared" si="168"/>
        <v/>
      </c>
      <c r="HL658" s="1072" t="str">
        <f t="shared" si="169"/>
        <v/>
      </c>
      <c r="HM658" s="1072" t="str">
        <f t="shared" si="170"/>
        <v/>
      </c>
    </row>
    <row r="659" spans="1:221" ht="13.15" customHeight="1">
      <c r="A659" s="1084" t="str">
        <f t="shared" si="171"/>
        <v/>
      </c>
      <c r="B659" s="1037" t="str">
        <f>'Part VI-Revenues &amp; Expenses'!B25</f>
        <v>&lt;&lt;Select&gt;&gt;</v>
      </c>
      <c r="C659" s="1038">
        <f>'Part VI-Revenues &amp; Expenses'!C25</f>
        <v>0</v>
      </c>
      <c r="D659" s="1039">
        <f>'Part VI-Revenues &amp; Expenses'!D25</f>
        <v>0</v>
      </c>
      <c r="E659" s="1040">
        <f>'Part VI-Revenues &amp; Expenses'!E25</f>
        <v>0</v>
      </c>
      <c r="F659" s="1040">
        <f>'Part VI-Revenues &amp; Expenses'!F25</f>
        <v>0</v>
      </c>
      <c r="G659" s="1040">
        <f>'Part VI-Revenues &amp; Expenses'!G25</f>
        <v>0</v>
      </c>
      <c r="H659" s="1040">
        <f>'Part VI-Revenues &amp; Expenses'!H25</f>
        <v>0</v>
      </c>
      <c r="I659" s="1040">
        <f>'Part VI-Revenues &amp; Expenses'!I25</f>
        <v>0</v>
      </c>
      <c r="J659" s="1103">
        <f>'Part VI-Revenues &amp; Expenses'!J25</f>
        <v>0</v>
      </c>
      <c r="K659" s="908">
        <f t="shared" si="172"/>
        <v>0</v>
      </c>
      <c r="L659" s="908">
        <f t="shared" si="0"/>
        <v>0</v>
      </c>
      <c r="M659" s="831">
        <f>'Part VI-Revenues &amp; Expenses'!M25</f>
        <v>0</v>
      </c>
      <c r="N659" s="831">
        <f>'Part VI-Revenues &amp; Expenses'!N25</f>
        <v>0</v>
      </c>
      <c r="O659" s="831">
        <f>'Part VI-Revenues &amp; Expenses'!O25</f>
        <v>0</v>
      </c>
      <c r="P659" s="909">
        <f t="shared" si="203"/>
        <v>0</v>
      </c>
      <c r="Q659" s="910" t="str">
        <f>'Part VI-Revenues &amp; Expenses'!Q25</f>
        <v/>
      </c>
      <c r="R659" s="909"/>
      <c r="S659" s="910"/>
      <c r="T659" s="1576"/>
      <c r="U659" s="1576"/>
      <c r="V659" s="1072" t="str">
        <f t="shared" si="1"/>
        <v/>
      </c>
      <c r="W659" s="1072" t="str">
        <f t="shared" si="2"/>
        <v/>
      </c>
      <c r="X659" s="1072" t="str">
        <f t="shared" si="3"/>
        <v/>
      </c>
      <c r="Y659" s="1072" t="str">
        <f t="shared" si="4"/>
        <v/>
      </c>
      <c r="Z659" s="1072" t="str">
        <f t="shared" si="5"/>
        <v/>
      </c>
      <c r="AA659" s="1072" t="str">
        <f t="shared" si="6"/>
        <v/>
      </c>
      <c r="AB659" s="1072" t="str">
        <f t="shared" si="7"/>
        <v/>
      </c>
      <c r="AC659" s="1072" t="str">
        <f t="shared" si="8"/>
        <v/>
      </c>
      <c r="AD659" s="1072" t="str">
        <f t="shared" si="9"/>
        <v/>
      </c>
      <c r="AE659" s="1072" t="str">
        <f t="shared" si="10"/>
        <v/>
      </c>
      <c r="AF659" s="1072" t="str">
        <f t="shared" si="11"/>
        <v/>
      </c>
      <c r="AG659" s="1072" t="str">
        <f t="shared" si="12"/>
        <v/>
      </c>
      <c r="AH659" s="1072" t="str">
        <f t="shared" si="13"/>
        <v/>
      </c>
      <c r="AI659" s="1072" t="str">
        <f t="shared" si="14"/>
        <v/>
      </c>
      <c r="AJ659" s="1072" t="str">
        <f t="shared" si="15"/>
        <v/>
      </c>
      <c r="AK659" s="1072" t="str">
        <f t="shared" si="16"/>
        <v/>
      </c>
      <c r="AL659" s="1072" t="str">
        <f t="shared" si="17"/>
        <v/>
      </c>
      <c r="AM659" s="1072" t="str">
        <f t="shared" si="18"/>
        <v/>
      </c>
      <c r="AN659" s="1072" t="str">
        <f t="shared" si="19"/>
        <v/>
      </c>
      <c r="AO659" s="1072" t="str">
        <f t="shared" si="20"/>
        <v/>
      </c>
      <c r="AP659" s="1072" t="str">
        <f t="shared" si="173"/>
        <v/>
      </c>
      <c r="AQ659" s="1072" t="str">
        <f t="shared" si="174"/>
        <v/>
      </c>
      <c r="AR659" s="1072" t="str">
        <f t="shared" si="175"/>
        <v/>
      </c>
      <c r="AS659" s="1072" t="str">
        <f t="shared" si="176"/>
        <v/>
      </c>
      <c r="AT659" s="1072" t="str">
        <f t="shared" si="177"/>
        <v/>
      </c>
      <c r="AU659" s="1072" t="str">
        <f t="shared" si="178"/>
        <v/>
      </c>
      <c r="AV659" s="1072" t="str">
        <f t="shared" si="179"/>
        <v/>
      </c>
      <c r="AW659" s="1072" t="str">
        <f t="shared" si="180"/>
        <v/>
      </c>
      <c r="AX659" s="1072" t="str">
        <f t="shared" si="181"/>
        <v/>
      </c>
      <c r="AY659" s="1072" t="str">
        <f t="shared" si="182"/>
        <v/>
      </c>
      <c r="AZ659" s="1072" t="str">
        <f t="shared" si="183"/>
        <v/>
      </c>
      <c r="BA659" s="1072" t="str">
        <f t="shared" si="184"/>
        <v/>
      </c>
      <c r="BB659" s="1072" t="str">
        <f t="shared" si="185"/>
        <v/>
      </c>
      <c r="BC659" s="1072" t="str">
        <f t="shared" si="186"/>
        <v/>
      </c>
      <c r="BD659" s="1072" t="str">
        <f t="shared" si="187"/>
        <v/>
      </c>
      <c r="BE659" s="1072" t="str">
        <f t="shared" si="188"/>
        <v/>
      </c>
      <c r="BF659" s="1072" t="str">
        <f t="shared" si="189"/>
        <v/>
      </c>
      <c r="BG659" s="1072" t="str">
        <f t="shared" si="190"/>
        <v/>
      </c>
      <c r="BH659" s="1072" t="str">
        <f t="shared" si="191"/>
        <v/>
      </c>
      <c r="BI659" s="1072" t="str">
        <f t="shared" si="192"/>
        <v/>
      </c>
      <c r="BJ659" s="1072" t="str">
        <f t="shared" si="193"/>
        <v/>
      </c>
      <c r="BK659" s="1072" t="str">
        <f t="shared" si="194"/>
        <v/>
      </c>
      <c r="BL659" s="1072" t="str">
        <f t="shared" si="195"/>
        <v/>
      </c>
      <c r="BM659" s="1072" t="str">
        <f t="shared" si="196"/>
        <v/>
      </c>
      <c r="BN659" s="1072" t="str">
        <f t="shared" si="197"/>
        <v/>
      </c>
      <c r="BO659" s="1072" t="str">
        <f t="shared" si="198"/>
        <v/>
      </c>
      <c r="BP659" s="1072" t="str">
        <f t="shared" si="199"/>
        <v/>
      </c>
      <c r="BQ659" s="1072" t="str">
        <f t="shared" si="200"/>
        <v/>
      </c>
      <c r="BR659" s="1072" t="str">
        <f t="shared" si="201"/>
        <v/>
      </c>
      <c r="BS659" s="1072" t="str">
        <f t="shared" si="202"/>
        <v/>
      </c>
      <c r="BT659" s="1072" t="str">
        <f t="shared" si="21"/>
        <v/>
      </c>
      <c r="BU659" s="1072" t="str">
        <f t="shared" si="22"/>
        <v/>
      </c>
      <c r="BV659" s="1072" t="str">
        <f t="shared" si="23"/>
        <v/>
      </c>
      <c r="BW659" s="1072" t="str">
        <f t="shared" si="24"/>
        <v/>
      </c>
      <c r="BX659" s="1072" t="str">
        <f t="shared" si="25"/>
        <v/>
      </c>
      <c r="BY659" s="1072" t="str">
        <f t="shared" si="26"/>
        <v/>
      </c>
      <c r="BZ659" s="1072" t="str">
        <f t="shared" si="27"/>
        <v/>
      </c>
      <c r="CA659" s="1072" t="str">
        <f t="shared" si="28"/>
        <v/>
      </c>
      <c r="CB659" s="1072" t="str">
        <f t="shared" si="29"/>
        <v/>
      </c>
      <c r="CC659" s="1072" t="str">
        <f t="shared" si="30"/>
        <v/>
      </c>
      <c r="CD659" s="1072" t="str">
        <f t="shared" si="31"/>
        <v/>
      </c>
      <c r="CE659" s="1072" t="str">
        <f t="shared" si="32"/>
        <v/>
      </c>
      <c r="CF659" s="1072" t="str">
        <f t="shared" si="33"/>
        <v/>
      </c>
      <c r="CG659" s="1072" t="str">
        <f t="shared" si="34"/>
        <v/>
      </c>
      <c r="CH659" s="1072" t="str">
        <f t="shared" si="35"/>
        <v/>
      </c>
      <c r="CI659" s="1072" t="str">
        <f t="shared" si="36"/>
        <v/>
      </c>
      <c r="CJ659" s="1072" t="str">
        <f t="shared" si="37"/>
        <v/>
      </c>
      <c r="CK659" s="1072" t="str">
        <f t="shared" si="38"/>
        <v/>
      </c>
      <c r="CL659" s="1072" t="str">
        <f t="shared" si="39"/>
        <v/>
      </c>
      <c r="CM659" s="1072" t="str">
        <f t="shared" si="40"/>
        <v/>
      </c>
      <c r="CN659" s="1072" t="str">
        <f t="shared" si="41"/>
        <v/>
      </c>
      <c r="CO659" s="1072" t="str">
        <f t="shared" si="42"/>
        <v/>
      </c>
      <c r="CP659" s="1072" t="str">
        <f t="shared" si="43"/>
        <v/>
      </c>
      <c r="CQ659" s="1072" t="str">
        <f t="shared" si="44"/>
        <v/>
      </c>
      <c r="CR659" s="1072" t="str">
        <f t="shared" si="45"/>
        <v/>
      </c>
      <c r="CS659" s="1072" t="str">
        <f t="shared" si="46"/>
        <v/>
      </c>
      <c r="CT659" s="1072" t="str">
        <f t="shared" si="47"/>
        <v/>
      </c>
      <c r="CU659" s="1072" t="str">
        <f t="shared" si="48"/>
        <v/>
      </c>
      <c r="CV659" s="1072" t="str">
        <f t="shared" si="49"/>
        <v/>
      </c>
      <c r="CW659" s="1072" t="str">
        <f t="shared" si="50"/>
        <v/>
      </c>
      <c r="CX659" s="1072" t="str">
        <f t="shared" si="51"/>
        <v/>
      </c>
      <c r="CY659" s="1072" t="str">
        <f t="shared" si="52"/>
        <v/>
      </c>
      <c r="CZ659" s="1072" t="str">
        <f t="shared" si="53"/>
        <v/>
      </c>
      <c r="DA659" s="1072" t="str">
        <f t="shared" si="54"/>
        <v/>
      </c>
      <c r="DB659" s="1072" t="str">
        <f t="shared" si="55"/>
        <v/>
      </c>
      <c r="DC659" s="1072" t="str">
        <f t="shared" si="56"/>
        <v/>
      </c>
      <c r="DD659" s="1072" t="str">
        <f t="shared" si="57"/>
        <v/>
      </c>
      <c r="DE659" s="1072" t="str">
        <f t="shared" si="58"/>
        <v/>
      </c>
      <c r="DF659" s="1072" t="str">
        <f t="shared" si="59"/>
        <v/>
      </c>
      <c r="DG659" s="1072" t="str">
        <f t="shared" si="60"/>
        <v/>
      </c>
      <c r="DH659" s="1072" t="str">
        <f t="shared" si="61"/>
        <v/>
      </c>
      <c r="DI659" s="1072" t="str">
        <f t="shared" si="62"/>
        <v/>
      </c>
      <c r="DJ659" s="1072" t="str">
        <f t="shared" si="63"/>
        <v/>
      </c>
      <c r="DK659" s="1072" t="str">
        <f t="shared" si="64"/>
        <v/>
      </c>
      <c r="DL659" s="1072" t="str">
        <f t="shared" si="65"/>
        <v/>
      </c>
      <c r="DM659" s="1072" t="str">
        <f t="shared" si="66"/>
        <v/>
      </c>
      <c r="DN659" s="1072" t="str">
        <f t="shared" si="67"/>
        <v/>
      </c>
      <c r="DO659" s="1072" t="str">
        <f t="shared" si="68"/>
        <v/>
      </c>
      <c r="DP659" s="1072" t="str">
        <f t="shared" si="69"/>
        <v/>
      </c>
      <c r="DQ659" s="1072" t="str">
        <f t="shared" si="70"/>
        <v/>
      </c>
      <c r="DR659" s="1072" t="str">
        <f t="shared" si="71"/>
        <v/>
      </c>
      <c r="DS659" s="1072" t="str">
        <f t="shared" si="72"/>
        <v/>
      </c>
      <c r="DT659" s="1072" t="str">
        <f t="shared" si="73"/>
        <v/>
      </c>
      <c r="DU659" s="1072" t="str">
        <f t="shared" si="74"/>
        <v/>
      </c>
      <c r="DV659" s="1072" t="str">
        <f t="shared" si="75"/>
        <v/>
      </c>
      <c r="DW659" s="1072" t="str">
        <f t="shared" si="76"/>
        <v/>
      </c>
      <c r="DX659" s="1072" t="str">
        <f t="shared" si="77"/>
        <v/>
      </c>
      <c r="DY659" s="1072" t="str">
        <f t="shared" si="78"/>
        <v/>
      </c>
      <c r="DZ659" s="1072" t="str">
        <f t="shared" si="79"/>
        <v/>
      </c>
      <c r="EA659" s="1072" t="str">
        <f t="shared" si="80"/>
        <v/>
      </c>
      <c r="EB659" s="1072" t="str">
        <f t="shared" si="81"/>
        <v/>
      </c>
      <c r="EC659" s="1072" t="str">
        <f t="shared" si="82"/>
        <v/>
      </c>
      <c r="ED659" s="1072" t="str">
        <f t="shared" si="83"/>
        <v/>
      </c>
      <c r="EE659" s="1072" t="str">
        <f t="shared" si="84"/>
        <v/>
      </c>
      <c r="EF659" s="1072" t="str">
        <f t="shared" si="85"/>
        <v/>
      </c>
      <c r="EG659" s="1072" t="str">
        <f t="shared" si="86"/>
        <v/>
      </c>
      <c r="EH659" s="1072" t="str">
        <f t="shared" si="87"/>
        <v/>
      </c>
      <c r="EI659" s="1072" t="str">
        <f t="shared" si="88"/>
        <v/>
      </c>
      <c r="EJ659" s="1072" t="str">
        <f t="shared" si="89"/>
        <v/>
      </c>
      <c r="EK659" s="1072" t="str">
        <f t="shared" si="90"/>
        <v/>
      </c>
      <c r="EL659" s="1072" t="str">
        <f t="shared" si="91"/>
        <v/>
      </c>
      <c r="EM659" s="1072" t="str">
        <f t="shared" si="92"/>
        <v/>
      </c>
      <c r="EN659" s="1072" t="str">
        <f t="shared" si="93"/>
        <v/>
      </c>
      <c r="EO659" s="1072" t="str">
        <f t="shared" si="94"/>
        <v/>
      </c>
      <c r="EP659" s="1072" t="str">
        <f t="shared" si="95"/>
        <v/>
      </c>
      <c r="EQ659" s="1072" t="str">
        <f t="shared" si="96"/>
        <v/>
      </c>
      <c r="ER659" s="1072" t="str">
        <f t="shared" si="97"/>
        <v/>
      </c>
      <c r="ES659" s="1072" t="str">
        <f t="shared" si="98"/>
        <v/>
      </c>
      <c r="ET659" s="1072" t="str">
        <f t="shared" si="99"/>
        <v/>
      </c>
      <c r="EU659" s="1072" t="str">
        <f t="shared" si="100"/>
        <v/>
      </c>
      <c r="EV659" s="833" t="str">
        <f t="shared" si="101"/>
        <v/>
      </c>
      <c r="EW659" s="833" t="str">
        <f t="shared" si="102"/>
        <v/>
      </c>
      <c r="EX659" s="833" t="str">
        <f t="shared" si="103"/>
        <v/>
      </c>
      <c r="EY659" s="833" t="str">
        <f t="shared" si="104"/>
        <v/>
      </c>
      <c r="EZ659" s="833" t="str">
        <f t="shared" si="105"/>
        <v/>
      </c>
      <c r="FA659" s="833" t="str">
        <f t="shared" si="106"/>
        <v/>
      </c>
      <c r="FB659" s="833" t="str">
        <f t="shared" si="107"/>
        <v/>
      </c>
      <c r="FC659" s="833" t="str">
        <f t="shared" si="108"/>
        <v/>
      </c>
      <c r="FD659" s="833" t="str">
        <f t="shared" si="109"/>
        <v/>
      </c>
      <c r="FE659" s="833" t="str">
        <f t="shared" si="110"/>
        <v/>
      </c>
      <c r="FF659" s="833" t="str">
        <f t="shared" si="111"/>
        <v/>
      </c>
      <c r="FG659" s="833" t="str">
        <f t="shared" si="112"/>
        <v/>
      </c>
      <c r="FH659" s="833" t="str">
        <f t="shared" si="113"/>
        <v/>
      </c>
      <c r="FI659" s="833" t="str">
        <f t="shared" si="114"/>
        <v/>
      </c>
      <c r="FJ659" s="833" t="str">
        <f t="shared" si="115"/>
        <v/>
      </c>
      <c r="FK659" s="833" t="str">
        <f t="shared" si="116"/>
        <v/>
      </c>
      <c r="FL659" s="833" t="str">
        <f t="shared" si="117"/>
        <v/>
      </c>
      <c r="FM659" s="833" t="str">
        <f t="shared" si="118"/>
        <v/>
      </c>
      <c r="FN659" s="833" t="str">
        <f t="shared" si="119"/>
        <v/>
      </c>
      <c r="FO659" s="833" t="str">
        <f t="shared" si="120"/>
        <v/>
      </c>
      <c r="FP659" s="833" t="str">
        <f t="shared" si="121"/>
        <v/>
      </c>
      <c r="FQ659" s="833" t="str">
        <f t="shared" si="122"/>
        <v/>
      </c>
      <c r="FR659" s="833" t="str">
        <f t="shared" si="123"/>
        <v/>
      </c>
      <c r="FS659" s="833" t="str">
        <f t="shared" si="124"/>
        <v/>
      </c>
      <c r="FT659" s="833" t="str">
        <f t="shared" si="125"/>
        <v/>
      </c>
      <c r="FU659" s="833" t="str">
        <f t="shared" si="126"/>
        <v/>
      </c>
      <c r="FV659" s="833" t="str">
        <f t="shared" si="127"/>
        <v/>
      </c>
      <c r="FW659" s="833" t="str">
        <f t="shared" si="128"/>
        <v/>
      </c>
      <c r="FX659" s="833" t="str">
        <f t="shared" si="129"/>
        <v/>
      </c>
      <c r="FY659" s="833" t="str">
        <f t="shared" si="130"/>
        <v/>
      </c>
      <c r="FZ659" s="833" t="str">
        <f t="shared" si="131"/>
        <v/>
      </c>
      <c r="GA659" s="833" t="str">
        <f t="shared" si="132"/>
        <v/>
      </c>
      <c r="GB659" s="833" t="str">
        <f t="shared" si="133"/>
        <v/>
      </c>
      <c r="GC659" s="833" t="str">
        <f t="shared" si="134"/>
        <v/>
      </c>
      <c r="GD659" s="833" t="str">
        <f t="shared" si="135"/>
        <v/>
      </c>
      <c r="GE659" s="833" t="str">
        <f t="shared" si="136"/>
        <v/>
      </c>
      <c r="GF659" s="833" t="str">
        <f t="shared" si="137"/>
        <v/>
      </c>
      <c r="GG659" s="833" t="str">
        <f t="shared" si="138"/>
        <v/>
      </c>
      <c r="GH659" s="833" t="str">
        <f t="shared" si="139"/>
        <v/>
      </c>
      <c r="GI659" s="833" t="str">
        <f t="shared" si="140"/>
        <v/>
      </c>
      <c r="GJ659" s="833" t="str">
        <f t="shared" si="141"/>
        <v/>
      </c>
      <c r="GK659" s="833" t="str">
        <f t="shared" si="142"/>
        <v/>
      </c>
      <c r="GL659" s="833" t="str">
        <f t="shared" si="143"/>
        <v/>
      </c>
      <c r="GM659" s="833" t="str">
        <f t="shared" si="144"/>
        <v/>
      </c>
      <c r="GN659" s="833" t="str">
        <f t="shared" si="145"/>
        <v/>
      </c>
      <c r="GO659" s="1115" t="str">
        <f t="shared" si="146"/>
        <v/>
      </c>
      <c r="GP659" s="1115" t="str">
        <f t="shared" si="147"/>
        <v/>
      </c>
      <c r="GQ659" s="1115" t="str">
        <f t="shared" si="148"/>
        <v/>
      </c>
      <c r="GR659" s="1115" t="str">
        <f t="shared" si="149"/>
        <v/>
      </c>
      <c r="GS659" s="1115" t="str">
        <f t="shared" si="150"/>
        <v/>
      </c>
      <c r="GT659" s="1072" t="str">
        <f t="shared" si="151"/>
        <v/>
      </c>
      <c r="GU659" s="1072" t="str">
        <f t="shared" si="152"/>
        <v/>
      </c>
      <c r="GV659" s="1072" t="str">
        <f t="shared" si="153"/>
        <v/>
      </c>
      <c r="GW659" s="1072" t="str">
        <f t="shared" si="154"/>
        <v/>
      </c>
      <c r="GX659" s="1072" t="str">
        <f t="shared" si="155"/>
        <v/>
      </c>
      <c r="GY659" s="1072" t="str">
        <f t="shared" si="156"/>
        <v/>
      </c>
      <c r="GZ659" s="1072" t="str">
        <f t="shared" si="157"/>
        <v/>
      </c>
      <c r="HA659" s="1072" t="str">
        <f t="shared" si="158"/>
        <v/>
      </c>
      <c r="HB659" s="1072" t="str">
        <f t="shared" si="159"/>
        <v/>
      </c>
      <c r="HC659" s="1072" t="str">
        <f t="shared" si="160"/>
        <v/>
      </c>
      <c r="HD659" s="1072" t="str">
        <f t="shared" si="161"/>
        <v/>
      </c>
      <c r="HE659" s="1072" t="str">
        <f t="shared" si="162"/>
        <v/>
      </c>
      <c r="HF659" s="1072" t="str">
        <f t="shared" si="163"/>
        <v/>
      </c>
      <c r="HG659" s="1072" t="str">
        <f t="shared" si="164"/>
        <v/>
      </c>
      <c r="HH659" s="1072" t="str">
        <f t="shared" si="165"/>
        <v/>
      </c>
      <c r="HI659" s="1072" t="str">
        <f t="shared" si="166"/>
        <v/>
      </c>
      <c r="HJ659" s="1072" t="str">
        <f t="shared" si="167"/>
        <v/>
      </c>
      <c r="HK659" s="1072" t="str">
        <f t="shared" si="168"/>
        <v/>
      </c>
      <c r="HL659" s="1072" t="str">
        <f t="shared" si="169"/>
        <v/>
      </c>
      <c r="HM659" s="1072" t="str">
        <f t="shared" si="170"/>
        <v/>
      </c>
    </row>
    <row r="660" spans="1:221" ht="13.15" customHeight="1">
      <c r="A660" s="1084" t="str">
        <f t="shared" si="171"/>
        <v/>
      </c>
      <c r="B660" s="1037" t="str">
        <f>'Part VI-Revenues &amp; Expenses'!B26</f>
        <v>&lt;&lt;Select&gt;&gt;</v>
      </c>
      <c r="C660" s="1038">
        <f>'Part VI-Revenues &amp; Expenses'!C26</f>
        <v>0</v>
      </c>
      <c r="D660" s="1039">
        <f>'Part VI-Revenues &amp; Expenses'!D26</f>
        <v>0</v>
      </c>
      <c r="E660" s="1040">
        <f>'Part VI-Revenues &amp; Expenses'!E26</f>
        <v>0</v>
      </c>
      <c r="F660" s="1040">
        <f>'Part VI-Revenues &amp; Expenses'!F26</f>
        <v>0</v>
      </c>
      <c r="G660" s="1040">
        <f>'Part VI-Revenues &amp; Expenses'!G26</f>
        <v>0</v>
      </c>
      <c r="H660" s="1040">
        <f>'Part VI-Revenues &amp; Expenses'!H26</f>
        <v>0</v>
      </c>
      <c r="I660" s="1040">
        <f>'Part VI-Revenues &amp; Expenses'!I26</f>
        <v>0</v>
      </c>
      <c r="J660" s="1103">
        <f>'Part VI-Revenues &amp; Expenses'!J26</f>
        <v>0</v>
      </c>
      <c r="K660" s="908">
        <f t="shared" si="172"/>
        <v>0</v>
      </c>
      <c r="L660" s="908">
        <f t="shared" si="0"/>
        <v>0</v>
      </c>
      <c r="M660" s="831">
        <f>'Part VI-Revenues &amp; Expenses'!M26</f>
        <v>0</v>
      </c>
      <c r="N660" s="831">
        <f>'Part VI-Revenues &amp; Expenses'!N26</f>
        <v>0</v>
      </c>
      <c r="O660" s="831">
        <f>'Part VI-Revenues &amp; Expenses'!O26</f>
        <v>0</v>
      </c>
      <c r="P660" s="909">
        <f t="shared" si="203"/>
        <v>0</v>
      </c>
      <c r="Q660" s="910" t="str">
        <f>'Part VI-Revenues &amp; Expenses'!Q26</f>
        <v/>
      </c>
      <c r="R660" s="909"/>
      <c r="S660" s="910"/>
      <c r="T660" s="1576"/>
      <c r="U660" s="1576"/>
      <c r="V660" s="1072" t="str">
        <f t="shared" si="1"/>
        <v/>
      </c>
      <c r="W660" s="1072" t="str">
        <f t="shared" si="2"/>
        <v/>
      </c>
      <c r="X660" s="1072" t="str">
        <f t="shared" si="3"/>
        <v/>
      </c>
      <c r="Y660" s="1072" t="str">
        <f t="shared" si="4"/>
        <v/>
      </c>
      <c r="Z660" s="1072" t="str">
        <f t="shared" si="5"/>
        <v/>
      </c>
      <c r="AA660" s="1072" t="str">
        <f t="shared" si="6"/>
        <v/>
      </c>
      <c r="AB660" s="1072" t="str">
        <f t="shared" si="7"/>
        <v/>
      </c>
      <c r="AC660" s="1072" t="str">
        <f t="shared" si="8"/>
        <v/>
      </c>
      <c r="AD660" s="1072" t="str">
        <f t="shared" si="9"/>
        <v/>
      </c>
      <c r="AE660" s="1072" t="str">
        <f t="shared" si="10"/>
        <v/>
      </c>
      <c r="AF660" s="1072" t="str">
        <f t="shared" si="11"/>
        <v/>
      </c>
      <c r="AG660" s="1072" t="str">
        <f t="shared" si="12"/>
        <v/>
      </c>
      <c r="AH660" s="1072" t="str">
        <f t="shared" si="13"/>
        <v/>
      </c>
      <c r="AI660" s="1072" t="str">
        <f t="shared" si="14"/>
        <v/>
      </c>
      <c r="AJ660" s="1072" t="str">
        <f t="shared" si="15"/>
        <v/>
      </c>
      <c r="AK660" s="1072" t="str">
        <f t="shared" si="16"/>
        <v/>
      </c>
      <c r="AL660" s="1072" t="str">
        <f t="shared" si="17"/>
        <v/>
      </c>
      <c r="AM660" s="1072" t="str">
        <f t="shared" si="18"/>
        <v/>
      </c>
      <c r="AN660" s="1072" t="str">
        <f t="shared" si="19"/>
        <v/>
      </c>
      <c r="AO660" s="1072" t="str">
        <f t="shared" si="20"/>
        <v/>
      </c>
      <c r="AP660" s="1072" t="str">
        <f t="shared" si="173"/>
        <v/>
      </c>
      <c r="AQ660" s="1072" t="str">
        <f t="shared" si="174"/>
        <v/>
      </c>
      <c r="AR660" s="1072" t="str">
        <f t="shared" si="175"/>
        <v/>
      </c>
      <c r="AS660" s="1072" t="str">
        <f t="shared" si="176"/>
        <v/>
      </c>
      <c r="AT660" s="1072" t="str">
        <f t="shared" si="177"/>
        <v/>
      </c>
      <c r="AU660" s="1072" t="str">
        <f t="shared" si="178"/>
        <v/>
      </c>
      <c r="AV660" s="1072" t="str">
        <f t="shared" si="179"/>
        <v/>
      </c>
      <c r="AW660" s="1072" t="str">
        <f t="shared" si="180"/>
        <v/>
      </c>
      <c r="AX660" s="1072" t="str">
        <f t="shared" si="181"/>
        <v/>
      </c>
      <c r="AY660" s="1072" t="str">
        <f t="shared" si="182"/>
        <v/>
      </c>
      <c r="AZ660" s="1072" t="str">
        <f t="shared" si="183"/>
        <v/>
      </c>
      <c r="BA660" s="1072" t="str">
        <f t="shared" si="184"/>
        <v/>
      </c>
      <c r="BB660" s="1072" t="str">
        <f t="shared" si="185"/>
        <v/>
      </c>
      <c r="BC660" s="1072" t="str">
        <f t="shared" si="186"/>
        <v/>
      </c>
      <c r="BD660" s="1072" t="str">
        <f t="shared" si="187"/>
        <v/>
      </c>
      <c r="BE660" s="1072" t="str">
        <f t="shared" si="188"/>
        <v/>
      </c>
      <c r="BF660" s="1072" t="str">
        <f t="shared" si="189"/>
        <v/>
      </c>
      <c r="BG660" s="1072" t="str">
        <f t="shared" si="190"/>
        <v/>
      </c>
      <c r="BH660" s="1072" t="str">
        <f t="shared" si="191"/>
        <v/>
      </c>
      <c r="BI660" s="1072" t="str">
        <f t="shared" si="192"/>
        <v/>
      </c>
      <c r="BJ660" s="1072" t="str">
        <f t="shared" si="193"/>
        <v/>
      </c>
      <c r="BK660" s="1072" t="str">
        <f t="shared" si="194"/>
        <v/>
      </c>
      <c r="BL660" s="1072" t="str">
        <f t="shared" si="195"/>
        <v/>
      </c>
      <c r="BM660" s="1072" t="str">
        <f t="shared" si="196"/>
        <v/>
      </c>
      <c r="BN660" s="1072" t="str">
        <f t="shared" si="197"/>
        <v/>
      </c>
      <c r="BO660" s="1072" t="str">
        <f t="shared" si="198"/>
        <v/>
      </c>
      <c r="BP660" s="1072" t="str">
        <f t="shared" si="199"/>
        <v/>
      </c>
      <c r="BQ660" s="1072" t="str">
        <f t="shared" si="200"/>
        <v/>
      </c>
      <c r="BR660" s="1072" t="str">
        <f t="shared" si="201"/>
        <v/>
      </c>
      <c r="BS660" s="1072" t="str">
        <f t="shared" si="202"/>
        <v/>
      </c>
      <c r="BT660" s="1072" t="str">
        <f t="shared" si="21"/>
        <v/>
      </c>
      <c r="BU660" s="1072" t="str">
        <f t="shared" si="22"/>
        <v/>
      </c>
      <c r="BV660" s="1072" t="str">
        <f t="shared" si="23"/>
        <v/>
      </c>
      <c r="BW660" s="1072" t="str">
        <f t="shared" si="24"/>
        <v/>
      </c>
      <c r="BX660" s="1072" t="str">
        <f t="shared" si="25"/>
        <v/>
      </c>
      <c r="BY660" s="1072" t="str">
        <f t="shared" si="26"/>
        <v/>
      </c>
      <c r="BZ660" s="1072" t="str">
        <f t="shared" si="27"/>
        <v/>
      </c>
      <c r="CA660" s="1072" t="str">
        <f t="shared" si="28"/>
        <v/>
      </c>
      <c r="CB660" s="1072" t="str">
        <f t="shared" si="29"/>
        <v/>
      </c>
      <c r="CC660" s="1072" t="str">
        <f t="shared" si="30"/>
        <v/>
      </c>
      <c r="CD660" s="1072" t="str">
        <f t="shared" si="31"/>
        <v/>
      </c>
      <c r="CE660" s="1072" t="str">
        <f t="shared" si="32"/>
        <v/>
      </c>
      <c r="CF660" s="1072" t="str">
        <f t="shared" si="33"/>
        <v/>
      </c>
      <c r="CG660" s="1072" t="str">
        <f t="shared" si="34"/>
        <v/>
      </c>
      <c r="CH660" s="1072" t="str">
        <f t="shared" si="35"/>
        <v/>
      </c>
      <c r="CI660" s="1072" t="str">
        <f t="shared" si="36"/>
        <v/>
      </c>
      <c r="CJ660" s="1072" t="str">
        <f t="shared" si="37"/>
        <v/>
      </c>
      <c r="CK660" s="1072" t="str">
        <f t="shared" si="38"/>
        <v/>
      </c>
      <c r="CL660" s="1072" t="str">
        <f t="shared" si="39"/>
        <v/>
      </c>
      <c r="CM660" s="1072" t="str">
        <f t="shared" si="40"/>
        <v/>
      </c>
      <c r="CN660" s="1072" t="str">
        <f t="shared" si="41"/>
        <v/>
      </c>
      <c r="CO660" s="1072" t="str">
        <f t="shared" si="42"/>
        <v/>
      </c>
      <c r="CP660" s="1072" t="str">
        <f t="shared" si="43"/>
        <v/>
      </c>
      <c r="CQ660" s="1072" t="str">
        <f t="shared" si="44"/>
        <v/>
      </c>
      <c r="CR660" s="1072" t="str">
        <f t="shared" si="45"/>
        <v/>
      </c>
      <c r="CS660" s="1072" t="str">
        <f t="shared" si="46"/>
        <v/>
      </c>
      <c r="CT660" s="1072" t="str">
        <f t="shared" si="47"/>
        <v/>
      </c>
      <c r="CU660" s="1072" t="str">
        <f t="shared" si="48"/>
        <v/>
      </c>
      <c r="CV660" s="1072" t="str">
        <f t="shared" si="49"/>
        <v/>
      </c>
      <c r="CW660" s="1072" t="str">
        <f t="shared" si="50"/>
        <v/>
      </c>
      <c r="CX660" s="1072" t="str">
        <f t="shared" si="51"/>
        <v/>
      </c>
      <c r="CY660" s="1072" t="str">
        <f t="shared" si="52"/>
        <v/>
      </c>
      <c r="CZ660" s="1072" t="str">
        <f t="shared" si="53"/>
        <v/>
      </c>
      <c r="DA660" s="1072" t="str">
        <f t="shared" si="54"/>
        <v/>
      </c>
      <c r="DB660" s="1072" t="str">
        <f t="shared" si="55"/>
        <v/>
      </c>
      <c r="DC660" s="1072" t="str">
        <f t="shared" si="56"/>
        <v/>
      </c>
      <c r="DD660" s="1072" t="str">
        <f t="shared" si="57"/>
        <v/>
      </c>
      <c r="DE660" s="1072" t="str">
        <f t="shared" si="58"/>
        <v/>
      </c>
      <c r="DF660" s="1072" t="str">
        <f t="shared" si="59"/>
        <v/>
      </c>
      <c r="DG660" s="1072" t="str">
        <f t="shared" si="60"/>
        <v/>
      </c>
      <c r="DH660" s="1072" t="str">
        <f t="shared" si="61"/>
        <v/>
      </c>
      <c r="DI660" s="1072" t="str">
        <f t="shared" si="62"/>
        <v/>
      </c>
      <c r="DJ660" s="1072" t="str">
        <f t="shared" si="63"/>
        <v/>
      </c>
      <c r="DK660" s="1072" t="str">
        <f t="shared" si="64"/>
        <v/>
      </c>
      <c r="DL660" s="1072" t="str">
        <f t="shared" si="65"/>
        <v/>
      </c>
      <c r="DM660" s="1072" t="str">
        <f t="shared" si="66"/>
        <v/>
      </c>
      <c r="DN660" s="1072" t="str">
        <f t="shared" si="67"/>
        <v/>
      </c>
      <c r="DO660" s="1072" t="str">
        <f t="shared" si="68"/>
        <v/>
      </c>
      <c r="DP660" s="1072" t="str">
        <f t="shared" si="69"/>
        <v/>
      </c>
      <c r="DQ660" s="1072" t="str">
        <f t="shared" si="70"/>
        <v/>
      </c>
      <c r="DR660" s="1072" t="str">
        <f t="shared" si="71"/>
        <v/>
      </c>
      <c r="DS660" s="1072" t="str">
        <f t="shared" si="72"/>
        <v/>
      </c>
      <c r="DT660" s="1072" t="str">
        <f t="shared" si="73"/>
        <v/>
      </c>
      <c r="DU660" s="1072" t="str">
        <f t="shared" si="74"/>
        <v/>
      </c>
      <c r="DV660" s="1072" t="str">
        <f t="shared" si="75"/>
        <v/>
      </c>
      <c r="DW660" s="1072" t="str">
        <f t="shared" si="76"/>
        <v/>
      </c>
      <c r="DX660" s="1072" t="str">
        <f t="shared" si="77"/>
        <v/>
      </c>
      <c r="DY660" s="1072" t="str">
        <f t="shared" si="78"/>
        <v/>
      </c>
      <c r="DZ660" s="1072" t="str">
        <f t="shared" si="79"/>
        <v/>
      </c>
      <c r="EA660" s="1072" t="str">
        <f t="shared" si="80"/>
        <v/>
      </c>
      <c r="EB660" s="1072" t="str">
        <f t="shared" si="81"/>
        <v/>
      </c>
      <c r="EC660" s="1072" t="str">
        <f t="shared" si="82"/>
        <v/>
      </c>
      <c r="ED660" s="1072" t="str">
        <f t="shared" si="83"/>
        <v/>
      </c>
      <c r="EE660" s="1072" t="str">
        <f t="shared" si="84"/>
        <v/>
      </c>
      <c r="EF660" s="1072" t="str">
        <f t="shared" si="85"/>
        <v/>
      </c>
      <c r="EG660" s="1072" t="str">
        <f t="shared" si="86"/>
        <v/>
      </c>
      <c r="EH660" s="1072" t="str">
        <f t="shared" si="87"/>
        <v/>
      </c>
      <c r="EI660" s="1072" t="str">
        <f t="shared" si="88"/>
        <v/>
      </c>
      <c r="EJ660" s="1072" t="str">
        <f t="shared" si="89"/>
        <v/>
      </c>
      <c r="EK660" s="1072" t="str">
        <f t="shared" si="90"/>
        <v/>
      </c>
      <c r="EL660" s="1072" t="str">
        <f t="shared" si="91"/>
        <v/>
      </c>
      <c r="EM660" s="1072" t="str">
        <f t="shared" si="92"/>
        <v/>
      </c>
      <c r="EN660" s="1072" t="str">
        <f t="shared" si="93"/>
        <v/>
      </c>
      <c r="EO660" s="1072" t="str">
        <f t="shared" si="94"/>
        <v/>
      </c>
      <c r="EP660" s="1072" t="str">
        <f t="shared" si="95"/>
        <v/>
      </c>
      <c r="EQ660" s="1072" t="str">
        <f t="shared" si="96"/>
        <v/>
      </c>
      <c r="ER660" s="1072" t="str">
        <f t="shared" si="97"/>
        <v/>
      </c>
      <c r="ES660" s="1072" t="str">
        <f t="shared" si="98"/>
        <v/>
      </c>
      <c r="ET660" s="1072" t="str">
        <f t="shared" si="99"/>
        <v/>
      </c>
      <c r="EU660" s="1072" t="str">
        <f t="shared" si="100"/>
        <v/>
      </c>
      <c r="EV660" s="833" t="str">
        <f t="shared" si="101"/>
        <v/>
      </c>
      <c r="EW660" s="833" t="str">
        <f t="shared" si="102"/>
        <v/>
      </c>
      <c r="EX660" s="833" t="str">
        <f t="shared" si="103"/>
        <v/>
      </c>
      <c r="EY660" s="833" t="str">
        <f t="shared" si="104"/>
        <v/>
      </c>
      <c r="EZ660" s="833" t="str">
        <f t="shared" si="105"/>
        <v/>
      </c>
      <c r="FA660" s="833" t="str">
        <f t="shared" si="106"/>
        <v/>
      </c>
      <c r="FB660" s="833" t="str">
        <f t="shared" si="107"/>
        <v/>
      </c>
      <c r="FC660" s="833" t="str">
        <f t="shared" si="108"/>
        <v/>
      </c>
      <c r="FD660" s="833" t="str">
        <f t="shared" si="109"/>
        <v/>
      </c>
      <c r="FE660" s="833" t="str">
        <f t="shared" si="110"/>
        <v/>
      </c>
      <c r="FF660" s="833" t="str">
        <f t="shared" si="111"/>
        <v/>
      </c>
      <c r="FG660" s="833" t="str">
        <f t="shared" si="112"/>
        <v/>
      </c>
      <c r="FH660" s="833" t="str">
        <f t="shared" si="113"/>
        <v/>
      </c>
      <c r="FI660" s="833" t="str">
        <f t="shared" si="114"/>
        <v/>
      </c>
      <c r="FJ660" s="833" t="str">
        <f t="shared" si="115"/>
        <v/>
      </c>
      <c r="FK660" s="833" t="str">
        <f t="shared" si="116"/>
        <v/>
      </c>
      <c r="FL660" s="833" t="str">
        <f t="shared" si="117"/>
        <v/>
      </c>
      <c r="FM660" s="833" t="str">
        <f t="shared" si="118"/>
        <v/>
      </c>
      <c r="FN660" s="833" t="str">
        <f t="shared" si="119"/>
        <v/>
      </c>
      <c r="FO660" s="833" t="str">
        <f t="shared" si="120"/>
        <v/>
      </c>
      <c r="FP660" s="833" t="str">
        <f t="shared" si="121"/>
        <v/>
      </c>
      <c r="FQ660" s="833" t="str">
        <f t="shared" si="122"/>
        <v/>
      </c>
      <c r="FR660" s="833" t="str">
        <f t="shared" si="123"/>
        <v/>
      </c>
      <c r="FS660" s="833" t="str">
        <f t="shared" si="124"/>
        <v/>
      </c>
      <c r="FT660" s="833" t="str">
        <f t="shared" si="125"/>
        <v/>
      </c>
      <c r="FU660" s="833" t="str">
        <f t="shared" si="126"/>
        <v/>
      </c>
      <c r="FV660" s="833" t="str">
        <f t="shared" si="127"/>
        <v/>
      </c>
      <c r="FW660" s="833" t="str">
        <f t="shared" si="128"/>
        <v/>
      </c>
      <c r="FX660" s="833" t="str">
        <f t="shared" si="129"/>
        <v/>
      </c>
      <c r="FY660" s="833" t="str">
        <f t="shared" si="130"/>
        <v/>
      </c>
      <c r="FZ660" s="833" t="str">
        <f t="shared" si="131"/>
        <v/>
      </c>
      <c r="GA660" s="833" t="str">
        <f t="shared" si="132"/>
        <v/>
      </c>
      <c r="GB660" s="833" t="str">
        <f t="shared" si="133"/>
        <v/>
      </c>
      <c r="GC660" s="833" t="str">
        <f t="shared" si="134"/>
        <v/>
      </c>
      <c r="GD660" s="833" t="str">
        <f t="shared" si="135"/>
        <v/>
      </c>
      <c r="GE660" s="833" t="str">
        <f t="shared" si="136"/>
        <v/>
      </c>
      <c r="GF660" s="833" t="str">
        <f t="shared" si="137"/>
        <v/>
      </c>
      <c r="GG660" s="833" t="str">
        <f t="shared" si="138"/>
        <v/>
      </c>
      <c r="GH660" s="833" t="str">
        <f t="shared" si="139"/>
        <v/>
      </c>
      <c r="GI660" s="833" t="str">
        <f t="shared" si="140"/>
        <v/>
      </c>
      <c r="GJ660" s="833" t="str">
        <f t="shared" si="141"/>
        <v/>
      </c>
      <c r="GK660" s="833" t="str">
        <f t="shared" si="142"/>
        <v/>
      </c>
      <c r="GL660" s="833" t="str">
        <f t="shared" si="143"/>
        <v/>
      </c>
      <c r="GM660" s="833" t="str">
        <f t="shared" si="144"/>
        <v/>
      </c>
      <c r="GN660" s="833" t="str">
        <f t="shared" si="145"/>
        <v/>
      </c>
      <c r="GO660" s="1115" t="str">
        <f t="shared" si="146"/>
        <v/>
      </c>
      <c r="GP660" s="1115" t="str">
        <f t="shared" si="147"/>
        <v/>
      </c>
      <c r="GQ660" s="1115" t="str">
        <f t="shared" si="148"/>
        <v/>
      </c>
      <c r="GR660" s="1115" t="str">
        <f t="shared" si="149"/>
        <v/>
      </c>
      <c r="GS660" s="1115" t="str">
        <f t="shared" si="150"/>
        <v/>
      </c>
      <c r="GT660" s="1072" t="str">
        <f t="shared" si="151"/>
        <v/>
      </c>
      <c r="GU660" s="1072" t="str">
        <f t="shared" si="152"/>
        <v/>
      </c>
      <c r="GV660" s="1072" t="str">
        <f t="shared" si="153"/>
        <v/>
      </c>
      <c r="GW660" s="1072" t="str">
        <f t="shared" si="154"/>
        <v/>
      </c>
      <c r="GX660" s="1072" t="str">
        <f t="shared" si="155"/>
        <v/>
      </c>
      <c r="GY660" s="1072" t="str">
        <f t="shared" si="156"/>
        <v/>
      </c>
      <c r="GZ660" s="1072" t="str">
        <f t="shared" si="157"/>
        <v/>
      </c>
      <c r="HA660" s="1072" t="str">
        <f t="shared" si="158"/>
        <v/>
      </c>
      <c r="HB660" s="1072" t="str">
        <f t="shared" si="159"/>
        <v/>
      </c>
      <c r="HC660" s="1072" t="str">
        <f t="shared" si="160"/>
        <v/>
      </c>
      <c r="HD660" s="1072" t="str">
        <f t="shared" si="161"/>
        <v/>
      </c>
      <c r="HE660" s="1072" t="str">
        <f t="shared" si="162"/>
        <v/>
      </c>
      <c r="HF660" s="1072" t="str">
        <f t="shared" si="163"/>
        <v/>
      </c>
      <c r="HG660" s="1072" t="str">
        <f t="shared" si="164"/>
        <v/>
      </c>
      <c r="HH660" s="1072" t="str">
        <f t="shared" si="165"/>
        <v/>
      </c>
      <c r="HI660" s="1072" t="str">
        <f t="shared" si="166"/>
        <v/>
      </c>
      <c r="HJ660" s="1072" t="str">
        <f t="shared" si="167"/>
        <v/>
      </c>
      <c r="HK660" s="1072" t="str">
        <f t="shared" si="168"/>
        <v/>
      </c>
      <c r="HL660" s="1072" t="str">
        <f t="shared" si="169"/>
        <v/>
      </c>
      <c r="HM660" s="1072" t="str">
        <f t="shared" si="170"/>
        <v/>
      </c>
    </row>
    <row r="661" spans="1:221" ht="13.15" customHeight="1">
      <c r="A661" s="1084" t="str">
        <f t="shared" si="171"/>
        <v/>
      </c>
      <c r="B661" s="1037" t="str">
        <f>'Part VI-Revenues &amp; Expenses'!B27</f>
        <v>&lt;&lt;Select&gt;&gt;</v>
      </c>
      <c r="C661" s="1038">
        <f>'Part VI-Revenues &amp; Expenses'!C27</f>
        <v>0</v>
      </c>
      <c r="D661" s="1039">
        <f>'Part VI-Revenues &amp; Expenses'!D27</f>
        <v>0</v>
      </c>
      <c r="E661" s="1040">
        <f>'Part VI-Revenues &amp; Expenses'!E27</f>
        <v>0</v>
      </c>
      <c r="F661" s="1040">
        <f>'Part VI-Revenues &amp; Expenses'!F27</f>
        <v>0</v>
      </c>
      <c r="G661" s="1040">
        <f>'Part VI-Revenues &amp; Expenses'!G27</f>
        <v>0</v>
      </c>
      <c r="H661" s="1040">
        <f>'Part VI-Revenues &amp; Expenses'!H27</f>
        <v>0</v>
      </c>
      <c r="I661" s="1040">
        <f>'Part VI-Revenues &amp; Expenses'!I27</f>
        <v>0</v>
      </c>
      <c r="J661" s="1103">
        <f>'Part VI-Revenues &amp; Expenses'!J27</f>
        <v>0</v>
      </c>
      <c r="K661" s="908">
        <f t="shared" si="172"/>
        <v>0</v>
      </c>
      <c r="L661" s="908">
        <f t="shared" si="0"/>
        <v>0</v>
      </c>
      <c r="M661" s="831">
        <f>'Part VI-Revenues &amp; Expenses'!M27</f>
        <v>0</v>
      </c>
      <c r="N661" s="831">
        <f>'Part VI-Revenues &amp; Expenses'!N27</f>
        <v>0</v>
      </c>
      <c r="O661" s="831">
        <f>'Part VI-Revenues &amp; Expenses'!O27</f>
        <v>0</v>
      </c>
      <c r="P661" s="909">
        <f t="shared" si="203"/>
        <v>0</v>
      </c>
      <c r="Q661" s="910" t="str">
        <f>'Part VI-Revenues &amp; Expenses'!Q27</f>
        <v/>
      </c>
      <c r="R661" s="909"/>
      <c r="S661" s="910"/>
      <c r="T661" s="1576"/>
      <c r="U661" s="1576"/>
      <c r="V661" s="1072" t="str">
        <f t="shared" si="1"/>
        <v/>
      </c>
      <c r="W661" s="1072" t="str">
        <f t="shared" si="2"/>
        <v/>
      </c>
      <c r="X661" s="1072" t="str">
        <f t="shared" si="3"/>
        <v/>
      </c>
      <c r="Y661" s="1072" t="str">
        <f t="shared" si="4"/>
        <v/>
      </c>
      <c r="Z661" s="1072" t="str">
        <f t="shared" si="5"/>
        <v/>
      </c>
      <c r="AA661" s="1072" t="str">
        <f t="shared" si="6"/>
        <v/>
      </c>
      <c r="AB661" s="1072" t="str">
        <f t="shared" si="7"/>
        <v/>
      </c>
      <c r="AC661" s="1072" t="str">
        <f t="shared" si="8"/>
        <v/>
      </c>
      <c r="AD661" s="1072" t="str">
        <f t="shared" si="9"/>
        <v/>
      </c>
      <c r="AE661" s="1072" t="str">
        <f t="shared" si="10"/>
        <v/>
      </c>
      <c r="AF661" s="1072" t="str">
        <f t="shared" si="11"/>
        <v/>
      </c>
      <c r="AG661" s="1072" t="str">
        <f t="shared" si="12"/>
        <v/>
      </c>
      <c r="AH661" s="1072" t="str">
        <f t="shared" si="13"/>
        <v/>
      </c>
      <c r="AI661" s="1072" t="str">
        <f t="shared" si="14"/>
        <v/>
      </c>
      <c r="AJ661" s="1072" t="str">
        <f t="shared" si="15"/>
        <v/>
      </c>
      <c r="AK661" s="1072" t="str">
        <f t="shared" si="16"/>
        <v/>
      </c>
      <c r="AL661" s="1072" t="str">
        <f t="shared" si="17"/>
        <v/>
      </c>
      <c r="AM661" s="1072" t="str">
        <f t="shared" si="18"/>
        <v/>
      </c>
      <c r="AN661" s="1072" t="str">
        <f t="shared" si="19"/>
        <v/>
      </c>
      <c r="AO661" s="1072" t="str">
        <f t="shared" si="20"/>
        <v/>
      </c>
      <c r="AP661" s="1072" t="str">
        <f t="shared" si="173"/>
        <v/>
      </c>
      <c r="AQ661" s="1072" t="str">
        <f t="shared" si="174"/>
        <v/>
      </c>
      <c r="AR661" s="1072" t="str">
        <f t="shared" si="175"/>
        <v/>
      </c>
      <c r="AS661" s="1072" t="str">
        <f t="shared" si="176"/>
        <v/>
      </c>
      <c r="AT661" s="1072" t="str">
        <f t="shared" si="177"/>
        <v/>
      </c>
      <c r="AU661" s="1072" t="str">
        <f t="shared" si="178"/>
        <v/>
      </c>
      <c r="AV661" s="1072" t="str">
        <f t="shared" si="179"/>
        <v/>
      </c>
      <c r="AW661" s="1072" t="str">
        <f t="shared" si="180"/>
        <v/>
      </c>
      <c r="AX661" s="1072" t="str">
        <f t="shared" si="181"/>
        <v/>
      </c>
      <c r="AY661" s="1072" t="str">
        <f t="shared" si="182"/>
        <v/>
      </c>
      <c r="AZ661" s="1072" t="str">
        <f t="shared" si="183"/>
        <v/>
      </c>
      <c r="BA661" s="1072" t="str">
        <f t="shared" si="184"/>
        <v/>
      </c>
      <c r="BB661" s="1072" t="str">
        <f t="shared" si="185"/>
        <v/>
      </c>
      <c r="BC661" s="1072" t="str">
        <f t="shared" si="186"/>
        <v/>
      </c>
      <c r="BD661" s="1072" t="str">
        <f t="shared" si="187"/>
        <v/>
      </c>
      <c r="BE661" s="1072" t="str">
        <f t="shared" si="188"/>
        <v/>
      </c>
      <c r="BF661" s="1072" t="str">
        <f t="shared" si="189"/>
        <v/>
      </c>
      <c r="BG661" s="1072" t="str">
        <f t="shared" si="190"/>
        <v/>
      </c>
      <c r="BH661" s="1072" t="str">
        <f t="shared" si="191"/>
        <v/>
      </c>
      <c r="BI661" s="1072" t="str">
        <f t="shared" si="192"/>
        <v/>
      </c>
      <c r="BJ661" s="1072" t="str">
        <f t="shared" si="193"/>
        <v/>
      </c>
      <c r="BK661" s="1072" t="str">
        <f t="shared" si="194"/>
        <v/>
      </c>
      <c r="BL661" s="1072" t="str">
        <f t="shared" si="195"/>
        <v/>
      </c>
      <c r="BM661" s="1072" t="str">
        <f t="shared" si="196"/>
        <v/>
      </c>
      <c r="BN661" s="1072" t="str">
        <f t="shared" si="197"/>
        <v/>
      </c>
      <c r="BO661" s="1072" t="str">
        <f t="shared" si="198"/>
        <v/>
      </c>
      <c r="BP661" s="1072" t="str">
        <f t="shared" si="199"/>
        <v/>
      </c>
      <c r="BQ661" s="1072" t="str">
        <f t="shared" si="200"/>
        <v/>
      </c>
      <c r="BR661" s="1072" t="str">
        <f t="shared" si="201"/>
        <v/>
      </c>
      <c r="BS661" s="1072" t="str">
        <f t="shared" si="202"/>
        <v/>
      </c>
      <c r="BT661" s="1072" t="str">
        <f t="shared" si="21"/>
        <v/>
      </c>
      <c r="BU661" s="1072" t="str">
        <f t="shared" si="22"/>
        <v/>
      </c>
      <c r="BV661" s="1072" t="str">
        <f t="shared" si="23"/>
        <v/>
      </c>
      <c r="BW661" s="1072" t="str">
        <f t="shared" si="24"/>
        <v/>
      </c>
      <c r="BX661" s="1072" t="str">
        <f t="shared" si="25"/>
        <v/>
      </c>
      <c r="BY661" s="1072" t="str">
        <f t="shared" si="26"/>
        <v/>
      </c>
      <c r="BZ661" s="1072" t="str">
        <f t="shared" si="27"/>
        <v/>
      </c>
      <c r="CA661" s="1072" t="str">
        <f t="shared" si="28"/>
        <v/>
      </c>
      <c r="CB661" s="1072" t="str">
        <f t="shared" si="29"/>
        <v/>
      </c>
      <c r="CC661" s="1072" t="str">
        <f t="shared" si="30"/>
        <v/>
      </c>
      <c r="CD661" s="1072" t="str">
        <f t="shared" si="31"/>
        <v/>
      </c>
      <c r="CE661" s="1072" t="str">
        <f t="shared" si="32"/>
        <v/>
      </c>
      <c r="CF661" s="1072" t="str">
        <f t="shared" si="33"/>
        <v/>
      </c>
      <c r="CG661" s="1072" t="str">
        <f t="shared" si="34"/>
        <v/>
      </c>
      <c r="CH661" s="1072" t="str">
        <f t="shared" si="35"/>
        <v/>
      </c>
      <c r="CI661" s="1072" t="str">
        <f t="shared" si="36"/>
        <v/>
      </c>
      <c r="CJ661" s="1072" t="str">
        <f t="shared" si="37"/>
        <v/>
      </c>
      <c r="CK661" s="1072" t="str">
        <f t="shared" si="38"/>
        <v/>
      </c>
      <c r="CL661" s="1072" t="str">
        <f t="shared" si="39"/>
        <v/>
      </c>
      <c r="CM661" s="1072" t="str">
        <f t="shared" si="40"/>
        <v/>
      </c>
      <c r="CN661" s="1072" t="str">
        <f t="shared" si="41"/>
        <v/>
      </c>
      <c r="CO661" s="1072" t="str">
        <f t="shared" si="42"/>
        <v/>
      </c>
      <c r="CP661" s="1072" t="str">
        <f t="shared" si="43"/>
        <v/>
      </c>
      <c r="CQ661" s="1072" t="str">
        <f t="shared" si="44"/>
        <v/>
      </c>
      <c r="CR661" s="1072" t="str">
        <f t="shared" si="45"/>
        <v/>
      </c>
      <c r="CS661" s="1072" t="str">
        <f t="shared" si="46"/>
        <v/>
      </c>
      <c r="CT661" s="1072" t="str">
        <f t="shared" si="47"/>
        <v/>
      </c>
      <c r="CU661" s="1072" t="str">
        <f t="shared" si="48"/>
        <v/>
      </c>
      <c r="CV661" s="1072" t="str">
        <f t="shared" si="49"/>
        <v/>
      </c>
      <c r="CW661" s="1072" t="str">
        <f t="shared" si="50"/>
        <v/>
      </c>
      <c r="CX661" s="1072" t="str">
        <f t="shared" si="51"/>
        <v/>
      </c>
      <c r="CY661" s="1072" t="str">
        <f t="shared" si="52"/>
        <v/>
      </c>
      <c r="CZ661" s="1072" t="str">
        <f t="shared" si="53"/>
        <v/>
      </c>
      <c r="DA661" s="1072" t="str">
        <f t="shared" si="54"/>
        <v/>
      </c>
      <c r="DB661" s="1072" t="str">
        <f t="shared" si="55"/>
        <v/>
      </c>
      <c r="DC661" s="1072" t="str">
        <f t="shared" si="56"/>
        <v/>
      </c>
      <c r="DD661" s="1072" t="str">
        <f t="shared" si="57"/>
        <v/>
      </c>
      <c r="DE661" s="1072" t="str">
        <f t="shared" si="58"/>
        <v/>
      </c>
      <c r="DF661" s="1072" t="str">
        <f t="shared" si="59"/>
        <v/>
      </c>
      <c r="DG661" s="1072" t="str">
        <f t="shared" si="60"/>
        <v/>
      </c>
      <c r="DH661" s="1072" t="str">
        <f t="shared" si="61"/>
        <v/>
      </c>
      <c r="DI661" s="1072" t="str">
        <f t="shared" si="62"/>
        <v/>
      </c>
      <c r="DJ661" s="1072" t="str">
        <f t="shared" si="63"/>
        <v/>
      </c>
      <c r="DK661" s="1072" t="str">
        <f t="shared" si="64"/>
        <v/>
      </c>
      <c r="DL661" s="1072" t="str">
        <f t="shared" si="65"/>
        <v/>
      </c>
      <c r="DM661" s="1072" t="str">
        <f t="shared" si="66"/>
        <v/>
      </c>
      <c r="DN661" s="1072" t="str">
        <f t="shared" si="67"/>
        <v/>
      </c>
      <c r="DO661" s="1072" t="str">
        <f t="shared" si="68"/>
        <v/>
      </c>
      <c r="DP661" s="1072" t="str">
        <f t="shared" si="69"/>
        <v/>
      </c>
      <c r="DQ661" s="1072" t="str">
        <f t="shared" si="70"/>
        <v/>
      </c>
      <c r="DR661" s="1072" t="str">
        <f t="shared" si="71"/>
        <v/>
      </c>
      <c r="DS661" s="1072" t="str">
        <f t="shared" si="72"/>
        <v/>
      </c>
      <c r="DT661" s="1072" t="str">
        <f t="shared" si="73"/>
        <v/>
      </c>
      <c r="DU661" s="1072" t="str">
        <f t="shared" si="74"/>
        <v/>
      </c>
      <c r="DV661" s="1072" t="str">
        <f t="shared" si="75"/>
        <v/>
      </c>
      <c r="DW661" s="1072" t="str">
        <f t="shared" si="76"/>
        <v/>
      </c>
      <c r="DX661" s="1072" t="str">
        <f t="shared" si="77"/>
        <v/>
      </c>
      <c r="DY661" s="1072" t="str">
        <f t="shared" si="78"/>
        <v/>
      </c>
      <c r="DZ661" s="1072" t="str">
        <f t="shared" si="79"/>
        <v/>
      </c>
      <c r="EA661" s="1072" t="str">
        <f t="shared" si="80"/>
        <v/>
      </c>
      <c r="EB661" s="1072" t="str">
        <f t="shared" si="81"/>
        <v/>
      </c>
      <c r="EC661" s="1072" t="str">
        <f t="shared" si="82"/>
        <v/>
      </c>
      <c r="ED661" s="1072" t="str">
        <f t="shared" si="83"/>
        <v/>
      </c>
      <c r="EE661" s="1072" t="str">
        <f t="shared" si="84"/>
        <v/>
      </c>
      <c r="EF661" s="1072" t="str">
        <f t="shared" si="85"/>
        <v/>
      </c>
      <c r="EG661" s="1072" t="str">
        <f t="shared" si="86"/>
        <v/>
      </c>
      <c r="EH661" s="1072" t="str">
        <f t="shared" si="87"/>
        <v/>
      </c>
      <c r="EI661" s="1072" t="str">
        <f t="shared" si="88"/>
        <v/>
      </c>
      <c r="EJ661" s="1072" t="str">
        <f t="shared" si="89"/>
        <v/>
      </c>
      <c r="EK661" s="1072" t="str">
        <f t="shared" si="90"/>
        <v/>
      </c>
      <c r="EL661" s="1072" t="str">
        <f t="shared" si="91"/>
        <v/>
      </c>
      <c r="EM661" s="1072" t="str">
        <f t="shared" si="92"/>
        <v/>
      </c>
      <c r="EN661" s="1072" t="str">
        <f t="shared" si="93"/>
        <v/>
      </c>
      <c r="EO661" s="1072" t="str">
        <f t="shared" si="94"/>
        <v/>
      </c>
      <c r="EP661" s="1072" t="str">
        <f t="shared" si="95"/>
        <v/>
      </c>
      <c r="EQ661" s="1072" t="str">
        <f t="shared" si="96"/>
        <v/>
      </c>
      <c r="ER661" s="1072" t="str">
        <f t="shared" si="97"/>
        <v/>
      </c>
      <c r="ES661" s="1072" t="str">
        <f t="shared" si="98"/>
        <v/>
      </c>
      <c r="ET661" s="1072" t="str">
        <f t="shared" si="99"/>
        <v/>
      </c>
      <c r="EU661" s="1072" t="str">
        <f t="shared" si="100"/>
        <v/>
      </c>
      <c r="EV661" s="833" t="str">
        <f t="shared" si="101"/>
        <v/>
      </c>
      <c r="EW661" s="833" t="str">
        <f t="shared" si="102"/>
        <v/>
      </c>
      <c r="EX661" s="833" t="str">
        <f t="shared" si="103"/>
        <v/>
      </c>
      <c r="EY661" s="833" t="str">
        <f t="shared" si="104"/>
        <v/>
      </c>
      <c r="EZ661" s="833" t="str">
        <f t="shared" si="105"/>
        <v/>
      </c>
      <c r="FA661" s="833" t="str">
        <f t="shared" si="106"/>
        <v/>
      </c>
      <c r="FB661" s="833" t="str">
        <f t="shared" si="107"/>
        <v/>
      </c>
      <c r="FC661" s="833" t="str">
        <f t="shared" si="108"/>
        <v/>
      </c>
      <c r="FD661" s="833" t="str">
        <f t="shared" si="109"/>
        <v/>
      </c>
      <c r="FE661" s="833" t="str">
        <f t="shared" si="110"/>
        <v/>
      </c>
      <c r="FF661" s="833" t="str">
        <f t="shared" si="111"/>
        <v/>
      </c>
      <c r="FG661" s="833" t="str">
        <f t="shared" si="112"/>
        <v/>
      </c>
      <c r="FH661" s="833" t="str">
        <f t="shared" si="113"/>
        <v/>
      </c>
      <c r="FI661" s="833" t="str">
        <f t="shared" si="114"/>
        <v/>
      </c>
      <c r="FJ661" s="833" t="str">
        <f t="shared" si="115"/>
        <v/>
      </c>
      <c r="FK661" s="833" t="str">
        <f t="shared" si="116"/>
        <v/>
      </c>
      <c r="FL661" s="833" t="str">
        <f t="shared" si="117"/>
        <v/>
      </c>
      <c r="FM661" s="833" t="str">
        <f t="shared" si="118"/>
        <v/>
      </c>
      <c r="FN661" s="833" t="str">
        <f t="shared" si="119"/>
        <v/>
      </c>
      <c r="FO661" s="833" t="str">
        <f t="shared" si="120"/>
        <v/>
      </c>
      <c r="FP661" s="833" t="str">
        <f t="shared" si="121"/>
        <v/>
      </c>
      <c r="FQ661" s="833" t="str">
        <f t="shared" si="122"/>
        <v/>
      </c>
      <c r="FR661" s="833" t="str">
        <f t="shared" si="123"/>
        <v/>
      </c>
      <c r="FS661" s="833" t="str">
        <f t="shared" si="124"/>
        <v/>
      </c>
      <c r="FT661" s="833" t="str">
        <f t="shared" si="125"/>
        <v/>
      </c>
      <c r="FU661" s="833" t="str">
        <f t="shared" si="126"/>
        <v/>
      </c>
      <c r="FV661" s="833" t="str">
        <f t="shared" si="127"/>
        <v/>
      </c>
      <c r="FW661" s="833" t="str">
        <f t="shared" si="128"/>
        <v/>
      </c>
      <c r="FX661" s="833" t="str">
        <f t="shared" si="129"/>
        <v/>
      </c>
      <c r="FY661" s="833" t="str">
        <f t="shared" si="130"/>
        <v/>
      </c>
      <c r="FZ661" s="833" t="str">
        <f t="shared" si="131"/>
        <v/>
      </c>
      <c r="GA661" s="833" t="str">
        <f t="shared" si="132"/>
        <v/>
      </c>
      <c r="GB661" s="833" t="str">
        <f t="shared" si="133"/>
        <v/>
      </c>
      <c r="GC661" s="833" t="str">
        <f t="shared" si="134"/>
        <v/>
      </c>
      <c r="GD661" s="833" t="str">
        <f t="shared" si="135"/>
        <v/>
      </c>
      <c r="GE661" s="833" t="str">
        <f t="shared" si="136"/>
        <v/>
      </c>
      <c r="GF661" s="833" t="str">
        <f t="shared" si="137"/>
        <v/>
      </c>
      <c r="GG661" s="833" t="str">
        <f t="shared" si="138"/>
        <v/>
      </c>
      <c r="GH661" s="833" t="str">
        <f t="shared" si="139"/>
        <v/>
      </c>
      <c r="GI661" s="833" t="str">
        <f t="shared" si="140"/>
        <v/>
      </c>
      <c r="GJ661" s="833" t="str">
        <f t="shared" si="141"/>
        <v/>
      </c>
      <c r="GK661" s="833" t="str">
        <f t="shared" si="142"/>
        <v/>
      </c>
      <c r="GL661" s="833" t="str">
        <f t="shared" si="143"/>
        <v/>
      </c>
      <c r="GM661" s="833" t="str">
        <f t="shared" si="144"/>
        <v/>
      </c>
      <c r="GN661" s="833" t="str">
        <f t="shared" si="145"/>
        <v/>
      </c>
      <c r="GO661" s="1115" t="str">
        <f t="shared" si="146"/>
        <v/>
      </c>
      <c r="GP661" s="1115" t="str">
        <f t="shared" si="147"/>
        <v/>
      </c>
      <c r="GQ661" s="1115" t="str">
        <f t="shared" si="148"/>
        <v/>
      </c>
      <c r="GR661" s="1115" t="str">
        <f t="shared" si="149"/>
        <v/>
      </c>
      <c r="GS661" s="1115" t="str">
        <f t="shared" si="150"/>
        <v/>
      </c>
      <c r="GT661" s="1072" t="str">
        <f t="shared" si="151"/>
        <v/>
      </c>
      <c r="GU661" s="1072" t="str">
        <f t="shared" si="152"/>
        <v/>
      </c>
      <c r="GV661" s="1072" t="str">
        <f t="shared" si="153"/>
        <v/>
      </c>
      <c r="GW661" s="1072" t="str">
        <f t="shared" si="154"/>
        <v/>
      </c>
      <c r="GX661" s="1072" t="str">
        <f t="shared" si="155"/>
        <v/>
      </c>
      <c r="GY661" s="1072" t="str">
        <f t="shared" si="156"/>
        <v/>
      </c>
      <c r="GZ661" s="1072" t="str">
        <f t="shared" si="157"/>
        <v/>
      </c>
      <c r="HA661" s="1072" t="str">
        <f t="shared" si="158"/>
        <v/>
      </c>
      <c r="HB661" s="1072" t="str">
        <f t="shared" si="159"/>
        <v/>
      </c>
      <c r="HC661" s="1072" t="str">
        <f t="shared" si="160"/>
        <v/>
      </c>
      <c r="HD661" s="1072" t="str">
        <f t="shared" si="161"/>
        <v/>
      </c>
      <c r="HE661" s="1072" t="str">
        <f t="shared" si="162"/>
        <v/>
      </c>
      <c r="HF661" s="1072" t="str">
        <f t="shared" si="163"/>
        <v/>
      </c>
      <c r="HG661" s="1072" t="str">
        <f t="shared" si="164"/>
        <v/>
      </c>
      <c r="HH661" s="1072" t="str">
        <f t="shared" si="165"/>
        <v/>
      </c>
      <c r="HI661" s="1072" t="str">
        <f t="shared" si="166"/>
        <v/>
      </c>
      <c r="HJ661" s="1072" t="str">
        <f t="shared" si="167"/>
        <v/>
      </c>
      <c r="HK661" s="1072" t="str">
        <f t="shared" si="168"/>
        <v/>
      </c>
      <c r="HL661" s="1072" t="str">
        <f t="shared" si="169"/>
        <v/>
      </c>
      <c r="HM661" s="1072" t="str">
        <f t="shared" si="170"/>
        <v/>
      </c>
    </row>
    <row r="662" spans="1:221" ht="13.15" customHeight="1">
      <c r="A662" s="1084" t="str">
        <f t="shared" si="171"/>
        <v/>
      </c>
      <c r="B662" s="1037" t="str">
        <f>'Part VI-Revenues &amp; Expenses'!B28</f>
        <v>&lt;&lt;Select&gt;&gt;</v>
      </c>
      <c r="C662" s="1038">
        <f>'Part VI-Revenues &amp; Expenses'!C28</f>
        <v>0</v>
      </c>
      <c r="D662" s="1039">
        <f>'Part VI-Revenues &amp; Expenses'!D28</f>
        <v>0</v>
      </c>
      <c r="E662" s="1040">
        <f>'Part VI-Revenues &amp; Expenses'!E28</f>
        <v>0</v>
      </c>
      <c r="F662" s="1040">
        <f>'Part VI-Revenues &amp; Expenses'!F28</f>
        <v>0</v>
      </c>
      <c r="G662" s="1040">
        <f>'Part VI-Revenues &amp; Expenses'!G28</f>
        <v>0</v>
      </c>
      <c r="H662" s="1040">
        <f>'Part VI-Revenues &amp; Expenses'!H28</f>
        <v>0</v>
      </c>
      <c r="I662" s="1040">
        <f>'Part VI-Revenues &amp; Expenses'!I28</f>
        <v>0</v>
      </c>
      <c r="J662" s="1103">
        <f>'Part VI-Revenues &amp; Expenses'!J28</f>
        <v>0</v>
      </c>
      <c r="K662" s="908">
        <f>MAX(0,H662-I662)</f>
        <v>0</v>
      </c>
      <c r="L662" s="908">
        <f t="shared" si="0"/>
        <v>0</v>
      </c>
      <c r="M662" s="831">
        <f>'Part VI-Revenues &amp; Expenses'!M28</f>
        <v>0</v>
      </c>
      <c r="N662" s="831">
        <f>'Part VI-Revenues &amp; Expenses'!N28</f>
        <v>0</v>
      </c>
      <c r="O662" s="831">
        <f>'Part VI-Revenues &amp; Expenses'!O28</f>
        <v>0</v>
      </c>
      <c r="P662" s="909">
        <f t="shared" si="203"/>
        <v>0</v>
      </c>
      <c r="Q662" s="910" t="str">
        <f>'Part VI-Revenues &amp; Expenses'!Q28</f>
        <v/>
      </c>
      <c r="R662" s="909"/>
      <c r="S662" s="910"/>
      <c r="T662" s="1576"/>
      <c r="U662" s="1576"/>
      <c r="V662" s="1072" t="str">
        <f t="shared" si="1"/>
        <v/>
      </c>
      <c r="W662" s="1072" t="str">
        <f t="shared" si="2"/>
        <v/>
      </c>
      <c r="X662" s="1072" t="str">
        <f t="shared" si="3"/>
        <v/>
      </c>
      <c r="Y662" s="1072" t="str">
        <f t="shared" si="4"/>
        <v/>
      </c>
      <c r="Z662" s="1072" t="str">
        <f t="shared" si="5"/>
        <v/>
      </c>
      <c r="AA662" s="1072" t="str">
        <f t="shared" si="6"/>
        <v/>
      </c>
      <c r="AB662" s="1072" t="str">
        <f t="shared" si="7"/>
        <v/>
      </c>
      <c r="AC662" s="1072" t="str">
        <f t="shared" si="8"/>
        <v/>
      </c>
      <c r="AD662" s="1072" t="str">
        <f t="shared" si="9"/>
        <v/>
      </c>
      <c r="AE662" s="1072" t="str">
        <f t="shared" si="10"/>
        <v/>
      </c>
      <c r="AF662" s="1072" t="str">
        <f t="shared" si="11"/>
        <v/>
      </c>
      <c r="AG662" s="1072" t="str">
        <f t="shared" si="12"/>
        <v/>
      </c>
      <c r="AH662" s="1072" t="str">
        <f t="shared" si="13"/>
        <v/>
      </c>
      <c r="AI662" s="1072" t="str">
        <f t="shared" si="14"/>
        <v/>
      </c>
      <c r="AJ662" s="1072" t="str">
        <f t="shared" si="15"/>
        <v/>
      </c>
      <c r="AK662" s="1072" t="str">
        <f t="shared" si="16"/>
        <v/>
      </c>
      <c r="AL662" s="1072" t="str">
        <f t="shared" si="17"/>
        <v/>
      </c>
      <c r="AM662" s="1072" t="str">
        <f t="shared" si="18"/>
        <v/>
      </c>
      <c r="AN662" s="1072" t="str">
        <f t="shared" si="19"/>
        <v/>
      </c>
      <c r="AO662" s="1072" t="str">
        <f t="shared" si="20"/>
        <v/>
      </c>
      <c r="AP662" s="1072" t="str">
        <f t="shared" si="173"/>
        <v/>
      </c>
      <c r="AQ662" s="1072" t="str">
        <f t="shared" si="174"/>
        <v/>
      </c>
      <c r="AR662" s="1072" t="str">
        <f t="shared" si="175"/>
        <v/>
      </c>
      <c r="AS662" s="1072" t="str">
        <f t="shared" si="176"/>
        <v/>
      </c>
      <c r="AT662" s="1072" t="str">
        <f t="shared" si="177"/>
        <v/>
      </c>
      <c r="AU662" s="1072" t="str">
        <f t="shared" si="178"/>
        <v/>
      </c>
      <c r="AV662" s="1072" t="str">
        <f t="shared" si="179"/>
        <v/>
      </c>
      <c r="AW662" s="1072" t="str">
        <f t="shared" si="180"/>
        <v/>
      </c>
      <c r="AX662" s="1072" t="str">
        <f t="shared" si="181"/>
        <v/>
      </c>
      <c r="AY662" s="1072" t="str">
        <f t="shared" si="182"/>
        <v/>
      </c>
      <c r="AZ662" s="1072" t="str">
        <f t="shared" si="183"/>
        <v/>
      </c>
      <c r="BA662" s="1072" t="str">
        <f t="shared" si="184"/>
        <v/>
      </c>
      <c r="BB662" s="1072" t="str">
        <f t="shared" si="185"/>
        <v/>
      </c>
      <c r="BC662" s="1072" t="str">
        <f t="shared" si="186"/>
        <v/>
      </c>
      <c r="BD662" s="1072" t="str">
        <f t="shared" si="187"/>
        <v/>
      </c>
      <c r="BE662" s="1072" t="str">
        <f t="shared" si="188"/>
        <v/>
      </c>
      <c r="BF662" s="1072" t="str">
        <f t="shared" si="189"/>
        <v/>
      </c>
      <c r="BG662" s="1072" t="str">
        <f t="shared" si="190"/>
        <v/>
      </c>
      <c r="BH662" s="1072" t="str">
        <f t="shared" si="191"/>
        <v/>
      </c>
      <c r="BI662" s="1072" t="str">
        <f t="shared" si="192"/>
        <v/>
      </c>
      <c r="BJ662" s="1072" t="str">
        <f t="shared" si="193"/>
        <v/>
      </c>
      <c r="BK662" s="1072" t="str">
        <f t="shared" si="194"/>
        <v/>
      </c>
      <c r="BL662" s="1072" t="str">
        <f t="shared" si="195"/>
        <v/>
      </c>
      <c r="BM662" s="1072" t="str">
        <f t="shared" si="196"/>
        <v/>
      </c>
      <c r="BN662" s="1072" t="str">
        <f t="shared" si="197"/>
        <v/>
      </c>
      <c r="BO662" s="1072" t="str">
        <f t="shared" si="198"/>
        <v/>
      </c>
      <c r="BP662" s="1072" t="str">
        <f t="shared" si="199"/>
        <v/>
      </c>
      <c r="BQ662" s="1072" t="str">
        <f t="shared" si="200"/>
        <v/>
      </c>
      <c r="BR662" s="1072" t="str">
        <f t="shared" si="201"/>
        <v/>
      </c>
      <c r="BS662" s="1072" t="str">
        <f t="shared" si="202"/>
        <v/>
      </c>
      <c r="BT662" s="1072" t="str">
        <f t="shared" si="21"/>
        <v/>
      </c>
      <c r="BU662" s="1072" t="str">
        <f t="shared" si="22"/>
        <v/>
      </c>
      <c r="BV662" s="1072" t="str">
        <f t="shared" si="23"/>
        <v/>
      </c>
      <c r="BW662" s="1072" t="str">
        <f t="shared" si="24"/>
        <v/>
      </c>
      <c r="BX662" s="1072" t="str">
        <f t="shared" si="25"/>
        <v/>
      </c>
      <c r="BY662" s="1072" t="str">
        <f t="shared" si="26"/>
        <v/>
      </c>
      <c r="BZ662" s="1072" t="str">
        <f t="shared" si="27"/>
        <v/>
      </c>
      <c r="CA662" s="1072" t="str">
        <f t="shared" si="28"/>
        <v/>
      </c>
      <c r="CB662" s="1072" t="str">
        <f t="shared" si="29"/>
        <v/>
      </c>
      <c r="CC662" s="1072" t="str">
        <f t="shared" si="30"/>
        <v/>
      </c>
      <c r="CD662" s="1072" t="str">
        <f t="shared" si="31"/>
        <v/>
      </c>
      <c r="CE662" s="1072" t="str">
        <f t="shared" si="32"/>
        <v/>
      </c>
      <c r="CF662" s="1072" t="str">
        <f t="shared" si="33"/>
        <v/>
      </c>
      <c r="CG662" s="1072" t="str">
        <f t="shared" si="34"/>
        <v/>
      </c>
      <c r="CH662" s="1072" t="str">
        <f t="shared" si="35"/>
        <v/>
      </c>
      <c r="CI662" s="1072" t="str">
        <f t="shared" si="36"/>
        <v/>
      </c>
      <c r="CJ662" s="1072" t="str">
        <f t="shared" si="37"/>
        <v/>
      </c>
      <c r="CK662" s="1072" t="str">
        <f t="shared" si="38"/>
        <v/>
      </c>
      <c r="CL662" s="1072" t="str">
        <f t="shared" si="39"/>
        <v/>
      </c>
      <c r="CM662" s="1072" t="str">
        <f t="shared" si="40"/>
        <v/>
      </c>
      <c r="CN662" s="1072" t="str">
        <f t="shared" si="41"/>
        <v/>
      </c>
      <c r="CO662" s="1072" t="str">
        <f t="shared" si="42"/>
        <v/>
      </c>
      <c r="CP662" s="1072" t="str">
        <f t="shared" si="43"/>
        <v/>
      </c>
      <c r="CQ662" s="1072" t="str">
        <f t="shared" si="44"/>
        <v/>
      </c>
      <c r="CR662" s="1072" t="str">
        <f t="shared" si="45"/>
        <v/>
      </c>
      <c r="CS662" s="1072" t="str">
        <f t="shared" si="46"/>
        <v/>
      </c>
      <c r="CT662" s="1072" t="str">
        <f t="shared" si="47"/>
        <v/>
      </c>
      <c r="CU662" s="1072" t="str">
        <f t="shared" si="48"/>
        <v/>
      </c>
      <c r="CV662" s="1072" t="str">
        <f t="shared" si="49"/>
        <v/>
      </c>
      <c r="CW662" s="1072" t="str">
        <f t="shared" si="50"/>
        <v/>
      </c>
      <c r="CX662" s="1072" t="str">
        <f t="shared" si="51"/>
        <v/>
      </c>
      <c r="CY662" s="1072" t="str">
        <f t="shared" si="52"/>
        <v/>
      </c>
      <c r="CZ662" s="1072" t="str">
        <f t="shared" si="53"/>
        <v/>
      </c>
      <c r="DA662" s="1072" t="str">
        <f t="shared" si="54"/>
        <v/>
      </c>
      <c r="DB662" s="1072" t="str">
        <f t="shared" si="55"/>
        <v/>
      </c>
      <c r="DC662" s="1072" t="str">
        <f t="shared" si="56"/>
        <v/>
      </c>
      <c r="DD662" s="1072" t="str">
        <f t="shared" si="57"/>
        <v/>
      </c>
      <c r="DE662" s="1072" t="str">
        <f t="shared" si="58"/>
        <v/>
      </c>
      <c r="DF662" s="1072" t="str">
        <f t="shared" si="59"/>
        <v/>
      </c>
      <c r="DG662" s="1072" t="str">
        <f t="shared" si="60"/>
        <v/>
      </c>
      <c r="DH662" s="1072" t="str">
        <f t="shared" si="61"/>
        <v/>
      </c>
      <c r="DI662" s="1072" t="str">
        <f t="shared" si="62"/>
        <v/>
      </c>
      <c r="DJ662" s="1072" t="str">
        <f t="shared" si="63"/>
        <v/>
      </c>
      <c r="DK662" s="1072" t="str">
        <f t="shared" si="64"/>
        <v/>
      </c>
      <c r="DL662" s="1072" t="str">
        <f t="shared" si="65"/>
        <v/>
      </c>
      <c r="DM662" s="1072" t="str">
        <f t="shared" si="66"/>
        <v/>
      </c>
      <c r="DN662" s="1072" t="str">
        <f t="shared" si="67"/>
        <v/>
      </c>
      <c r="DO662" s="1072" t="str">
        <f t="shared" si="68"/>
        <v/>
      </c>
      <c r="DP662" s="1072" t="str">
        <f t="shared" si="69"/>
        <v/>
      </c>
      <c r="DQ662" s="1072" t="str">
        <f t="shared" si="70"/>
        <v/>
      </c>
      <c r="DR662" s="1072" t="str">
        <f t="shared" si="71"/>
        <v/>
      </c>
      <c r="DS662" s="1072" t="str">
        <f t="shared" si="72"/>
        <v/>
      </c>
      <c r="DT662" s="1072" t="str">
        <f t="shared" si="73"/>
        <v/>
      </c>
      <c r="DU662" s="1072" t="str">
        <f t="shared" si="74"/>
        <v/>
      </c>
      <c r="DV662" s="1072" t="str">
        <f t="shared" si="75"/>
        <v/>
      </c>
      <c r="DW662" s="1072" t="str">
        <f t="shared" si="76"/>
        <v/>
      </c>
      <c r="DX662" s="1072" t="str">
        <f t="shared" si="77"/>
        <v/>
      </c>
      <c r="DY662" s="1072" t="str">
        <f t="shared" si="78"/>
        <v/>
      </c>
      <c r="DZ662" s="1072" t="str">
        <f t="shared" si="79"/>
        <v/>
      </c>
      <c r="EA662" s="1072" t="str">
        <f t="shared" si="80"/>
        <v/>
      </c>
      <c r="EB662" s="1072" t="str">
        <f t="shared" si="81"/>
        <v/>
      </c>
      <c r="EC662" s="1072" t="str">
        <f t="shared" si="82"/>
        <v/>
      </c>
      <c r="ED662" s="1072" t="str">
        <f t="shared" si="83"/>
        <v/>
      </c>
      <c r="EE662" s="1072" t="str">
        <f t="shared" si="84"/>
        <v/>
      </c>
      <c r="EF662" s="1072" t="str">
        <f t="shared" si="85"/>
        <v/>
      </c>
      <c r="EG662" s="1072" t="str">
        <f t="shared" si="86"/>
        <v/>
      </c>
      <c r="EH662" s="1072" t="str">
        <f t="shared" si="87"/>
        <v/>
      </c>
      <c r="EI662" s="1072" t="str">
        <f t="shared" si="88"/>
        <v/>
      </c>
      <c r="EJ662" s="1072" t="str">
        <f t="shared" si="89"/>
        <v/>
      </c>
      <c r="EK662" s="1072" t="str">
        <f t="shared" si="90"/>
        <v/>
      </c>
      <c r="EL662" s="1072" t="str">
        <f t="shared" si="91"/>
        <v/>
      </c>
      <c r="EM662" s="1072" t="str">
        <f t="shared" si="92"/>
        <v/>
      </c>
      <c r="EN662" s="1072" t="str">
        <f t="shared" si="93"/>
        <v/>
      </c>
      <c r="EO662" s="1072" t="str">
        <f t="shared" si="94"/>
        <v/>
      </c>
      <c r="EP662" s="1072" t="str">
        <f t="shared" si="95"/>
        <v/>
      </c>
      <c r="EQ662" s="1072" t="str">
        <f t="shared" si="96"/>
        <v/>
      </c>
      <c r="ER662" s="1072" t="str">
        <f t="shared" si="97"/>
        <v/>
      </c>
      <c r="ES662" s="1072" t="str">
        <f t="shared" si="98"/>
        <v/>
      </c>
      <c r="ET662" s="1072" t="str">
        <f t="shared" si="99"/>
        <v/>
      </c>
      <c r="EU662" s="1072" t="str">
        <f t="shared" si="100"/>
        <v/>
      </c>
      <c r="EV662" s="833" t="str">
        <f t="shared" si="101"/>
        <v/>
      </c>
      <c r="EW662" s="833" t="str">
        <f t="shared" si="102"/>
        <v/>
      </c>
      <c r="EX662" s="833" t="str">
        <f t="shared" si="103"/>
        <v/>
      </c>
      <c r="EY662" s="833" t="str">
        <f t="shared" si="104"/>
        <v/>
      </c>
      <c r="EZ662" s="833" t="str">
        <f t="shared" si="105"/>
        <v/>
      </c>
      <c r="FA662" s="833" t="str">
        <f t="shared" si="106"/>
        <v/>
      </c>
      <c r="FB662" s="833" t="str">
        <f t="shared" si="107"/>
        <v/>
      </c>
      <c r="FC662" s="833" t="str">
        <f t="shared" si="108"/>
        <v/>
      </c>
      <c r="FD662" s="833" t="str">
        <f t="shared" si="109"/>
        <v/>
      </c>
      <c r="FE662" s="833" t="str">
        <f t="shared" si="110"/>
        <v/>
      </c>
      <c r="FF662" s="833" t="str">
        <f t="shared" si="111"/>
        <v/>
      </c>
      <c r="FG662" s="833" t="str">
        <f t="shared" si="112"/>
        <v/>
      </c>
      <c r="FH662" s="833" t="str">
        <f t="shared" si="113"/>
        <v/>
      </c>
      <c r="FI662" s="833" t="str">
        <f t="shared" si="114"/>
        <v/>
      </c>
      <c r="FJ662" s="833" t="str">
        <f t="shared" si="115"/>
        <v/>
      </c>
      <c r="FK662" s="833" t="str">
        <f t="shared" si="116"/>
        <v/>
      </c>
      <c r="FL662" s="833" t="str">
        <f t="shared" si="117"/>
        <v/>
      </c>
      <c r="FM662" s="833" t="str">
        <f t="shared" si="118"/>
        <v/>
      </c>
      <c r="FN662" s="833" t="str">
        <f t="shared" si="119"/>
        <v/>
      </c>
      <c r="FO662" s="833" t="str">
        <f t="shared" si="120"/>
        <v/>
      </c>
      <c r="FP662" s="833" t="str">
        <f t="shared" si="121"/>
        <v/>
      </c>
      <c r="FQ662" s="833" t="str">
        <f t="shared" si="122"/>
        <v/>
      </c>
      <c r="FR662" s="833" t="str">
        <f t="shared" si="123"/>
        <v/>
      </c>
      <c r="FS662" s="833" t="str">
        <f t="shared" si="124"/>
        <v/>
      </c>
      <c r="FT662" s="833" t="str">
        <f t="shared" si="125"/>
        <v/>
      </c>
      <c r="FU662" s="833" t="str">
        <f t="shared" si="126"/>
        <v/>
      </c>
      <c r="FV662" s="833" t="str">
        <f t="shared" si="127"/>
        <v/>
      </c>
      <c r="FW662" s="833" t="str">
        <f t="shared" si="128"/>
        <v/>
      </c>
      <c r="FX662" s="833" t="str">
        <f t="shared" si="129"/>
        <v/>
      </c>
      <c r="FY662" s="833" t="str">
        <f t="shared" si="130"/>
        <v/>
      </c>
      <c r="FZ662" s="833" t="str">
        <f t="shared" si="131"/>
        <v/>
      </c>
      <c r="GA662" s="833" t="str">
        <f t="shared" si="132"/>
        <v/>
      </c>
      <c r="GB662" s="833" t="str">
        <f t="shared" si="133"/>
        <v/>
      </c>
      <c r="GC662" s="833" t="str">
        <f t="shared" si="134"/>
        <v/>
      </c>
      <c r="GD662" s="833" t="str">
        <f t="shared" si="135"/>
        <v/>
      </c>
      <c r="GE662" s="833" t="str">
        <f t="shared" si="136"/>
        <v/>
      </c>
      <c r="GF662" s="833" t="str">
        <f t="shared" si="137"/>
        <v/>
      </c>
      <c r="GG662" s="833" t="str">
        <f t="shared" si="138"/>
        <v/>
      </c>
      <c r="GH662" s="833" t="str">
        <f t="shared" si="139"/>
        <v/>
      </c>
      <c r="GI662" s="833" t="str">
        <f t="shared" si="140"/>
        <v/>
      </c>
      <c r="GJ662" s="833" t="str">
        <f t="shared" si="141"/>
        <v/>
      </c>
      <c r="GK662" s="833" t="str">
        <f t="shared" si="142"/>
        <v/>
      </c>
      <c r="GL662" s="833" t="str">
        <f t="shared" si="143"/>
        <v/>
      </c>
      <c r="GM662" s="833" t="str">
        <f t="shared" si="144"/>
        <v/>
      </c>
      <c r="GN662" s="833" t="str">
        <f t="shared" si="145"/>
        <v/>
      </c>
      <c r="GO662" s="1115" t="str">
        <f t="shared" si="146"/>
        <v/>
      </c>
      <c r="GP662" s="1115" t="str">
        <f t="shared" si="147"/>
        <v/>
      </c>
      <c r="GQ662" s="1115" t="str">
        <f t="shared" si="148"/>
        <v/>
      </c>
      <c r="GR662" s="1115" t="str">
        <f t="shared" si="149"/>
        <v/>
      </c>
      <c r="GS662" s="1115" t="str">
        <f t="shared" si="150"/>
        <v/>
      </c>
      <c r="GT662" s="1072" t="str">
        <f t="shared" si="151"/>
        <v/>
      </c>
      <c r="GU662" s="1072" t="str">
        <f t="shared" si="152"/>
        <v/>
      </c>
      <c r="GV662" s="1072" t="str">
        <f t="shared" si="153"/>
        <v/>
      </c>
      <c r="GW662" s="1072" t="str">
        <f t="shared" si="154"/>
        <v/>
      </c>
      <c r="GX662" s="1072" t="str">
        <f t="shared" si="155"/>
        <v/>
      </c>
      <c r="GY662" s="1072" t="str">
        <f t="shared" si="156"/>
        <v/>
      </c>
      <c r="GZ662" s="1072" t="str">
        <f t="shared" si="157"/>
        <v/>
      </c>
      <c r="HA662" s="1072" t="str">
        <f t="shared" si="158"/>
        <v/>
      </c>
      <c r="HB662" s="1072" t="str">
        <f t="shared" si="159"/>
        <v/>
      </c>
      <c r="HC662" s="1072" t="str">
        <f t="shared" si="160"/>
        <v/>
      </c>
      <c r="HD662" s="1072" t="str">
        <f t="shared" si="161"/>
        <v/>
      </c>
      <c r="HE662" s="1072" t="str">
        <f t="shared" si="162"/>
        <v/>
      </c>
      <c r="HF662" s="1072" t="str">
        <f t="shared" si="163"/>
        <v/>
      </c>
      <c r="HG662" s="1072" t="str">
        <f t="shared" si="164"/>
        <v/>
      </c>
      <c r="HH662" s="1072" t="str">
        <f t="shared" si="165"/>
        <v/>
      </c>
      <c r="HI662" s="1072" t="str">
        <f t="shared" si="166"/>
        <v/>
      </c>
      <c r="HJ662" s="1072" t="str">
        <f t="shared" si="167"/>
        <v/>
      </c>
      <c r="HK662" s="1072" t="str">
        <f t="shared" si="168"/>
        <v/>
      </c>
      <c r="HL662" s="1072" t="str">
        <f t="shared" si="169"/>
        <v/>
      </c>
      <c r="HM662" s="1072" t="str">
        <f t="shared" si="170"/>
        <v/>
      </c>
    </row>
    <row r="663" spans="1:221" ht="13.15" customHeight="1">
      <c r="A663" s="1084" t="str">
        <f t="shared" si="171"/>
        <v/>
      </c>
      <c r="B663" s="1037" t="str">
        <f>'Part VI-Revenues &amp; Expenses'!B29</f>
        <v>&lt;&lt;Select&gt;&gt;</v>
      </c>
      <c r="C663" s="1038">
        <f>'Part VI-Revenues &amp; Expenses'!C29</f>
        <v>0</v>
      </c>
      <c r="D663" s="1039">
        <f>'Part VI-Revenues &amp; Expenses'!D29</f>
        <v>0</v>
      </c>
      <c r="E663" s="1040">
        <f>'Part VI-Revenues &amp; Expenses'!E29</f>
        <v>0</v>
      </c>
      <c r="F663" s="1040">
        <f>'Part VI-Revenues &amp; Expenses'!F29</f>
        <v>0</v>
      </c>
      <c r="G663" s="1040">
        <f>'Part VI-Revenues &amp; Expenses'!G29</f>
        <v>0</v>
      </c>
      <c r="H663" s="1040">
        <f>'Part VI-Revenues &amp; Expenses'!H29</f>
        <v>0</v>
      </c>
      <c r="I663" s="1040">
        <f>'Part VI-Revenues &amp; Expenses'!I29</f>
        <v>0</v>
      </c>
      <c r="J663" s="1103">
        <f>'Part VI-Revenues &amp; Expenses'!J29</f>
        <v>0</v>
      </c>
      <c r="K663" s="908">
        <f t="shared" ref="K663:K681" si="204">MAX(0,H663-I663)</f>
        <v>0</v>
      </c>
      <c r="L663" s="908">
        <f t="shared" si="0"/>
        <v>0</v>
      </c>
      <c r="M663" s="831">
        <f>'Part VI-Revenues &amp; Expenses'!M29</f>
        <v>0</v>
      </c>
      <c r="N663" s="831">
        <f>'Part VI-Revenues &amp; Expenses'!N29</f>
        <v>0</v>
      </c>
      <c r="O663" s="831">
        <f>'Part VI-Revenues &amp; Expenses'!O29</f>
        <v>0</v>
      </c>
      <c r="P663" s="909">
        <f t="shared" si="203"/>
        <v>0</v>
      </c>
      <c r="Q663" s="910" t="str">
        <f>'Part VI-Revenues &amp; Expenses'!Q29</f>
        <v/>
      </c>
      <c r="R663" s="909"/>
      <c r="S663" s="910"/>
      <c r="T663" s="1576"/>
      <c r="U663" s="1576"/>
      <c r="V663" s="1072" t="str">
        <f t="shared" si="1"/>
        <v/>
      </c>
      <c r="W663" s="1072" t="str">
        <f t="shared" si="2"/>
        <v/>
      </c>
      <c r="X663" s="1072" t="str">
        <f t="shared" si="3"/>
        <v/>
      </c>
      <c r="Y663" s="1072" t="str">
        <f t="shared" si="4"/>
        <v/>
      </c>
      <c r="Z663" s="1072" t="str">
        <f t="shared" si="5"/>
        <v/>
      </c>
      <c r="AA663" s="1072" t="str">
        <f t="shared" si="6"/>
        <v/>
      </c>
      <c r="AB663" s="1072" t="str">
        <f t="shared" si="7"/>
        <v/>
      </c>
      <c r="AC663" s="1072" t="str">
        <f t="shared" si="8"/>
        <v/>
      </c>
      <c r="AD663" s="1072" t="str">
        <f t="shared" si="9"/>
        <v/>
      </c>
      <c r="AE663" s="1072" t="str">
        <f t="shared" si="10"/>
        <v/>
      </c>
      <c r="AF663" s="1072" t="str">
        <f t="shared" si="11"/>
        <v/>
      </c>
      <c r="AG663" s="1072" t="str">
        <f t="shared" si="12"/>
        <v/>
      </c>
      <c r="AH663" s="1072" t="str">
        <f t="shared" si="13"/>
        <v/>
      </c>
      <c r="AI663" s="1072" t="str">
        <f t="shared" si="14"/>
        <v/>
      </c>
      <c r="AJ663" s="1072" t="str">
        <f t="shared" si="15"/>
        <v/>
      </c>
      <c r="AK663" s="1072" t="str">
        <f t="shared" si="16"/>
        <v/>
      </c>
      <c r="AL663" s="1072" t="str">
        <f t="shared" si="17"/>
        <v/>
      </c>
      <c r="AM663" s="1072" t="str">
        <f t="shared" si="18"/>
        <v/>
      </c>
      <c r="AN663" s="1072" t="str">
        <f t="shared" si="19"/>
        <v/>
      </c>
      <c r="AO663" s="1072" t="str">
        <f t="shared" si="20"/>
        <v/>
      </c>
      <c r="AP663" s="1072" t="str">
        <f t="shared" si="173"/>
        <v/>
      </c>
      <c r="AQ663" s="1072" t="str">
        <f t="shared" si="174"/>
        <v/>
      </c>
      <c r="AR663" s="1072" t="str">
        <f t="shared" si="175"/>
        <v/>
      </c>
      <c r="AS663" s="1072" t="str">
        <f t="shared" si="176"/>
        <v/>
      </c>
      <c r="AT663" s="1072" t="str">
        <f t="shared" si="177"/>
        <v/>
      </c>
      <c r="AU663" s="1072" t="str">
        <f t="shared" si="178"/>
        <v/>
      </c>
      <c r="AV663" s="1072" t="str">
        <f t="shared" si="179"/>
        <v/>
      </c>
      <c r="AW663" s="1072" t="str">
        <f t="shared" si="180"/>
        <v/>
      </c>
      <c r="AX663" s="1072" t="str">
        <f t="shared" si="181"/>
        <v/>
      </c>
      <c r="AY663" s="1072" t="str">
        <f t="shared" si="182"/>
        <v/>
      </c>
      <c r="AZ663" s="1072" t="str">
        <f t="shared" si="183"/>
        <v/>
      </c>
      <c r="BA663" s="1072" t="str">
        <f t="shared" si="184"/>
        <v/>
      </c>
      <c r="BB663" s="1072" t="str">
        <f t="shared" si="185"/>
        <v/>
      </c>
      <c r="BC663" s="1072" t="str">
        <f t="shared" si="186"/>
        <v/>
      </c>
      <c r="BD663" s="1072" t="str">
        <f t="shared" si="187"/>
        <v/>
      </c>
      <c r="BE663" s="1072" t="str">
        <f t="shared" si="188"/>
        <v/>
      </c>
      <c r="BF663" s="1072" t="str">
        <f t="shared" si="189"/>
        <v/>
      </c>
      <c r="BG663" s="1072" t="str">
        <f t="shared" si="190"/>
        <v/>
      </c>
      <c r="BH663" s="1072" t="str">
        <f t="shared" si="191"/>
        <v/>
      </c>
      <c r="BI663" s="1072" t="str">
        <f t="shared" si="192"/>
        <v/>
      </c>
      <c r="BJ663" s="1072" t="str">
        <f t="shared" si="193"/>
        <v/>
      </c>
      <c r="BK663" s="1072" t="str">
        <f t="shared" si="194"/>
        <v/>
      </c>
      <c r="BL663" s="1072" t="str">
        <f t="shared" si="195"/>
        <v/>
      </c>
      <c r="BM663" s="1072" t="str">
        <f t="shared" si="196"/>
        <v/>
      </c>
      <c r="BN663" s="1072" t="str">
        <f t="shared" si="197"/>
        <v/>
      </c>
      <c r="BO663" s="1072" t="str">
        <f t="shared" si="198"/>
        <v/>
      </c>
      <c r="BP663" s="1072" t="str">
        <f t="shared" si="199"/>
        <v/>
      </c>
      <c r="BQ663" s="1072" t="str">
        <f t="shared" si="200"/>
        <v/>
      </c>
      <c r="BR663" s="1072" t="str">
        <f t="shared" si="201"/>
        <v/>
      </c>
      <c r="BS663" s="1072" t="str">
        <f t="shared" si="202"/>
        <v/>
      </c>
      <c r="BT663" s="1072" t="str">
        <f t="shared" si="21"/>
        <v/>
      </c>
      <c r="BU663" s="1072" t="str">
        <f t="shared" si="22"/>
        <v/>
      </c>
      <c r="BV663" s="1072" t="str">
        <f t="shared" si="23"/>
        <v/>
      </c>
      <c r="BW663" s="1072" t="str">
        <f t="shared" si="24"/>
        <v/>
      </c>
      <c r="BX663" s="1072" t="str">
        <f t="shared" si="25"/>
        <v/>
      </c>
      <c r="BY663" s="1072" t="str">
        <f t="shared" si="26"/>
        <v/>
      </c>
      <c r="BZ663" s="1072" t="str">
        <f t="shared" si="27"/>
        <v/>
      </c>
      <c r="CA663" s="1072" t="str">
        <f t="shared" si="28"/>
        <v/>
      </c>
      <c r="CB663" s="1072" t="str">
        <f t="shared" si="29"/>
        <v/>
      </c>
      <c r="CC663" s="1072" t="str">
        <f t="shared" si="30"/>
        <v/>
      </c>
      <c r="CD663" s="1072" t="str">
        <f t="shared" si="31"/>
        <v/>
      </c>
      <c r="CE663" s="1072" t="str">
        <f t="shared" si="32"/>
        <v/>
      </c>
      <c r="CF663" s="1072" t="str">
        <f t="shared" si="33"/>
        <v/>
      </c>
      <c r="CG663" s="1072" t="str">
        <f t="shared" si="34"/>
        <v/>
      </c>
      <c r="CH663" s="1072" t="str">
        <f t="shared" si="35"/>
        <v/>
      </c>
      <c r="CI663" s="1072" t="str">
        <f t="shared" si="36"/>
        <v/>
      </c>
      <c r="CJ663" s="1072" t="str">
        <f t="shared" si="37"/>
        <v/>
      </c>
      <c r="CK663" s="1072" t="str">
        <f t="shared" si="38"/>
        <v/>
      </c>
      <c r="CL663" s="1072" t="str">
        <f t="shared" si="39"/>
        <v/>
      </c>
      <c r="CM663" s="1072" t="str">
        <f t="shared" si="40"/>
        <v/>
      </c>
      <c r="CN663" s="1072" t="str">
        <f t="shared" si="41"/>
        <v/>
      </c>
      <c r="CO663" s="1072" t="str">
        <f t="shared" si="42"/>
        <v/>
      </c>
      <c r="CP663" s="1072" t="str">
        <f t="shared" si="43"/>
        <v/>
      </c>
      <c r="CQ663" s="1072" t="str">
        <f t="shared" si="44"/>
        <v/>
      </c>
      <c r="CR663" s="1072" t="str">
        <f t="shared" si="45"/>
        <v/>
      </c>
      <c r="CS663" s="1072" t="str">
        <f t="shared" si="46"/>
        <v/>
      </c>
      <c r="CT663" s="1072" t="str">
        <f t="shared" si="47"/>
        <v/>
      </c>
      <c r="CU663" s="1072" t="str">
        <f t="shared" si="48"/>
        <v/>
      </c>
      <c r="CV663" s="1072" t="str">
        <f t="shared" si="49"/>
        <v/>
      </c>
      <c r="CW663" s="1072" t="str">
        <f t="shared" si="50"/>
        <v/>
      </c>
      <c r="CX663" s="1072" t="str">
        <f t="shared" si="51"/>
        <v/>
      </c>
      <c r="CY663" s="1072" t="str">
        <f t="shared" si="52"/>
        <v/>
      </c>
      <c r="CZ663" s="1072" t="str">
        <f t="shared" si="53"/>
        <v/>
      </c>
      <c r="DA663" s="1072" t="str">
        <f t="shared" si="54"/>
        <v/>
      </c>
      <c r="DB663" s="1072" t="str">
        <f t="shared" si="55"/>
        <v/>
      </c>
      <c r="DC663" s="1072" t="str">
        <f t="shared" si="56"/>
        <v/>
      </c>
      <c r="DD663" s="1072" t="str">
        <f t="shared" si="57"/>
        <v/>
      </c>
      <c r="DE663" s="1072" t="str">
        <f t="shared" si="58"/>
        <v/>
      </c>
      <c r="DF663" s="1072" t="str">
        <f t="shared" si="59"/>
        <v/>
      </c>
      <c r="DG663" s="1072" t="str">
        <f t="shared" si="60"/>
        <v/>
      </c>
      <c r="DH663" s="1072" t="str">
        <f t="shared" si="61"/>
        <v/>
      </c>
      <c r="DI663" s="1072" t="str">
        <f t="shared" si="62"/>
        <v/>
      </c>
      <c r="DJ663" s="1072" t="str">
        <f t="shared" si="63"/>
        <v/>
      </c>
      <c r="DK663" s="1072" t="str">
        <f t="shared" si="64"/>
        <v/>
      </c>
      <c r="DL663" s="1072" t="str">
        <f t="shared" si="65"/>
        <v/>
      </c>
      <c r="DM663" s="1072" t="str">
        <f t="shared" si="66"/>
        <v/>
      </c>
      <c r="DN663" s="1072" t="str">
        <f t="shared" si="67"/>
        <v/>
      </c>
      <c r="DO663" s="1072" t="str">
        <f t="shared" si="68"/>
        <v/>
      </c>
      <c r="DP663" s="1072" t="str">
        <f t="shared" si="69"/>
        <v/>
      </c>
      <c r="DQ663" s="1072" t="str">
        <f t="shared" si="70"/>
        <v/>
      </c>
      <c r="DR663" s="1072" t="str">
        <f t="shared" si="71"/>
        <v/>
      </c>
      <c r="DS663" s="1072" t="str">
        <f t="shared" si="72"/>
        <v/>
      </c>
      <c r="DT663" s="1072" t="str">
        <f t="shared" si="73"/>
        <v/>
      </c>
      <c r="DU663" s="1072" t="str">
        <f t="shared" si="74"/>
        <v/>
      </c>
      <c r="DV663" s="1072" t="str">
        <f t="shared" si="75"/>
        <v/>
      </c>
      <c r="DW663" s="1072" t="str">
        <f t="shared" si="76"/>
        <v/>
      </c>
      <c r="DX663" s="1072" t="str">
        <f t="shared" si="77"/>
        <v/>
      </c>
      <c r="DY663" s="1072" t="str">
        <f t="shared" si="78"/>
        <v/>
      </c>
      <c r="DZ663" s="1072" t="str">
        <f t="shared" si="79"/>
        <v/>
      </c>
      <c r="EA663" s="1072" t="str">
        <f t="shared" si="80"/>
        <v/>
      </c>
      <c r="EB663" s="1072" t="str">
        <f t="shared" si="81"/>
        <v/>
      </c>
      <c r="EC663" s="1072" t="str">
        <f t="shared" si="82"/>
        <v/>
      </c>
      <c r="ED663" s="1072" t="str">
        <f t="shared" si="83"/>
        <v/>
      </c>
      <c r="EE663" s="1072" t="str">
        <f t="shared" si="84"/>
        <v/>
      </c>
      <c r="EF663" s="1072" t="str">
        <f t="shared" si="85"/>
        <v/>
      </c>
      <c r="EG663" s="1072" t="str">
        <f t="shared" si="86"/>
        <v/>
      </c>
      <c r="EH663" s="1072" t="str">
        <f t="shared" si="87"/>
        <v/>
      </c>
      <c r="EI663" s="1072" t="str">
        <f t="shared" si="88"/>
        <v/>
      </c>
      <c r="EJ663" s="1072" t="str">
        <f t="shared" si="89"/>
        <v/>
      </c>
      <c r="EK663" s="1072" t="str">
        <f t="shared" si="90"/>
        <v/>
      </c>
      <c r="EL663" s="1072" t="str">
        <f t="shared" si="91"/>
        <v/>
      </c>
      <c r="EM663" s="1072" t="str">
        <f t="shared" si="92"/>
        <v/>
      </c>
      <c r="EN663" s="1072" t="str">
        <f t="shared" si="93"/>
        <v/>
      </c>
      <c r="EO663" s="1072" t="str">
        <f t="shared" si="94"/>
        <v/>
      </c>
      <c r="EP663" s="1072" t="str">
        <f t="shared" si="95"/>
        <v/>
      </c>
      <c r="EQ663" s="1072" t="str">
        <f t="shared" si="96"/>
        <v/>
      </c>
      <c r="ER663" s="1072" t="str">
        <f t="shared" si="97"/>
        <v/>
      </c>
      <c r="ES663" s="1072" t="str">
        <f t="shared" si="98"/>
        <v/>
      </c>
      <c r="ET663" s="1072" t="str">
        <f t="shared" si="99"/>
        <v/>
      </c>
      <c r="EU663" s="1072" t="str">
        <f t="shared" si="100"/>
        <v/>
      </c>
      <c r="EV663" s="833" t="str">
        <f t="shared" si="101"/>
        <v/>
      </c>
      <c r="EW663" s="833" t="str">
        <f t="shared" si="102"/>
        <v/>
      </c>
      <c r="EX663" s="833" t="str">
        <f t="shared" si="103"/>
        <v/>
      </c>
      <c r="EY663" s="833" t="str">
        <f t="shared" si="104"/>
        <v/>
      </c>
      <c r="EZ663" s="833" t="str">
        <f t="shared" si="105"/>
        <v/>
      </c>
      <c r="FA663" s="833" t="str">
        <f t="shared" si="106"/>
        <v/>
      </c>
      <c r="FB663" s="833" t="str">
        <f t="shared" si="107"/>
        <v/>
      </c>
      <c r="FC663" s="833" t="str">
        <f t="shared" si="108"/>
        <v/>
      </c>
      <c r="FD663" s="833" t="str">
        <f t="shared" si="109"/>
        <v/>
      </c>
      <c r="FE663" s="833" t="str">
        <f t="shared" si="110"/>
        <v/>
      </c>
      <c r="FF663" s="833" t="str">
        <f t="shared" si="111"/>
        <v/>
      </c>
      <c r="FG663" s="833" t="str">
        <f t="shared" si="112"/>
        <v/>
      </c>
      <c r="FH663" s="833" t="str">
        <f t="shared" si="113"/>
        <v/>
      </c>
      <c r="FI663" s="833" t="str">
        <f t="shared" si="114"/>
        <v/>
      </c>
      <c r="FJ663" s="833" t="str">
        <f t="shared" si="115"/>
        <v/>
      </c>
      <c r="FK663" s="833" t="str">
        <f t="shared" si="116"/>
        <v/>
      </c>
      <c r="FL663" s="833" t="str">
        <f t="shared" si="117"/>
        <v/>
      </c>
      <c r="FM663" s="833" t="str">
        <f t="shared" si="118"/>
        <v/>
      </c>
      <c r="FN663" s="833" t="str">
        <f t="shared" si="119"/>
        <v/>
      </c>
      <c r="FO663" s="833" t="str">
        <f t="shared" si="120"/>
        <v/>
      </c>
      <c r="FP663" s="833" t="str">
        <f t="shared" si="121"/>
        <v/>
      </c>
      <c r="FQ663" s="833" t="str">
        <f t="shared" si="122"/>
        <v/>
      </c>
      <c r="FR663" s="833" t="str">
        <f t="shared" si="123"/>
        <v/>
      </c>
      <c r="FS663" s="833" t="str">
        <f t="shared" si="124"/>
        <v/>
      </c>
      <c r="FT663" s="833" t="str">
        <f t="shared" si="125"/>
        <v/>
      </c>
      <c r="FU663" s="833" t="str">
        <f t="shared" si="126"/>
        <v/>
      </c>
      <c r="FV663" s="833" t="str">
        <f t="shared" si="127"/>
        <v/>
      </c>
      <c r="FW663" s="833" t="str">
        <f t="shared" si="128"/>
        <v/>
      </c>
      <c r="FX663" s="833" t="str">
        <f t="shared" si="129"/>
        <v/>
      </c>
      <c r="FY663" s="833" t="str">
        <f t="shared" si="130"/>
        <v/>
      </c>
      <c r="FZ663" s="833" t="str">
        <f t="shared" si="131"/>
        <v/>
      </c>
      <c r="GA663" s="833" t="str">
        <f t="shared" si="132"/>
        <v/>
      </c>
      <c r="GB663" s="833" t="str">
        <f t="shared" si="133"/>
        <v/>
      </c>
      <c r="GC663" s="833" t="str">
        <f t="shared" si="134"/>
        <v/>
      </c>
      <c r="GD663" s="833" t="str">
        <f t="shared" si="135"/>
        <v/>
      </c>
      <c r="GE663" s="833" t="str">
        <f t="shared" si="136"/>
        <v/>
      </c>
      <c r="GF663" s="833" t="str">
        <f t="shared" si="137"/>
        <v/>
      </c>
      <c r="GG663" s="833" t="str">
        <f t="shared" si="138"/>
        <v/>
      </c>
      <c r="GH663" s="833" t="str">
        <f t="shared" si="139"/>
        <v/>
      </c>
      <c r="GI663" s="833" t="str">
        <f t="shared" si="140"/>
        <v/>
      </c>
      <c r="GJ663" s="833" t="str">
        <f t="shared" si="141"/>
        <v/>
      </c>
      <c r="GK663" s="833" t="str">
        <f t="shared" si="142"/>
        <v/>
      </c>
      <c r="GL663" s="833" t="str">
        <f t="shared" si="143"/>
        <v/>
      </c>
      <c r="GM663" s="833" t="str">
        <f t="shared" si="144"/>
        <v/>
      </c>
      <c r="GN663" s="833" t="str">
        <f t="shared" si="145"/>
        <v/>
      </c>
      <c r="GO663" s="1115" t="str">
        <f t="shared" si="146"/>
        <v/>
      </c>
      <c r="GP663" s="1115" t="str">
        <f t="shared" si="147"/>
        <v/>
      </c>
      <c r="GQ663" s="1115" t="str">
        <f t="shared" si="148"/>
        <v/>
      </c>
      <c r="GR663" s="1115" t="str">
        <f t="shared" si="149"/>
        <v/>
      </c>
      <c r="GS663" s="1115" t="str">
        <f t="shared" si="150"/>
        <v/>
      </c>
      <c r="GT663" s="1072" t="str">
        <f t="shared" si="151"/>
        <v/>
      </c>
      <c r="GU663" s="1072" t="str">
        <f t="shared" si="152"/>
        <v/>
      </c>
      <c r="GV663" s="1072" t="str">
        <f t="shared" si="153"/>
        <v/>
      </c>
      <c r="GW663" s="1072" t="str">
        <f t="shared" si="154"/>
        <v/>
      </c>
      <c r="GX663" s="1072" t="str">
        <f t="shared" si="155"/>
        <v/>
      </c>
      <c r="GY663" s="1072" t="str">
        <f t="shared" si="156"/>
        <v/>
      </c>
      <c r="GZ663" s="1072" t="str">
        <f t="shared" si="157"/>
        <v/>
      </c>
      <c r="HA663" s="1072" t="str">
        <f t="shared" si="158"/>
        <v/>
      </c>
      <c r="HB663" s="1072" t="str">
        <f t="shared" si="159"/>
        <v/>
      </c>
      <c r="HC663" s="1072" t="str">
        <f t="shared" si="160"/>
        <v/>
      </c>
      <c r="HD663" s="1072" t="str">
        <f t="shared" si="161"/>
        <v/>
      </c>
      <c r="HE663" s="1072" t="str">
        <f t="shared" si="162"/>
        <v/>
      </c>
      <c r="HF663" s="1072" t="str">
        <f t="shared" si="163"/>
        <v/>
      </c>
      <c r="HG663" s="1072" t="str">
        <f t="shared" si="164"/>
        <v/>
      </c>
      <c r="HH663" s="1072" t="str">
        <f t="shared" si="165"/>
        <v/>
      </c>
      <c r="HI663" s="1072" t="str">
        <f t="shared" si="166"/>
        <v/>
      </c>
      <c r="HJ663" s="1072" t="str">
        <f t="shared" si="167"/>
        <v/>
      </c>
      <c r="HK663" s="1072" t="str">
        <f t="shared" si="168"/>
        <v/>
      </c>
      <c r="HL663" s="1072" t="str">
        <f t="shared" si="169"/>
        <v/>
      </c>
      <c r="HM663" s="1072" t="str">
        <f t="shared" si="170"/>
        <v/>
      </c>
    </row>
    <row r="664" spans="1:221" ht="13.15" customHeight="1">
      <c r="A664" s="1084" t="str">
        <f t="shared" si="171"/>
        <v/>
      </c>
      <c r="B664" s="1037" t="str">
        <f>'Part VI-Revenues &amp; Expenses'!B30</f>
        <v>&lt;&lt;Select&gt;&gt;</v>
      </c>
      <c r="C664" s="1038">
        <f>'Part VI-Revenues &amp; Expenses'!C30</f>
        <v>0</v>
      </c>
      <c r="D664" s="1039">
        <f>'Part VI-Revenues &amp; Expenses'!D30</f>
        <v>0</v>
      </c>
      <c r="E664" s="1040">
        <f>'Part VI-Revenues &amp; Expenses'!E30</f>
        <v>0</v>
      </c>
      <c r="F664" s="1040">
        <f>'Part VI-Revenues &amp; Expenses'!F30</f>
        <v>0</v>
      </c>
      <c r="G664" s="1040">
        <f>'Part VI-Revenues &amp; Expenses'!G30</f>
        <v>0</v>
      </c>
      <c r="H664" s="1040">
        <f>'Part VI-Revenues &amp; Expenses'!H30</f>
        <v>0</v>
      </c>
      <c r="I664" s="1040">
        <f>'Part VI-Revenues &amp; Expenses'!I30</f>
        <v>0</v>
      </c>
      <c r="J664" s="1103">
        <f>'Part VI-Revenues &amp; Expenses'!J30</f>
        <v>0</v>
      </c>
      <c r="K664" s="908">
        <f t="shared" si="204"/>
        <v>0</v>
      </c>
      <c r="L664" s="908">
        <f t="shared" si="0"/>
        <v>0</v>
      </c>
      <c r="M664" s="831">
        <f>'Part VI-Revenues &amp; Expenses'!M30</f>
        <v>0</v>
      </c>
      <c r="N664" s="831">
        <f>'Part VI-Revenues &amp; Expenses'!N30</f>
        <v>0</v>
      </c>
      <c r="O664" s="831">
        <f>'Part VI-Revenues &amp; Expenses'!O30</f>
        <v>0</v>
      </c>
      <c r="P664" s="909">
        <f t="shared" si="203"/>
        <v>0</v>
      </c>
      <c r="Q664" s="910" t="str">
        <f>'Part VI-Revenues &amp; Expenses'!Q30</f>
        <v/>
      </c>
      <c r="R664" s="909"/>
      <c r="S664" s="910"/>
      <c r="T664" s="1576"/>
      <c r="U664" s="1576"/>
      <c r="V664" s="1072" t="str">
        <f t="shared" si="1"/>
        <v/>
      </c>
      <c r="W664" s="1072" t="str">
        <f t="shared" si="2"/>
        <v/>
      </c>
      <c r="X664" s="1072" t="str">
        <f t="shared" si="3"/>
        <v/>
      </c>
      <c r="Y664" s="1072" t="str">
        <f t="shared" si="4"/>
        <v/>
      </c>
      <c r="Z664" s="1072" t="str">
        <f t="shared" si="5"/>
        <v/>
      </c>
      <c r="AA664" s="1072" t="str">
        <f t="shared" si="6"/>
        <v/>
      </c>
      <c r="AB664" s="1072" t="str">
        <f t="shared" si="7"/>
        <v/>
      </c>
      <c r="AC664" s="1072" t="str">
        <f t="shared" si="8"/>
        <v/>
      </c>
      <c r="AD664" s="1072" t="str">
        <f t="shared" si="9"/>
        <v/>
      </c>
      <c r="AE664" s="1072" t="str">
        <f t="shared" si="10"/>
        <v/>
      </c>
      <c r="AF664" s="1072" t="str">
        <f t="shared" si="11"/>
        <v/>
      </c>
      <c r="AG664" s="1072" t="str">
        <f t="shared" si="12"/>
        <v/>
      </c>
      <c r="AH664" s="1072" t="str">
        <f t="shared" si="13"/>
        <v/>
      </c>
      <c r="AI664" s="1072" t="str">
        <f t="shared" si="14"/>
        <v/>
      </c>
      <c r="AJ664" s="1072" t="str">
        <f t="shared" si="15"/>
        <v/>
      </c>
      <c r="AK664" s="1072" t="str">
        <f t="shared" si="16"/>
        <v/>
      </c>
      <c r="AL664" s="1072" t="str">
        <f t="shared" si="17"/>
        <v/>
      </c>
      <c r="AM664" s="1072" t="str">
        <f t="shared" si="18"/>
        <v/>
      </c>
      <c r="AN664" s="1072" t="str">
        <f t="shared" si="19"/>
        <v/>
      </c>
      <c r="AO664" s="1072" t="str">
        <f t="shared" si="20"/>
        <v/>
      </c>
      <c r="AP664" s="1072" t="str">
        <f t="shared" si="173"/>
        <v/>
      </c>
      <c r="AQ664" s="1072" t="str">
        <f t="shared" si="174"/>
        <v/>
      </c>
      <c r="AR664" s="1072" t="str">
        <f t="shared" si="175"/>
        <v/>
      </c>
      <c r="AS664" s="1072" t="str">
        <f t="shared" si="176"/>
        <v/>
      </c>
      <c r="AT664" s="1072" t="str">
        <f t="shared" si="177"/>
        <v/>
      </c>
      <c r="AU664" s="1072" t="str">
        <f t="shared" si="178"/>
        <v/>
      </c>
      <c r="AV664" s="1072" t="str">
        <f t="shared" si="179"/>
        <v/>
      </c>
      <c r="AW664" s="1072" t="str">
        <f t="shared" si="180"/>
        <v/>
      </c>
      <c r="AX664" s="1072" t="str">
        <f t="shared" si="181"/>
        <v/>
      </c>
      <c r="AY664" s="1072" t="str">
        <f t="shared" si="182"/>
        <v/>
      </c>
      <c r="AZ664" s="1072" t="str">
        <f t="shared" si="183"/>
        <v/>
      </c>
      <c r="BA664" s="1072" t="str">
        <f t="shared" si="184"/>
        <v/>
      </c>
      <c r="BB664" s="1072" t="str">
        <f t="shared" si="185"/>
        <v/>
      </c>
      <c r="BC664" s="1072" t="str">
        <f t="shared" si="186"/>
        <v/>
      </c>
      <c r="BD664" s="1072" t="str">
        <f t="shared" si="187"/>
        <v/>
      </c>
      <c r="BE664" s="1072" t="str">
        <f t="shared" si="188"/>
        <v/>
      </c>
      <c r="BF664" s="1072" t="str">
        <f t="shared" si="189"/>
        <v/>
      </c>
      <c r="BG664" s="1072" t="str">
        <f t="shared" si="190"/>
        <v/>
      </c>
      <c r="BH664" s="1072" t="str">
        <f t="shared" si="191"/>
        <v/>
      </c>
      <c r="BI664" s="1072" t="str">
        <f t="shared" si="192"/>
        <v/>
      </c>
      <c r="BJ664" s="1072" t="str">
        <f t="shared" si="193"/>
        <v/>
      </c>
      <c r="BK664" s="1072" t="str">
        <f t="shared" si="194"/>
        <v/>
      </c>
      <c r="BL664" s="1072" t="str">
        <f t="shared" si="195"/>
        <v/>
      </c>
      <c r="BM664" s="1072" t="str">
        <f t="shared" si="196"/>
        <v/>
      </c>
      <c r="BN664" s="1072" t="str">
        <f t="shared" si="197"/>
        <v/>
      </c>
      <c r="BO664" s="1072" t="str">
        <f t="shared" si="198"/>
        <v/>
      </c>
      <c r="BP664" s="1072" t="str">
        <f t="shared" si="199"/>
        <v/>
      </c>
      <c r="BQ664" s="1072" t="str">
        <f t="shared" si="200"/>
        <v/>
      </c>
      <c r="BR664" s="1072" t="str">
        <f t="shared" si="201"/>
        <v/>
      </c>
      <c r="BS664" s="1072" t="str">
        <f t="shared" si="202"/>
        <v/>
      </c>
      <c r="BT664" s="1072" t="str">
        <f t="shared" si="21"/>
        <v/>
      </c>
      <c r="BU664" s="1072" t="str">
        <f t="shared" si="22"/>
        <v/>
      </c>
      <c r="BV664" s="1072" t="str">
        <f t="shared" si="23"/>
        <v/>
      </c>
      <c r="BW664" s="1072" t="str">
        <f t="shared" si="24"/>
        <v/>
      </c>
      <c r="BX664" s="1072" t="str">
        <f t="shared" si="25"/>
        <v/>
      </c>
      <c r="BY664" s="1072" t="str">
        <f t="shared" si="26"/>
        <v/>
      </c>
      <c r="BZ664" s="1072" t="str">
        <f t="shared" si="27"/>
        <v/>
      </c>
      <c r="CA664" s="1072" t="str">
        <f t="shared" si="28"/>
        <v/>
      </c>
      <c r="CB664" s="1072" t="str">
        <f t="shared" si="29"/>
        <v/>
      </c>
      <c r="CC664" s="1072" t="str">
        <f t="shared" si="30"/>
        <v/>
      </c>
      <c r="CD664" s="1072" t="str">
        <f t="shared" si="31"/>
        <v/>
      </c>
      <c r="CE664" s="1072" t="str">
        <f t="shared" si="32"/>
        <v/>
      </c>
      <c r="CF664" s="1072" t="str">
        <f t="shared" si="33"/>
        <v/>
      </c>
      <c r="CG664" s="1072" t="str">
        <f t="shared" si="34"/>
        <v/>
      </c>
      <c r="CH664" s="1072" t="str">
        <f t="shared" si="35"/>
        <v/>
      </c>
      <c r="CI664" s="1072" t="str">
        <f t="shared" si="36"/>
        <v/>
      </c>
      <c r="CJ664" s="1072" t="str">
        <f t="shared" si="37"/>
        <v/>
      </c>
      <c r="CK664" s="1072" t="str">
        <f t="shared" si="38"/>
        <v/>
      </c>
      <c r="CL664" s="1072" t="str">
        <f t="shared" si="39"/>
        <v/>
      </c>
      <c r="CM664" s="1072" t="str">
        <f t="shared" si="40"/>
        <v/>
      </c>
      <c r="CN664" s="1072" t="str">
        <f t="shared" si="41"/>
        <v/>
      </c>
      <c r="CO664" s="1072" t="str">
        <f t="shared" si="42"/>
        <v/>
      </c>
      <c r="CP664" s="1072" t="str">
        <f t="shared" si="43"/>
        <v/>
      </c>
      <c r="CQ664" s="1072" t="str">
        <f t="shared" si="44"/>
        <v/>
      </c>
      <c r="CR664" s="1072" t="str">
        <f t="shared" si="45"/>
        <v/>
      </c>
      <c r="CS664" s="1072" t="str">
        <f t="shared" si="46"/>
        <v/>
      </c>
      <c r="CT664" s="1072" t="str">
        <f t="shared" si="47"/>
        <v/>
      </c>
      <c r="CU664" s="1072" t="str">
        <f t="shared" si="48"/>
        <v/>
      </c>
      <c r="CV664" s="1072" t="str">
        <f t="shared" si="49"/>
        <v/>
      </c>
      <c r="CW664" s="1072" t="str">
        <f t="shared" si="50"/>
        <v/>
      </c>
      <c r="CX664" s="1072" t="str">
        <f t="shared" si="51"/>
        <v/>
      </c>
      <c r="CY664" s="1072" t="str">
        <f t="shared" si="52"/>
        <v/>
      </c>
      <c r="CZ664" s="1072" t="str">
        <f t="shared" si="53"/>
        <v/>
      </c>
      <c r="DA664" s="1072" t="str">
        <f t="shared" si="54"/>
        <v/>
      </c>
      <c r="DB664" s="1072" t="str">
        <f t="shared" si="55"/>
        <v/>
      </c>
      <c r="DC664" s="1072" t="str">
        <f t="shared" si="56"/>
        <v/>
      </c>
      <c r="DD664" s="1072" t="str">
        <f t="shared" si="57"/>
        <v/>
      </c>
      <c r="DE664" s="1072" t="str">
        <f t="shared" si="58"/>
        <v/>
      </c>
      <c r="DF664" s="1072" t="str">
        <f t="shared" si="59"/>
        <v/>
      </c>
      <c r="DG664" s="1072" t="str">
        <f t="shared" si="60"/>
        <v/>
      </c>
      <c r="DH664" s="1072" t="str">
        <f t="shared" si="61"/>
        <v/>
      </c>
      <c r="DI664" s="1072" t="str">
        <f t="shared" si="62"/>
        <v/>
      </c>
      <c r="DJ664" s="1072" t="str">
        <f t="shared" si="63"/>
        <v/>
      </c>
      <c r="DK664" s="1072" t="str">
        <f t="shared" si="64"/>
        <v/>
      </c>
      <c r="DL664" s="1072" t="str">
        <f t="shared" si="65"/>
        <v/>
      </c>
      <c r="DM664" s="1072" t="str">
        <f t="shared" si="66"/>
        <v/>
      </c>
      <c r="DN664" s="1072" t="str">
        <f t="shared" si="67"/>
        <v/>
      </c>
      <c r="DO664" s="1072" t="str">
        <f t="shared" si="68"/>
        <v/>
      </c>
      <c r="DP664" s="1072" t="str">
        <f t="shared" si="69"/>
        <v/>
      </c>
      <c r="DQ664" s="1072" t="str">
        <f t="shared" si="70"/>
        <v/>
      </c>
      <c r="DR664" s="1072" t="str">
        <f t="shared" si="71"/>
        <v/>
      </c>
      <c r="DS664" s="1072" t="str">
        <f t="shared" si="72"/>
        <v/>
      </c>
      <c r="DT664" s="1072" t="str">
        <f t="shared" si="73"/>
        <v/>
      </c>
      <c r="DU664" s="1072" t="str">
        <f t="shared" si="74"/>
        <v/>
      </c>
      <c r="DV664" s="1072" t="str">
        <f t="shared" si="75"/>
        <v/>
      </c>
      <c r="DW664" s="1072" t="str">
        <f t="shared" si="76"/>
        <v/>
      </c>
      <c r="DX664" s="1072" t="str">
        <f t="shared" si="77"/>
        <v/>
      </c>
      <c r="DY664" s="1072" t="str">
        <f t="shared" si="78"/>
        <v/>
      </c>
      <c r="DZ664" s="1072" t="str">
        <f t="shared" si="79"/>
        <v/>
      </c>
      <c r="EA664" s="1072" t="str">
        <f t="shared" si="80"/>
        <v/>
      </c>
      <c r="EB664" s="1072" t="str">
        <f t="shared" si="81"/>
        <v/>
      </c>
      <c r="EC664" s="1072" t="str">
        <f t="shared" si="82"/>
        <v/>
      </c>
      <c r="ED664" s="1072" t="str">
        <f t="shared" si="83"/>
        <v/>
      </c>
      <c r="EE664" s="1072" t="str">
        <f t="shared" si="84"/>
        <v/>
      </c>
      <c r="EF664" s="1072" t="str">
        <f t="shared" si="85"/>
        <v/>
      </c>
      <c r="EG664" s="1072" t="str">
        <f t="shared" si="86"/>
        <v/>
      </c>
      <c r="EH664" s="1072" t="str">
        <f t="shared" si="87"/>
        <v/>
      </c>
      <c r="EI664" s="1072" t="str">
        <f t="shared" si="88"/>
        <v/>
      </c>
      <c r="EJ664" s="1072" t="str">
        <f t="shared" si="89"/>
        <v/>
      </c>
      <c r="EK664" s="1072" t="str">
        <f t="shared" si="90"/>
        <v/>
      </c>
      <c r="EL664" s="1072" t="str">
        <f t="shared" si="91"/>
        <v/>
      </c>
      <c r="EM664" s="1072" t="str">
        <f t="shared" si="92"/>
        <v/>
      </c>
      <c r="EN664" s="1072" t="str">
        <f t="shared" si="93"/>
        <v/>
      </c>
      <c r="EO664" s="1072" t="str">
        <f t="shared" si="94"/>
        <v/>
      </c>
      <c r="EP664" s="1072" t="str">
        <f t="shared" si="95"/>
        <v/>
      </c>
      <c r="EQ664" s="1072" t="str">
        <f t="shared" si="96"/>
        <v/>
      </c>
      <c r="ER664" s="1072" t="str">
        <f t="shared" si="97"/>
        <v/>
      </c>
      <c r="ES664" s="1072" t="str">
        <f t="shared" si="98"/>
        <v/>
      </c>
      <c r="ET664" s="1072" t="str">
        <f t="shared" si="99"/>
        <v/>
      </c>
      <c r="EU664" s="1072" t="str">
        <f t="shared" si="100"/>
        <v/>
      </c>
      <c r="EV664" s="833" t="str">
        <f t="shared" si="101"/>
        <v/>
      </c>
      <c r="EW664" s="833" t="str">
        <f t="shared" si="102"/>
        <v/>
      </c>
      <c r="EX664" s="833" t="str">
        <f t="shared" si="103"/>
        <v/>
      </c>
      <c r="EY664" s="833" t="str">
        <f t="shared" si="104"/>
        <v/>
      </c>
      <c r="EZ664" s="833" t="str">
        <f t="shared" si="105"/>
        <v/>
      </c>
      <c r="FA664" s="833" t="str">
        <f t="shared" si="106"/>
        <v/>
      </c>
      <c r="FB664" s="833" t="str">
        <f t="shared" si="107"/>
        <v/>
      </c>
      <c r="FC664" s="833" t="str">
        <f t="shared" si="108"/>
        <v/>
      </c>
      <c r="FD664" s="833" t="str">
        <f t="shared" si="109"/>
        <v/>
      </c>
      <c r="FE664" s="833" t="str">
        <f t="shared" si="110"/>
        <v/>
      </c>
      <c r="FF664" s="833" t="str">
        <f t="shared" si="111"/>
        <v/>
      </c>
      <c r="FG664" s="833" t="str">
        <f t="shared" si="112"/>
        <v/>
      </c>
      <c r="FH664" s="833" t="str">
        <f t="shared" si="113"/>
        <v/>
      </c>
      <c r="FI664" s="833" t="str">
        <f t="shared" si="114"/>
        <v/>
      </c>
      <c r="FJ664" s="833" t="str">
        <f t="shared" si="115"/>
        <v/>
      </c>
      <c r="FK664" s="833" t="str">
        <f t="shared" si="116"/>
        <v/>
      </c>
      <c r="FL664" s="833" t="str">
        <f t="shared" si="117"/>
        <v/>
      </c>
      <c r="FM664" s="833" t="str">
        <f t="shared" si="118"/>
        <v/>
      </c>
      <c r="FN664" s="833" t="str">
        <f t="shared" si="119"/>
        <v/>
      </c>
      <c r="FO664" s="833" t="str">
        <f t="shared" si="120"/>
        <v/>
      </c>
      <c r="FP664" s="833" t="str">
        <f t="shared" si="121"/>
        <v/>
      </c>
      <c r="FQ664" s="833" t="str">
        <f t="shared" si="122"/>
        <v/>
      </c>
      <c r="FR664" s="833" t="str">
        <f t="shared" si="123"/>
        <v/>
      </c>
      <c r="FS664" s="833" t="str">
        <f t="shared" si="124"/>
        <v/>
      </c>
      <c r="FT664" s="833" t="str">
        <f t="shared" si="125"/>
        <v/>
      </c>
      <c r="FU664" s="833" t="str">
        <f t="shared" si="126"/>
        <v/>
      </c>
      <c r="FV664" s="833" t="str">
        <f t="shared" si="127"/>
        <v/>
      </c>
      <c r="FW664" s="833" t="str">
        <f t="shared" si="128"/>
        <v/>
      </c>
      <c r="FX664" s="833" t="str">
        <f t="shared" si="129"/>
        <v/>
      </c>
      <c r="FY664" s="833" t="str">
        <f t="shared" si="130"/>
        <v/>
      </c>
      <c r="FZ664" s="833" t="str">
        <f t="shared" si="131"/>
        <v/>
      </c>
      <c r="GA664" s="833" t="str">
        <f t="shared" si="132"/>
        <v/>
      </c>
      <c r="GB664" s="833" t="str">
        <f t="shared" si="133"/>
        <v/>
      </c>
      <c r="GC664" s="833" t="str">
        <f t="shared" si="134"/>
        <v/>
      </c>
      <c r="GD664" s="833" t="str">
        <f t="shared" si="135"/>
        <v/>
      </c>
      <c r="GE664" s="833" t="str">
        <f t="shared" si="136"/>
        <v/>
      </c>
      <c r="GF664" s="833" t="str">
        <f t="shared" si="137"/>
        <v/>
      </c>
      <c r="GG664" s="833" t="str">
        <f t="shared" si="138"/>
        <v/>
      </c>
      <c r="GH664" s="833" t="str">
        <f t="shared" si="139"/>
        <v/>
      </c>
      <c r="GI664" s="833" t="str">
        <f t="shared" si="140"/>
        <v/>
      </c>
      <c r="GJ664" s="833" t="str">
        <f t="shared" si="141"/>
        <v/>
      </c>
      <c r="GK664" s="833" t="str">
        <f t="shared" si="142"/>
        <v/>
      </c>
      <c r="GL664" s="833" t="str">
        <f t="shared" si="143"/>
        <v/>
      </c>
      <c r="GM664" s="833" t="str">
        <f t="shared" si="144"/>
        <v/>
      </c>
      <c r="GN664" s="833" t="str">
        <f t="shared" si="145"/>
        <v/>
      </c>
      <c r="GO664" s="1115" t="str">
        <f t="shared" si="146"/>
        <v/>
      </c>
      <c r="GP664" s="1115" t="str">
        <f t="shared" si="147"/>
        <v/>
      </c>
      <c r="GQ664" s="1115" t="str">
        <f t="shared" si="148"/>
        <v/>
      </c>
      <c r="GR664" s="1115" t="str">
        <f t="shared" si="149"/>
        <v/>
      </c>
      <c r="GS664" s="1115" t="str">
        <f t="shared" si="150"/>
        <v/>
      </c>
      <c r="GT664" s="1072" t="str">
        <f t="shared" si="151"/>
        <v/>
      </c>
      <c r="GU664" s="1072" t="str">
        <f t="shared" si="152"/>
        <v/>
      </c>
      <c r="GV664" s="1072" t="str">
        <f t="shared" si="153"/>
        <v/>
      </c>
      <c r="GW664" s="1072" t="str">
        <f t="shared" si="154"/>
        <v/>
      </c>
      <c r="GX664" s="1072" t="str">
        <f t="shared" si="155"/>
        <v/>
      </c>
      <c r="GY664" s="1072" t="str">
        <f t="shared" si="156"/>
        <v/>
      </c>
      <c r="GZ664" s="1072" t="str">
        <f t="shared" si="157"/>
        <v/>
      </c>
      <c r="HA664" s="1072" t="str">
        <f t="shared" si="158"/>
        <v/>
      </c>
      <c r="HB664" s="1072" t="str">
        <f t="shared" si="159"/>
        <v/>
      </c>
      <c r="HC664" s="1072" t="str">
        <f t="shared" si="160"/>
        <v/>
      </c>
      <c r="HD664" s="1072" t="str">
        <f t="shared" si="161"/>
        <v/>
      </c>
      <c r="HE664" s="1072" t="str">
        <f t="shared" si="162"/>
        <v/>
      </c>
      <c r="HF664" s="1072" t="str">
        <f t="shared" si="163"/>
        <v/>
      </c>
      <c r="HG664" s="1072" t="str">
        <f t="shared" si="164"/>
        <v/>
      </c>
      <c r="HH664" s="1072" t="str">
        <f t="shared" si="165"/>
        <v/>
      </c>
      <c r="HI664" s="1072" t="str">
        <f t="shared" si="166"/>
        <v/>
      </c>
      <c r="HJ664" s="1072" t="str">
        <f t="shared" si="167"/>
        <v/>
      </c>
      <c r="HK664" s="1072" t="str">
        <f t="shared" si="168"/>
        <v/>
      </c>
      <c r="HL664" s="1072" t="str">
        <f t="shared" si="169"/>
        <v/>
      </c>
      <c r="HM664" s="1072" t="str">
        <f t="shared" si="170"/>
        <v/>
      </c>
    </row>
    <row r="665" spans="1:221" ht="13.15" customHeight="1">
      <c r="A665" s="1084" t="str">
        <f t="shared" si="171"/>
        <v/>
      </c>
      <c r="B665" s="1037" t="str">
        <f>'Part VI-Revenues &amp; Expenses'!B31</f>
        <v>&lt;&lt;Select&gt;&gt;</v>
      </c>
      <c r="C665" s="1038">
        <f>'Part VI-Revenues &amp; Expenses'!C31</f>
        <v>0</v>
      </c>
      <c r="D665" s="1039">
        <f>'Part VI-Revenues &amp; Expenses'!D31</f>
        <v>0</v>
      </c>
      <c r="E665" s="1040">
        <f>'Part VI-Revenues &amp; Expenses'!E31</f>
        <v>0</v>
      </c>
      <c r="F665" s="1040">
        <f>'Part VI-Revenues &amp; Expenses'!F31</f>
        <v>0</v>
      </c>
      <c r="G665" s="1040">
        <f>'Part VI-Revenues &amp; Expenses'!G31</f>
        <v>0</v>
      </c>
      <c r="H665" s="1040">
        <f>'Part VI-Revenues &amp; Expenses'!H31</f>
        <v>0</v>
      </c>
      <c r="I665" s="1040">
        <f>'Part VI-Revenues &amp; Expenses'!I31</f>
        <v>0</v>
      </c>
      <c r="J665" s="1103">
        <f>'Part VI-Revenues &amp; Expenses'!J31</f>
        <v>0</v>
      </c>
      <c r="K665" s="908">
        <f t="shared" si="204"/>
        <v>0</v>
      </c>
      <c r="L665" s="908">
        <f t="shared" si="0"/>
        <v>0</v>
      </c>
      <c r="M665" s="831">
        <f>'Part VI-Revenues &amp; Expenses'!M31</f>
        <v>0</v>
      </c>
      <c r="N665" s="831">
        <f>'Part VI-Revenues &amp; Expenses'!N31</f>
        <v>0</v>
      </c>
      <c r="O665" s="831">
        <f>'Part VI-Revenues &amp; Expenses'!O31</f>
        <v>0</v>
      </c>
      <c r="P665" s="909">
        <f t="shared" si="203"/>
        <v>0</v>
      </c>
      <c r="Q665" s="910" t="str">
        <f>'Part VI-Revenues &amp; Expenses'!Q31</f>
        <v/>
      </c>
      <c r="R665" s="909"/>
      <c r="S665" s="910"/>
      <c r="T665" s="1576"/>
      <c r="U665" s="1576"/>
      <c r="V665" s="1072" t="str">
        <f t="shared" si="1"/>
        <v/>
      </c>
      <c r="W665" s="1072" t="str">
        <f t="shared" si="2"/>
        <v/>
      </c>
      <c r="X665" s="1072" t="str">
        <f t="shared" si="3"/>
        <v/>
      </c>
      <c r="Y665" s="1072" t="str">
        <f t="shared" si="4"/>
        <v/>
      </c>
      <c r="Z665" s="1072" t="str">
        <f t="shared" si="5"/>
        <v/>
      </c>
      <c r="AA665" s="1072" t="str">
        <f t="shared" si="6"/>
        <v/>
      </c>
      <c r="AB665" s="1072" t="str">
        <f t="shared" si="7"/>
        <v/>
      </c>
      <c r="AC665" s="1072" t="str">
        <f t="shared" si="8"/>
        <v/>
      </c>
      <c r="AD665" s="1072" t="str">
        <f t="shared" si="9"/>
        <v/>
      </c>
      <c r="AE665" s="1072" t="str">
        <f t="shared" si="10"/>
        <v/>
      </c>
      <c r="AF665" s="1072" t="str">
        <f t="shared" si="11"/>
        <v/>
      </c>
      <c r="AG665" s="1072" t="str">
        <f t="shared" si="12"/>
        <v/>
      </c>
      <c r="AH665" s="1072" t="str">
        <f t="shared" si="13"/>
        <v/>
      </c>
      <c r="AI665" s="1072" t="str">
        <f t="shared" si="14"/>
        <v/>
      </c>
      <c r="AJ665" s="1072" t="str">
        <f t="shared" si="15"/>
        <v/>
      </c>
      <c r="AK665" s="1072" t="str">
        <f t="shared" si="16"/>
        <v/>
      </c>
      <c r="AL665" s="1072" t="str">
        <f t="shared" si="17"/>
        <v/>
      </c>
      <c r="AM665" s="1072" t="str">
        <f t="shared" si="18"/>
        <v/>
      </c>
      <c r="AN665" s="1072" t="str">
        <f t="shared" si="19"/>
        <v/>
      </c>
      <c r="AO665" s="1072" t="str">
        <f t="shared" si="20"/>
        <v/>
      </c>
      <c r="AP665" s="1072" t="str">
        <f t="shared" si="173"/>
        <v/>
      </c>
      <c r="AQ665" s="1072" t="str">
        <f t="shared" si="174"/>
        <v/>
      </c>
      <c r="AR665" s="1072" t="str">
        <f t="shared" si="175"/>
        <v/>
      </c>
      <c r="AS665" s="1072" t="str">
        <f t="shared" si="176"/>
        <v/>
      </c>
      <c r="AT665" s="1072" t="str">
        <f t="shared" si="177"/>
        <v/>
      </c>
      <c r="AU665" s="1072" t="str">
        <f t="shared" si="178"/>
        <v/>
      </c>
      <c r="AV665" s="1072" t="str">
        <f t="shared" si="179"/>
        <v/>
      </c>
      <c r="AW665" s="1072" t="str">
        <f t="shared" si="180"/>
        <v/>
      </c>
      <c r="AX665" s="1072" t="str">
        <f t="shared" si="181"/>
        <v/>
      </c>
      <c r="AY665" s="1072" t="str">
        <f t="shared" si="182"/>
        <v/>
      </c>
      <c r="AZ665" s="1072" t="str">
        <f t="shared" si="183"/>
        <v/>
      </c>
      <c r="BA665" s="1072" t="str">
        <f t="shared" si="184"/>
        <v/>
      </c>
      <c r="BB665" s="1072" t="str">
        <f t="shared" si="185"/>
        <v/>
      </c>
      <c r="BC665" s="1072" t="str">
        <f t="shared" si="186"/>
        <v/>
      </c>
      <c r="BD665" s="1072" t="str">
        <f t="shared" si="187"/>
        <v/>
      </c>
      <c r="BE665" s="1072" t="str">
        <f t="shared" si="188"/>
        <v/>
      </c>
      <c r="BF665" s="1072" t="str">
        <f t="shared" si="189"/>
        <v/>
      </c>
      <c r="BG665" s="1072" t="str">
        <f t="shared" si="190"/>
        <v/>
      </c>
      <c r="BH665" s="1072" t="str">
        <f t="shared" si="191"/>
        <v/>
      </c>
      <c r="BI665" s="1072" t="str">
        <f t="shared" si="192"/>
        <v/>
      </c>
      <c r="BJ665" s="1072" t="str">
        <f t="shared" si="193"/>
        <v/>
      </c>
      <c r="BK665" s="1072" t="str">
        <f t="shared" si="194"/>
        <v/>
      </c>
      <c r="BL665" s="1072" t="str">
        <f t="shared" si="195"/>
        <v/>
      </c>
      <c r="BM665" s="1072" t="str">
        <f t="shared" si="196"/>
        <v/>
      </c>
      <c r="BN665" s="1072" t="str">
        <f t="shared" si="197"/>
        <v/>
      </c>
      <c r="BO665" s="1072" t="str">
        <f t="shared" si="198"/>
        <v/>
      </c>
      <c r="BP665" s="1072" t="str">
        <f t="shared" si="199"/>
        <v/>
      </c>
      <c r="BQ665" s="1072" t="str">
        <f t="shared" si="200"/>
        <v/>
      </c>
      <c r="BR665" s="1072" t="str">
        <f t="shared" si="201"/>
        <v/>
      </c>
      <c r="BS665" s="1072" t="str">
        <f t="shared" si="202"/>
        <v/>
      </c>
      <c r="BT665" s="1072" t="str">
        <f t="shared" si="21"/>
        <v/>
      </c>
      <c r="BU665" s="1072" t="str">
        <f t="shared" si="22"/>
        <v/>
      </c>
      <c r="BV665" s="1072" t="str">
        <f t="shared" si="23"/>
        <v/>
      </c>
      <c r="BW665" s="1072" t="str">
        <f t="shared" si="24"/>
        <v/>
      </c>
      <c r="BX665" s="1072" t="str">
        <f t="shared" si="25"/>
        <v/>
      </c>
      <c r="BY665" s="1072" t="str">
        <f t="shared" si="26"/>
        <v/>
      </c>
      <c r="BZ665" s="1072" t="str">
        <f t="shared" si="27"/>
        <v/>
      </c>
      <c r="CA665" s="1072" t="str">
        <f t="shared" si="28"/>
        <v/>
      </c>
      <c r="CB665" s="1072" t="str">
        <f t="shared" si="29"/>
        <v/>
      </c>
      <c r="CC665" s="1072" t="str">
        <f t="shared" si="30"/>
        <v/>
      </c>
      <c r="CD665" s="1072" t="str">
        <f t="shared" si="31"/>
        <v/>
      </c>
      <c r="CE665" s="1072" t="str">
        <f t="shared" si="32"/>
        <v/>
      </c>
      <c r="CF665" s="1072" t="str">
        <f t="shared" si="33"/>
        <v/>
      </c>
      <c r="CG665" s="1072" t="str">
        <f t="shared" si="34"/>
        <v/>
      </c>
      <c r="CH665" s="1072" t="str">
        <f t="shared" si="35"/>
        <v/>
      </c>
      <c r="CI665" s="1072" t="str">
        <f t="shared" si="36"/>
        <v/>
      </c>
      <c r="CJ665" s="1072" t="str">
        <f t="shared" si="37"/>
        <v/>
      </c>
      <c r="CK665" s="1072" t="str">
        <f t="shared" si="38"/>
        <v/>
      </c>
      <c r="CL665" s="1072" t="str">
        <f t="shared" si="39"/>
        <v/>
      </c>
      <c r="CM665" s="1072" t="str">
        <f t="shared" si="40"/>
        <v/>
      </c>
      <c r="CN665" s="1072" t="str">
        <f t="shared" si="41"/>
        <v/>
      </c>
      <c r="CO665" s="1072" t="str">
        <f t="shared" si="42"/>
        <v/>
      </c>
      <c r="CP665" s="1072" t="str">
        <f t="shared" si="43"/>
        <v/>
      </c>
      <c r="CQ665" s="1072" t="str">
        <f t="shared" si="44"/>
        <v/>
      </c>
      <c r="CR665" s="1072" t="str">
        <f t="shared" si="45"/>
        <v/>
      </c>
      <c r="CS665" s="1072" t="str">
        <f t="shared" si="46"/>
        <v/>
      </c>
      <c r="CT665" s="1072" t="str">
        <f t="shared" si="47"/>
        <v/>
      </c>
      <c r="CU665" s="1072" t="str">
        <f t="shared" si="48"/>
        <v/>
      </c>
      <c r="CV665" s="1072" t="str">
        <f t="shared" si="49"/>
        <v/>
      </c>
      <c r="CW665" s="1072" t="str">
        <f t="shared" si="50"/>
        <v/>
      </c>
      <c r="CX665" s="1072" t="str">
        <f t="shared" si="51"/>
        <v/>
      </c>
      <c r="CY665" s="1072" t="str">
        <f t="shared" si="52"/>
        <v/>
      </c>
      <c r="CZ665" s="1072" t="str">
        <f t="shared" si="53"/>
        <v/>
      </c>
      <c r="DA665" s="1072" t="str">
        <f t="shared" si="54"/>
        <v/>
      </c>
      <c r="DB665" s="1072" t="str">
        <f t="shared" si="55"/>
        <v/>
      </c>
      <c r="DC665" s="1072" t="str">
        <f t="shared" si="56"/>
        <v/>
      </c>
      <c r="DD665" s="1072" t="str">
        <f t="shared" si="57"/>
        <v/>
      </c>
      <c r="DE665" s="1072" t="str">
        <f t="shared" si="58"/>
        <v/>
      </c>
      <c r="DF665" s="1072" t="str">
        <f t="shared" si="59"/>
        <v/>
      </c>
      <c r="DG665" s="1072" t="str">
        <f t="shared" si="60"/>
        <v/>
      </c>
      <c r="DH665" s="1072" t="str">
        <f t="shared" si="61"/>
        <v/>
      </c>
      <c r="DI665" s="1072" t="str">
        <f t="shared" si="62"/>
        <v/>
      </c>
      <c r="DJ665" s="1072" t="str">
        <f t="shared" si="63"/>
        <v/>
      </c>
      <c r="DK665" s="1072" t="str">
        <f t="shared" si="64"/>
        <v/>
      </c>
      <c r="DL665" s="1072" t="str">
        <f t="shared" si="65"/>
        <v/>
      </c>
      <c r="DM665" s="1072" t="str">
        <f t="shared" si="66"/>
        <v/>
      </c>
      <c r="DN665" s="1072" t="str">
        <f t="shared" si="67"/>
        <v/>
      </c>
      <c r="DO665" s="1072" t="str">
        <f t="shared" si="68"/>
        <v/>
      </c>
      <c r="DP665" s="1072" t="str">
        <f t="shared" si="69"/>
        <v/>
      </c>
      <c r="DQ665" s="1072" t="str">
        <f t="shared" si="70"/>
        <v/>
      </c>
      <c r="DR665" s="1072" t="str">
        <f t="shared" si="71"/>
        <v/>
      </c>
      <c r="DS665" s="1072" t="str">
        <f t="shared" si="72"/>
        <v/>
      </c>
      <c r="DT665" s="1072" t="str">
        <f t="shared" si="73"/>
        <v/>
      </c>
      <c r="DU665" s="1072" t="str">
        <f t="shared" si="74"/>
        <v/>
      </c>
      <c r="DV665" s="1072" t="str">
        <f t="shared" si="75"/>
        <v/>
      </c>
      <c r="DW665" s="1072" t="str">
        <f t="shared" si="76"/>
        <v/>
      </c>
      <c r="DX665" s="1072" t="str">
        <f t="shared" si="77"/>
        <v/>
      </c>
      <c r="DY665" s="1072" t="str">
        <f t="shared" si="78"/>
        <v/>
      </c>
      <c r="DZ665" s="1072" t="str">
        <f t="shared" si="79"/>
        <v/>
      </c>
      <c r="EA665" s="1072" t="str">
        <f t="shared" si="80"/>
        <v/>
      </c>
      <c r="EB665" s="1072" t="str">
        <f t="shared" si="81"/>
        <v/>
      </c>
      <c r="EC665" s="1072" t="str">
        <f t="shared" si="82"/>
        <v/>
      </c>
      <c r="ED665" s="1072" t="str">
        <f t="shared" si="83"/>
        <v/>
      </c>
      <c r="EE665" s="1072" t="str">
        <f t="shared" si="84"/>
        <v/>
      </c>
      <c r="EF665" s="1072" t="str">
        <f t="shared" si="85"/>
        <v/>
      </c>
      <c r="EG665" s="1072" t="str">
        <f t="shared" si="86"/>
        <v/>
      </c>
      <c r="EH665" s="1072" t="str">
        <f t="shared" si="87"/>
        <v/>
      </c>
      <c r="EI665" s="1072" t="str">
        <f t="shared" si="88"/>
        <v/>
      </c>
      <c r="EJ665" s="1072" t="str">
        <f t="shared" si="89"/>
        <v/>
      </c>
      <c r="EK665" s="1072" t="str">
        <f t="shared" si="90"/>
        <v/>
      </c>
      <c r="EL665" s="1072" t="str">
        <f t="shared" si="91"/>
        <v/>
      </c>
      <c r="EM665" s="1072" t="str">
        <f t="shared" si="92"/>
        <v/>
      </c>
      <c r="EN665" s="1072" t="str">
        <f t="shared" si="93"/>
        <v/>
      </c>
      <c r="EO665" s="1072" t="str">
        <f t="shared" si="94"/>
        <v/>
      </c>
      <c r="EP665" s="1072" t="str">
        <f t="shared" si="95"/>
        <v/>
      </c>
      <c r="EQ665" s="1072" t="str">
        <f t="shared" si="96"/>
        <v/>
      </c>
      <c r="ER665" s="1072" t="str">
        <f t="shared" si="97"/>
        <v/>
      </c>
      <c r="ES665" s="1072" t="str">
        <f t="shared" si="98"/>
        <v/>
      </c>
      <c r="ET665" s="1072" t="str">
        <f t="shared" si="99"/>
        <v/>
      </c>
      <c r="EU665" s="1072" t="str">
        <f t="shared" si="100"/>
        <v/>
      </c>
      <c r="EV665" s="833" t="str">
        <f t="shared" si="101"/>
        <v/>
      </c>
      <c r="EW665" s="833" t="str">
        <f t="shared" si="102"/>
        <v/>
      </c>
      <c r="EX665" s="833" t="str">
        <f t="shared" si="103"/>
        <v/>
      </c>
      <c r="EY665" s="833" t="str">
        <f t="shared" si="104"/>
        <v/>
      </c>
      <c r="EZ665" s="833" t="str">
        <f t="shared" si="105"/>
        <v/>
      </c>
      <c r="FA665" s="833" t="str">
        <f t="shared" si="106"/>
        <v/>
      </c>
      <c r="FB665" s="833" t="str">
        <f t="shared" si="107"/>
        <v/>
      </c>
      <c r="FC665" s="833" t="str">
        <f t="shared" si="108"/>
        <v/>
      </c>
      <c r="FD665" s="833" t="str">
        <f t="shared" si="109"/>
        <v/>
      </c>
      <c r="FE665" s="833" t="str">
        <f t="shared" si="110"/>
        <v/>
      </c>
      <c r="FF665" s="833" t="str">
        <f t="shared" si="111"/>
        <v/>
      </c>
      <c r="FG665" s="833" t="str">
        <f t="shared" si="112"/>
        <v/>
      </c>
      <c r="FH665" s="833" t="str">
        <f t="shared" si="113"/>
        <v/>
      </c>
      <c r="FI665" s="833" t="str">
        <f t="shared" si="114"/>
        <v/>
      </c>
      <c r="FJ665" s="833" t="str">
        <f t="shared" si="115"/>
        <v/>
      </c>
      <c r="FK665" s="833" t="str">
        <f t="shared" si="116"/>
        <v/>
      </c>
      <c r="FL665" s="833" t="str">
        <f t="shared" si="117"/>
        <v/>
      </c>
      <c r="FM665" s="833" t="str">
        <f t="shared" si="118"/>
        <v/>
      </c>
      <c r="FN665" s="833" t="str">
        <f t="shared" si="119"/>
        <v/>
      </c>
      <c r="FO665" s="833" t="str">
        <f t="shared" si="120"/>
        <v/>
      </c>
      <c r="FP665" s="833" t="str">
        <f t="shared" si="121"/>
        <v/>
      </c>
      <c r="FQ665" s="833" t="str">
        <f t="shared" si="122"/>
        <v/>
      </c>
      <c r="FR665" s="833" t="str">
        <f t="shared" si="123"/>
        <v/>
      </c>
      <c r="FS665" s="833" t="str">
        <f t="shared" si="124"/>
        <v/>
      </c>
      <c r="FT665" s="833" t="str">
        <f t="shared" si="125"/>
        <v/>
      </c>
      <c r="FU665" s="833" t="str">
        <f t="shared" si="126"/>
        <v/>
      </c>
      <c r="FV665" s="833" t="str">
        <f t="shared" si="127"/>
        <v/>
      </c>
      <c r="FW665" s="833" t="str">
        <f t="shared" si="128"/>
        <v/>
      </c>
      <c r="FX665" s="833" t="str">
        <f t="shared" si="129"/>
        <v/>
      </c>
      <c r="FY665" s="833" t="str">
        <f t="shared" si="130"/>
        <v/>
      </c>
      <c r="FZ665" s="833" t="str">
        <f t="shared" si="131"/>
        <v/>
      </c>
      <c r="GA665" s="833" t="str">
        <f t="shared" si="132"/>
        <v/>
      </c>
      <c r="GB665" s="833" t="str">
        <f t="shared" si="133"/>
        <v/>
      </c>
      <c r="GC665" s="833" t="str">
        <f t="shared" si="134"/>
        <v/>
      </c>
      <c r="GD665" s="833" t="str">
        <f t="shared" si="135"/>
        <v/>
      </c>
      <c r="GE665" s="833" t="str">
        <f t="shared" si="136"/>
        <v/>
      </c>
      <c r="GF665" s="833" t="str">
        <f t="shared" si="137"/>
        <v/>
      </c>
      <c r="GG665" s="833" t="str">
        <f t="shared" si="138"/>
        <v/>
      </c>
      <c r="GH665" s="833" t="str">
        <f t="shared" si="139"/>
        <v/>
      </c>
      <c r="GI665" s="833" t="str">
        <f t="shared" si="140"/>
        <v/>
      </c>
      <c r="GJ665" s="833" t="str">
        <f t="shared" si="141"/>
        <v/>
      </c>
      <c r="GK665" s="833" t="str">
        <f t="shared" si="142"/>
        <v/>
      </c>
      <c r="GL665" s="833" t="str">
        <f t="shared" si="143"/>
        <v/>
      </c>
      <c r="GM665" s="833" t="str">
        <f t="shared" si="144"/>
        <v/>
      </c>
      <c r="GN665" s="833" t="str">
        <f t="shared" si="145"/>
        <v/>
      </c>
      <c r="GO665" s="1115" t="str">
        <f t="shared" si="146"/>
        <v/>
      </c>
      <c r="GP665" s="1115" t="str">
        <f t="shared" si="147"/>
        <v/>
      </c>
      <c r="GQ665" s="1115" t="str">
        <f t="shared" si="148"/>
        <v/>
      </c>
      <c r="GR665" s="1115" t="str">
        <f t="shared" si="149"/>
        <v/>
      </c>
      <c r="GS665" s="1115" t="str">
        <f t="shared" si="150"/>
        <v/>
      </c>
      <c r="GT665" s="1072" t="str">
        <f t="shared" si="151"/>
        <v/>
      </c>
      <c r="GU665" s="1072" t="str">
        <f t="shared" si="152"/>
        <v/>
      </c>
      <c r="GV665" s="1072" t="str">
        <f t="shared" si="153"/>
        <v/>
      </c>
      <c r="GW665" s="1072" t="str">
        <f t="shared" si="154"/>
        <v/>
      </c>
      <c r="GX665" s="1072" t="str">
        <f t="shared" si="155"/>
        <v/>
      </c>
      <c r="GY665" s="1072" t="str">
        <f t="shared" si="156"/>
        <v/>
      </c>
      <c r="GZ665" s="1072" t="str">
        <f t="shared" si="157"/>
        <v/>
      </c>
      <c r="HA665" s="1072" t="str">
        <f t="shared" si="158"/>
        <v/>
      </c>
      <c r="HB665" s="1072" t="str">
        <f t="shared" si="159"/>
        <v/>
      </c>
      <c r="HC665" s="1072" t="str">
        <f t="shared" si="160"/>
        <v/>
      </c>
      <c r="HD665" s="1072" t="str">
        <f t="shared" si="161"/>
        <v/>
      </c>
      <c r="HE665" s="1072" t="str">
        <f t="shared" si="162"/>
        <v/>
      </c>
      <c r="HF665" s="1072" t="str">
        <f t="shared" si="163"/>
        <v/>
      </c>
      <c r="HG665" s="1072" t="str">
        <f t="shared" si="164"/>
        <v/>
      </c>
      <c r="HH665" s="1072" t="str">
        <f t="shared" si="165"/>
        <v/>
      </c>
      <c r="HI665" s="1072" t="str">
        <f t="shared" si="166"/>
        <v/>
      </c>
      <c r="HJ665" s="1072" t="str">
        <f t="shared" si="167"/>
        <v/>
      </c>
      <c r="HK665" s="1072" t="str">
        <f t="shared" si="168"/>
        <v/>
      </c>
      <c r="HL665" s="1072" t="str">
        <f t="shared" si="169"/>
        <v/>
      </c>
      <c r="HM665" s="1072" t="str">
        <f t="shared" si="170"/>
        <v/>
      </c>
    </row>
    <row r="666" spans="1:221" ht="13.15" customHeight="1">
      <c r="A666" s="1084" t="str">
        <f t="shared" si="171"/>
        <v/>
      </c>
      <c r="B666" s="1037" t="str">
        <f>'Part VI-Revenues &amp; Expenses'!B32</f>
        <v>&lt;&lt;Select&gt;&gt;</v>
      </c>
      <c r="C666" s="1038">
        <f>'Part VI-Revenues &amp; Expenses'!C32</f>
        <v>0</v>
      </c>
      <c r="D666" s="1039">
        <f>'Part VI-Revenues &amp; Expenses'!D32</f>
        <v>0</v>
      </c>
      <c r="E666" s="1040">
        <f>'Part VI-Revenues &amp; Expenses'!E32</f>
        <v>0</v>
      </c>
      <c r="F666" s="1040">
        <f>'Part VI-Revenues &amp; Expenses'!F32</f>
        <v>0</v>
      </c>
      <c r="G666" s="1040">
        <f>'Part VI-Revenues &amp; Expenses'!G32</f>
        <v>0</v>
      </c>
      <c r="H666" s="1040">
        <f>'Part VI-Revenues &amp; Expenses'!H32</f>
        <v>0</v>
      </c>
      <c r="I666" s="1040">
        <f>'Part VI-Revenues &amp; Expenses'!I32</f>
        <v>0</v>
      </c>
      <c r="J666" s="1103">
        <f>'Part VI-Revenues &amp; Expenses'!J32</f>
        <v>0</v>
      </c>
      <c r="K666" s="908">
        <f t="shared" si="204"/>
        <v>0</v>
      </c>
      <c r="L666" s="908">
        <f t="shared" si="0"/>
        <v>0</v>
      </c>
      <c r="M666" s="831">
        <f>'Part VI-Revenues &amp; Expenses'!M32</f>
        <v>0</v>
      </c>
      <c r="N666" s="831">
        <f>'Part VI-Revenues &amp; Expenses'!N32</f>
        <v>0</v>
      </c>
      <c r="O666" s="831">
        <f>'Part VI-Revenues &amp; Expenses'!O32</f>
        <v>0</v>
      </c>
      <c r="P666" s="909">
        <f t="shared" si="203"/>
        <v>0</v>
      </c>
      <c r="Q666" s="910" t="str">
        <f>'Part VI-Revenues &amp; Expenses'!Q32</f>
        <v/>
      </c>
      <c r="R666" s="909"/>
      <c r="S666" s="910"/>
      <c r="T666" s="1576"/>
      <c r="U666" s="1576"/>
      <c r="V666" s="1072" t="str">
        <f t="shared" si="1"/>
        <v/>
      </c>
      <c r="W666" s="1072" t="str">
        <f t="shared" si="2"/>
        <v/>
      </c>
      <c r="X666" s="1072" t="str">
        <f t="shared" si="3"/>
        <v/>
      </c>
      <c r="Y666" s="1072" t="str">
        <f t="shared" si="4"/>
        <v/>
      </c>
      <c r="Z666" s="1072" t="str">
        <f t="shared" si="5"/>
        <v/>
      </c>
      <c r="AA666" s="1072" t="str">
        <f t="shared" si="6"/>
        <v/>
      </c>
      <c r="AB666" s="1072" t="str">
        <f t="shared" si="7"/>
        <v/>
      </c>
      <c r="AC666" s="1072" t="str">
        <f t="shared" si="8"/>
        <v/>
      </c>
      <c r="AD666" s="1072" t="str">
        <f t="shared" si="9"/>
        <v/>
      </c>
      <c r="AE666" s="1072" t="str">
        <f t="shared" si="10"/>
        <v/>
      </c>
      <c r="AF666" s="1072" t="str">
        <f t="shared" si="11"/>
        <v/>
      </c>
      <c r="AG666" s="1072" t="str">
        <f t="shared" si="12"/>
        <v/>
      </c>
      <c r="AH666" s="1072" t="str">
        <f t="shared" si="13"/>
        <v/>
      </c>
      <c r="AI666" s="1072" t="str">
        <f t="shared" si="14"/>
        <v/>
      </c>
      <c r="AJ666" s="1072" t="str">
        <f t="shared" si="15"/>
        <v/>
      </c>
      <c r="AK666" s="1072" t="str">
        <f t="shared" si="16"/>
        <v/>
      </c>
      <c r="AL666" s="1072" t="str">
        <f t="shared" si="17"/>
        <v/>
      </c>
      <c r="AM666" s="1072" t="str">
        <f t="shared" si="18"/>
        <v/>
      </c>
      <c r="AN666" s="1072" t="str">
        <f t="shared" si="19"/>
        <v/>
      </c>
      <c r="AO666" s="1072" t="str">
        <f t="shared" si="20"/>
        <v/>
      </c>
      <c r="AP666" s="1072" t="str">
        <f t="shared" si="173"/>
        <v/>
      </c>
      <c r="AQ666" s="1072" t="str">
        <f t="shared" si="174"/>
        <v/>
      </c>
      <c r="AR666" s="1072" t="str">
        <f t="shared" si="175"/>
        <v/>
      </c>
      <c r="AS666" s="1072" t="str">
        <f t="shared" si="176"/>
        <v/>
      </c>
      <c r="AT666" s="1072" t="str">
        <f t="shared" si="177"/>
        <v/>
      </c>
      <c r="AU666" s="1072" t="str">
        <f t="shared" si="178"/>
        <v/>
      </c>
      <c r="AV666" s="1072" t="str">
        <f t="shared" si="179"/>
        <v/>
      </c>
      <c r="AW666" s="1072" t="str">
        <f t="shared" si="180"/>
        <v/>
      </c>
      <c r="AX666" s="1072" t="str">
        <f t="shared" si="181"/>
        <v/>
      </c>
      <c r="AY666" s="1072" t="str">
        <f t="shared" si="182"/>
        <v/>
      </c>
      <c r="AZ666" s="1072" t="str">
        <f t="shared" si="183"/>
        <v/>
      </c>
      <c r="BA666" s="1072" t="str">
        <f t="shared" si="184"/>
        <v/>
      </c>
      <c r="BB666" s="1072" t="str">
        <f t="shared" si="185"/>
        <v/>
      </c>
      <c r="BC666" s="1072" t="str">
        <f t="shared" si="186"/>
        <v/>
      </c>
      <c r="BD666" s="1072" t="str">
        <f t="shared" si="187"/>
        <v/>
      </c>
      <c r="BE666" s="1072" t="str">
        <f t="shared" si="188"/>
        <v/>
      </c>
      <c r="BF666" s="1072" t="str">
        <f t="shared" si="189"/>
        <v/>
      </c>
      <c r="BG666" s="1072" t="str">
        <f t="shared" si="190"/>
        <v/>
      </c>
      <c r="BH666" s="1072" t="str">
        <f t="shared" si="191"/>
        <v/>
      </c>
      <c r="BI666" s="1072" t="str">
        <f t="shared" si="192"/>
        <v/>
      </c>
      <c r="BJ666" s="1072" t="str">
        <f t="shared" si="193"/>
        <v/>
      </c>
      <c r="BK666" s="1072" t="str">
        <f t="shared" si="194"/>
        <v/>
      </c>
      <c r="BL666" s="1072" t="str">
        <f t="shared" si="195"/>
        <v/>
      </c>
      <c r="BM666" s="1072" t="str">
        <f t="shared" si="196"/>
        <v/>
      </c>
      <c r="BN666" s="1072" t="str">
        <f t="shared" si="197"/>
        <v/>
      </c>
      <c r="BO666" s="1072" t="str">
        <f t="shared" si="198"/>
        <v/>
      </c>
      <c r="BP666" s="1072" t="str">
        <f t="shared" si="199"/>
        <v/>
      </c>
      <c r="BQ666" s="1072" t="str">
        <f t="shared" si="200"/>
        <v/>
      </c>
      <c r="BR666" s="1072" t="str">
        <f t="shared" si="201"/>
        <v/>
      </c>
      <c r="BS666" s="1072" t="str">
        <f t="shared" si="202"/>
        <v/>
      </c>
      <c r="BT666" s="1072" t="str">
        <f t="shared" si="21"/>
        <v/>
      </c>
      <c r="BU666" s="1072" t="str">
        <f t="shared" si="22"/>
        <v/>
      </c>
      <c r="BV666" s="1072" t="str">
        <f t="shared" si="23"/>
        <v/>
      </c>
      <c r="BW666" s="1072" t="str">
        <f t="shared" si="24"/>
        <v/>
      </c>
      <c r="BX666" s="1072" t="str">
        <f t="shared" si="25"/>
        <v/>
      </c>
      <c r="BY666" s="1072" t="str">
        <f t="shared" si="26"/>
        <v/>
      </c>
      <c r="BZ666" s="1072" t="str">
        <f t="shared" si="27"/>
        <v/>
      </c>
      <c r="CA666" s="1072" t="str">
        <f t="shared" si="28"/>
        <v/>
      </c>
      <c r="CB666" s="1072" t="str">
        <f t="shared" si="29"/>
        <v/>
      </c>
      <c r="CC666" s="1072" t="str">
        <f t="shared" si="30"/>
        <v/>
      </c>
      <c r="CD666" s="1072" t="str">
        <f t="shared" si="31"/>
        <v/>
      </c>
      <c r="CE666" s="1072" t="str">
        <f t="shared" si="32"/>
        <v/>
      </c>
      <c r="CF666" s="1072" t="str">
        <f t="shared" si="33"/>
        <v/>
      </c>
      <c r="CG666" s="1072" t="str">
        <f t="shared" si="34"/>
        <v/>
      </c>
      <c r="CH666" s="1072" t="str">
        <f t="shared" si="35"/>
        <v/>
      </c>
      <c r="CI666" s="1072" t="str">
        <f t="shared" si="36"/>
        <v/>
      </c>
      <c r="CJ666" s="1072" t="str">
        <f t="shared" si="37"/>
        <v/>
      </c>
      <c r="CK666" s="1072" t="str">
        <f t="shared" si="38"/>
        <v/>
      </c>
      <c r="CL666" s="1072" t="str">
        <f t="shared" si="39"/>
        <v/>
      </c>
      <c r="CM666" s="1072" t="str">
        <f t="shared" si="40"/>
        <v/>
      </c>
      <c r="CN666" s="1072" t="str">
        <f t="shared" si="41"/>
        <v/>
      </c>
      <c r="CO666" s="1072" t="str">
        <f t="shared" si="42"/>
        <v/>
      </c>
      <c r="CP666" s="1072" t="str">
        <f t="shared" si="43"/>
        <v/>
      </c>
      <c r="CQ666" s="1072" t="str">
        <f t="shared" si="44"/>
        <v/>
      </c>
      <c r="CR666" s="1072" t="str">
        <f t="shared" si="45"/>
        <v/>
      </c>
      <c r="CS666" s="1072" t="str">
        <f t="shared" si="46"/>
        <v/>
      </c>
      <c r="CT666" s="1072" t="str">
        <f t="shared" si="47"/>
        <v/>
      </c>
      <c r="CU666" s="1072" t="str">
        <f t="shared" si="48"/>
        <v/>
      </c>
      <c r="CV666" s="1072" t="str">
        <f t="shared" si="49"/>
        <v/>
      </c>
      <c r="CW666" s="1072" t="str">
        <f t="shared" si="50"/>
        <v/>
      </c>
      <c r="CX666" s="1072" t="str">
        <f t="shared" si="51"/>
        <v/>
      </c>
      <c r="CY666" s="1072" t="str">
        <f t="shared" si="52"/>
        <v/>
      </c>
      <c r="CZ666" s="1072" t="str">
        <f t="shared" si="53"/>
        <v/>
      </c>
      <c r="DA666" s="1072" t="str">
        <f t="shared" si="54"/>
        <v/>
      </c>
      <c r="DB666" s="1072" t="str">
        <f t="shared" si="55"/>
        <v/>
      </c>
      <c r="DC666" s="1072" t="str">
        <f t="shared" si="56"/>
        <v/>
      </c>
      <c r="DD666" s="1072" t="str">
        <f t="shared" si="57"/>
        <v/>
      </c>
      <c r="DE666" s="1072" t="str">
        <f t="shared" si="58"/>
        <v/>
      </c>
      <c r="DF666" s="1072" t="str">
        <f t="shared" si="59"/>
        <v/>
      </c>
      <c r="DG666" s="1072" t="str">
        <f t="shared" si="60"/>
        <v/>
      </c>
      <c r="DH666" s="1072" t="str">
        <f t="shared" si="61"/>
        <v/>
      </c>
      <c r="DI666" s="1072" t="str">
        <f t="shared" si="62"/>
        <v/>
      </c>
      <c r="DJ666" s="1072" t="str">
        <f t="shared" si="63"/>
        <v/>
      </c>
      <c r="DK666" s="1072" t="str">
        <f t="shared" si="64"/>
        <v/>
      </c>
      <c r="DL666" s="1072" t="str">
        <f t="shared" si="65"/>
        <v/>
      </c>
      <c r="DM666" s="1072" t="str">
        <f t="shared" si="66"/>
        <v/>
      </c>
      <c r="DN666" s="1072" t="str">
        <f t="shared" si="67"/>
        <v/>
      </c>
      <c r="DO666" s="1072" t="str">
        <f t="shared" si="68"/>
        <v/>
      </c>
      <c r="DP666" s="1072" t="str">
        <f t="shared" si="69"/>
        <v/>
      </c>
      <c r="DQ666" s="1072" t="str">
        <f t="shared" si="70"/>
        <v/>
      </c>
      <c r="DR666" s="1072" t="str">
        <f t="shared" si="71"/>
        <v/>
      </c>
      <c r="DS666" s="1072" t="str">
        <f t="shared" si="72"/>
        <v/>
      </c>
      <c r="DT666" s="1072" t="str">
        <f t="shared" si="73"/>
        <v/>
      </c>
      <c r="DU666" s="1072" t="str">
        <f t="shared" si="74"/>
        <v/>
      </c>
      <c r="DV666" s="1072" t="str">
        <f t="shared" si="75"/>
        <v/>
      </c>
      <c r="DW666" s="1072" t="str">
        <f t="shared" si="76"/>
        <v/>
      </c>
      <c r="DX666" s="1072" t="str">
        <f t="shared" si="77"/>
        <v/>
      </c>
      <c r="DY666" s="1072" t="str">
        <f t="shared" si="78"/>
        <v/>
      </c>
      <c r="DZ666" s="1072" t="str">
        <f t="shared" si="79"/>
        <v/>
      </c>
      <c r="EA666" s="1072" t="str">
        <f t="shared" si="80"/>
        <v/>
      </c>
      <c r="EB666" s="1072" t="str">
        <f t="shared" si="81"/>
        <v/>
      </c>
      <c r="EC666" s="1072" t="str">
        <f t="shared" si="82"/>
        <v/>
      </c>
      <c r="ED666" s="1072" t="str">
        <f t="shared" si="83"/>
        <v/>
      </c>
      <c r="EE666" s="1072" t="str">
        <f t="shared" si="84"/>
        <v/>
      </c>
      <c r="EF666" s="1072" t="str">
        <f t="shared" si="85"/>
        <v/>
      </c>
      <c r="EG666" s="1072" t="str">
        <f t="shared" si="86"/>
        <v/>
      </c>
      <c r="EH666" s="1072" t="str">
        <f t="shared" si="87"/>
        <v/>
      </c>
      <c r="EI666" s="1072" t="str">
        <f t="shared" si="88"/>
        <v/>
      </c>
      <c r="EJ666" s="1072" t="str">
        <f t="shared" si="89"/>
        <v/>
      </c>
      <c r="EK666" s="1072" t="str">
        <f t="shared" si="90"/>
        <v/>
      </c>
      <c r="EL666" s="1072" t="str">
        <f t="shared" si="91"/>
        <v/>
      </c>
      <c r="EM666" s="1072" t="str">
        <f t="shared" si="92"/>
        <v/>
      </c>
      <c r="EN666" s="1072" t="str">
        <f t="shared" si="93"/>
        <v/>
      </c>
      <c r="EO666" s="1072" t="str">
        <f t="shared" si="94"/>
        <v/>
      </c>
      <c r="EP666" s="1072" t="str">
        <f t="shared" si="95"/>
        <v/>
      </c>
      <c r="EQ666" s="1072" t="str">
        <f t="shared" si="96"/>
        <v/>
      </c>
      <c r="ER666" s="1072" t="str">
        <f t="shared" si="97"/>
        <v/>
      </c>
      <c r="ES666" s="1072" t="str">
        <f t="shared" si="98"/>
        <v/>
      </c>
      <c r="ET666" s="1072" t="str">
        <f t="shared" si="99"/>
        <v/>
      </c>
      <c r="EU666" s="1072" t="str">
        <f t="shared" si="100"/>
        <v/>
      </c>
      <c r="EV666" s="833" t="str">
        <f t="shared" si="101"/>
        <v/>
      </c>
      <c r="EW666" s="833" t="str">
        <f t="shared" si="102"/>
        <v/>
      </c>
      <c r="EX666" s="833" t="str">
        <f t="shared" si="103"/>
        <v/>
      </c>
      <c r="EY666" s="833" t="str">
        <f t="shared" si="104"/>
        <v/>
      </c>
      <c r="EZ666" s="833" t="str">
        <f t="shared" si="105"/>
        <v/>
      </c>
      <c r="FA666" s="833" t="str">
        <f t="shared" si="106"/>
        <v/>
      </c>
      <c r="FB666" s="833" t="str">
        <f t="shared" si="107"/>
        <v/>
      </c>
      <c r="FC666" s="833" t="str">
        <f t="shared" si="108"/>
        <v/>
      </c>
      <c r="FD666" s="833" t="str">
        <f t="shared" si="109"/>
        <v/>
      </c>
      <c r="FE666" s="833" t="str">
        <f t="shared" si="110"/>
        <v/>
      </c>
      <c r="FF666" s="833" t="str">
        <f t="shared" si="111"/>
        <v/>
      </c>
      <c r="FG666" s="833" t="str">
        <f t="shared" si="112"/>
        <v/>
      </c>
      <c r="FH666" s="833" t="str">
        <f t="shared" si="113"/>
        <v/>
      </c>
      <c r="FI666" s="833" t="str">
        <f t="shared" si="114"/>
        <v/>
      </c>
      <c r="FJ666" s="833" t="str">
        <f t="shared" si="115"/>
        <v/>
      </c>
      <c r="FK666" s="833" t="str">
        <f t="shared" si="116"/>
        <v/>
      </c>
      <c r="FL666" s="833" t="str">
        <f t="shared" si="117"/>
        <v/>
      </c>
      <c r="FM666" s="833" t="str">
        <f t="shared" si="118"/>
        <v/>
      </c>
      <c r="FN666" s="833" t="str">
        <f t="shared" si="119"/>
        <v/>
      </c>
      <c r="FO666" s="833" t="str">
        <f t="shared" si="120"/>
        <v/>
      </c>
      <c r="FP666" s="833" t="str">
        <f t="shared" si="121"/>
        <v/>
      </c>
      <c r="FQ666" s="833" t="str">
        <f t="shared" si="122"/>
        <v/>
      </c>
      <c r="FR666" s="833" t="str">
        <f t="shared" si="123"/>
        <v/>
      </c>
      <c r="FS666" s="833" t="str">
        <f t="shared" si="124"/>
        <v/>
      </c>
      <c r="FT666" s="833" t="str">
        <f t="shared" si="125"/>
        <v/>
      </c>
      <c r="FU666" s="833" t="str">
        <f t="shared" si="126"/>
        <v/>
      </c>
      <c r="FV666" s="833" t="str">
        <f t="shared" si="127"/>
        <v/>
      </c>
      <c r="FW666" s="833" t="str">
        <f t="shared" si="128"/>
        <v/>
      </c>
      <c r="FX666" s="833" t="str">
        <f t="shared" si="129"/>
        <v/>
      </c>
      <c r="FY666" s="833" t="str">
        <f t="shared" si="130"/>
        <v/>
      </c>
      <c r="FZ666" s="833" t="str">
        <f t="shared" si="131"/>
        <v/>
      </c>
      <c r="GA666" s="833" t="str">
        <f t="shared" si="132"/>
        <v/>
      </c>
      <c r="GB666" s="833" t="str">
        <f t="shared" si="133"/>
        <v/>
      </c>
      <c r="GC666" s="833" t="str">
        <f t="shared" si="134"/>
        <v/>
      </c>
      <c r="GD666" s="833" t="str">
        <f t="shared" si="135"/>
        <v/>
      </c>
      <c r="GE666" s="833" t="str">
        <f t="shared" si="136"/>
        <v/>
      </c>
      <c r="GF666" s="833" t="str">
        <f t="shared" si="137"/>
        <v/>
      </c>
      <c r="GG666" s="833" t="str">
        <f t="shared" si="138"/>
        <v/>
      </c>
      <c r="GH666" s="833" t="str">
        <f t="shared" si="139"/>
        <v/>
      </c>
      <c r="GI666" s="833" t="str">
        <f t="shared" si="140"/>
        <v/>
      </c>
      <c r="GJ666" s="833" t="str">
        <f t="shared" si="141"/>
        <v/>
      </c>
      <c r="GK666" s="833" t="str">
        <f t="shared" si="142"/>
        <v/>
      </c>
      <c r="GL666" s="833" t="str">
        <f t="shared" si="143"/>
        <v/>
      </c>
      <c r="GM666" s="833" t="str">
        <f t="shared" si="144"/>
        <v/>
      </c>
      <c r="GN666" s="833" t="str">
        <f t="shared" si="145"/>
        <v/>
      </c>
      <c r="GO666" s="1115" t="str">
        <f t="shared" si="146"/>
        <v/>
      </c>
      <c r="GP666" s="1115" t="str">
        <f t="shared" si="147"/>
        <v/>
      </c>
      <c r="GQ666" s="1115" t="str">
        <f t="shared" si="148"/>
        <v/>
      </c>
      <c r="GR666" s="1115" t="str">
        <f t="shared" si="149"/>
        <v/>
      </c>
      <c r="GS666" s="1115" t="str">
        <f t="shared" si="150"/>
        <v/>
      </c>
      <c r="GT666" s="1072" t="str">
        <f t="shared" si="151"/>
        <v/>
      </c>
      <c r="GU666" s="1072" t="str">
        <f t="shared" si="152"/>
        <v/>
      </c>
      <c r="GV666" s="1072" t="str">
        <f t="shared" si="153"/>
        <v/>
      </c>
      <c r="GW666" s="1072" t="str">
        <f t="shared" si="154"/>
        <v/>
      </c>
      <c r="GX666" s="1072" t="str">
        <f t="shared" si="155"/>
        <v/>
      </c>
      <c r="GY666" s="1072" t="str">
        <f t="shared" si="156"/>
        <v/>
      </c>
      <c r="GZ666" s="1072" t="str">
        <f t="shared" si="157"/>
        <v/>
      </c>
      <c r="HA666" s="1072" t="str">
        <f t="shared" si="158"/>
        <v/>
      </c>
      <c r="HB666" s="1072" t="str">
        <f t="shared" si="159"/>
        <v/>
      </c>
      <c r="HC666" s="1072" t="str">
        <f t="shared" si="160"/>
        <v/>
      </c>
      <c r="HD666" s="1072" t="str">
        <f t="shared" si="161"/>
        <v/>
      </c>
      <c r="HE666" s="1072" t="str">
        <f t="shared" si="162"/>
        <v/>
      </c>
      <c r="HF666" s="1072" t="str">
        <f t="shared" si="163"/>
        <v/>
      </c>
      <c r="HG666" s="1072" t="str">
        <f t="shared" si="164"/>
        <v/>
      </c>
      <c r="HH666" s="1072" t="str">
        <f t="shared" si="165"/>
        <v/>
      </c>
      <c r="HI666" s="1072" t="str">
        <f t="shared" si="166"/>
        <v/>
      </c>
      <c r="HJ666" s="1072" t="str">
        <f t="shared" si="167"/>
        <v/>
      </c>
      <c r="HK666" s="1072" t="str">
        <f t="shared" si="168"/>
        <v/>
      </c>
      <c r="HL666" s="1072" t="str">
        <f t="shared" si="169"/>
        <v/>
      </c>
      <c r="HM666" s="1072" t="str">
        <f t="shared" si="170"/>
        <v/>
      </c>
    </row>
    <row r="667" spans="1:221" ht="13.15" customHeight="1">
      <c r="A667" s="1084" t="str">
        <f t="shared" si="171"/>
        <v/>
      </c>
      <c r="B667" s="1037" t="str">
        <f>'Part VI-Revenues &amp; Expenses'!B33</f>
        <v>&lt;&lt;Select&gt;&gt;</v>
      </c>
      <c r="C667" s="1038">
        <f>'Part VI-Revenues &amp; Expenses'!C33</f>
        <v>0</v>
      </c>
      <c r="D667" s="1039">
        <f>'Part VI-Revenues &amp; Expenses'!D33</f>
        <v>0</v>
      </c>
      <c r="E667" s="1040">
        <f>'Part VI-Revenues &amp; Expenses'!E33</f>
        <v>0</v>
      </c>
      <c r="F667" s="1040">
        <f>'Part VI-Revenues &amp; Expenses'!F33</f>
        <v>0</v>
      </c>
      <c r="G667" s="1040">
        <f>'Part VI-Revenues &amp; Expenses'!G33</f>
        <v>0</v>
      </c>
      <c r="H667" s="1040">
        <f>'Part VI-Revenues &amp; Expenses'!H33</f>
        <v>0</v>
      </c>
      <c r="I667" s="1040">
        <f>'Part VI-Revenues &amp; Expenses'!I33</f>
        <v>0</v>
      </c>
      <c r="J667" s="1103">
        <f>'Part VI-Revenues &amp; Expenses'!J33</f>
        <v>0</v>
      </c>
      <c r="K667" s="908">
        <f t="shared" si="204"/>
        <v>0</v>
      </c>
      <c r="L667" s="908">
        <f t="shared" si="0"/>
        <v>0</v>
      </c>
      <c r="M667" s="831">
        <f>'Part VI-Revenues &amp; Expenses'!M33</f>
        <v>0</v>
      </c>
      <c r="N667" s="831">
        <f>'Part VI-Revenues &amp; Expenses'!N33</f>
        <v>0</v>
      </c>
      <c r="O667" s="831">
        <f>'Part VI-Revenues &amp; Expenses'!O33</f>
        <v>0</v>
      </c>
      <c r="P667" s="909">
        <f t="shared" si="203"/>
        <v>0</v>
      </c>
      <c r="Q667" s="910" t="str">
        <f>'Part VI-Revenues &amp; Expenses'!Q33</f>
        <v/>
      </c>
      <c r="R667" s="909"/>
      <c r="S667" s="910"/>
      <c r="T667" s="1576"/>
      <c r="U667" s="1576"/>
      <c r="V667" s="1072" t="str">
        <f t="shared" si="1"/>
        <v/>
      </c>
      <c r="W667" s="1072" t="str">
        <f t="shared" si="2"/>
        <v/>
      </c>
      <c r="X667" s="1072" t="str">
        <f t="shared" si="3"/>
        <v/>
      </c>
      <c r="Y667" s="1072" t="str">
        <f t="shared" si="4"/>
        <v/>
      </c>
      <c r="Z667" s="1072" t="str">
        <f t="shared" si="5"/>
        <v/>
      </c>
      <c r="AA667" s="1072" t="str">
        <f t="shared" si="6"/>
        <v/>
      </c>
      <c r="AB667" s="1072" t="str">
        <f t="shared" si="7"/>
        <v/>
      </c>
      <c r="AC667" s="1072" t="str">
        <f t="shared" si="8"/>
        <v/>
      </c>
      <c r="AD667" s="1072" t="str">
        <f t="shared" si="9"/>
        <v/>
      </c>
      <c r="AE667" s="1072" t="str">
        <f t="shared" si="10"/>
        <v/>
      </c>
      <c r="AF667" s="1072" t="str">
        <f t="shared" si="11"/>
        <v/>
      </c>
      <c r="AG667" s="1072" t="str">
        <f t="shared" si="12"/>
        <v/>
      </c>
      <c r="AH667" s="1072" t="str">
        <f t="shared" si="13"/>
        <v/>
      </c>
      <c r="AI667" s="1072" t="str">
        <f t="shared" si="14"/>
        <v/>
      </c>
      <c r="AJ667" s="1072" t="str">
        <f t="shared" si="15"/>
        <v/>
      </c>
      <c r="AK667" s="1072" t="str">
        <f t="shared" si="16"/>
        <v/>
      </c>
      <c r="AL667" s="1072" t="str">
        <f t="shared" si="17"/>
        <v/>
      </c>
      <c r="AM667" s="1072" t="str">
        <f t="shared" si="18"/>
        <v/>
      </c>
      <c r="AN667" s="1072" t="str">
        <f t="shared" si="19"/>
        <v/>
      </c>
      <c r="AO667" s="1072" t="str">
        <f t="shared" si="20"/>
        <v/>
      </c>
      <c r="AP667" s="1072" t="str">
        <f t="shared" si="173"/>
        <v/>
      </c>
      <c r="AQ667" s="1072" t="str">
        <f t="shared" si="174"/>
        <v/>
      </c>
      <c r="AR667" s="1072" t="str">
        <f t="shared" si="175"/>
        <v/>
      </c>
      <c r="AS667" s="1072" t="str">
        <f t="shared" si="176"/>
        <v/>
      </c>
      <c r="AT667" s="1072" t="str">
        <f t="shared" si="177"/>
        <v/>
      </c>
      <c r="AU667" s="1072" t="str">
        <f t="shared" si="178"/>
        <v/>
      </c>
      <c r="AV667" s="1072" t="str">
        <f t="shared" si="179"/>
        <v/>
      </c>
      <c r="AW667" s="1072" t="str">
        <f t="shared" si="180"/>
        <v/>
      </c>
      <c r="AX667" s="1072" t="str">
        <f t="shared" si="181"/>
        <v/>
      </c>
      <c r="AY667" s="1072" t="str">
        <f t="shared" si="182"/>
        <v/>
      </c>
      <c r="AZ667" s="1072" t="str">
        <f t="shared" si="183"/>
        <v/>
      </c>
      <c r="BA667" s="1072" t="str">
        <f t="shared" si="184"/>
        <v/>
      </c>
      <c r="BB667" s="1072" t="str">
        <f t="shared" si="185"/>
        <v/>
      </c>
      <c r="BC667" s="1072" t="str">
        <f t="shared" si="186"/>
        <v/>
      </c>
      <c r="BD667" s="1072" t="str">
        <f t="shared" si="187"/>
        <v/>
      </c>
      <c r="BE667" s="1072" t="str">
        <f t="shared" si="188"/>
        <v/>
      </c>
      <c r="BF667" s="1072" t="str">
        <f t="shared" si="189"/>
        <v/>
      </c>
      <c r="BG667" s="1072" t="str">
        <f t="shared" si="190"/>
        <v/>
      </c>
      <c r="BH667" s="1072" t="str">
        <f t="shared" si="191"/>
        <v/>
      </c>
      <c r="BI667" s="1072" t="str">
        <f t="shared" si="192"/>
        <v/>
      </c>
      <c r="BJ667" s="1072" t="str">
        <f t="shared" si="193"/>
        <v/>
      </c>
      <c r="BK667" s="1072" t="str">
        <f t="shared" si="194"/>
        <v/>
      </c>
      <c r="BL667" s="1072" t="str">
        <f t="shared" si="195"/>
        <v/>
      </c>
      <c r="BM667" s="1072" t="str">
        <f t="shared" si="196"/>
        <v/>
      </c>
      <c r="BN667" s="1072" t="str">
        <f t="shared" si="197"/>
        <v/>
      </c>
      <c r="BO667" s="1072" t="str">
        <f t="shared" si="198"/>
        <v/>
      </c>
      <c r="BP667" s="1072" t="str">
        <f t="shared" si="199"/>
        <v/>
      </c>
      <c r="BQ667" s="1072" t="str">
        <f t="shared" si="200"/>
        <v/>
      </c>
      <c r="BR667" s="1072" t="str">
        <f t="shared" si="201"/>
        <v/>
      </c>
      <c r="BS667" s="1072" t="str">
        <f t="shared" si="202"/>
        <v/>
      </c>
      <c r="BT667" s="1072" t="str">
        <f t="shared" si="21"/>
        <v/>
      </c>
      <c r="BU667" s="1072" t="str">
        <f t="shared" si="22"/>
        <v/>
      </c>
      <c r="BV667" s="1072" t="str">
        <f t="shared" si="23"/>
        <v/>
      </c>
      <c r="BW667" s="1072" t="str">
        <f t="shared" si="24"/>
        <v/>
      </c>
      <c r="BX667" s="1072" t="str">
        <f t="shared" si="25"/>
        <v/>
      </c>
      <c r="BY667" s="1072" t="str">
        <f t="shared" si="26"/>
        <v/>
      </c>
      <c r="BZ667" s="1072" t="str">
        <f t="shared" si="27"/>
        <v/>
      </c>
      <c r="CA667" s="1072" t="str">
        <f t="shared" si="28"/>
        <v/>
      </c>
      <c r="CB667" s="1072" t="str">
        <f t="shared" si="29"/>
        <v/>
      </c>
      <c r="CC667" s="1072" t="str">
        <f t="shared" si="30"/>
        <v/>
      </c>
      <c r="CD667" s="1072" t="str">
        <f t="shared" si="31"/>
        <v/>
      </c>
      <c r="CE667" s="1072" t="str">
        <f t="shared" si="32"/>
        <v/>
      </c>
      <c r="CF667" s="1072" t="str">
        <f t="shared" si="33"/>
        <v/>
      </c>
      <c r="CG667" s="1072" t="str">
        <f t="shared" si="34"/>
        <v/>
      </c>
      <c r="CH667" s="1072" t="str">
        <f t="shared" si="35"/>
        <v/>
      </c>
      <c r="CI667" s="1072" t="str">
        <f t="shared" si="36"/>
        <v/>
      </c>
      <c r="CJ667" s="1072" t="str">
        <f t="shared" si="37"/>
        <v/>
      </c>
      <c r="CK667" s="1072" t="str">
        <f t="shared" si="38"/>
        <v/>
      </c>
      <c r="CL667" s="1072" t="str">
        <f t="shared" si="39"/>
        <v/>
      </c>
      <c r="CM667" s="1072" t="str">
        <f t="shared" si="40"/>
        <v/>
      </c>
      <c r="CN667" s="1072" t="str">
        <f t="shared" si="41"/>
        <v/>
      </c>
      <c r="CO667" s="1072" t="str">
        <f t="shared" si="42"/>
        <v/>
      </c>
      <c r="CP667" s="1072" t="str">
        <f t="shared" si="43"/>
        <v/>
      </c>
      <c r="CQ667" s="1072" t="str">
        <f t="shared" si="44"/>
        <v/>
      </c>
      <c r="CR667" s="1072" t="str">
        <f t="shared" si="45"/>
        <v/>
      </c>
      <c r="CS667" s="1072" t="str">
        <f t="shared" si="46"/>
        <v/>
      </c>
      <c r="CT667" s="1072" t="str">
        <f t="shared" si="47"/>
        <v/>
      </c>
      <c r="CU667" s="1072" t="str">
        <f t="shared" si="48"/>
        <v/>
      </c>
      <c r="CV667" s="1072" t="str">
        <f t="shared" si="49"/>
        <v/>
      </c>
      <c r="CW667" s="1072" t="str">
        <f t="shared" si="50"/>
        <v/>
      </c>
      <c r="CX667" s="1072" t="str">
        <f t="shared" si="51"/>
        <v/>
      </c>
      <c r="CY667" s="1072" t="str">
        <f t="shared" si="52"/>
        <v/>
      </c>
      <c r="CZ667" s="1072" t="str">
        <f t="shared" si="53"/>
        <v/>
      </c>
      <c r="DA667" s="1072" t="str">
        <f t="shared" si="54"/>
        <v/>
      </c>
      <c r="DB667" s="1072" t="str">
        <f t="shared" si="55"/>
        <v/>
      </c>
      <c r="DC667" s="1072" t="str">
        <f t="shared" si="56"/>
        <v/>
      </c>
      <c r="DD667" s="1072" t="str">
        <f t="shared" si="57"/>
        <v/>
      </c>
      <c r="DE667" s="1072" t="str">
        <f t="shared" si="58"/>
        <v/>
      </c>
      <c r="DF667" s="1072" t="str">
        <f t="shared" si="59"/>
        <v/>
      </c>
      <c r="DG667" s="1072" t="str">
        <f t="shared" si="60"/>
        <v/>
      </c>
      <c r="DH667" s="1072" t="str">
        <f t="shared" si="61"/>
        <v/>
      </c>
      <c r="DI667" s="1072" t="str">
        <f t="shared" si="62"/>
        <v/>
      </c>
      <c r="DJ667" s="1072" t="str">
        <f t="shared" si="63"/>
        <v/>
      </c>
      <c r="DK667" s="1072" t="str">
        <f t="shared" si="64"/>
        <v/>
      </c>
      <c r="DL667" s="1072" t="str">
        <f t="shared" si="65"/>
        <v/>
      </c>
      <c r="DM667" s="1072" t="str">
        <f t="shared" si="66"/>
        <v/>
      </c>
      <c r="DN667" s="1072" t="str">
        <f t="shared" si="67"/>
        <v/>
      </c>
      <c r="DO667" s="1072" t="str">
        <f t="shared" si="68"/>
        <v/>
      </c>
      <c r="DP667" s="1072" t="str">
        <f t="shared" si="69"/>
        <v/>
      </c>
      <c r="DQ667" s="1072" t="str">
        <f t="shared" si="70"/>
        <v/>
      </c>
      <c r="DR667" s="1072" t="str">
        <f t="shared" si="71"/>
        <v/>
      </c>
      <c r="DS667" s="1072" t="str">
        <f t="shared" si="72"/>
        <v/>
      </c>
      <c r="DT667" s="1072" t="str">
        <f t="shared" si="73"/>
        <v/>
      </c>
      <c r="DU667" s="1072" t="str">
        <f t="shared" si="74"/>
        <v/>
      </c>
      <c r="DV667" s="1072" t="str">
        <f t="shared" si="75"/>
        <v/>
      </c>
      <c r="DW667" s="1072" t="str">
        <f t="shared" si="76"/>
        <v/>
      </c>
      <c r="DX667" s="1072" t="str">
        <f t="shared" si="77"/>
        <v/>
      </c>
      <c r="DY667" s="1072" t="str">
        <f t="shared" si="78"/>
        <v/>
      </c>
      <c r="DZ667" s="1072" t="str">
        <f t="shared" si="79"/>
        <v/>
      </c>
      <c r="EA667" s="1072" t="str">
        <f t="shared" si="80"/>
        <v/>
      </c>
      <c r="EB667" s="1072" t="str">
        <f t="shared" si="81"/>
        <v/>
      </c>
      <c r="EC667" s="1072" t="str">
        <f t="shared" si="82"/>
        <v/>
      </c>
      <c r="ED667" s="1072" t="str">
        <f t="shared" si="83"/>
        <v/>
      </c>
      <c r="EE667" s="1072" t="str">
        <f t="shared" si="84"/>
        <v/>
      </c>
      <c r="EF667" s="1072" t="str">
        <f t="shared" si="85"/>
        <v/>
      </c>
      <c r="EG667" s="1072" t="str">
        <f t="shared" si="86"/>
        <v/>
      </c>
      <c r="EH667" s="1072" t="str">
        <f t="shared" si="87"/>
        <v/>
      </c>
      <c r="EI667" s="1072" t="str">
        <f t="shared" si="88"/>
        <v/>
      </c>
      <c r="EJ667" s="1072" t="str">
        <f t="shared" si="89"/>
        <v/>
      </c>
      <c r="EK667" s="1072" t="str">
        <f t="shared" si="90"/>
        <v/>
      </c>
      <c r="EL667" s="1072" t="str">
        <f t="shared" si="91"/>
        <v/>
      </c>
      <c r="EM667" s="1072" t="str">
        <f t="shared" si="92"/>
        <v/>
      </c>
      <c r="EN667" s="1072" t="str">
        <f t="shared" si="93"/>
        <v/>
      </c>
      <c r="EO667" s="1072" t="str">
        <f t="shared" si="94"/>
        <v/>
      </c>
      <c r="EP667" s="1072" t="str">
        <f t="shared" si="95"/>
        <v/>
      </c>
      <c r="EQ667" s="1072" t="str">
        <f t="shared" si="96"/>
        <v/>
      </c>
      <c r="ER667" s="1072" t="str">
        <f t="shared" si="97"/>
        <v/>
      </c>
      <c r="ES667" s="1072" t="str">
        <f t="shared" si="98"/>
        <v/>
      </c>
      <c r="ET667" s="1072" t="str">
        <f t="shared" si="99"/>
        <v/>
      </c>
      <c r="EU667" s="1072" t="str">
        <f t="shared" si="100"/>
        <v/>
      </c>
      <c r="EV667" s="833" t="str">
        <f t="shared" si="101"/>
        <v/>
      </c>
      <c r="EW667" s="833" t="str">
        <f t="shared" si="102"/>
        <v/>
      </c>
      <c r="EX667" s="833" t="str">
        <f t="shared" si="103"/>
        <v/>
      </c>
      <c r="EY667" s="833" t="str">
        <f t="shared" si="104"/>
        <v/>
      </c>
      <c r="EZ667" s="833" t="str">
        <f t="shared" si="105"/>
        <v/>
      </c>
      <c r="FA667" s="833" t="str">
        <f t="shared" si="106"/>
        <v/>
      </c>
      <c r="FB667" s="833" t="str">
        <f t="shared" si="107"/>
        <v/>
      </c>
      <c r="FC667" s="833" t="str">
        <f t="shared" si="108"/>
        <v/>
      </c>
      <c r="FD667" s="833" t="str">
        <f t="shared" si="109"/>
        <v/>
      </c>
      <c r="FE667" s="833" t="str">
        <f t="shared" si="110"/>
        <v/>
      </c>
      <c r="FF667" s="833" t="str">
        <f t="shared" si="111"/>
        <v/>
      </c>
      <c r="FG667" s="833" t="str">
        <f t="shared" si="112"/>
        <v/>
      </c>
      <c r="FH667" s="833" t="str">
        <f t="shared" si="113"/>
        <v/>
      </c>
      <c r="FI667" s="833" t="str">
        <f t="shared" si="114"/>
        <v/>
      </c>
      <c r="FJ667" s="833" t="str">
        <f t="shared" si="115"/>
        <v/>
      </c>
      <c r="FK667" s="833" t="str">
        <f t="shared" si="116"/>
        <v/>
      </c>
      <c r="FL667" s="833" t="str">
        <f t="shared" si="117"/>
        <v/>
      </c>
      <c r="FM667" s="833" t="str">
        <f t="shared" si="118"/>
        <v/>
      </c>
      <c r="FN667" s="833" t="str">
        <f t="shared" si="119"/>
        <v/>
      </c>
      <c r="FO667" s="833" t="str">
        <f t="shared" si="120"/>
        <v/>
      </c>
      <c r="FP667" s="833" t="str">
        <f t="shared" si="121"/>
        <v/>
      </c>
      <c r="FQ667" s="833" t="str">
        <f t="shared" si="122"/>
        <v/>
      </c>
      <c r="FR667" s="833" t="str">
        <f t="shared" si="123"/>
        <v/>
      </c>
      <c r="FS667" s="833" t="str">
        <f t="shared" si="124"/>
        <v/>
      </c>
      <c r="FT667" s="833" t="str">
        <f t="shared" si="125"/>
        <v/>
      </c>
      <c r="FU667" s="833" t="str">
        <f t="shared" si="126"/>
        <v/>
      </c>
      <c r="FV667" s="833" t="str">
        <f t="shared" si="127"/>
        <v/>
      </c>
      <c r="FW667" s="833" t="str">
        <f t="shared" si="128"/>
        <v/>
      </c>
      <c r="FX667" s="833" t="str">
        <f t="shared" si="129"/>
        <v/>
      </c>
      <c r="FY667" s="833" t="str">
        <f t="shared" si="130"/>
        <v/>
      </c>
      <c r="FZ667" s="833" t="str">
        <f t="shared" si="131"/>
        <v/>
      </c>
      <c r="GA667" s="833" t="str">
        <f t="shared" si="132"/>
        <v/>
      </c>
      <c r="GB667" s="833" t="str">
        <f t="shared" si="133"/>
        <v/>
      </c>
      <c r="GC667" s="833" t="str">
        <f t="shared" si="134"/>
        <v/>
      </c>
      <c r="GD667" s="833" t="str">
        <f t="shared" si="135"/>
        <v/>
      </c>
      <c r="GE667" s="833" t="str">
        <f t="shared" si="136"/>
        <v/>
      </c>
      <c r="GF667" s="833" t="str">
        <f t="shared" si="137"/>
        <v/>
      </c>
      <c r="GG667" s="833" t="str">
        <f t="shared" si="138"/>
        <v/>
      </c>
      <c r="GH667" s="833" t="str">
        <f t="shared" si="139"/>
        <v/>
      </c>
      <c r="GI667" s="833" t="str">
        <f t="shared" si="140"/>
        <v/>
      </c>
      <c r="GJ667" s="833" t="str">
        <f t="shared" si="141"/>
        <v/>
      </c>
      <c r="GK667" s="833" t="str">
        <f t="shared" si="142"/>
        <v/>
      </c>
      <c r="GL667" s="833" t="str">
        <f t="shared" si="143"/>
        <v/>
      </c>
      <c r="GM667" s="833" t="str">
        <f t="shared" si="144"/>
        <v/>
      </c>
      <c r="GN667" s="833" t="str">
        <f t="shared" si="145"/>
        <v/>
      </c>
      <c r="GO667" s="1115" t="str">
        <f t="shared" si="146"/>
        <v/>
      </c>
      <c r="GP667" s="1115" t="str">
        <f t="shared" si="147"/>
        <v/>
      </c>
      <c r="GQ667" s="1115" t="str">
        <f t="shared" si="148"/>
        <v/>
      </c>
      <c r="GR667" s="1115" t="str">
        <f t="shared" si="149"/>
        <v/>
      </c>
      <c r="GS667" s="1115" t="str">
        <f t="shared" si="150"/>
        <v/>
      </c>
      <c r="GT667" s="1072" t="str">
        <f t="shared" si="151"/>
        <v/>
      </c>
      <c r="GU667" s="1072" t="str">
        <f t="shared" si="152"/>
        <v/>
      </c>
      <c r="GV667" s="1072" t="str">
        <f t="shared" si="153"/>
        <v/>
      </c>
      <c r="GW667" s="1072" t="str">
        <f t="shared" si="154"/>
        <v/>
      </c>
      <c r="GX667" s="1072" t="str">
        <f t="shared" si="155"/>
        <v/>
      </c>
      <c r="GY667" s="1072" t="str">
        <f t="shared" si="156"/>
        <v/>
      </c>
      <c r="GZ667" s="1072" t="str">
        <f t="shared" si="157"/>
        <v/>
      </c>
      <c r="HA667" s="1072" t="str">
        <f t="shared" si="158"/>
        <v/>
      </c>
      <c r="HB667" s="1072" t="str">
        <f t="shared" si="159"/>
        <v/>
      </c>
      <c r="HC667" s="1072" t="str">
        <f t="shared" si="160"/>
        <v/>
      </c>
      <c r="HD667" s="1072" t="str">
        <f t="shared" si="161"/>
        <v/>
      </c>
      <c r="HE667" s="1072" t="str">
        <f t="shared" si="162"/>
        <v/>
      </c>
      <c r="HF667" s="1072" t="str">
        <f t="shared" si="163"/>
        <v/>
      </c>
      <c r="HG667" s="1072" t="str">
        <f t="shared" si="164"/>
        <v/>
      </c>
      <c r="HH667" s="1072" t="str">
        <f t="shared" si="165"/>
        <v/>
      </c>
      <c r="HI667" s="1072" t="str">
        <f t="shared" si="166"/>
        <v/>
      </c>
      <c r="HJ667" s="1072" t="str">
        <f t="shared" si="167"/>
        <v/>
      </c>
      <c r="HK667" s="1072" t="str">
        <f t="shared" si="168"/>
        <v/>
      </c>
      <c r="HL667" s="1072" t="str">
        <f t="shared" si="169"/>
        <v/>
      </c>
      <c r="HM667" s="1072" t="str">
        <f t="shared" si="170"/>
        <v/>
      </c>
    </row>
    <row r="668" spans="1:221" ht="13.15" customHeight="1">
      <c r="A668" s="1084" t="str">
        <f t="shared" si="171"/>
        <v/>
      </c>
      <c r="B668" s="1037" t="str">
        <f>'Part VI-Revenues &amp; Expenses'!B34</f>
        <v>&lt;&lt;Select&gt;&gt;</v>
      </c>
      <c r="C668" s="1038">
        <f>'Part VI-Revenues &amp; Expenses'!C34</f>
        <v>0</v>
      </c>
      <c r="D668" s="1039">
        <f>'Part VI-Revenues &amp; Expenses'!D34</f>
        <v>0</v>
      </c>
      <c r="E668" s="1040">
        <f>'Part VI-Revenues &amp; Expenses'!E34</f>
        <v>0</v>
      </c>
      <c r="F668" s="1040">
        <f>'Part VI-Revenues &amp; Expenses'!F34</f>
        <v>0</v>
      </c>
      <c r="G668" s="1040">
        <f>'Part VI-Revenues &amp; Expenses'!G34</f>
        <v>0</v>
      </c>
      <c r="H668" s="1040">
        <f>'Part VI-Revenues &amp; Expenses'!H34</f>
        <v>0</v>
      </c>
      <c r="I668" s="1040">
        <f>'Part VI-Revenues &amp; Expenses'!I34</f>
        <v>0</v>
      </c>
      <c r="J668" s="1103">
        <f>'Part VI-Revenues &amp; Expenses'!J34</f>
        <v>0</v>
      </c>
      <c r="K668" s="908">
        <f t="shared" si="204"/>
        <v>0</v>
      </c>
      <c r="L668" s="908">
        <f t="shared" si="0"/>
        <v>0</v>
      </c>
      <c r="M668" s="831">
        <f>'Part VI-Revenues &amp; Expenses'!M34</f>
        <v>0</v>
      </c>
      <c r="N668" s="831">
        <f>'Part VI-Revenues &amp; Expenses'!N34</f>
        <v>0</v>
      </c>
      <c r="O668" s="831">
        <f>'Part VI-Revenues &amp; Expenses'!O34</f>
        <v>0</v>
      </c>
      <c r="P668" s="909">
        <f t="shared" si="203"/>
        <v>0</v>
      </c>
      <c r="Q668" s="910" t="str">
        <f>'Part VI-Revenues &amp; Expenses'!Q34</f>
        <v/>
      </c>
      <c r="R668" s="909"/>
      <c r="S668" s="910"/>
      <c r="T668" s="1576"/>
      <c r="U668" s="1576"/>
      <c r="V668" s="1072" t="str">
        <f t="shared" si="1"/>
        <v/>
      </c>
      <c r="W668" s="1072" t="str">
        <f t="shared" si="2"/>
        <v/>
      </c>
      <c r="X668" s="1072" t="str">
        <f t="shared" si="3"/>
        <v/>
      </c>
      <c r="Y668" s="1072" t="str">
        <f t="shared" si="4"/>
        <v/>
      </c>
      <c r="Z668" s="1072" t="str">
        <f t="shared" si="5"/>
        <v/>
      </c>
      <c r="AA668" s="1072" t="str">
        <f t="shared" si="6"/>
        <v/>
      </c>
      <c r="AB668" s="1072" t="str">
        <f t="shared" si="7"/>
        <v/>
      </c>
      <c r="AC668" s="1072" t="str">
        <f t="shared" si="8"/>
        <v/>
      </c>
      <c r="AD668" s="1072" t="str">
        <f t="shared" si="9"/>
        <v/>
      </c>
      <c r="AE668" s="1072" t="str">
        <f t="shared" si="10"/>
        <v/>
      </c>
      <c r="AF668" s="1072" t="str">
        <f t="shared" si="11"/>
        <v/>
      </c>
      <c r="AG668" s="1072" t="str">
        <f t="shared" si="12"/>
        <v/>
      </c>
      <c r="AH668" s="1072" t="str">
        <f t="shared" si="13"/>
        <v/>
      </c>
      <c r="AI668" s="1072" t="str">
        <f t="shared" si="14"/>
        <v/>
      </c>
      <c r="AJ668" s="1072" t="str">
        <f t="shared" si="15"/>
        <v/>
      </c>
      <c r="AK668" s="1072" t="str">
        <f t="shared" si="16"/>
        <v/>
      </c>
      <c r="AL668" s="1072" t="str">
        <f t="shared" si="17"/>
        <v/>
      </c>
      <c r="AM668" s="1072" t="str">
        <f t="shared" si="18"/>
        <v/>
      </c>
      <c r="AN668" s="1072" t="str">
        <f t="shared" si="19"/>
        <v/>
      </c>
      <c r="AO668" s="1072" t="str">
        <f t="shared" si="20"/>
        <v/>
      </c>
      <c r="AP668" s="1072" t="str">
        <f t="shared" si="173"/>
        <v/>
      </c>
      <c r="AQ668" s="1072" t="str">
        <f t="shared" si="174"/>
        <v/>
      </c>
      <c r="AR668" s="1072" t="str">
        <f t="shared" si="175"/>
        <v/>
      </c>
      <c r="AS668" s="1072" t="str">
        <f t="shared" si="176"/>
        <v/>
      </c>
      <c r="AT668" s="1072" t="str">
        <f t="shared" si="177"/>
        <v/>
      </c>
      <c r="AU668" s="1072" t="str">
        <f t="shared" si="178"/>
        <v/>
      </c>
      <c r="AV668" s="1072" t="str">
        <f t="shared" si="179"/>
        <v/>
      </c>
      <c r="AW668" s="1072" t="str">
        <f t="shared" si="180"/>
        <v/>
      </c>
      <c r="AX668" s="1072" t="str">
        <f t="shared" si="181"/>
        <v/>
      </c>
      <c r="AY668" s="1072" t="str">
        <f t="shared" si="182"/>
        <v/>
      </c>
      <c r="AZ668" s="1072" t="str">
        <f t="shared" si="183"/>
        <v/>
      </c>
      <c r="BA668" s="1072" t="str">
        <f t="shared" si="184"/>
        <v/>
      </c>
      <c r="BB668" s="1072" t="str">
        <f t="shared" si="185"/>
        <v/>
      </c>
      <c r="BC668" s="1072" t="str">
        <f t="shared" si="186"/>
        <v/>
      </c>
      <c r="BD668" s="1072" t="str">
        <f t="shared" si="187"/>
        <v/>
      </c>
      <c r="BE668" s="1072" t="str">
        <f t="shared" si="188"/>
        <v/>
      </c>
      <c r="BF668" s="1072" t="str">
        <f t="shared" si="189"/>
        <v/>
      </c>
      <c r="BG668" s="1072" t="str">
        <f t="shared" si="190"/>
        <v/>
      </c>
      <c r="BH668" s="1072" t="str">
        <f t="shared" si="191"/>
        <v/>
      </c>
      <c r="BI668" s="1072" t="str">
        <f t="shared" si="192"/>
        <v/>
      </c>
      <c r="BJ668" s="1072" t="str">
        <f t="shared" si="193"/>
        <v/>
      </c>
      <c r="BK668" s="1072" t="str">
        <f t="shared" si="194"/>
        <v/>
      </c>
      <c r="BL668" s="1072" t="str">
        <f t="shared" si="195"/>
        <v/>
      </c>
      <c r="BM668" s="1072" t="str">
        <f t="shared" si="196"/>
        <v/>
      </c>
      <c r="BN668" s="1072" t="str">
        <f t="shared" si="197"/>
        <v/>
      </c>
      <c r="BO668" s="1072" t="str">
        <f t="shared" si="198"/>
        <v/>
      </c>
      <c r="BP668" s="1072" t="str">
        <f t="shared" si="199"/>
        <v/>
      </c>
      <c r="BQ668" s="1072" t="str">
        <f t="shared" si="200"/>
        <v/>
      </c>
      <c r="BR668" s="1072" t="str">
        <f t="shared" si="201"/>
        <v/>
      </c>
      <c r="BS668" s="1072" t="str">
        <f t="shared" si="202"/>
        <v/>
      </c>
      <c r="BT668" s="1072" t="str">
        <f t="shared" si="21"/>
        <v/>
      </c>
      <c r="BU668" s="1072" t="str">
        <f t="shared" si="22"/>
        <v/>
      </c>
      <c r="BV668" s="1072" t="str">
        <f t="shared" si="23"/>
        <v/>
      </c>
      <c r="BW668" s="1072" t="str">
        <f t="shared" si="24"/>
        <v/>
      </c>
      <c r="BX668" s="1072" t="str">
        <f t="shared" si="25"/>
        <v/>
      </c>
      <c r="BY668" s="1072" t="str">
        <f t="shared" si="26"/>
        <v/>
      </c>
      <c r="BZ668" s="1072" t="str">
        <f t="shared" si="27"/>
        <v/>
      </c>
      <c r="CA668" s="1072" t="str">
        <f t="shared" si="28"/>
        <v/>
      </c>
      <c r="CB668" s="1072" t="str">
        <f t="shared" si="29"/>
        <v/>
      </c>
      <c r="CC668" s="1072" t="str">
        <f t="shared" si="30"/>
        <v/>
      </c>
      <c r="CD668" s="1072" t="str">
        <f t="shared" si="31"/>
        <v/>
      </c>
      <c r="CE668" s="1072" t="str">
        <f t="shared" si="32"/>
        <v/>
      </c>
      <c r="CF668" s="1072" t="str">
        <f t="shared" si="33"/>
        <v/>
      </c>
      <c r="CG668" s="1072" t="str">
        <f t="shared" si="34"/>
        <v/>
      </c>
      <c r="CH668" s="1072" t="str">
        <f t="shared" si="35"/>
        <v/>
      </c>
      <c r="CI668" s="1072" t="str">
        <f t="shared" si="36"/>
        <v/>
      </c>
      <c r="CJ668" s="1072" t="str">
        <f t="shared" si="37"/>
        <v/>
      </c>
      <c r="CK668" s="1072" t="str">
        <f t="shared" si="38"/>
        <v/>
      </c>
      <c r="CL668" s="1072" t="str">
        <f t="shared" si="39"/>
        <v/>
      </c>
      <c r="CM668" s="1072" t="str">
        <f t="shared" si="40"/>
        <v/>
      </c>
      <c r="CN668" s="1072" t="str">
        <f t="shared" si="41"/>
        <v/>
      </c>
      <c r="CO668" s="1072" t="str">
        <f t="shared" si="42"/>
        <v/>
      </c>
      <c r="CP668" s="1072" t="str">
        <f t="shared" si="43"/>
        <v/>
      </c>
      <c r="CQ668" s="1072" t="str">
        <f t="shared" si="44"/>
        <v/>
      </c>
      <c r="CR668" s="1072" t="str">
        <f t="shared" si="45"/>
        <v/>
      </c>
      <c r="CS668" s="1072" t="str">
        <f t="shared" si="46"/>
        <v/>
      </c>
      <c r="CT668" s="1072" t="str">
        <f t="shared" si="47"/>
        <v/>
      </c>
      <c r="CU668" s="1072" t="str">
        <f t="shared" si="48"/>
        <v/>
      </c>
      <c r="CV668" s="1072" t="str">
        <f t="shared" si="49"/>
        <v/>
      </c>
      <c r="CW668" s="1072" t="str">
        <f t="shared" si="50"/>
        <v/>
      </c>
      <c r="CX668" s="1072" t="str">
        <f t="shared" si="51"/>
        <v/>
      </c>
      <c r="CY668" s="1072" t="str">
        <f t="shared" si="52"/>
        <v/>
      </c>
      <c r="CZ668" s="1072" t="str">
        <f t="shared" si="53"/>
        <v/>
      </c>
      <c r="DA668" s="1072" t="str">
        <f t="shared" si="54"/>
        <v/>
      </c>
      <c r="DB668" s="1072" t="str">
        <f t="shared" si="55"/>
        <v/>
      </c>
      <c r="DC668" s="1072" t="str">
        <f t="shared" si="56"/>
        <v/>
      </c>
      <c r="DD668" s="1072" t="str">
        <f t="shared" si="57"/>
        <v/>
      </c>
      <c r="DE668" s="1072" t="str">
        <f t="shared" si="58"/>
        <v/>
      </c>
      <c r="DF668" s="1072" t="str">
        <f t="shared" si="59"/>
        <v/>
      </c>
      <c r="DG668" s="1072" t="str">
        <f t="shared" si="60"/>
        <v/>
      </c>
      <c r="DH668" s="1072" t="str">
        <f t="shared" si="61"/>
        <v/>
      </c>
      <c r="DI668" s="1072" t="str">
        <f t="shared" si="62"/>
        <v/>
      </c>
      <c r="DJ668" s="1072" t="str">
        <f t="shared" si="63"/>
        <v/>
      </c>
      <c r="DK668" s="1072" t="str">
        <f t="shared" si="64"/>
        <v/>
      </c>
      <c r="DL668" s="1072" t="str">
        <f t="shared" si="65"/>
        <v/>
      </c>
      <c r="DM668" s="1072" t="str">
        <f t="shared" si="66"/>
        <v/>
      </c>
      <c r="DN668" s="1072" t="str">
        <f t="shared" si="67"/>
        <v/>
      </c>
      <c r="DO668" s="1072" t="str">
        <f t="shared" si="68"/>
        <v/>
      </c>
      <c r="DP668" s="1072" t="str">
        <f t="shared" si="69"/>
        <v/>
      </c>
      <c r="DQ668" s="1072" t="str">
        <f t="shared" si="70"/>
        <v/>
      </c>
      <c r="DR668" s="1072" t="str">
        <f t="shared" si="71"/>
        <v/>
      </c>
      <c r="DS668" s="1072" t="str">
        <f t="shared" si="72"/>
        <v/>
      </c>
      <c r="DT668" s="1072" t="str">
        <f t="shared" si="73"/>
        <v/>
      </c>
      <c r="DU668" s="1072" t="str">
        <f t="shared" si="74"/>
        <v/>
      </c>
      <c r="DV668" s="1072" t="str">
        <f t="shared" si="75"/>
        <v/>
      </c>
      <c r="DW668" s="1072" t="str">
        <f t="shared" si="76"/>
        <v/>
      </c>
      <c r="DX668" s="1072" t="str">
        <f t="shared" si="77"/>
        <v/>
      </c>
      <c r="DY668" s="1072" t="str">
        <f t="shared" si="78"/>
        <v/>
      </c>
      <c r="DZ668" s="1072" t="str">
        <f t="shared" si="79"/>
        <v/>
      </c>
      <c r="EA668" s="1072" t="str">
        <f t="shared" si="80"/>
        <v/>
      </c>
      <c r="EB668" s="1072" t="str">
        <f t="shared" si="81"/>
        <v/>
      </c>
      <c r="EC668" s="1072" t="str">
        <f t="shared" si="82"/>
        <v/>
      </c>
      <c r="ED668" s="1072" t="str">
        <f t="shared" si="83"/>
        <v/>
      </c>
      <c r="EE668" s="1072" t="str">
        <f t="shared" si="84"/>
        <v/>
      </c>
      <c r="EF668" s="1072" t="str">
        <f t="shared" si="85"/>
        <v/>
      </c>
      <c r="EG668" s="1072" t="str">
        <f t="shared" si="86"/>
        <v/>
      </c>
      <c r="EH668" s="1072" t="str">
        <f t="shared" si="87"/>
        <v/>
      </c>
      <c r="EI668" s="1072" t="str">
        <f t="shared" si="88"/>
        <v/>
      </c>
      <c r="EJ668" s="1072" t="str">
        <f t="shared" si="89"/>
        <v/>
      </c>
      <c r="EK668" s="1072" t="str">
        <f t="shared" si="90"/>
        <v/>
      </c>
      <c r="EL668" s="1072" t="str">
        <f t="shared" si="91"/>
        <v/>
      </c>
      <c r="EM668" s="1072" t="str">
        <f t="shared" si="92"/>
        <v/>
      </c>
      <c r="EN668" s="1072" t="str">
        <f t="shared" si="93"/>
        <v/>
      </c>
      <c r="EO668" s="1072" t="str">
        <f t="shared" si="94"/>
        <v/>
      </c>
      <c r="EP668" s="1072" t="str">
        <f t="shared" si="95"/>
        <v/>
      </c>
      <c r="EQ668" s="1072" t="str">
        <f t="shared" si="96"/>
        <v/>
      </c>
      <c r="ER668" s="1072" t="str">
        <f t="shared" si="97"/>
        <v/>
      </c>
      <c r="ES668" s="1072" t="str">
        <f t="shared" si="98"/>
        <v/>
      </c>
      <c r="ET668" s="1072" t="str">
        <f t="shared" si="99"/>
        <v/>
      </c>
      <c r="EU668" s="1072" t="str">
        <f t="shared" si="100"/>
        <v/>
      </c>
      <c r="EV668" s="833" t="str">
        <f t="shared" si="101"/>
        <v/>
      </c>
      <c r="EW668" s="833" t="str">
        <f t="shared" si="102"/>
        <v/>
      </c>
      <c r="EX668" s="833" t="str">
        <f t="shared" si="103"/>
        <v/>
      </c>
      <c r="EY668" s="833" t="str">
        <f t="shared" si="104"/>
        <v/>
      </c>
      <c r="EZ668" s="833" t="str">
        <f t="shared" si="105"/>
        <v/>
      </c>
      <c r="FA668" s="833" t="str">
        <f t="shared" si="106"/>
        <v/>
      </c>
      <c r="FB668" s="833" t="str">
        <f t="shared" si="107"/>
        <v/>
      </c>
      <c r="FC668" s="833" t="str">
        <f t="shared" si="108"/>
        <v/>
      </c>
      <c r="FD668" s="833" t="str">
        <f t="shared" si="109"/>
        <v/>
      </c>
      <c r="FE668" s="833" t="str">
        <f t="shared" si="110"/>
        <v/>
      </c>
      <c r="FF668" s="833" t="str">
        <f t="shared" si="111"/>
        <v/>
      </c>
      <c r="FG668" s="833" t="str">
        <f t="shared" si="112"/>
        <v/>
      </c>
      <c r="FH668" s="833" t="str">
        <f t="shared" si="113"/>
        <v/>
      </c>
      <c r="FI668" s="833" t="str">
        <f t="shared" si="114"/>
        <v/>
      </c>
      <c r="FJ668" s="833" t="str">
        <f t="shared" si="115"/>
        <v/>
      </c>
      <c r="FK668" s="833" t="str">
        <f t="shared" si="116"/>
        <v/>
      </c>
      <c r="FL668" s="833" t="str">
        <f t="shared" si="117"/>
        <v/>
      </c>
      <c r="FM668" s="833" t="str">
        <f t="shared" si="118"/>
        <v/>
      </c>
      <c r="FN668" s="833" t="str">
        <f t="shared" si="119"/>
        <v/>
      </c>
      <c r="FO668" s="833" t="str">
        <f t="shared" si="120"/>
        <v/>
      </c>
      <c r="FP668" s="833" t="str">
        <f t="shared" si="121"/>
        <v/>
      </c>
      <c r="FQ668" s="833" t="str">
        <f t="shared" si="122"/>
        <v/>
      </c>
      <c r="FR668" s="833" t="str">
        <f t="shared" si="123"/>
        <v/>
      </c>
      <c r="FS668" s="833" t="str">
        <f t="shared" si="124"/>
        <v/>
      </c>
      <c r="FT668" s="833" t="str">
        <f t="shared" si="125"/>
        <v/>
      </c>
      <c r="FU668" s="833" t="str">
        <f t="shared" si="126"/>
        <v/>
      </c>
      <c r="FV668" s="833" t="str">
        <f t="shared" si="127"/>
        <v/>
      </c>
      <c r="FW668" s="833" t="str">
        <f t="shared" si="128"/>
        <v/>
      </c>
      <c r="FX668" s="833" t="str">
        <f t="shared" si="129"/>
        <v/>
      </c>
      <c r="FY668" s="833" t="str">
        <f t="shared" si="130"/>
        <v/>
      </c>
      <c r="FZ668" s="833" t="str">
        <f t="shared" si="131"/>
        <v/>
      </c>
      <c r="GA668" s="833" t="str">
        <f t="shared" si="132"/>
        <v/>
      </c>
      <c r="GB668" s="833" t="str">
        <f t="shared" si="133"/>
        <v/>
      </c>
      <c r="GC668" s="833" t="str">
        <f t="shared" si="134"/>
        <v/>
      </c>
      <c r="GD668" s="833" t="str">
        <f t="shared" si="135"/>
        <v/>
      </c>
      <c r="GE668" s="833" t="str">
        <f t="shared" si="136"/>
        <v/>
      </c>
      <c r="GF668" s="833" t="str">
        <f t="shared" si="137"/>
        <v/>
      </c>
      <c r="GG668" s="833" t="str">
        <f t="shared" si="138"/>
        <v/>
      </c>
      <c r="GH668" s="833" t="str">
        <f t="shared" si="139"/>
        <v/>
      </c>
      <c r="GI668" s="833" t="str">
        <f t="shared" si="140"/>
        <v/>
      </c>
      <c r="GJ668" s="833" t="str">
        <f t="shared" si="141"/>
        <v/>
      </c>
      <c r="GK668" s="833" t="str">
        <f t="shared" si="142"/>
        <v/>
      </c>
      <c r="GL668" s="833" t="str">
        <f t="shared" si="143"/>
        <v/>
      </c>
      <c r="GM668" s="833" t="str">
        <f t="shared" si="144"/>
        <v/>
      </c>
      <c r="GN668" s="833" t="str">
        <f t="shared" si="145"/>
        <v/>
      </c>
      <c r="GO668" s="1115" t="str">
        <f t="shared" si="146"/>
        <v/>
      </c>
      <c r="GP668" s="1115" t="str">
        <f t="shared" si="147"/>
        <v/>
      </c>
      <c r="GQ668" s="1115" t="str">
        <f t="shared" si="148"/>
        <v/>
      </c>
      <c r="GR668" s="1115" t="str">
        <f t="shared" si="149"/>
        <v/>
      </c>
      <c r="GS668" s="1115" t="str">
        <f t="shared" si="150"/>
        <v/>
      </c>
      <c r="GT668" s="1072" t="str">
        <f t="shared" si="151"/>
        <v/>
      </c>
      <c r="GU668" s="1072" t="str">
        <f t="shared" si="152"/>
        <v/>
      </c>
      <c r="GV668" s="1072" t="str">
        <f t="shared" si="153"/>
        <v/>
      </c>
      <c r="GW668" s="1072" t="str">
        <f t="shared" si="154"/>
        <v/>
      </c>
      <c r="GX668" s="1072" t="str">
        <f t="shared" si="155"/>
        <v/>
      </c>
      <c r="GY668" s="1072" t="str">
        <f t="shared" si="156"/>
        <v/>
      </c>
      <c r="GZ668" s="1072" t="str">
        <f t="shared" si="157"/>
        <v/>
      </c>
      <c r="HA668" s="1072" t="str">
        <f t="shared" si="158"/>
        <v/>
      </c>
      <c r="HB668" s="1072" t="str">
        <f t="shared" si="159"/>
        <v/>
      </c>
      <c r="HC668" s="1072" t="str">
        <f t="shared" si="160"/>
        <v/>
      </c>
      <c r="HD668" s="1072" t="str">
        <f t="shared" si="161"/>
        <v/>
      </c>
      <c r="HE668" s="1072" t="str">
        <f t="shared" si="162"/>
        <v/>
      </c>
      <c r="HF668" s="1072" t="str">
        <f t="shared" si="163"/>
        <v/>
      </c>
      <c r="HG668" s="1072" t="str">
        <f t="shared" si="164"/>
        <v/>
      </c>
      <c r="HH668" s="1072" t="str">
        <f t="shared" si="165"/>
        <v/>
      </c>
      <c r="HI668" s="1072" t="str">
        <f t="shared" si="166"/>
        <v/>
      </c>
      <c r="HJ668" s="1072" t="str">
        <f t="shared" si="167"/>
        <v/>
      </c>
      <c r="HK668" s="1072" t="str">
        <f t="shared" si="168"/>
        <v/>
      </c>
      <c r="HL668" s="1072" t="str">
        <f t="shared" si="169"/>
        <v/>
      </c>
      <c r="HM668" s="1072" t="str">
        <f t="shared" si="170"/>
        <v/>
      </c>
    </row>
    <row r="669" spans="1:221" ht="13.15" customHeight="1">
      <c r="A669" s="1084" t="str">
        <f t="shared" si="171"/>
        <v/>
      </c>
      <c r="B669" s="1037" t="str">
        <f>'Part VI-Revenues &amp; Expenses'!B35</f>
        <v>&lt;&lt;Select&gt;&gt;</v>
      </c>
      <c r="C669" s="1038">
        <f>'Part VI-Revenues &amp; Expenses'!C35</f>
        <v>0</v>
      </c>
      <c r="D669" s="1039">
        <f>'Part VI-Revenues &amp; Expenses'!D35</f>
        <v>0</v>
      </c>
      <c r="E669" s="1040">
        <f>'Part VI-Revenues &amp; Expenses'!E35</f>
        <v>0</v>
      </c>
      <c r="F669" s="1040">
        <f>'Part VI-Revenues &amp; Expenses'!F35</f>
        <v>0</v>
      </c>
      <c r="G669" s="1040">
        <f>'Part VI-Revenues &amp; Expenses'!G35</f>
        <v>0</v>
      </c>
      <c r="H669" s="1040">
        <f>'Part VI-Revenues &amp; Expenses'!H35</f>
        <v>0</v>
      </c>
      <c r="I669" s="1040">
        <f>'Part VI-Revenues &amp; Expenses'!I35</f>
        <v>0</v>
      </c>
      <c r="J669" s="1103">
        <f>'Part VI-Revenues &amp; Expenses'!J35</f>
        <v>0</v>
      </c>
      <c r="K669" s="908">
        <f t="shared" si="204"/>
        <v>0</v>
      </c>
      <c r="L669" s="908">
        <f t="shared" si="0"/>
        <v>0</v>
      </c>
      <c r="M669" s="831">
        <f>'Part VI-Revenues &amp; Expenses'!M35</f>
        <v>0</v>
      </c>
      <c r="N669" s="831">
        <f>'Part VI-Revenues &amp; Expenses'!N35</f>
        <v>0</v>
      </c>
      <c r="O669" s="831">
        <f>'Part VI-Revenues &amp; Expenses'!O35</f>
        <v>0</v>
      </c>
      <c r="P669" s="909">
        <f t="shared" si="203"/>
        <v>0</v>
      </c>
      <c r="Q669" s="910" t="str">
        <f>'Part VI-Revenues &amp; Expenses'!Q35</f>
        <v/>
      </c>
      <c r="R669" s="909"/>
      <c r="S669" s="910"/>
      <c r="T669" s="1576"/>
      <c r="U669" s="1576"/>
      <c r="V669" s="1072" t="str">
        <f t="shared" si="1"/>
        <v/>
      </c>
      <c r="W669" s="1072" t="str">
        <f t="shared" si="2"/>
        <v/>
      </c>
      <c r="X669" s="1072" t="str">
        <f t="shared" si="3"/>
        <v/>
      </c>
      <c r="Y669" s="1072" t="str">
        <f t="shared" si="4"/>
        <v/>
      </c>
      <c r="Z669" s="1072" t="str">
        <f t="shared" si="5"/>
        <v/>
      </c>
      <c r="AA669" s="1072" t="str">
        <f t="shared" si="6"/>
        <v/>
      </c>
      <c r="AB669" s="1072" t="str">
        <f t="shared" si="7"/>
        <v/>
      </c>
      <c r="AC669" s="1072" t="str">
        <f t="shared" si="8"/>
        <v/>
      </c>
      <c r="AD669" s="1072" t="str">
        <f t="shared" si="9"/>
        <v/>
      </c>
      <c r="AE669" s="1072" t="str">
        <f t="shared" si="10"/>
        <v/>
      </c>
      <c r="AF669" s="1072" t="str">
        <f t="shared" si="11"/>
        <v/>
      </c>
      <c r="AG669" s="1072" t="str">
        <f t="shared" si="12"/>
        <v/>
      </c>
      <c r="AH669" s="1072" t="str">
        <f t="shared" si="13"/>
        <v/>
      </c>
      <c r="AI669" s="1072" t="str">
        <f t="shared" si="14"/>
        <v/>
      </c>
      <c r="AJ669" s="1072" t="str">
        <f t="shared" si="15"/>
        <v/>
      </c>
      <c r="AK669" s="1072" t="str">
        <f t="shared" si="16"/>
        <v/>
      </c>
      <c r="AL669" s="1072" t="str">
        <f t="shared" si="17"/>
        <v/>
      </c>
      <c r="AM669" s="1072" t="str">
        <f t="shared" si="18"/>
        <v/>
      </c>
      <c r="AN669" s="1072" t="str">
        <f t="shared" si="19"/>
        <v/>
      </c>
      <c r="AO669" s="1072" t="str">
        <f t="shared" si="20"/>
        <v/>
      </c>
      <c r="AP669" s="1072" t="str">
        <f t="shared" si="173"/>
        <v/>
      </c>
      <c r="AQ669" s="1072" t="str">
        <f t="shared" si="174"/>
        <v/>
      </c>
      <c r="AR669" s="1072" t="str">
        <f t="shared" si="175"/>
        <v/>
      </c>
      <c r="AS669" s="1072" t="str">
        <f t="shared" si="176"/>
        <v/>
      </c>
      <c r="AT669" s="1072" t="str">
        <f t="shared" si="177"/>
        <v/>
      </c>
      <c r="AU669" s="1072" t="str">
        <f t="shared" si="178"/>
        <v/>
      </c>
      <c r="AV669" s="1072" t="str">
        <f t="shared" si="179"/>
        <v/>
      </c>
      <c r="AW669" s="1072" t="str">
        <f t="shared" si="180"/>
        <v/>
      </c>
      <c r="AX669" s="1072" t="str">
        <f t="shared" si="181"/>
        <v/>
      </c>
      <c r="AY669" s="1072" t="str">
        <f t="shared" si="182"/>
        <v/>
      </c>
      <c r="AZ669" s="1072" t="str">
        <f t="shared" si="183"/>
        <v/>
      </c>
      <c r="BA669" s="1072" t="str">
        <f t="shared" si="184"/>
        <v/>
      </c>
      <c r="BB669" s="1072" t="str">
        <f t="shared" si="185"/>
        <v/>
      </c>
      <c r="BC669" s="1072" t="str">
        <f t="shared" si="186"/>
        <v/>
      </c>
      <c r="BD669" s="1072" t="str">
        <f t="shared" si="187"/>
        <v/>
      </c>
      <c r="BE669" s="1072" t="str">
        <f t="shared" si="188"/>
        <v/>
      </c>
      <c r="BF669" s="1072" t="str">
        <f t="shared" si="189"/>
        <v/>
      </c>
      <c r="BG669" s="1072" t="str">
        <f t="shared" si="190"/>
        <v/>
      </c>
      <c r="BH669" s="1072" t="str">
        <f t="shared" si="191"/>
        <v/>
      </c>
      <c r="BI669" s="1072" t="str">
        <f t="shared" si="192"/>
        <v/>
      </c>
      <c r="BJ669" s="1072" t="str">
        <f t="shared" si="193"/>
        <v/>
      </c>
      <c r="BK669" s="1072" t="str">
        <f t="shared" si="194"/>
        <v/>
      </c>
      <c r="BL669" s="1072" t="str">
        <f t="shared" si="195"/>
        <v/>
      </c>
      <c r="BM669" s="1072" t="str">
        <f t="shared" si="196"/>
        <v/>
      </c>
      <c r="BN669" s="1072" t="str">
        <f t="shared" si="197"/>
        <v/>
      </c>
      <c r="BO669" s="1072" t="str">
        <f t="shared" si="198"/>
        <v/>
      </c>
      <c r="BP669" s="1072" t="str">
        <f t="shared" si="199"/>
        <v/>
      </c>
      <c r="BQ669" s="1072" t="str">
        <f t="shared" si="200"/>
        <v/>
      </c>
      <c r="BR669" s="1072" t="str">
        <f t="shared" si="201"/>
        <v/>
      </c>
      <c r="BS669" s="1072" t="str">
        <f t="shared" si="202"/>
        <v/>
      </c>
      <c r="BT669" s="1072" t="str">
        <f t="shared" si="21"/>
        <v/>
      </c>
      <c r="BU669" s="1072" t="str">
        <f t="shared" si="22"/>
        <v/>
      </c>
      <c r="BV669" s="1072" t="str">
        <f t="shared" si="23"/>
        <v/>
      </c>
      <c r="BW669" s="1072" t="str">
        <f t="shared" si="24"/>
        <v/>
      </c>
      <c r="BX669" s="1072" t="str">
        <f t="shared" si="25"/>
        <v/>
      </c>
      <c r="BY669" s="1072" t="str">
        <f t="shared" si="26"/>
        <v/>
      </c>
      <c r="BZ669" s="1072" t="str">
        <f t="shared" si="27"/>
        <v/>
      </c>
      <c r="CA669" s="1072" t="str">
        <f t="shared" si="28"/>
        <v/>
      </c>
      <c r="CB669" s="1072" t="str">
        <f t="shared" si="29"/>
        <v/>
      </c>
      <c r="CC669" s="1072" t="str">
        <f t="shared" si="30"/>
        <v/>
      </c>
      <c r="CD669" s="1072" t="str">
        <f t="shared" si="31"/>
        <v/>
      </c>
      <c r="CE669" s="1072" t="str">
        <f t="shared" si="32"/>
        <v/>
      </c>
      <c r="CF669" s="1072" t="str">
        <f t="shared" si="33"/>
        <v/>
      </c>
      <c r="CG669" s="1072" t="str">
        <f t="shared" si="34"/>
        <v/>
      </c>
      <c r="CH669" s="1072" t="str">
        <f t="shared" si="35"/>
        <v/>
      </c>
      <c r="CI669" s="1072" t="str">
        <f t="shared" si="36"/>
        <v/>
      </c>
      <c r="CJ669" s="1072" t="str">
        <f t="shared" si="37"/>
        <v/>
      </c>
      <c r="CK669" s="1072" t="str">
        <f t="shared" si="38"/>
        <v/>
      </c>
      <c r="CL669" s="1072" t="str">
        <f t="shared" si="39"/>
        <v/>
      </c>
      <c r="CM669" s="1072" t="str">
        <f t="shared" si="40"/>
        <v/>
      </c>
      <c r="CN669" s="1072" t="str">
        <f t="shared" si="41"/>
        <v/>
      </c>
      <c r="CO669" s="1072" t="str">
        <f t="shared" si="42"/>
        <v/>
      </c>
      <c r="CP669" s="1072" t="str">
        <f t="shared" si="43"/>
        <v/>
      </c>
      <c r="CQ669" s="1072" t="str">
        <f t="shared" si="44"/>
        <v/>
      </c>
      <c r="CR669" s="1072" t="str">
        <f t="shared" si="45"/>
        <v/>
      </c>
      <c r="CS669" s="1072" t="str">
        <f t="shared" si="46"/>
        <v/>
      </c>
      <c r="CT669" s="1072" t="str">
        <f t="shared" si="47"/>
        <v/>
      </c>
      <c r="CU669" s="1072" t="str">
        <f t="shared" si="48"/>
        <v/>
      </c>
      <c r="CV669" s="1072" t="str">
        <f t="shared" si="49"/>
        <v/>
      </c>
      <c r="CW669" s="1072" t="str">
        <f t="shared" si="50"/>
        <v/>
      </c>
      <c r="CX669" s="1072" t="str">
        <f t="shared" si="51"/>
        <v/>
      </c>
      <c r="CY669" s="1072" t="str">
        <f t="shared" si="52"/>
        <v/>
      </c>
      <c r="CZ669" s="1072" t="str">
        <f t="shared" si="53"/>
        <v/>
      </c>
      <c r="DA669" s="1072" t="str">
        <f t="shared" si="54"/>
        <v/>
      </c>
      <c r="DB669" s="1072" t="str">
        <f t="shared" si="55"/>
        <v/>
      </c>
      <c r="DC669" s="1072" t="str">
        <f t="shared" si="56"/>
        <v/>
      </c>
      <c r="DD669" s="1072" t="str">
        <f t="shared" si="57"/>
        <v/>
      </c>
      <c r="DE669" s="1072" t="str">
        <f t="shared" si="58"/>
        <v/>
      </c>
      <c r="DF669" s="1072" t="str">
        <f t="shared" si="59"/>
        <v/>
      </c>
      <c r="DG669" s="1072" t="str">
        <f t="shared" si="60"/>
        <v/>
      </c>
      <c r="DH669" s="1072" t="str">
        <f t="shared" si="61"/>
        <v/>
      </c>
      <c r="DI669" s="1072" t="str">
        <f t="shared" si="62"/>
        <v/>
      </c>
      <c r="DJ669" s="1072" t="str">
        <f t="shared" si="63"/>
        <v/>
      </c>
      <c r="DK669" s="1072" t="str">
        <f t="shared" si="64"/>
        <v/>
      </c>
      <c r="DL669" s="1072" t="str">
        <f t="shared" si="65"/>
        <v/>
      </c>
      <c r="DM669" s="1072" t="str">
        <f t="shared" si="66"/>
        <v/>
      </c>
      <c r="DN669" s="1072" t="str">
        <f t="shared" si="67"/>
        <v/>
      </c>
      <c r="DO669" s="1072" t="str">
        <f t="shared" si="68"/>
        <v/>
      </c>
      <c r="DP669" s="1072" t="str">
        <f t="shared" si="69"/>
        <v/>
      </c>
      <c r="DQ669" s="1072" t="str">
        <f t="shared" si="70"/>
        <v/>
      </c>
      <c r="DR669" s="1072" t="str">
        <f t="shared" si="71"/>
        <v/>
      </c>
      <c r="DS669" s="1072" t="str">
        <f t="shared" si="72"/>
        <v/>
      </c>
      <c r="DT669" s="1072" t="str">
        <f t="shared" si="73"/>
        <v/>
      </c>
      <c r="DU669" s="1072" t="str">
        <f t="shared" si="74"/>
        <v/>
      </c>
      <c r="DV669" s="1072" t="str">
        <f t="shared" si="75"/>
        <v/>
      </c>
      <c r="DW669" s="1072" t="str">
        <f t="shared" si="76"/>
        <v/>
      </c>
      <c r="DX669" s="1072" t="str">
        <f t="shared" si="77"/>
        <v/>
      </c>
      <c r="DY669" s="1072" t="str">
        <f t="shared" si="78"/>
        <v/>
      </c>
      <c r="DZ669" s="1072" t="str">
        <f t="shared" si="79"/>
        <v/>
      </c>
      <c r="EA669" s="1072" t="str">
        <f t="shared" si="80"/>
        <v/>
      </c>
      <c r="EB669" s="1072" t="str">
        <f t="shared" si="81"/>
        <v/>
      </c>
      <c r="EC669" s="1072" t="str">
        <f t="shared" si="82"/>
        <v/>
      </c>
      <c r="ED669" s="1072" t="str">
        <f t="shared" si="83"/>
        <v/>
      </c>
      <c r="EE669" s="1072" t="str">
        <f t="shared" si="84"/>
        <v/>
      </c>
      <c r="EF669" s="1072" t="str">
        <f t="shared" si="85"/>
        <v/>
      </c>
      <c r="EG669" s="1072" t="str">
        <f t="shared" si="86"/>
        <v/>
      </c>
      <c r="EH669" s="1072" t="str">
        <f t="shared" si="87"/>
        <v/>
      </c>
      <c r="EI669" s="1072" t="str">
        <f t="shared" si="88"/>
        <v/>
      </c>
      <c r="EJ669" s="1072" t="str">
        <f t="shared" si="89"/>
        <v/>
      </c>
      <c r="EK669" s="1072" t="str">
        <f t="shared" si="90"/>
        <v/>
      </c>
      <c r="EL669" s="1072" t="str">
        <f t="shared" si="91"/>
        <v/>
      </c>
      <c r="EM669" s="1072" t="str">
        <f t="shared" si="92"/>
        <v/>
      </c>
      <c r="EN669" s="1072" t="str">
        <f t="shared" si="93"/>
        <v/>
      </c>
      <c r="EO669" s="1072" t="str">
        <f t="shared" si="94"/>
        <v/>
      </c>
      <c r="EP669" s="1072" t="str">
        <f t="shared" si="95"/>
        <v/>
      </c>
      <c r="EQ669" s="1072" t="str">
        <f t="shared" si="96"/>
        <v/>
      </c>
      <c r="ER669" s="1072" t="str">
        <f t="shared" si="97"/>
        <v/>
      </c>
      <c r="ES669" s="1072" t="str">
        <f t="shared" si="98"/>
        <v/>
      </c>
      <c r="ET669" s="1072" t="str">
        <f t="shared" si="99"/>
        <v/>
      </c>
      <c r="EU669" s="1072" t="str">
        <f t="shared" si="100"/>
        <v/>
      </c>
      <c r="EV669" s="833" t="str">
        <f t="shared" si="101"/>
        <v/>
      </c>
      <c r="EW669" s="833" t="str">
        <f t="shared" si="102"/>
        <v/>
      </c>
      <c r="EX669" s="833" t="str">
        <f t="shared" si="103"/>
        <v/>
      </c>
      <c r="EY669" s="833" t="str">
        <f t="shared" si="104"/>
        <v/>
      </c>
      <c r="EZ669" s="833" t="str">
        <f t="shared" si="105"/>
        <v/>
      </c>
      <c r="FA669" s="833" t="str">
        <f t="shared" si="106"/>
        <v/>
      </c>
      <c r="FB669" s="833" t="str">
        <f t="shared" si="107"/>
        <v/>
      </c>
      <c r="FC669" s="833" t="str">
        <f t="shared" si="108"/>
        <v/>
      </c>
      <c r="FD669" s="833" t="str">
        <f t="shared" si="109"/>
        <v/>
      </c>
      <c r="FE669" s="833" t="str">
        <f t="shared" si="110"/>
        <v/>
      </c>
      <c r="FF669" s="833" t="str">
        <f t="shared" si="111"/>
        <v/>
      </c>
      <c r="FG669" s="833" t="str">
        <f t="shared" si="112"/>
        <v/>
      </c>
      <c r="FH669" s="833" t="str">
        <f t="shared" si="113"/>
        <v/>
      </c>
      <c r="FI669" s="833" t="str">
        <f t="shared" si="114"/>
        <v/>
      </c>
      <c r="FJ669" s="833" t="str">
        <f t="shared" si="115"/>
        <v/>
      </c>
      <c r="FK669" s="833" t="str">
        <f t="shared" si="116"/>
        <v/>
      </c>
      <c r="FL669" s="833" t="str">
        <f t="shared" si="117"/>
        <v/>
      </c>
      <c r="FM669" s="833" t="str">
        <f t="shared" si="118"/>
        <v/>
      </c>
      <c r="FN669" s="833" t="str">
        <f t="shared" si="119"/>
        <v/>
      </c>
      <c r="FO669" s="833" t="str">
        <f t="shared" si="120"/>
        <v/>
      </c>
      <c r="FP669" s="833" t="str">
        <f t="shared" si="121"/>
        <v/>
      </c>
      <c r="FQ669" s="833" t="str">
        <f t="shared" si="122"/>
        <v/>
      </c>
      <c r="FR669" s="833" t="str">
        <f t="shared" si="123"/>
        <v/>
      </c>
      <c r="FS669" s="833" t="str">
        <f t="shared" si="124"/>
        <v/>
      </c>
      <c r="FT669" s="833" t="str">
        <f t="shared" si="125"/>
        <v/>
      </c>
      <c r="FU669" s="833" t="str">
        <f t="shared" si="126"/>
        <v/>
      </c>
      <c r="FV669" s="833" t="str">
        <f t="shared" si="127"/>
        <v/>
      </c>
      <c r="FW669" s="833" t="str">
        <f t="shared" si="128"/>
        <v/>
      </c>
      <c r="FX669" s="833" t="str">
        <f t="shared" si="129"/>
        <v/>
      </c>
      <c r="FY669" s="833" t="str">
        <f t="shared" si="130"/>
        <v/>
      </c>
      <c r="FZ669" s="833" t="str">
        <f t="shared" si="131"/>
        <v/>
      </c>
      <c r="GA669" s="833" t="str">
        <f t="shared" si="132"/>
        <v/>
      </c>
      <c r="GB669" s="833" t="str">
        <f t="shared" si="133"/>
        <v/>
      </c>
      <c r="GC669" s="833" t="str">
        <f t="shared" si="134"/>
        <v/>
      </c>
      <c r="GD669" s="833" t="str">
        <f t="shared" si="135"/>
        <v/>
      </c>
      <c r="GE669" s="833" t="str">
        <f t="shared" si="136"/>
        <v/>
      </c>
      <c r="GF669" s="833" t="str">
        <f t="shared" si="137"/>
        <v/>
      </c>
      <c r="GG669" s="833" t="str">
        <f t="shared" si="138"/>
        <v/>
      </c>
      <c r="GH669" s="833" t="str">
        <f t="shared" si="139"/>
        <v/>
      </c>
      <c r="GI669" s="833" t="str">
        <f t="shared" si="140"/>
        <v/>
      </c>
      <c r="GJ669" s="833" t="str">
        <f t="shared" si="141"/>
        <v/>
      </c>
      <c r="GK669" s="833" t="str">
        <f t="shared" si="142"/>
        <v/>
      </c>
      <c r="GL669" s="833" t="str">
        <f t="shared" si="143"/>
        <v/>
      </c>
      <c r="GM669" s="833" t="str">
        <f t="shared" si="144"/>
        <v/>
      </c>
      <c r="GN669" s="833" t="str">
        <f t="shared" si="145"/>
        <v/>
      </c>
      <c r="GO669" s="1115" t="str">
        <f t="shared" si="146"/>
        <v/>
      </c>
      <c r="GP669" s="1115" t="str">
        <f t="shared" si="147"/>
        <v/>
      </c>
      <c r="GQ669" s="1115" t="str">
        <f t="shared" si="148"/>
        <v/>
      </c>
      <c r="GR669" s="1115" t="str">
        <f t="shared" si="149"/>
        <v/>
      </c>
      <c r="GS669" s="1115" t="str">
        <f t="shared" si="150"/>
        <v/>
      </c>
      <c r="GT669" s="1072" t="str">
        <f t="shared" si="151"/>
        <v/>
      </c>
      <c r="GU669" s="1072" t="str">
        <f t="shared" si="152"/>
        <v/>
      </c>
      <c r="GV669" s="1072" t="str">
        <f t="shared" si="153"/>
        <v/>
      </c>
      <c r="GW669" s="1072" t="str">
        <f t="shared" si="154"/>
        <v/>
      </c>
      <c r="GX669" s="1072" t="str">
        <f t="shared" si="155"/>
        <v/>
      </c>
      <c r="GY669" s="1072" t="str">
        <f t="shared" si="156"/>
        <v/>
      </c>
      <c r="GZ669" s="1072" t="str">
        <f t="shared" si="157"/>
        <v/>
      </c>
      <c r="HA669" s="1072" t="str">
        <f t="shared" si="158"/>
        <v/>
      </c>
      <c r="HB669" s="1072" t="str">
        <f t="shared" si="159"/>
        <v/>
      </c>
      <c r="HC669" s="1072" t="str">
        <f t="shared" si="160"/>
        <v/>
      </c>
      <c r="HD669" s="1072" t="str">
        <f t="shared" si="161"/>
        <v/>
      </c>
      <c r="HE669" s="1072" t="str">
        <f t="shared" si="162"/>
        <v/>
      </c>
      <c r="HF669" s="1072" t="str">
        <f t="shared" si="163"/>
        <v/>
      </c>
      <c r="HG669" s="1072" t="str">
        <f t="shared" si="164"/>
        <v/>
      </c>
      <c r="HH669" s="1072" t="str">
        <f t="shared" si="165"/>
        <v/>
      </c>
      <c r="HI669" s="1072" t="str">
        <f t="shared" si="166"/>
        <v/>
      </c>
      <c r="HJ669" s="1072" t="str">
        <f t="shared" si="167"/>
        <v/>
      </c>
      <c r="HK669" s="1072" t="str">
        <f t="shared" si="168"/>
        <v/>
      </c>
      <c r="HL669" s="1072" t="str">
        <f t="shared" si="169"/>
        <v/>
      </c>
      <c r="HM669" s="1072" t="str">
        <f t="shared" si="170"/>
        <v/>
      </c>
    </row>
    <row r="670" spans="1:221" ht="13.15" customHeight="1">
      <c r="A670" s="1084" t="str">
        <f t="shared" si="171"/>
        <v/>
      </c>
      <c r="B670" s="1037" t="str">
        <f>'Part VI-Revenues &amp; Expenses'!B36</f>
        <v>&lt;&lt;Select&gt;&gt;</v>
      </c>
      <c r="C670" s="1038">
        <f>'Part VI-Revenues &amp; Expenses'!C36</f>
        <v>0</v>
      </c>
      <c r="D670" s="1039">
        <f>'Part VI-Revenues &amp; Expenses'!D36</f>
        <v>0</v>
      </c>
      <c r="E670" s="1040">
        <f>'Part VI-Revenues &amp; Expenses'!E36</f>
        <v>0</v>
      </c>
      <c r="F670" s="1040">
        <f>'Part VI-Revenues &amp; Expenses'!F36</f>
        <v>0</v>
      </c>
      <c r="G670" s="1040">
        <f>'Part VI-Revenues &amp; Expenses'!G36</f>
        <v>0</v>
      </c>
      <c r="H670" s="1040">
        <f>'Part VI-Revenues &amp; Expenses'!H36</f>
        <v>0</v>
      </c>
      <c r="I670" s="1040">
        <f>'Part VI-Revenues &amp; Expenses'!I36</f>
        <v>0</v>
      </c>
      <c r="J670" s="1103">
        <f>'Part VI-Revenues &amp; Expenses'!J36</f>
        <v>0</v>
      </c>
      <c r="K670" s="908">
        <f t="shared" si="204"/>
        <v>0</v>
      </c>
      <c r="L670" s="908">
        <f t="shared" si="0"/>
        <v>0</v>
      </c>
      <c r="M670" s="831">
        <f>'Part VI-Revenues &amp; Expenses'!M36</f>
        <v>0</v>
      </c>
      <c r="N670" s="831">
        <f>'Part VI-Revenues &amp; Expenses'!N36</f>
        <v>0</v>
      </c>
      <c r="O670" s="831">
        <f>'Part VI-Revenues &amp; Expenses'!O36</f>
        <v>0</v>
      </c>
      <c r="P670" s="909">
        <f t="shared" si="203"/>
        <v>0</v>
      </c>
      <c r="Q670" s="910" t="str">
        <f>'Part VI-Revenues &amp; Expenses'!Q36</f>
        <v/>
      </c>
      <c r="R670" s="909"/>
      <c r="S670" s="910"/>
      <c r="T670" s="1576"/>
      <c r="U670" s="1576"/>
      <c r="V670" s="1072" t="str">
        <f t="shared" si="1"/>
        <v/>
      </c>
      <c r="W670" s="1072" t="str">
        <f t="shared" si="2"/>
        <v/>
      </c>
      <c r="X670" s="1072" t="str">
        <f t="shared" si="3"/>
        <v/>
      </c>
      <c r="Y670" s="1072" t="str">
        <f t="shared" si="4"/>
        <v/>
      </c>
      <c r="Z670" s="1072" t="str">
        <f t="shared" si="5"/>
        <v/>
      </c>
      <c r="AA670" s="1072" t="str">
        <f t="shared" si="6"/>
        <v/>
      </c>
      <c r="AB670" s="1072" t="str">
        <f t="shared" si="7"/>
        <v/>
      </c>
      <c r="AC670" s="1072" t="str">
        <f t="shared" si="8"/>
        <v/>
      </c>
      <c r="AD670" s="1072" t="str">
        <f t="shared" si="9"/>
        <v/>
      </c>
      <c r="AE670" s="1072" t="str">
        <f t="shared" si="10"/>
        <v/>
      </c>
      <c r="AF670" s="1072" t="str">
        <f t="shared" si="11"/>
        <v/>
      </c>
      <c r="AG670" s="1072" t="str">
        <f t="shared" si="12"/>
        <v/>
      </c>
      <c r="AH670" s="1072" t="str">
        <f t="shared" si="13"/>
        <v/>
      </c>
      <c r="AI670" s="1072" t="str">
        <f t="shared" si="14"/>
        <v/>
      </c>
      <c r="AJ670" s="1072" t="str">
        <f t="shared" si="15"/>
        <v/>
      </c>
      <c r="AK670" s="1072" t="str">
        <f t="shared" si="16"/>
        <v/>
      </c>
      <c r="AL670" s="1072" t="str">
        <f t="shared" si="17"/>
        <v/>
      </c>
      <c r="AM670" s="1072" t="str">
        <f t="shared" si="18"/>
        <v/>
      </c>
      <c r="AN670" s="1072" t="str">
        <f t="shared" si="19"/>
        <v/>
      </c>
      <c r="AO670" s="1072" t="str">
        <f t="shared" si="20"/>
        <v/>
      </c>
      <c r="AP670" s="1072" t="str">
        <f t="shared" si="173"/>
        <v/>
      </c>
      <c r="AQ670" s="1072" t="str">
        <f t="shared" si="174"/>
        <v/>
      </c>
      <c r="AR670" s="1072" t="str">
        <f t="shared" si="175"/>
        <v/>
      </c>
      <c r="AS670" s="1072" t="str">
        <f t="shared" si="176"/>
        <v/>
      </c>
      <c r="AT670" s="1072" t="str">
        <f t="shared" si="177"/>
        <v/>
      </c>
      <c r="AU670" s="1072" t="str">
        <f t="shared" si="178"/>
        <v/>
      </c>
      <c r="AV670" s="1072" t="str">
        <f t="shared" si="179"/>
        <v/>
      </c>
      <c r="AW670" s="1072" t="str">
        <f t="shared" si="180"/>
        <v/>
      </c>
      <c r="AX670" s="1072" t="str">
        <f t="shared" si="181"/>
        <v/>
      </c>
      <c r="AY670" s="1072" t="str">
        <f t="shared" si="182"/>
        <v/>
      </c>
      <c r="AZ670" s="1072" t="str">
        <f t="shared" si="183"/>
        <v/>
      </c>
      <c r="BA670" s="1072" t="str">
        <f t="shared" si="184"/>
        <v/>
      </c>
      <c r="BB670" s="1072" t="str">
        <f t="shared" si="185"/>
        <v/>
      </c>
      <c r="BC670" s="1072" t="str">
        <f t="shared" si="186"/>
        <v/>
      </c>
      <c r="BD670" s="1072" t="str">
        <f t="shared" si="187"/>
        <v/>
      </c>
      <c r="BE670" s="1072" t="str">
        <f t="shared" si="188"/>
        <v/>
      </c>
      <c r="BF670" s="1072" t="str">
        <f t="shared" si="189"/>
        <v/>
      </c>
      <c r="BG670" s="1072" t="str">
        <f t="shared" si="190"/>
        <v/>
      </c>
      <c r="BH670" s="1072" t="str">
        <f t="shared" si="191"/>
        <v/>
      </c>
      <c r="BI670" s="1072" t="str">
        <f t="shared" si="192"/>
        <v/>
      </c>
      <c r="BJ670" s="1072" t="str">
        <f t="shared" si="193"/>
        <v/>
      </c>
      <c r="BK670" s="1072" t="str">
        <f t="shared" si="194"/>
        <v/>
      </c>
      <c r="BL670" s="1072" t="str">
        <f t="shared" si="195"/>
        <v/>
      </c>
      <c r="BM670" s="1072" t="str">
        <f t="shared" si="196"/>
        <v/>
      </c>
      <c r="BN670" s="1072" t="str">
        <f t="shared" si="197"/>
        <v/>
      </c>
      <c r="BO670" s="1072" t="str">
        <f t="shared" si="198"/>
        <v/>
      </c>
      <c r="BP670" s="1072" t="str">
        <f t="shared" si="199"/>
        <v/>
      </c>
      <c r="BQ670" s="1072" t="str">
        <f t="shared" si="200"/>
        <v/>
      </c>
      <c r="BR670" s="1072" t="str">
        <f t="shared" si="201"/>
        <v/>
      </c>
      <c r="BS670" s="1072" t="str">
        <f t="shared" si="202"/>
        <v/>
      </c>
      <c r="BT670" s="1072" t="str">
        <f t="shared" si="21"/>
        <v/>
      </c>
      <c r="BU670" s="1072" t="str">
        <f t="shared" si="22"/>
        <v/>
      </c>
      <c r="BV670" s="1072" t="str">
        <f t="shared" si="23"/>
        <v/>
      </c>
      <c r="BW670" s="1072" t="str">
        <f t="shared" si="24"/>
        <v/>
      </c>
      <c r="BX670" s="1072" t="str">
        <f t="shared" si="25"/>
        <v/>
      </c>
      <c r="BY670" s="1072" t="str">
        <f t="shared" si="26"/>
        <v/>
      </c>
      <c r="BZ670" s="1072" t="str">
        <f t="shared" si="27"/>
        <v/>
      </c>
      <c r="CA670" s="1072" t="str">
        <f t="shared" si="28"/>
        <v/>
      </c>
      <c r="CB670" s="1072" t="str">
        <f t="shared" si="29"/>
        <v/>
      </c>
      <c r="CC670" s="1072" t="str">
        <f t="shared" si="30"/>
        <v/>
      </c>
      <c r="CD670" s="1072" t="str">
        <f t="shared" si="31"/>
        <v/>
      </c>
      <c r="CE670" s="1072" t="str">
        <f t="shared" si="32"/>
        <v/>
      </c>
      <c r="CF670" s="1072" t="str">
        <f t="shared" si="33"/>
        <v/>
      </c>
      <c r="CG670" s="1072" t="str">
        <f t="shared" si="34"/>
        <v/>
      </c>
      <c r="CH670" s="1072" t="str">
        <f t="shared" si="35"/>
        <v/>
      </c>
      <c r="CI670" s="1072" t="str">
        <f t="shared" si="36"/>
        <v/>
      </c>
      <c r="CJ670" s="1072" t="str">
        <f t="shared" si="37"/>
        <v/>
      </c>
      <c r="CK670" s="1072" t="str">
        <f t="shared" si="38"/>
        <v/>
      </c>
      <c r="CL670" s="1072" t="str">
        <f t="shared" si="39"/>
        <v/>
      </c>
      <c r="CM670" s="1072" t="str">
        <f t="shared" si="40"/>
        <v/>
      </c>
      <c r="CN670" s="1072" t="str">
        <f t="shared" si="41"/>
        <v/>
      </c>
      <c r="CO670" s="1072" t="str">
        <f t="shared" si="42"/>
        <v/>
      </c>
      <c r="CP670" s="1072" t="str">
        <f t="shared" si="43"/>
        <v/>
      </c>
      <c r="CQ670" s="1072" t="str">
        <f t="shared" si="44"/>
        <v/>
      </c>
      <c r="CR670" s="1072" t="str">
        <f t="shared" si="45"/>
        <v/>
      </c>
      <c r="CS670" s="1072" t="str">
        <f t="shared" si="46"/>
        <v/>
      </c>
      <c r="CT670" s="1072" t="str">
        <f t="shared" si="47"/>
        <v/>
      </c>
      <c r="CU670" s="1072" t="str">
        <f t="shared" si="48"/>
        <v/>
      </c>
      <c r="CV670" s="1072" t="str">
        <f t="shared" si="49"/>
        <v/>
      </c>
      <c r="CW670" s="1072" t="str">
        <f t="shared" si="50"/>
        <v/>
      </c>
      <c r="CX670" s="1072" t="str">
        <f t="shared" si="51"/>
        <v/>
      </c>
      <c r="CY670" s="1072" t="str">
        <f t="shared" si="52"/>
        <v/>
      </c>
      <c r="CZ670" s="1072" t="str">
        <f t="shared" si="53"/>
        <v/>
      </c>
      <c r="DA670" s="1072" t="str">
        <f t="shared" si="54"/>
        <v/>
      </c>
      <c r="DB670" s="1072" t="str">
        <f t="shared" si="55"/>
        <v/>
      </c>
      <c r="DC670" s="1072" t="str">
        <f t="shared" si="56"/>
        <v/>
      </c>
      <c r="DD670" s="1072" t="str">
        <f t="shared" si="57"/>
        <v/>
      </c>
      <c r="DE670" s="1072" t="str">
        <f t="shared" si="58"/>
        <v/>
      </c>
      <c r="DF670" s="1072" t="str">
        <f t="shared" si="59"/>
        <v/>
      </c>
      <c r="DG670" s="1072" t="str">
        <f t="shared" si="60"/>
        <v/>
      </c>
      <c r="DH670" s="1072" t="str">
        <f t="shared" si="61"/>
        <v/>
      </c>
      <c r="DI670" s="1072" t="str">
        <f t="shared" si="62"/>
        <v/>
      </c>
      <c r="DJ670" s="1072" t="str">
        <f t="shared" si="63"/>
        <v/>
      </c>
      <c r="DK670" s="1072" t="str">
        <f t="shared" si="64"/>
        <v/>
      </c>
      <c r="DL670" s="1072" t="str">
        <f t="shared" si="65"/>
        <v/>
      </c>
      <c r="DM670" s="1072" t="str">
        <f t="shared" si="66"/>
        <v/>
      </c>
      <c r="DN670" s="1072" t="str">
        <f t="shared" si="67"/>
        <v/>
      </c>
      <c r="DO670" s="1072" t="str">
        <f t="shared" si="68"/>
        <v/>
      </c>
      <c r="DP670" s="1072" t="str">
        <f t="shared" si="69"/>
        <v/>
      </c>
      <c r="DQ670" s="1072" t="str">
        <f t="shared" si="70"/>
        <v/>
      </c>
      <c r="DR670" s="1072" t="str">
        <f t="shared" si="71"/>
        <v/>
      </c>
      <c r="DS670" s="1072" t="str">
        <f t="shared" si="72"/>
        <v/>
      </c>
      <c r="DT670" s="1072" t="str">
        <f t="shared" si="73"/>
        <v/>
      </c>
      <c r="DU670" s="1072" t="str">
        <f t="shared" si="74"/>
        <v/>
      </c>
      <c r="DV670" s="1072" t="str">
        <f t="shared" si="75"/>
        <v/>
      </c>
      <c r="DW670" s="1072" t="str">
        <f t="shared" si="76"/>
        <v/>
      </c>
      <c r="DX670" s="1072" t="str">
        <f t="shared" si="77"/>
        <v/>
      </c>
      <c r="DY670" s="1072" t="str">
        <f t="shared" si="78"/>
        <v/>
      </c>
      <c r="DZ670" s="1072" t="str">
        <f t="shared" si="79"/>
        <v/>
      </c>
      <c r="EA670" s="1072" t="str">
        <f t="shared" si="80"/>
        <v/>
      </c>
      <c r="EB670" s="1072" t="str">
        <f t="shared" si="81"/>
        <v/>
      </c>
      <c r="EC670" s="1072" t="str">
        <f t="shared" si="82"/>
        <v/>
      </c>
      <c r="ED670" s="1072" t="str">
        <f t="shared" si="83"/>
        <v/>
      </c>
      <c r="EE670" s="1072" t="str">
        <f t="shared" si="84"/>
        <v/>
      </c>
      <c r="EF670" s="1072" t="str">
        <f t="shared" si="85"/>
        <v/>
      </c>
      <c r="EG670" s="1072" t="str">
        <f t="shared" si="86"/>
        <v/>
      </c>
      <c r="EH670" s="1072" t="str">
        <f t="shared" si="87"/>
        <v/>
      </c>
      <c r="EI670" s="1072" t="str">
        <f t="shared" si="88"/>
        <v/>
      </c>
      <c r="EJ670" s="1072" t="str">
        <f t="shared" si="89"/>
        <v/>
      </c>
      <c r="EK670" s="1072" t="str">
        <f t="shared" si="90"/>
        <v/>
      </c>
      <c r="EL670" s="1072" t="str">
        <f t="shared" si="91"/>
        <v/>
      </c>
      <c r="EM670" s="1072" t="str">
        <f t="shared" si="92"/>
        <v/>
      </c>
      <c r="EN670" s="1072" t="str">
        <f t="shared" si="93"/>
        <v/>
      </c>
      <c r="EO670" s="1072" t="str">
        <f t="shared" si="94"/>
        <v/>
      </c>
      <c r="EP670" s="1072" t="str">
        <f t="shared" si="95"/>
        <v/>
      </c>
      <c r="EQ670" s="1072" t="str">
        <f t="shared" si="96"/>
        <v/>
      </c>
      <c r="ER670" s="1072" t="str">
        <f t="shared" si="97"/>
        <v/>
      </c>
      <c r="ES670" s="1072" t="str">
        <f t="shared" si="98"/>
        <v/>
      </c>
      <c r="ET670" s="1072" t="str">
        <f t="shared" si="99"/>
        <v/>
      </c>
      <c r="EU670" s="1072" t="str">
        <f t="shared" si="100"/>
        <v/>
      </c>
      <c r="EV670" s="833" t="str">
        <f t="shared" si="101"/>
        <v/>
      </c>
      <c r="EW670" s="833" t="str">
        <f t="shared" si="102"/>
        <v/>
      </c>
      <c r="EX670" s="833" t="str">
        <f t="shared" si="103"/>
        <v/>
      </c>
      <c r="EY670" s="833" t="str">
        <f t="shared" si="104"/>
        <v/>
      </c>
      <c r="EZ670" s="833" t="str">
        <f t="shared" si="105"/>
        <v/>
      </c>
      <c r="FA670" s="833" t="str">
        <f t="shared" si="106"/>
        <v/>
      </c>
      <c r="FB670" s="833" t="str">
        <f t="shared" si="107"/>
        <v/>
      </c>
      <c r="FC670" s="833" t="str">
        <f t="shared" si="108"/>
        <v/>
      </c>
      <c r="FD670" s="833" t="str">
        <f t="shared" si="109"/>
        <v/>
      </c>
      <c r="FE670" s="833" t="str">
        <f t="shared" si="110"/>
        <v/>
      </c>
      <c r="FF670" s="833" t="str">
        <f t="shared" si="111"/>
        <v/>
      </c>
      <c r="FG670" s="833" t="str">
        <f t="shared" si="112"/>
        <v/>
      </c>
      <c r="FH670" s="833" t="str">
        <f t="shared" si="113"/>
        <v/>
      </c>
      <c r="FI670" s="833" t="str">
        <f t="shared" si="114"/>
        <v/>
      </c>
      <c r="FJ670" s="833" t="str">
        <f t="shared" si="115"/>
        <v/>
      </c>
      <c r="FK670" s="833" t="str">
        <f t="shared" si="116"/>
        <v/>
      </c>
      <c r="FL670" s="833" t="str">
        <f t="shared" si="117"/>
        <v/>
      </c>
      <c r="FM670" s="833" t="str">
        <f t="shared" si="118"/>
        <v/>
      </c>
      <c r="FN670" s="833" t="str">
        <f t="shared" si="119"/>
        <v/>
      </c>
      <c r="FO670" s="833" t="str">
        <f t="shared" si="120"/>
        <v/>
      </c>
      <c r="FP670" s="833" t="str">
        <f t="shared" si="121"/>
        <v/>
      </c>
      <c r="FQ670" s="833" t="str">
        <f t="shared" si="122"/>
        <v/>
      </c>
      <c r="FR670" s="833" t="str">
        <f t="shared" si="123"/>
        <v/>
      </c>
      <c r="FS670" s="833" t="str">
        <f t="shared" si="124"/>
        <v/>
      </c>
      <c r="FT670" s="833" t="str">
        <f t="shared" si="125"/>
        <v/>
      </c>
      <c r="FU670" s="833" t="str">
        <f t="shared" si="126"/>
        <v/>
      </c>
      <c r="FV670" s="833" t="str">
        <f t="shared" si="127"/>
        <v/>
      </c>
      <c r="FW670" s="833" t="str">
        <f t="shared" si="128"/>
        <v/>
      </c>
      <c r="FX670" s="833" t="str">
        <f t="shared" si="129"/>
        <v/>
      </c>
      <c r="FY670" s="833" t="str">
        <f t="shared" si="130"/>
        <v/>
      </c>
      <c r="FZ670" s="833" t="str">
        <f t="shared" si="131"/>
        <v/>
      </c>
      <c r="GA670" s="833" t="str">
        <f t="shared" si="132"/>
        <v/>
      </c>
      <c r="GB670" s="833" t="str">
        <f t="shared" si="133"/>
        <v/>
      </c>
      <c r="GC670" s="833" t="str">
        <f t="shared" si="134"/>
        <v/>
      </c>
      <c r="GD670" s="833" t="str">
        <f t="shared" si="135"/>
        <v/>
      </c>
      <c r="GE670" s="833" t="str">
        <f t="shared" si="136"/>
        <v/>
      </c>
      <c r="GF670" s="833" t="str">
        <f t="shared" si="137"/>
        <v/>
      </c>
      <c r="GG670" s="833" t="str">
        <f t="shared" si="138"/>
        <v/>
      </c>
      <c r="GH670" s="833" t="str">
        <f t="shared" si="139"/>
        <v/>
      </c>
      <c r="GI670" s="833" t="str">
        <f t="shared" si="140"/>
        <v/>
      </c>
      <c r="GJ670" s="833" t="str">
        <f t="shared" si="141"/>
        <v/>
      </c>
      <c r="GK670" s="833" t="str">
        <f t="shared" si="142"/>
        <v/>
      </c>
      <c r="GL670" s="833" t="str">
        <f t="shared" si="143"/>
        <v/>
      </c>
      <c r="GM670" s="833" t="str">
        <f t="shared" si="144"/>
        <v/>
      </c>
      <c r="GN670" s="833" t="str">
        <f t="shared" si="145"/>
        <v/>
      </c>
      <c r="GO670" s="1115" t="str">
        <f t="shared" si="146"/>
        <v/>
      </c>
      <c r="GP670" s="1115" t="str">
        <f t="shared" si="147"/>
        <v/>
      </c>
      <c r="GQ670" s="1115" t="str">
        <f t="shared" si="148"/>
        <v/>
      </c>
      <c r="GR670" s="1115" t="str">
        <f t="shared" si="149"/>
        <v/>
      </c>
      <c r="GS670" s="1115" t="str">
        <f t="shared" si="150"/>
        <v/>
      </c>
      <c r="GT670" s="1072" t="str">
        <f t="shared" si="151"/>
        <v/>
      </c>
      <c r="GU670" s="1072" t="str">
        <f t="shared" si="152"/>
        <v/>
      </c>
      <c r="GV670" s="1072" t="str">
        <f t="shared" si="153"/>
        <v/>
      </c>
      <c r="GW670" s="1072" t="str">
        <f t="shared" si="154"/>
        <v/>
      </c>
      <c r="GX670" s="1072" t="str">
        <f t="shared" si="155"/>
        <v/>
      </c>
      <c r="GY670" s="1072" t="str">
        <f t="shared" si="156"/>
        <v/>
      </c>
      <c r="GZ670" s="1072" t="str">
        <f t="shared" si="157"/>
        <v/>
      </c>
      <c r="HA670" s="1072" t="str">
        <f t="shared" si="158"/>
        <v/>
      </c>
      <c r="HB670" s="1072" t="str">
        <f t="shared" si="159"/>
        <v/>
      </c>
      <c r="HC670" s="1072" t="str">
        <f t="shared" si="160"/>
        <v/>
      </c>
      <c r="HD670" s="1072" t="str">
        <f t="shared" si="161"/>
        <v/>
      </c>
      <c r="HE670" s="1072" t="str">
        <f t="shared" si="162"/>
        <v/>
      </c>
      <c r="HF670" s="1072" t="str">
        <f t="shared" si="163"/>
        <v/>
      </c>
      <c r="HG670" s="1072" t="str">
        <f t="shared" si="164"/>
        <v/>
      </c>
      <c r="HH670" s="1072" t="str">
        <f t="shared" si="165"/>
        <v/>
      </c>
      <c r="HI670" s="1072" t="str">
        <f t="shared" si="166"/>
        <v/>
      </c>
      <c r="HJ670" s="1072" t="str">
        <f t="shared" si="167"/>
        <v/>
      </c>
      <c r="HK670" s="1072" t="str">
        <f t="shared" si="168"/>
        <v/>
      </c>
      <c r="HL670" s="1072" t="str">
        <f t="shared" si="169"/>
        <v/>
      </c>
      <c r="HM670" s="1072" t="str">
        <f t="shared" si="170"/>
        <v/>
      </c>
    </row>
    <row r="671" spans="1:221" ht="13.15" customHeight="1">
      <c r="A671" s="1084" t="str">
        <f t="shared" si="171"/>
        <v/>
      </c>
      <c r="B671" s="1037" t="str">
        <f>'Part VI-Revenues &amp; Expenses'!B37</f>
        <v>&lt;&lt;Select&gt;&gt;</v>
      </c>
      <c r="C671" s="1038">
        <f>'Part VI-Revenues &amp; Expenses'!C37</f>
        <v>0</v>
      </c>
      <c r="D671" s="1039">
        <f>'Part VI-Revenues &amp; Expenses'!D37</f>
        <v>0</v>
      </c>
      <c r="E671" s="1040">
        <f>'Part VI-Revenues &amp; Expenses'!E37</f>
        <v>0</v>
      </c>
      <c r="F671" s="1040">
        <f>'Part VI-Revenues &amp; Expenses'!F37</f>
        <v>0</v>
      </c>
      <c r="G671" s="1040">
        <f>'Part VI-Revenues &amp; Expenses'!G37</f>
        <v>0</v>
      </c>
      <c r="H671" s="1040">
        <f>'Part VI-Revenues &amp; Expenses'!H37</f>
        <v>0</v>
      </c>
      <c r="I671" s="1040">
        <f>'Part VI-Revenues &amp; Expenses'!I37</f>
        <v>0</v>
      </c>
      <c r="J671" s="1103">
        <f>'Part VI-Revenues &amp; Expenses'!J37</f>
        <v>0</v>
      </c>
      <c r="K671" s="908">
        <f t="shared" si="204"/>
        <v>0</v>
      </c>
      <c r="L671" s="908">
        <f t="shared" si="0"/>
        <v>0</v>
      </c>
      <c r="M671" s="831">
        <f>'Part VI-Revenues &amp; Expenses'!M37</f>
        <v>0</v>
      </c>
      <c r="N671" s="831">
        <f>'Part VI-Revenues &amp; Expenses'!N37</f>
        <v>0</v>
      </c>
      <c r="O671" s="831">
        <f>'Part VI-Revenues &amp; Expenses'!O37</f>
        <v>0</v>
      </c>
      <c r="P671" s="909">
        <f t="shared" si="203"/>
        <v>0</v>
      </c>
      <c r="Q671" s="910" t="str">
        <f>'Part VI-Revenues &amp; Expenses'!Q37</f>
        <v/>
      </c>
      <c r="R671" s="909"/>
      <c r="S671" s="910"/>
      <c r="T671" s="1576"/>
      <c r="U671" s="1576"/>
      <c r="V671" s="1072" t="str">
        <f t="shared" si="1"/>
        <v/>
      </c>
      <c r="W671" s="1072" t="str">
        <f t="shared" si="2"/>
        <v/>
      </c>
      <c r="X671" s="1072" t="str">
        <f t="shared" si="3"/>
        <v/>
      </c>
      <c r="Y671" s="1072" t="str">
        <f t="shared" si="4"/>
        <v/>
      </c>
      <c r="Z671" s="1072" t="str">
        <f t="shared" si="5"/>
        <v/>
      </c>
      <c r="AA671" s="1072" t="str">
        <f t="shared" si="6"/>
        <v/>
      </c>
      <c r="AB671" s="1072" t="str">
        <f t="shared" si="7"/>
        <v/>
      </c>
      <c r="AC671" s="1072" t="str">
        <f t="shared" si="8"/>
        <v/>
      </c>
      <c r="AD671" s="1072" t="str">
        <f t="shared" si="9"/>
        <v/>
      </c>
      <c r="AE671" s="1072" t="str">
        <f t="shared" si="10"/>
        <v/>
      </c>
      <c r="AF671" s="1072" t="str">
        <f t="shared" si="11"/>
        <v/>
      </c>
      <c r="AG671" s="1072" t="str">
        <f t="shared" si="12"/>
        <v/>
      </c>
      <c r="AH671" s="1072" t="str">
        <f t="shared" si="13"/>
        <v/>
      </c>
      <c r="AI671" s="1072" t="str">
        <f t="shared" si="14"/>
        <v/>
      </c>
      <c r="AJ671" s="1072" t="str">
        <f t="shared" si="15"/>
        <v/>
      </c>
      <c r="AK671" s="1072" t="str">
        <f t="shared" si="16"/>
        <v/>
      </c>
      <c r="AL671" s="1072" t="str">
        <f t="shared" si="17"/>
        <v/>
      </c>
      <c r="AM671" s="1072" t="str">
        <f t="shared" si="18"/>
        <v/>
      </c>
      <c r="AN671" s="1072" t="str">
        <f t="shared" si="19"/>
        <v/>
      </c>
      <c r="AO671" s="1072" t="str">
        <f t="shared" si="20"/>
        <v/>
      </c>
      <c r="AP671" s="1072" t="str">
        <f t="shared" si="173"/>
        <v/>
      </c>
      <c r="AQ671" s="1072" t="str">
        <f t="shared" si="174"/>
        <v/>
      </c>
      <c r="AR671" s="1072" t="str">
        <f t="shared" si="175"/>
        <v/>
      </c>
      <c r="AS671" s="1072" t="str">
        <f t="shared" si="176"/>
        <v/>
      </c>
      <c r="AT671" s="1072" t="str">
        <f t="shared" si="177"/>
        <v/>
      </c>
      <c r="AU671" s="1072" t="str">
        <f t="shared" si="178"/>
        <v/>
      </c>
      <c r="AV671" s="1072" t="str">
        <f t="shared" si="179"/>
        <v/>
      </c>
      <c r="AW671" s="1072" t="str">
        <f t="shared" si="180"/>
        <v/>
      </c>
      <c r="AX671" s="1072" t="str">
        <f t="shared" si="181"/>
        <v/>
      </c>
      <c r="AY671" s="1072" t="str">
        <f t="shared" si="182"/>
        <v/>
      </c>
      <c r="AZ671" s="1072" t="str">
        <f t="shared" si="183"/>
        <v/>
      </c>
      <c r="BA671" s="1072" t="str">
        <f t="shared" si="184"/>
        <v/>
      </c>
      <c r="BB671" s="1072" t="str">
        <f t="shared" si="185"/>
        <v/>
      </c>
      <c r="BC671" s="1072" t="str">
        <f t="shared" si="186"/>
        <v/>
      </c>
      <c r="BD671" s="1072" t="str">
        <f t="shared" si="187"/>
        <v/>
      </c>
      <c r="BE671" s="1072" t="str">
        <f t="shared" si="188"/>
        <v/>
      </c>
      <c r="BF671" s="1072" t="str">
        <f t="shared" si="189"/>
        <v/>
      </c>
      <c r="BG671" s="1072" t="str">
        <f t="shared" si="190"/>
        <v/>
      </c>
      <c r="BH671" s="1072" t="str">
        <f t="shared" si="191"/>
        <v/>
      </c>
      <c r="BI671" s="1072" t="str">
        <f t="shared" si="192"/>
        <v/>
      </c>
      <c r="BJ671" s="1072" t="str">
        <f t="shared" si="193"/>
        <v/>
      </c>
      <c r="BK671" s="1072" t="str">
        <f t="shared" si="194"/>
        <v/>
      </c>
      <c r="BL671" s="1072" t="str">
        <f t="shared" si="195"/>
        <v/>
      </c>
      <c r="BM671" s="1072" t="str">
        <f t="shared" si="196"/>
        <v/>
      </c>
      <c r="BN671" s="1072" t="str">
        <f t="shared" si="197"/>
        <v/>
      </c>
      <c r="BO671" s="1072" t="str">
        <f t="shared" si="198"/>
        <v/>
      </c>
      <c r="BP671" s="1072" t="str">
        <f t="shared" si="199"/>
        <v/>
      </c>
      <c r="BQ671" s="1072" t="str">
        <f t="shared" si="200"/>
        <v/>
      </c>
      <c r="BR671" s="1072" t="str">
        <f t="shared" si="201"/>
        <v/>
      </c>
      <c r="BS671" s="1072" t="str">
        <f t="shared" si="202"/>
        <v/>
      </c>
      <c r="BT671" s="1072" t="str">
        <f t="shared" si="21"/>
        <v/>
      </c>
      <c r="BU671" s="1072" t="str">
        <f t="shared" si="22"/>
        <v/>
      </c>
      <c r="BV671" s="1072" t="str">
        <f t="shared" si="23"/>
        <v/>
      </c>
      <c r="BW671" s="1072" t="str">
        <f t="shared" si="24"/>
        <v/>
      </c>
      <c r="BX671" s="1072" t="str">
        <f t="shared" si="25"/>
        <v/>
      </c>
      <c r="BY671" s="1072" t="str">
        <f t="shared" si="26"/>
        <v/>
      </c>
      <c r="BZ671" s="1072" t="str">
        <f t="shared" si="27"/>
        <v/>
      </c>
      <c r="CA671" s="1072" t="str">
        <f t="shared" si="28"/>
        <v/>
      </c>
      <c r="CB671" s="1072" t="str">
        <f t="shared" si="29"/>
        <v/>
      </c>
      <c r="CC671" s="1072" t="str">
        <f t="shared" si="30"/>
        <v/>
      </c>
      <c r="CD671" s="1072" t="str">
        <f t="shared" si="31"/>
        <v/>
      </c>
      <c r="CE671" s="1072" t="str">
        <f t="shared" si="32"/>
        <v/>
      </c>
      <c r="CF671" s="1072" t="str">
        <f t="shared" si="33"/>
        <v/>
      </c>
      <c r="CG671" s="1072" t="str">
        <f t="shared" si="34"/>
        <v/>
      </c>
      <c r="CH671" s="1072" t="str">
        <f t="shared" si="35"/>
        <v/>
      </c>
      <c r="CI671" s="1072" t="str">
        <f t="shared" si="36"/>
        <v/>
      </c>
      <c r="CJ671" s="1072" t="str">
        <f t="shared" si="37"/>
        <v/>
      </c>
      <c r="CK671" s="1072" t="str">
        <f t="shared" si="38"/>
        <v/>
      </c>
      <c r="CL671" s="1072" t="str">
        <f t="shared" si="39"/>
        <v/>
      </c>
      <c r="CM671" s="1072" t="str">
        <f t="shared" si="40"/>
        <v/>
      </c>
      <c r="CN671" s="1072" t="str">
        <f t="shared" si="41"/>
        <v/>
      </c>
      <c r="CO671" s="1072" t="str">
        <f t="shared" si="42"/>
        <v/>
      </c>
      <c r="CP671" s="1072" t="str">
        <f t="shared" si="43"/>
        <v/>
      </c>
      <c r="CQ671" s="1072" t="str">
        <f t="shared" si="44"/>
        <v/>
      </c>
      <c r="CR671" s="1072" t="str">
        <f t="shared" si="45"/>
        <v/>
      </c>
      <c r="CS671" s="1072" t="str">
        <f t="shared" si="46"/>
        <v/>
      </c>
      <c r="CT671" s="1072" t="str">
        <f t="shared" si="47"/>
        <v/>
      </c>
      <c r="CU671" s="1072" t="str">
        <f t="shared" si="48"/>
        <v/>
      </c>
      <c r="CV671" s="1072" t="str">
        <f t="shared" si="49"/>
        <v/>
      </c>
      <c r="CW671" s="1072" t="str">
        <f t="shared" si="50"/>
        <v/>
      </c>
      <c r="CX671" s="1072" t="str">
        <f t="shared" si="51"/>
        <v/>
      </c>
      <c r="CY671" s="1072" t="str">
        <f t="shared" si="52"/>
        <v/>
      </c>
      <c r="CZ671" s="1072" t="str">
        <f t="shared" si="53"/>
        <v/>
      </c>
      <c r="DA671" s="1072" t="str">
        <f t="shared" si="54"/>
        <v/>
      </c>
      <c r="DB671" s="1072" t="str">
        <f t="shared" si="55"/>
        <v/>
      </c>
      <c r="DC671" s="1072" t="str">
        <f t="shared" si="56"/>
        <v/>
      </c>
      <c r="DD671" s="1072" t="str">
        <f t="shared" si="57"/>
        <v/>
      </c>
      <c r="DE671" s="1072" t="str">
        <f t="shared" si="58"/>
        <v/>
      </c>
      <c r="DF671" s="1072" t="str">
        <f t="shared" si="59"/>
        <v/>
      </c>
      <c r="DG671" s="1072" t="str">
        <f t="shared" si="60"/>
        <v/>
      </c>
      <c r="DH671" s="1072" t="str">
        <f t="shared" si="61"/>
        <v/>
      </c>
      <c r="DI671" s="1072" t="str">
        <f t="shared" si="62"/>
        <v/>
      </c>
      <c r="DJ671" s="1072" t="str">
        <f t="shared" si="63"/>
        <v/>
      </c>
      <c r="DK671" s="1072" t="str">
        <f t="shared" si="64"/>
        <v/>
      </c>
      <c r="DL671" s="1072" t="str">
        <f t="shared" si="65"/>
        <v/>
      </c>
      <c r="DM671" s="1072" t="str">
        <f t="shared" si="66"/>
        <v/>
      </c>
      <c r="DN671" s="1072" t="str">
        <f t="shared" si="67"/>
        <v/>
      </c>
      <c r="DO671" s="1072" t="str">
        <f t="shared" si="68"/>
        <v/>
      </c>
      <c r="DP671" s="1072" t="str">
        <f t="shared" si="69"/>
        <v/>
      </c>
      <c r="DQ671" s="1072" t="str">
        <f t="shared" si="70"/>
        <v/>
      </c>
      <c r="DR671" s="1072" t="str">
        <f t="shared" si="71"/>
        <v/>
      </c>
      <c r="DS671" s="1072" t="str">
        <f t="shared" si="72"/>
        <v/>
      </c>
      <c r="DT671" s="1072" t="str">
        <f t="shared" si="73"/>
        <v/>
      </c>
      <c r="DU671" s="1072" t="str">
        <f t="shared" si="74"/>
        <v/>
      </c>
      <c r="DV671" s="1072" t="str">
        <f t="shared" si="75"/>
        <v/>
      </c>
      <c r="DW671" s="1072" t="str">
        <f t="shared" si="76"/>
        <v/>
      </c>
      <c r="DX671" s="1072" t="str">
        <f t="shared" si="77"/>
        <v/>
      </c>
      <c r="DY671" s="1072" t="str">
        <f t="shared" si="78"/>
        <v/>
      </c>
      <c r="DZ671" s="1072" t="str">
        <f t="shared" si="79"/>
        <v/>
      </c>
      <c r="EA671" s="1072" t="str">
        <f t="shared" si="80"/>
        <v/>
      </c>
      <c r="EB671" s="1072" t="str">
        <f t="shared" si="81"/>
        <v/>
      </c>
      <c r="EC671" s="1072" t="str">
        <f t="shared" si="82"/>
        <v/>
      </c>
      <c r="ED671" s="1072" t="str">
        <f t="shared" si="83"/>
        <v/>
      </c>
      <c r="EE671" s="1072" t="str">
        <f t="shared" si="84"/>
        <v/>
      </c>
      <c r="EF671" s="1072" t="str">
        <f t="shared" si="85"/>
        <v/>
      </c>
      <c r="EG671" s="1072" t="str">
        <f t="shared" si="86"/>
        <v/>
      </c>
      <c r="EH671" s="1072" t="str">
        <f t="shared" si="87"/>
        <v/>
      </c>
      <c r="EI671" s="1072" t="str">
        <f t="shared" si="88"/>
        <v/>
      </c>
      <c r="EJ671" s="1072" t="str">
        <f t="shared" si="89"/>
        <v/>
      </c>
      <c r="EK671" s="1072" t="str">
        <f t="shared" si="90"/>
        <v/>
      </c>
      <c r="EL671" s="1072" t="str">
        <f t="shared" si="91"/>
        <v/>
      </c>
      <c r="EM671" s="1072" t="str">
        <f t="shared" si="92"/>
        <v/>
      </c>
      <c r="EN671" s="1072" t="str">
        <f t="shared" si="93"/>
        <v/>
      </c>
      <c r="EO671" s="1072" t="str">
        <f t="shared" si="94"/>
        <v/>
      </c>
      <c r="EP671" s="1072" t="str">
        <f t="shared" si="95"/>
        <v/>
      </c>
      <c r="EQ671" s="1072" t="str">
        <f t="shared" si="96"/>
        <v/>
      </c>
      <c r="ER671" s="1072" t="str">
        <f t="shared" si="97"/>
        <v/>
      </c>
      <c r="ES671" s="1072" t="str">
        <f t="shared" si="98"/>
        <v/>
      </c>
      <c r="ET671" s="1072" t="str">
        <f t="shared" si="99"/>
        <v/>
      </c>
      <c r="EU671" s="1072" t="str">
        <f t="shared" si="100"/>
        <v/>
      </c>
      <c r="EV671" s="833" t="str">
        <f t="shared" si="101"/>
        <v/>
      </c>
      <c r="EW671" s="833" t="str">
        <f t="shared" si="102"/>
        <v/>
      </c>
      <c r="EX671" s="833" t="str">
        <f t="shared" si="103"/>
        <v/>
      </c>
      <c r="EY671" s="833" t="str">
        <f t="shared" si="104"/>
        <v/>
      </c>
      <c r="EZ671" s="833" t="str">
        <f t="shared" si="105"/>
        <v/>
      </c>
      <c r="FA671" s="833" t="str">
        <f t="shared" si="106"/>
        <v/>
      </c>
      <c r="FB671" s="833" t="str">
        <f t="shared" si="107"/>
        <v/>
      </c>
      <c r="FC671" s="833" t="str">
        <f t="shared" si="108"/>
        <v/>
      </c>
      <c r="FD671" s="833" t="str">
        <f t="shared" si="109"/>
        <v/>
      </c>
      <c r="FE671" s="833" t="str">
        <f t="shared" si="110"/>
        <v/>
      </c>
      <c r="FF671" s="833" t="str">
        <f t="shared" si="111"/>
        <v/>
      </c>
      <c r="FG671" s="833" t="str">
        <f t="shared" si="112"/>
        <v/>
      </c>
      <c r="FH671" s="833" t="str">
        <f t="shared" si="113"/>
        <v/>
      </c>
      <c r="FI671" s="833" t="str">
        <f t="shared" si="114"/>
        <v/>
      </c>
      <c r="FJ671" s="833" t="str">
        <f t="shared" si="115"/>
        <v/>
      </c>
      <c r="FK671" s="833" t="str">
        <f t="shared" si="116"/>
        <v/>
      </c>
      <c r="FL671" s="833" t="str">
        <f t="shared" si="117"/>
        <v/>
      </c>
      <c r="FM671" s="833" t="str">
        <f t="shared" si="118"/>
        <v/>
      </c>
      <c r="FN671" s="833" t="str">
        <f t="shared" si="119"/>
        <v/>
      </c>
      <c r="FO671" s="833" t="str">
        <f t="shared" si="120"/>
        <v/>
      </c>
      <c r="FP671" s="833" t="str">
        <f t="shared" si="121"/>
        <v/>
      </c>
      <c r="FQ671" s="833" t="str">
        <f t="shared" si="122"/>
        <v/>
      </c>
      <c r="FR671" s="833" t="str">
        <f t="shared" si="123"/>
        <v/>
      </c>
      <c r="FS671" s="833" t="str">
        <f t="shared" si="124"/>
        <v/>
      </c>
      <c r="FT671" s="833" t="str">
        <f t="shared" si="125"/>
        <v/>
      </c>
      <c r="FU671" s="833" t="str">
        <f t="shared" si="126"/>
        <v/>
      </c>
      <c r="FV671" s="833" t="str">
        <f t="shared" si="127"/>
        <v/>
      </c>
      <c r="FW671" s="833" t="str">
        <f t="shared" si="128"/>
        <v/>
      </c>
      <c r="FX671" s="833" t="str">
        <f t="shared" si="129"/>
        <v/>
      </c>
      <c r="FY671" s="833" t="str">
        <f t="shared" si="130"/>
        <v/>
      </c>
      <c r="FZ671" s="833" t="str">
        <f t="shared" si="131"/>
        <v/>
      </c>
      <c r="GA671" s="833" t="str">
        <f t="shared" si="132"/>
        <v/>
      </c>
      <c r="GB671" s="833" t="str">
        <f t="shared" si="133"/>
        <v/>
      </c>
      <c r="GC671" s="833" t="str">
        <f t="shared" si="134"/>
        <v/>
      </c>
      <c r="GD671" s="833" t="str">
        <f t="shared" si="135"/>
        <v/>
      </c>
      <c r="GE671" s="833" t="str">
        <f t="shared" si="136"/>
        <v/>
      </c>
      <c r="GF671" s="833" t="str">
        <f t="shared" si="137"/>
        <v/>
      </c>
      <c r="GG671" s="833" t="str">
        <f t="shared" si="138"/>
        <v/>
      </c>
      <c r="GH671" s="833" t="str">
        <f t="shared" si="139"/>
        <v/>
      </c>
      <c r="GI671" s="833" t="str">
        <f t="shared" si="140"/>
        <v/>
      </c>
      <c r="GJ671" s="833" t="str">
        <f t="shared" si="141"/>
        <v/>
      </c>
      <c r="GK671" s="833" t="str">
        <f t="shared" si="142"/>
        <v/>
      </c>
      <c r="GL671" s="833" t="str">
        <f t="shared" si="143"/>
        <v/>
      </c>
      <c r="GM671" s="833" t="str">
        <f t="shared" si="144"/>
        <v/>
      </c>
      <c r="GN671" s="833" t="str">
        <f t="shared" si="145"/>
        <v/>
      </c>
      <c r="GO671" s="1115" t="str">
        <f t="shared" si="146"/>
        <v/>
      </c>
      <c r="GP671" s="1115" t="str">
        <f t="shared" si="147"/>
        <v/>
      </c>
      <c r="GQ671" s="1115" t="str">
        <f t="shared" si="148"/>
        <v/>
      </c>
      <c r="GR671" s="1115" t="str">
        <f t="shared" si="149"/>
        <v/>
      </c>
      <c r="GS671" s="1115" t="str">
        <f t="shared" si="150"/>
        <v/>
      </c>
      <c r="GT671" s="1072" t="str">
        <f t="shared" si="151"/>
        <v/>
      </c>
      <c r="GU671" s="1072" t="str">
        <f t="shared" si="152"/>
        <v/>
      </c>
      <c r="GV671" s="1072" t="str">
        <f t="shared" si="153"/>
        <v/>
      </c>
      <c r="GW671" s="1072" t="str">
        <f t="shared" si="154"/>
        <v/>
      </c>
      <c r="GX671" s="1072" t="str">
        <f t="shared" si="155"/>
        <v/>
      </c>
      <c r="GY671" s="1072" t="str">
        <f t="shared" si="156"/>
        <v/>
      </c>
      <c r="GZ671" s="1072" t="str">
        <f t="shared" si="157"/>
        <v/>
      </c>
      <c r="HA671" s="1072" t="str">
        <f t="shared" si="158"/>
        <v/>
      </c>
      <c r="HB671" s="1072" t="str">
        <f t="shared" si="159"/>
        <v/>
      </c>
      <c r="HC671" s="1072" t="str">
        <f t="shared" si="160"/>
        <v/>
      </c>
      <c r="HD671" s="1072" t="str">
        <f t="shared" si="161"/>
        <v/>
      </c>
      <c r="HE671" s="1072" t="str">
        <f t="shared" si="162"/>
        <v/>
      </c>
      <c r="HF671" s="1072" t="str">
        <f t="shared" si="163"/>
        <v/>
      </c>
      <c r="HG671" s="1072" t="str">
        <f t="shared" si="164"/>
        <v/>
      </c>
      <c r="HH671" s="1072" t="str">
        <f t="shared" si="165"/>
        <v/>
      </c>
      <c r="HI671" s="1072" t="str">
        <f t="shared" si="166"/>
        <v/>
      </c>
      <c r="HJ671" s="1072" t="str">
        <f t="shared" si="167"/>
        <v/>
      </c>
      <c r="HK671" s="1072" t="str">
        <f t="shared" si="168"/>
        <v/>
      </c>
      <c r="HL671" s="1072" t="str">
        <f t="shared" si="169"/>
        <v/>
      </c>
      <c r="HM671" s="1072" t="str">
        <f t="shared" si="170"/>
        <v/>
      </c>
    </row>
    <row r="672" spans="1:221" ht="13.15" customHeight="1">
      <c r="A672" s="1084" t="str">
        <f t="shared" si="171"/>
        <v/>
      </c>
      <c r="B672" s="1037" t="str">
        <f>'Part VI-Revenues &amp; Expenses'!B38</f>
        <v>&lt;&lt;Select&gt;&gt;</v>
      </c>
      <c r="C672" s="1038">
        <f>'Part VI-Revenues &amp; Expenses'!C38</f>
        <v>0</v>
      </c>
      <c r="D672" s="1039">
        <f>'Part VI-Revenues &amp; Expenses'!D38</f>
        <v>0</v>
      </c>
      <c r="E672" s="1040">
        <f>'Part VI-Revenues &amp; Expenses'!E38</f>
        <v>0</v>
      </c>
      <c r="F672" s="1040">
        <f>'Part VI-Revenues &amp; Expenses'!F38</f>
        <v>0</v>
      </c>
      <c r="G672" s="1040">
        <f>'Part VI-Revenues &amp; Expenses'!G38</f>
        <v>0</v>
      </c>
      <c r="H672" s="1040">
        <f>'Part VI-Revenues &amp; Expenses'!H38</f>
        <v>0</v>
      </c>
      <c r="I672" s="1040">
        <f>'Part VI-Revenues &amp; Expenses'!I38</f>
        <v>0</v>
      </c>
      <c r="J672" s="1103">
        <f>'Part VI-Revenues &amp; Expenses'!J38</f>
        <v>0</v>
      </c>
      <c r="K672" s="908">
        <f>MAX(0,H672-I672)</f>
        <v>0</v>
      </c>
      <c r="L672" s="908">
        <f t="shared" si="0"/>
        <v>0</v>
      </c>
      <c r="M672" s="831">
        <f>'Part VI-Revenues &amp; Expenses'!M38</f>
        <v>0</v>
      </c>
      <c r="N672" s="831">
        <f>'Part VI-Revenues &amp; Expenses'!N38</f>
        <v>0</v>
      </c>
      <c r="O672" s="831">
        <f>'Part VI-Revenues &amp; Expenses'!O38</f>
        <v>0</v>
      </c>
      <c r="P672" s="909">
        <f t="shared" si="203"/>
        <v>0</v>
      </c>
      <c r="Q672" s="910" t="str">
        <f>'Part VI-Revenues &amp; Expenses'!Q38</f>
        <v/>
      </c>
      <c r="R672" s="909"/>
      <c r="S672" s="910"/>
      <c r="T672" s="1576"/>
      <c r="U672" s="1576"/>
      <c r="V672" s="1072" t="str">
        <f t="shared" si="1"/>
        <v/>
      </c>
      <c r="W672" s="1072" t="str">
        <f t="shared" si="2"/>
        <v/>
      </c>
      <c r="X672" s="1072" t="str">
        <f t="shared" si="3"/>
        <v/>
      </c>
      <c r="Y672" s="1072" t="str">
        <f t="shared" si="4"/>
        <v/>
      </c>
      <c r="Z672" s="1072" t="str">
        <f t="shared" si="5"/>
        <v/>
      </c>
      <c r="AA672" s="1072" t="str">
        <f t="shared" si="6"/>
        <v/>
      </c>
      <c r="AB672" s="1072" t="str">
        <f t="shared" si="7"/>
        <v/>
      </c>
      <c r="AC672" s="1072" t="str">
        <f t="shared" si="8"/>
        <v/>
      </c>
      <c r="AD672" s="1072" t="str">
        <f t="shared" si="9"/>
        <v/>
      </c>
      <c r="AE672" s="1072" t="str">
        <f t="shared" si="10"/>
        <v/>
      </c>
      <c r="AF672" s="1072" t="str">
        <f t="shared" si="11"/>
        <v/>
      </c>
      <c r="AG672" s="1072" t="str">
        <f t="shared" si="12"/>
        <v/>
      </c>
      <c r="AH672" s="1072" t="str">
        <f t="shared" si="13"/>
        <v/>
      </c>
      <c r="AI672" s="1072" t="str">
        <f t="shared" si="14"/>
        <v/>
      </c>
      <c r="AJ672" s="1072" t="str">
        <f t="shared" si="15"/>
        <v/>
      </c>
      <c r="AK672" s="1072" t="str">
        <f t="shared" si="16"/>
        <v/>
      </c>
      <c r="AL672" s="1072" t="str">
        <f t="shared" si="17"/>
        <v/>
      </c>
      <c r="AM672" s="1072" t="str">
        <f t="shared" si="18"/>
        <v/>
      </c>
      <c r="AN672" s="1072" t="str">
        <f t="shared" si="19"/>
        <v/>
      </c>
      <c r="AO672" s="1072" t="str">
        <f t="shared" si="20"/>
        <v/>
      </c>
      <c r="AP672" s="1072" t="str">
        <f t="shared" si="173"/>
        <v/>
      </c>
      <c r="AQ672" s="1072" t="str">
        <f t="shared" si="174"/>
        <v/>
      </c>
      <c r="AR672" s="1072" t="str">
        <f t="shared" si="175"/>
        <v/>
      </c>
      <c r="AS672" s="1072" t="str">
        <f t="shared" si="176"/>
        <v/>
      </c>
      <c r="AT672" s="1072" t="str">
        <f t="shared" si="177"/>
        <v/>
      </c>
      <c r="AU672" s="1072" t="str">
        <f t="shared" si="178"/>
        <v/>
      </c>
      <c r="AV672" s="1072" t="str">
        <f t="shared" si="179"/>
        <v/>
      </c>
      <c r="AW672" s="1072" t="str">
        <f t="shared" si="180"/>
        <v/>
      </c>
      <c r="AX672" s="1072" t="str">
        <f t="shared" si="181"/>
        <v/>
      </c>
      <c r="AY672" s="1072" t="str">
        <f t="shared" si="182"/>
        <v/>
      </c>
      <c r="AZ672" s="1072" t="str">
        <f t="shared" si="183"/>
        <v/>
      </c>
      <c r="BA672" s="1072" t="str">
        <f t="shared" si="184"/>
        <v/>
      </c>
      <c r="BB672" s="1072" t="str">
        <f t="shared" si="185"/>
        <v/>
      </c>
      <c r="BC672" s="1072" t="str">
        <f t="shared" si="186"/>
        <v/>
      </c>
      <c r="BD672" s="1072" t="str">
        <f t="shared" si="187"/>
        <v/>
      </c>
      <c r="BE672" s="1072" t="str">
        <f t="shared" si="188"/>
        <v/>
      </c>
      <c r="BF672" s="1072" t="str">
        <f t="shared" si="189"/>
        <v/>
      </c>
      <c r="BG672" s="1072" t="str">
        <f t="shared" si="190"/>
        <v/>
      </c>
      <c r="BH672" s="1072" t="str">
        <f t="shared" si="191"/>
        <v/>
      </c>
      <c r="BI672" s="1072" t="str">
        <f t="shared" si="192"/>
        <v/>
      </c>
      <c r="BJ672" s="1072" t="str">
        <f t="shared" si="193"/>
        <v/>
      </c>
      <c r="BK672" s="1072" t="str">
        <f t="shared" si="194"/>
        <v/>
      </c>
      <c r="BL672" s="1072" t="str">
        <f t="shared" si="195"/>
        <v/>
      </c>
      <c r="BM672" s="1072" t="str">
        <f t="shared" si="196"/>
        <v/>
      </c>
      <c r="BN672" s="1072" t="str">
        <f t="shared" si="197"/>
        <v/>
      </c>
      <c r="BO672" s="1072" t="str">
        <f t="shared" si="198"/>
        <v/>
      </c>
      <c r="BP672" s="1072" t="str">
        <f t="shared" si="199"/>
        <v/>
      </c>
      <c r="BQ672" s="1072" t="str">
        <f t="shared" si="200"/>
        <v/>
      </c>
      <c r="BR672" s="1072" t="str">
        <f t="shared" si="201"/>
        <v/>
      </c>
      <c r="BS672" s="1072" t="str">
        <f t="shared" si="202"/>
        <v/>
      </c>
      <c r="BT672" s="1072" t="str">
        <f t="shared" si="21"/>
        <v/>
      </c>
      <c r="BU672" s="1072" t="str">
        <f t="shared" si="22"/>
        <v/>
      </c>
      <c r="BV672" s="1072" t="str">
        <f t="shared" si="23"/>
        <v/>
      </c>
      <c r="BW672" s="1072" t="str">
        <f t="shared" si="24"/>
        <v/>
      </c>
      <c r="BX672" s="1072" t="str">
        <f t="shared" si="25"/>
        <v/>
      </c>
      <c r="BY672" s="1072" t="str">
        <f t="shared" si="26"/>
        <v/>
      </c>
      <c r="BZ672" s="1072" t="str">
        <f t="shared" si="27"/>
        <v/>
      </c>
      <c r="CA672" s="1072" t="str">
        <f t="shared" si="28"/>
        <v/>
      </c>
      <c r="CB672" s="1072" t="str">
        <f t="shared" si="29"/>
        <v/>
      </c>
      <c r="CC672" s="1072" t="str">
        <f t="shared" si="30"/>
        <v/>
      </c>
      <c r="CD672" s="1072" t="str">
        <f t="shared" si="31"/>
        <v/>
      </c>
      <c r="CE672" s="1072" t="str">
        <f t="shared" si="32"/>
        <v/>
      </c>
      <c r="CF672" s="1072" t="str">
        <f t="shared" si="33"/>
        <v/>
      </c>
      <c r="CG672" s="1072" t="str">
        <f t="shared" si="34"/>
        <v/>
      </c>
      <c r="CH672" s="1072" t="str">
        <f t="shared" si="35"/>
        <v/>
      </c>
      <c r="CI672" s="1072" t="str">
        <f t="shared" si="36"/>
        <v/>
      </c>
      <c r="CJ672" s="1072" t="str">
        <f t="shared" si="37"/>
        <v/>
      </c>
      <c r="CK672" s="1072" t="str">
        <f t="shared" si="38"/>
        <v/>
      </c>
      <c r="CL672" s="1072" t="str">
        <f t="shared" si="39"/>
        <v/>
      </c>
      <c r="CM672" s="1072" t="str">
        <f t="shared" si="40"/>
        <v/>
      </c>
      <c r="CN672" s="1072" t="str">
        <f t="shared" si="41"/>
        <v/>
      </c>
      <c r="CO672" s="1072" t="str">
        <f t="shared" si="42"/>
        <v/>
      </c>
      <c r="CP672" s="1072" t="str">
        <f t="shared" si="43"/>
        <v/>
      </c>
      <c r="CQ672" s="1072" t="str">
        <f t="shared" si="44"/>
        <v/>
      </c>
      <c r="CR672" s="1072" t="str">
        <f t="shared" si="45"/>
        <v/>
      </c>
      <c r="CS672" s="1072" t="str">
        <f t="shared" si="46"/>
        <v/>
      </c>
      <c r="CT672" s="1072" t="str">
        <f t="shared" si="47"/>
        <v/>
      </c>
      <c r="CU672" s="1072" t="str">
        <f t="shared" si="48"/>
        <v/>
      </c>
      <c r="CV672" s="1072" t="str">
        <f t="shared" si="49"/>
        <v/>
      </c>
      <c r="CW672" s="1072" t="str">
        <f t="shared" si="50"/>
        <v/>
      </c>
      <c r="CX672" s="1072" t="str">
        <f t="shared" si="51"/>
        <v/>
      </c>
      <c r="CY672" s="1072" t="str">
        <f t="shared" si="52"/>
        <v/>
      </c>
      <c r="CZ672" s="1072" t="str">
        <f t="shared" si="53"/>
        <v/>
      </c>
      <c r="DA672" s="1072" t="str">
        <f t="shared" si="54"/>
        <v/>
      </c>
      <c r="DB672" s="1072" t="str">
        <f t="shared" si="55"/>
        <v/>
      </c>
      <c r="DC672" s="1072" t="str">
        <f t="shared" si="56"/>
        <v/>
      </c>
      <c r="DD672" s="1072" t="str">
        <f t="shared" si="57"/>
        <v/>
      </c>
      <c r="DE672" s="1072" t="str">
        <f t="shared" si="58"/>
        <v/>
      </c>
      <c r="DF672" s="1072" t="str">
        <f t="shared" si="59"/>
        <v/>
      </c>
      <c r="DG672" s="1072" t="str">
        <f t="shared" si="60"/>
        <v/>
      </c>
      <c r="DH672" s="1072" t="str">
        <f t="shared" si="61"/>
        <v/>
      </c>
      <c r="DI672" s="1072" t="str">
        <f t="shared" si="62"/>
        <v/>
      </c>
      <c r="DJ672" s="1072" t="str">
        <f t="shared" si="63"/>
        <v/>
      </c>
      <c r="DK672" s="1072" t="str">
        <f t="shared" si="64"/>
        <v/>
      </c>
      <c r="DL672" s="1072" t="str">
        <f t="shared" si="65"/>
        <v/>
      </c>
      <c r="DM672" s="1072" t="str">
        <f t="shared" si="66"/>
        <v/>
      </c>
      <c r="DN672" s="1072" t="str">
        <f t="shared" si="67"/>
        <v/>
      </c>
      <c r="DO672" s="1072" t="str">
        <f t="shared" si="68"/>
        <v/>
      </c>
      <c r="DP672" s="1072" t="str">
        <f t="shared" si="69"/>
        <v/>
      </c>
      <c r="DQ672" s="1072" t="str">
        <f t="shared" si="70"/>
        <v/>
      </c>
      <c r="DR672" s="1072" t="str">
        <f t="shared" si="71"/>
        <v/>
      </c>
      <c r="DS672" s="1072" t="str">
        <f t="shared" si="72"/>
        <v/>
      </c>
      <c r="DT672" s="1072" t="str">
        <f t="shared" si="73"/>
        <v/>
      </c>
      <c r="DU672" s="1072" t="str">
        <f t="shared" si="74"/>
        <v/>
      </c>
      <c r="DV672" s="1072" t="str">
        <f t="shared" si="75"/>
        <v/>
      </c>
      <c r="DW672" s="1072" t="str">
        <f t="shared" si="76"/>
        <v/>
      </c>
      <c r="DX672" s="1072" t="str">
        <f t="shared" si="77"/>
        <v/>
      </c>
      <c r="DY672" s="1072" t="str">
        <f t="shared" si="78"/>
        <v/>
      </c>
      <c r="DZ672" s="1072" t="str">
        <f t="shared" si="79"/>
        <v/>
      </c>
      <c r="EA672" s="1072" t="str">
        <f t="shared" si="80"/>
        <v/>
      </c>
      <c r="EB672" s="1072" t="str">
        <f t="shared" si="81"/>
        <v/>
      </c>
      <c r="EC672" s="1072" t="str">
        <f t="shared" si="82"/>
        <v/>
      </c>
      <c r="ED672" s="1072" t="str">
        <f t="shared" si="83"/>
        <v/>
      </c>
      <c r="EE672" s="1072" t="str">
        <f t="shared" si="84"/>
        <v/>
      </c>
      <c r="EF672" s="1072" t="str">
        <f t="shared" si="85"/>
        <v/>
      </c>
      <c r="EG672" s="1072" t="str">
        <f t="shared" si="86"/>
        <v/>
      </c>
      <c r="EH672" s="1072" t="str">
        <f t="shared" si="87"/>
        <v/>
      </c>
      <c r="EI672" s="1072" t="str">
        <f t="shared" si="88"/>
        <v/>
      </c>
      <c r="EJ672" s="1072" t="str">
        <f t="shared" si="89"/>
        <v/>
      </c>
      <c r="EK672" s="1072" t="str">
        <f t="shared" si="90"/>
        <v/>
      </c>
      <c r="EL672" s="1072" t="str">
        <f t="shared" si="91"/>
        <v/>
      </c>
      <c r="EM672" s="1072" t="str">
        <f t="shared" si="92"/>
        <v/>
      </c>
      <c r="EN672" s="1072" t="str">
        <f t="shared" si="93"/>
        <v/>
      </c>
      <c r="EO672" s="1072" t="str">
        <f t="shared" si="94"/>
        <v/>
      </c>
      <c r="EP672" s="1072" t="str">
        <f t="shared" si="95"/>
        <v/>
      </c>
      <c r="EQ672" s="1072" t="str">
        <f t="shared" si="96"/>
        <v/>
      </c>
      <c r="ER672" s="1072" t="str">
        <f t="shared" si="97"/>
        <v/>
      </c>
      <c r="ES672" s="1072" t="str">
        <f t="shared" si="98"/>
        <v/>
      </c>
      <c r="ET672" s="1072" t="str">
        <f t="shared" si="99"/>
        <v/>
      </c>
      <c r="EU672" s="1072" t="str">
        <f t="shared" si="100"/>
        <v/>
      </c>
      <c r="EV672" s="833" t="str">
        <f t="shared" si="101"/>
        <v/>
      </c>
      <c r="EW672" s="833" t="str">
        <f t="shared" si="102"/>
        <v/>
      </c>
      <c r="EX672" s="833" t="str">
        <f t="shared" si="103"/>
        <v/>
      </c>
      <c r="EY672" s="833" t="str">
        <f t="shared" si="104"/>
        <v/>
      </c>
      <c r="EZ672" s="833" t="str">
        <f t="shared" si="105"/>
        <v/>
      </c>
      <c r="FA672" s="833" t="str">
        <f t="shared" si="106"/>
        <v/>
      </c>
      <c r="FB672" s="833" t="str">
        <f t="shared" si="107"/>
        <v/>
      </c>
      <c r="FC672" s="833" t="str">
        <f t="shared" si="108"/>
        <v/>
      </c>
      <c r="FD672" s="833" t="str">
        <f t="shared" si="109"/>
        <v/>
      </c>
      <c r="FE672" s="833" t="str">
        <f t="shared" si="110"/>
        <v/>
      </c>
      <c r="FF672" s="833" t="str">
        <f t="shared" si="111"/>
        <v/>
      </c>
      <c r="FG672" s="833" t="str">
        <f t="shared" si="112"/>
        <v/>
      </c>
      <c r="FH672" s="833" t="str">
        <f t="shared" si="113"/>
        <v/>
      </c>
      <c r="FI672" s="833" t="str">
        <f t="shared" si="114"/>
        <v/>
      </c>
      <c r="FJ672" s="833" t="str">
        <f t="shared" si="115"/>
        <v/>
      </c>
      <c r="FK672" s="833" t="str">
        <f t="shared" si="116"/>
        <v/>
      </c>
      <c r="FL672" s="833" t="str">
        <f t="shared" si="117"/>
        <v/>
      </c>
      <c r="FM672" s="833" t="str">
        <f t="shared" si="118"/>
        <v/>
      </c>
      <c r="FN672" s="833" t="str">
        <f t="shared" si="119"/>
        <v/>
      </c>
      <c r="FO672" s="833" t="str">
        <f t="shared" si="120"/>
        <v/>
      </c>
      <c r="FP672" s="833" t="str">
        <f t="shared" si="121"/>
        <v/>
      </c>
      <c r="FQ672" s="833" t="str">
        <f t="shared" si="122"/>
        <v/>
      </c>
      <c r="FR672" s="833" t="str">
        <f t="shared" si="123"/>
        <v/>
      </c>
      <c r="FS672" s="833" t="str">
        <f t="shared" si="124"/>
        <v/>
      </c>
      <c r="FT672" s="833" t="str">
        <f t="shared" si="125"/>
        <v/>
      </c>
      <c r="FU672" s="833" t="str">
        <f t="shared" si="126"/>
        <v/>
      </c>
      <c r="FV672" s="833" t="str">
        <f t="shared" si="127"/>
        <v/>
      </c>
      <c r="FW672" s="833" t="str">
        <f t="shared" si="128"/>
        <v/>
      </c>
      <c r="FX672" s="833" t="str">
        <f t="shared" si="129"/>
        <v/>
      </c>
      <c r="FY672" s="833" t="str">
        <f t="shared" si="130"/>
        <v/>
      </c>
      <c r="FZ672" s="833" t="str">
        <f t="shared" si="131"/>
        <v/>
      </c>
      <c r="GA672" s="833" t="str">
        <f t="shared" si="132"/>
        <v/>
      </c>
      <c r="GB672" s="833" t="str">
        <f t="shared" si="133"/>
        <v/>
      </c>
      <c r="GC672" s="833" t="str">
        <f t="shared" si="134"/>
        <v/>
      </c>
      <c r="GD672" s="833" t="str">
        <f t="shared" si="135"/>
        <v/>
      </c>
      <c r="GE672" s="833" t="str">
        <f t="shared" si="136"/>
        <v/>
      </c>
      <c r="GF672" s="833" t="str">
        <f t="shared" si="137"/>
        <v/>
      </c>
      <c r="GG672" s="833" t="str">
        <f t="shared" si="138"/>
        <v/>
      </c>
      <c r="GH672" s="833" t="str">
        <f t="shared" si="139"/>
        <v/>
      </c>
      <c r="GI672" s="833" t="str">
        <f t="shared" si="140"/>
        <v/>
      </c>
      <c r="GJ672" s="833" t="str">
        <f t="shared" si="141"/>
        <v/>
      </c>
      <c r="GK672" s="833" t="str">
        <f t="shared" si="142"/>
        <v/>
      </c>
      <c r="GL672" s="833" t="str">
        <f t="shared" si="143"/>
        <v/>
      </c>
      <c r="GM672" s="833" t="str">
        <f t="shared" si="144"/>
        <v/>
      </c>
      <c r="GN672" s="833" t="str">
        <f t="shared" si="145"/>
        <v/>
      </c>
      <c r="GO672" s="1115" t="str">
        <f t="shared" si="146"/>
        <v/>
      </c>
      <c r="GP672" s="1115" t="str">
        <f t="shared" si="147"/>
        <v/>
      </c>
      <c r="GQ672" s="1115" t="str">
        <f t="shared" si="148"/>
        <v/>
      </c>
      <c r="GR672" s="1115" t="str">
        <f t="shared" si="149"/>
        <v/>
      </c>
      <c r="GS672" s="1115" t="str">
        <f t="shared" si="150"/>
        <v/>
      </c>
      <c r="GT672" s="1072" t="str">
        <f t="shared" si="151"/>
        <v/>
      </c>
      <c r="GU672" s="1072" t="str">
        <f t="shared" si="152"/>
        <v/>
      </c>
      <c r="GV672" s="1072" t="str">
        <f t="shared" si="153"/>
        <v/>
      </c>
      <c r="GW672" s="1072" t="str">
        <f t="shared" si="154"/>
        <v/>
      </c>
      <c r="GX672" s="1072" t="str">
        <f t="shared" si="155"/>
        <v/>
      </c>
      <c r="GY672" s="1072" t="str">
        <f t="shared" si="156"/>
        <v/>
      </c>
      <c r="GZ672" s="1072" t="str">
        <f t="shared" si="157"/>
        <v/>
      </c>
      <c r="HA672" s="1072" t="str">
        <f t="shared" si="158"/>
        <v/>
      </c>
      <c r="HB672" s="1072" t="str">
        <f t="shared" si="159"/>
        <v/>
      </c>
      <c r="HC672" s="1072" t="str">
        <f t="shared" si="160"/>
        <v/>
      </c>
      <c r="HD672" s="1072" t="str">
        <f t="shared" si="161"/>
        <v/>
      </c>
      <c r="HE672" s="1072" t="str">
        <f t="shared" si="162"/>
        <v/>
      </c>
      <c r="HF672" s="1072" t="str">
        <f t="shared" si="163"/>
        <v/>
      </c>
      <c r="HG672" s="1072" t="str">
        <f t="shared" si="164"/>
        <v/>
      </c>
      <c r="HH672" s="1072" t="str">
        <f t="shared" si="165"/>
        <v/>
      </c>
      <c r="HI672" s="1072" t="str">
        <f t="shared" si="166"/>
        <v/>
      </c>
      <c r="HJ672" s="1072" t="str">
        <f t="shared" si="167"/>
        <v/>
      </c>
      <c r="HK672" s="1072" t="str">
        <f t="shared" si="168"/>
        <v/>
      </c>
      <c r="HL672" s="1072" t="str">
        <f t="shared" si="169"/>
        <v/>
      </c>
      <c r="HM672" s="1072" t="str">
        <f t="shared" si="170"/>
        <v/>
      </c>
    </row>
    <row r="673" spans="1:221" ht="13.15" customHeight="1">
      <c r="A673" s="1084" t="str">
        <f t="shared" si="171"/>
        <v/>
      </c>
      <c r="B673" s="1037" t="str">
        <f>'Part VI-Revenues &amp; Expenses'!B39</f>
        <v>&lt;&lt;Select&gt;&gt;</v>
      </c>
      <c r="C673" s="1038">
        <f>'Part VI-Revenues &amp; Expenses'!C39</f>
        <v>0</v>
      </c>
      <c r="D673" s="1039">
        <f>'Part VI-Revenues &amp; Expenses'!D39</f>
        <v>0</v>
      </c>
      <c r="E673" s="1040">
        <f>'Part VI-Revenues &amp; Expenses'!E39</f>
        <v>0</v>
      </c>
      <c r="F673" s="1040">
        <f>'Part VI-Revenues &amp; Expenses'!F39</f>
        <v>0</v>
      </c>
      <c r="G673" s="1040">
        <f>'Part VI-Revenues &amp; Expenses'!G39</f>
        <v>0</v>
      </c>
      <c r="H673" s="1040">
        <f>'Part VI-Revenues &amp; Expenses'!H39</f>
        <v>0</v>
      </c>
      <c r="I673" s="1040">
        <f>'Part VI-Revenues &amp; Expenses'!I39</f>
        <v>0</v>
      </c>
      <c r="J673" s="1103">
        <f>'Part VI-Revenues &amp; Expenses'!J39</f>
        <v>0</v>
      </c>
      <c r="K673" s="908">
        <f t="shared" ref="K673:K680" si="205">MAX(0,H673-I673)</f>
        <v>0</v>
      </c>
      <c r="L673" s="908">
        <f t="shared" si="0"/>
        <v>0</v>
      </c>
      <c r="M673" s="831">
        <f>'Part VI-Revenues &amp; Expenses'!M39</f>
        <v>0</v>
      </c>
      <c r="N673" s="831">
        <f>'Part VI-Revenues &amp; Expenses'!N39</f>
        <v>0</v>
      </c>
      <c r="O673" s="831">
        <f>'Part VI-Revenues &amp; Expenses'!O39</f>
        <v>0</v>
      </c>
      <c r="P673" s="909">
        <f t="shared" si="203"/>
        <v>0</v>
      </c>
      <c r="Q673" s="910" t="str">
        <f>'Part VI-Revenues &amp; Expenses'!Q39</f>
        <v/>
      </c>
      <c r="R673" s="909"/>
      <c r="S673" s="910"/>
      <c r="T673" s="1576"/>
      <c r="U673" s="1576"/>
      <c r="V673" s="1072" t="str">
        <f t="shared" si="1"/>
        <v/>
      </c>
      <c r="W673" s="1072" t="str">
        <f t="shared" si="2"/>
        <v/>
      </c>
      <c r="X673" s="1072" t="str">
        <f t="shared" si="3"/>
        <v/>
      </c>
      <c r="Y673" s="1072" t="str">
        <f t="shared" si="4"/>
        <v/>
      </c>
      <c r="Z673" s="1072" t="str">
        <f t="shared" si="5"/>
        <v/>
      </c>
      <c r="AA673" s="1072" t="str">
        <f t="shared" si="6"/>
        <v/>
      </c>
      <c r="AB673" s="1072" t="str">
        <f t="shared" si="7"/>
        <v/>
      </c>
      <c r="AC673" s="1072" t="str">
        <f t="shared" si="8"/>
        <v/>
      </c>
      <c r="AD673" s="1072" t="str">
        <f t="shared" si="9"/>
        <v/>
      </c>
      <c r="AE673" s="1072" t="str">
        <f t="shared" si="10"/>
        <v/>
      </c>
      <c r="AF673" s="1072" t="str">
        <f t="shared" si="11"/>
        <v/>
      </c>
      <c r="AG673" s="1072" t="str">
        <f t="shared" si="12"/>
        <v/>
      </c>
      <c r="AH673" s="1072" t="str">
        <f t="shared" si="13"/>
        <v/>
      </c>
      <c r="AI673" s="1072" t="str">
        <f t="shared" si="14"/>
        <v/>
      </c>
      <c r="AJ673" s="1072" t="str">
        <f t="shared" si="15"/>
        <v/>
      </c>
      <c r="AK673" s="1072" t="str">
        <f t="shared" si="16"/>
        <v/>
      </c>
      <c r="AL673" s="1072" t="str">
        <f t="shared" si="17"/>
        <v/>
      </c>
      <c r="AM673" s="1072" t="str">
        <f t="shared" si="18"/>
        <v/>
      </c>
      <c r="AN673" s="1072" t="str">
        <f t="shared" si="19"/>
        <v/>
      </c>
      <c r="AO673" s="1072" t="str">
        <f t="shared" si="20"/>
        <v/>
      </c>
      <c r="AP673" s="1072" t="str">
        <f t="shared" si="173"/>
        <v/>
      </c>
      <c r="AQ673" s="1072" t="str">
        <f t="shared" si="174"/>
        <v/>
      </c>
      <c r="AR673" s="1072" t="str">
        <f t="shared" si="175"/>
        <v/>
      </c>
      <c r="AS673" s="1072" t="str">
        <f t="shared" si="176"/>
        <v/>
      </c>
      <c r="AT673" s="1072" t="str">
        <f t="shared" si="177"/>
        <v/>
      </c>
      <c r="AU673" s="1072" t="str">
        <f t="shared" si="178"/>
        <v/>
      </c>
      <c r="AV673" s="1072" t="str">
        <f t="shared" si="179"/>
        <v/>
      </c>
      <c r="AW673" s="1072" t="str">
        <f t="shared" si="180"/>
        <v/>
      </c>
      <c r="AX673" s="1072" t="str">
        <f t="shared" si="181"/>
        <v/>
      </c>
      <c r="AY673" s="1072" t="str">
        <f t="shared" si="182"/>
        <v/>
      </c>
      <c r="AZ673" s="1072" t="str">
        <f t="shared" si="183"/>
        <v/>
      </c>
      <c r="BA673" s="1072" t="str">
        <f t="shared" si="184"/>
        <v/>
      </c>
      <c r="BB673" s="1072" t="str">
        <f t="shared" si="185"/>
        <v/>
      </c>
      <c r="BC673" s="1072" t="str">
        <f t="shared" si="186"/>
        <v/>
      </c>
      <c r="BD673" s="1072" t="str">
        <f t="shared" si="187"/>
        <v/>
      </c>
      <c r="BE673" s="1072" t="str">
        <f t="shared" si="188"/>
        <v/>
      </c>
      <c r="BF673" s="1072" t="str">
        <f t="shared" si="189"/>
        <v/>
      </c>
      <c r="BG673" s="1072" t="str">
        <f t="shared" si="190"/>
        <v/>
      </c>
      <c r="BH673" s="1072" t="str">
        <f t="shared" si="191"/>
        <v/>
      </c>
      <c r="BI673" s="1072" t="str">
        <f t="shared" si="192"/>
        <v/>
      </c>
      <c r="BJ673" s="1072" t="str">
        <f t="shared" si="193"/>
        <v/>
      </c>
      <c r="BK673" s="1072" t="str">
        <f t="shared" si="194"/>
        <v/>
      </c>
      <c r="BL673" s="1072" t="str">
        <f t="shared" si="195"/>
        <v/>
      </c>
      <c r="BM673" s="1072" t="str">
        <f t="shared" si="196"/>
        <v/>
      </c>
      <c r="BN673" s="1072" t="str">
        <f t="shared" si="197"/>
        <v/>
      </c>
      <c r="BO673" s="1072" t="str">
        <f t="shared" si="198"/>
        <v/>
      </c>
      <c r="BP673" s="1072" t="str">
        <f t="shared" si="199"/>
        <v/>
      </c>
      <c r="BQ673" s="1072" t="str">
        <f t="shared" si="200"/>
        <v/>
      </c>
      <c r="BR673" s="1072" t="str">
        <f t="shared" si="201"/>
        <v/>
      </c>
      <c r="BS673" s="1072" t="str">
        <f t="shared" si="202"/>
        <v/>
      </c>
      <c r="BT673" s="1072" t="str">
        <f t="shared" si="21"/>
        <v/>
      </c>
      <c r="BU673" s="1072" t="str">
        <f t="shared" si="22"/>
        <v/>
      </c>
      <c r="BV673" s="1072" t="str">
        <f t="shared" si="23"/>
        <v/>
      </c>
      <c r="BW673" s="1072" t="str">
        <f t="shared" si="24"/>
        <v/>
      </c>
      <c r="BX673" s="1072" t="str">
        <f t="shared" si="25"/>
        <v/>
      </c>
      <c r="BY673" s="1072" t="str">
        <f t="shared" si="26"/>
        <v/>
      </c>
      <c r="BZ673" s="1072" t="str">
        <f t="shared" si="27"/>
        <v/>
      </c>
      <c r="CA673" s="1072" t="str">
        <f t="shared" si="28"/>
        <v/>
      </c>
      <c r="CB673" s="1072" t="str">
        <f t="shared" si="29"/>
        <v/>
      </c>
      <c r="CC673" s="1072" t="str">
        <f t="shared" si="30"/>
        <v/>
      </c>
      <c r="CD673" s="1072" t="str">
        <f t="shared" si="31"/>
        <v/>
      </c>
      <c r="CE673" s="1072" t="str">
        <f t="shared" si="32"/>
        <v/>
      </c>
      <c r="CF673" s="1072" t="str">
        <f t="shared" si="33"/>
        <v/>
      </c>
      <c r="CG673" s="1072" t="str">
        <f t="shared" si="34"/>
        <v/>
      </c>
      <c r="CH673" s="1072" t="str">
        <f t="shared" si="35"/>
        <v/>
      </c>
      <c r="CI673" s="1072" t="str">
        <f t="shared" si="36"/>
        <v/>
      </c>
      <c r="CJ673" s="1072" t="str">
        <f t="shared" si="37"/>
        <v/>
      </c>
      <c r="CK673" s="1072" t="str">
        <f t="shared" si="38"/>
        <v/>
      </c>
      <c r="CL673" s="1072" t="str">
        <f t="shared" si="39"/>
        <v/>
      </c>
      <c r="CM673" s="1072" t="str">
        <f t="shared" si="40"/>
        <v/>
      </c>
      <c r="CN673" s="1072" t="str">
        <f t="shared" si="41"/>
        <v/>
      </c>
      <c r="CO673" s="1072" t="str">
        <f t="shared" si="42"/>
        <v/>
      </c>
      <c r="CP673" s="1072" t="str">
        <f t="shared" si="43"/>
        <v/>
      </c>
      <c r="CQ673" s="1072" t="str">
        <f t="shared" si="44"/>
        <v/>
      </c>
      <c r="CR673" s="1072" t="str">
        <f t="shared" si="45"/>
        <v/>
      </c>
      <c r="CS673" s="1072" t="str">
        <f t="shared" si="46"/>
        <v/>
      </c>
      <c r="CT673" s="1072" t="str">
        <f t="shared" si="47"/>
        <v/>
      </c>
      <c r="CU673" s="1072" t="str">
        <f t="shared" si="48"/>
        <v/>
      </c>
      <c r="CV673" s="1072" t="str">
        <f t="shared" si="49"/>
        <v/>
      </c>
      <c r="CW673" s="1072" t="str">
        <f t="shared" si="50"/>
        <v/>
      </c>
      <c r="CX673" s="1072" t="str">
        <f t="shared" si="51"/>
        <v/>
      </c>
      <c r="CY673" s="1072" t="str">
        <f t="shared" si="52"/>
        <v/>
      </c>
      <c r="CZ673" s="1072" t="str">
        <f t="shared" si="53"/>
        <v/>
      </c>
      <c r="DA673" s="1072" t="str">
        <f t="shared" si="54"/>
        <v/>
      </c>
      <c r="DB673" s="1072" t="str">
        <f t="shared" si="55"/>
        <v/>
      </c>
      <c r="DC673" s="1072" t="str">
        <f t="shared" si="56"/>
        <v/>
      </c>
      <c r="DD673" s="1072" t="str">
        <f t="shared" si="57"/>
        <v/>
      </c>
      <c r="DE673" s="1072" t="str">
        <f t="shared" si="58"/>
        <v/>
      </c>
      <c r="DF673" s="1072" t="str">
        <f t="shared" si="59"/>
        <v/>
      </c>
      <c r="DG673" s="1072" t="str">
        <f t="shared" si="60"/>
        <v/>
      </c>
      <c r="DH673" s="1072" t="str">
        <f t="shared" si="61"/>
        <v/>
      </c>
      <c r="DI673" s="1072" t="str">
        <f t="shared" si="62"/>
        <v/>
      </c>
      <c r="DJ673" s="1072" t="str">
        <f t="shared" si="63"/>
        <v/>
      </c>
      <c r="DK673" s="1072" t="str">
        <f t="shared" si="64"/>
        <v/>
      </c>
      <c r="DL673" s="1072" t="str">
        <f t="shared" si="65"/>
        <v/>
      </c>
      <c r="DM673" s="1072" t="str">
        <f t="shared" si="66"/>
        <v/>
      </c>
      <c r="DN673" s="1072" t="str">
        <f t="shared" si="67"/>
        <v/>
      </c>
      <c r="DO673" s="1072" t="str">
        <f t="shared" si="68"/>
        <v/>
      </c>
      <c r="DP673" s="1072" t="str">
        <f t="shared" si="69"/>
        <v/>
      </c>
      <c r="DQ673" s="1072" t="str">
        <f t="shared" si="70"/>
        <v/>
      </c>
      <c r="DR673" s="1072" t="str">
        <f t="shared" si="71"/>
        <v/>
      </c>
      <c r="DS673" s="1072" t="str">
        <f t="shared" si="72"/>
        <v/>
      </c>
      <c r="DT673" s="1072" t="str">
        <f t="shared" si="73"/>
        <v/>
      </c>
      <c r="DU673" s="1072" t="str">
        <f t="shared" si="74"/>
        <v/>
      </c>
      <c r="DV673" s="1072" t="str">
        <f t="shared" si="75"/>
        <v/>
      </c>
      <c r="DW673" s="1072" t="str">
        <f t="shared" si="76"/>
        <v/>
      </c>
      <c r="DX673" s="1072" t="str">
        <f t="shared" si="77"/>
        <v/>
      </c>
      <c r="DY673" s="1072" t="str">
        <f t="shared" si="78"/>
        <v/>
      </c>
      <c r="DZ673" s="1072" t="str">
        <f t="shared" si="79"/>
        <v/>
      </c>
      <c r="EA673" s="1072" t="str">
        <f t="shared" si="80"/>
        <v/>
      </c>
      <c r="EB673" s="1072" t="str">
        <f t="shared" si="81"/>
        <v/>
      </c>
      <c r="EC673" s="1072" t="str">
        <f t="shared" si="82"/>
        <v/>
      </c>
      <c r="ED673" s="1072" t="str">
        <f t="shared" si="83"/>
        <v/>
      </c>
      <c r="EE673" s="1072" t="str">
        <f t="shared" si="84"/>
        <v/>
      </c>
      <c r="EF673" s="1072" t="str">
        <f t="shared" si="85"/>
        <v/>
      </c>
      <c r="EG673" s="1072" t="str">
        <f t="shared" si="86"/>
        <v/>
      </c>
      <c r="EH673" s="1072" t="str">
        <f t="shared" si="87"/>
        <v/>
      </c>
      <c r="EI673" s="1072" t="str">
        <f t="shared" si="88"/>
        <v/>
      </c>
      <c r="EJ673" s="1072" t="str">
        <f t="shared" si="89"/>
        <v/>
      </c>
      <c r="EK673" s="1072" t="str">
        <f t="shared" si="90"/>
        <v/>
      </c>
      <c r="EL673" s="1072" t="str">
        <f t="shared" si="91"/>
        <v/>
      </c>
      <c r="EM673" s="1072" t="str">
        <f t="shared" si="92"/>
        <v/>
      </c>
      <c r="EN673" s="1072" t="str">
        <f t="shared" si="93"/>
        <v/>
      </c>
      <c r="EO673" s="1072" t="str">
        <f t="shared" si="94"/>
        <v/>
      </c>
      <c r="EP673" s="1072" t="str">
        <f t="shared" si="95"/>
        <v/>
      </c>
      <c r="EQ673" s="1072" t="str">
        <f t="shared" si="96"/>
        <v/>
      </c>
      <c r="ER673" s="1072" t="str">
        <f t="shared" si="97"/>
        <v/>
      </c>
      <c r="ES673" s="1072" t="str">
        <f t="shared" si="98"/>
        <v/>
      </c>
      <c r="ET673" s="1072" t="str">
        <f t="shared" si="99"/>
        <v/>
      </c>
      <c r="EU673" s="1072" t="str">
        <f t="shared" si="100"/>
        <v/>
      </c>
      <c r="EV673" s="833" t="str">
        <f t="shared" si="101"/>
        <v/>
      </c>
      <c r="EW673" s="833" t="str">
        <f t="shared" si="102"/>
        <v/>
      </c>
      <c r="EX673" s="833" t="str">
        <f t="shared" si="103"/>
        <v/>
      </c>
      <c r="EY673" s="833" t="str">
        <f t="shared" si="104"/>
        <v/>
      </c>
      <c r="EZ673" s="833" t="str">
        <f t="shared" si="105"/>
        <v/>
      </c>
      <c r="FA673" s="833" t="str">
        <f t="shared" si="106"/>
        <v/>
      </c>
      <c r="FB673" s="833" t="str">
        <f t="shared" si="107"/>
        <v/>
      </c>
      <c r="FC673" s="833" t="str">
        <f t="shared" si="108"/>
        <v/>
      </c>
      <c r="FD673" s="833" t="str">
        <f t="shared" si="109"/>
        <v/>
      </c>
      <c r="FE673" s="833" t="str">
        <f t="shared" si="110"/>
        <v/>
      </c>
      <c r="FF673" s="833" t="str">
        <f t="shared" si="111"/>
        <v/>
      </c>
      <c r="FG673" s="833" t="str">
        <f t="shared" si="112"/>
        <v/>
      </c>
      <c r="FH673" s="833" t="str">
        <f t="shared" si="113"/>
        <v/>
      </c>
      <c r="FI673" s="833" t="str">
        <f t="shared" si="114"/>
        <v/>
      </c>
      <c r="FJ673" s="833" t="str">
        <f t="shared" si="115"/>
        <v/>
      </c>
      <c r="FK673" s="833" t="str">
        <f t="shared" si="116"/>
        <v/>
      </c>
      <c r="FL673" s="833" t="str">
        <f t="shared" si="117"/>
        <v/>
      </c>
      <c r="FM673" s="833" t="str">
        <f t="shared" si="118"/>
        <v/>
      </c>
      <c r="FN673" s="833" t="str">
        <f t="shared" si="119"/>
        <v/>
      </c>
      <c r="FO673" s="833" t="str">
        <f t="shared" si="120"/>
        <v/>
      </c>
      <c r="FP673" s="833" t="str">
        <f t="shared" si="121"/>
        <v/>
      </c>
      <c r="FQ673" s="833" t="str">
        <f t="shared" si="122"/>
        <v/>
      </c>
      <c r="FR673" s="833" t="str">
        <f t="shared" si="123"/>
        <v/>
      </c>
      <c r="FS673" s="833" t="str">
        <f t="shared" si="124"/>
        <v/>
      </c>
      <c r="FT673" s="833" t="str">
        <f t="shared" si="125"/>
        <v/>
      </c>
      <c r="FU673" s="833" t="str">
        <f t="shared" si="126"/>
        <v/>
      </c>
      <c r="FV673" s="833" t="str">
        <f t="shared" si="127"/>
        <v/>
      </c>
      <c r="FW673" s="833" t="str">
        <f t="shared" si="128"/>
        <v/>
      </c>
      <c r="FX673" s="833" t="str">
        <f t="shared" si="129"/>
        <v/>
      </c>
      <c r="FY673" s="833" t="str">
        <f t="shared" si="130"/>
        <v/>
      </c>
      <c r="FZ673" s="833" t="str">
        <f t="shared" si="131"/>
        <v/>
      </c>
      <c r="GA673" s="833" t="str">
        <f t="shared" si="132"/>
        <v/>
      </c>
      <c r="GB673" s="833" t="str">
        <f t="shared" si="133"/>
        <v/>
      </c>
      <c r="GC673" s="833" t="str">
        <f t="shared" si="134"/>
        <v/>
      </c>
      <c r="GD673" s="833" t="str">
        <f t="shared" si="135"/>
        <v/>
      </c>
      <c r="GE673" s="833" t="str">
        <f t="shared" si="136"/>
        <v/>
      </c>
      <c r="GF673" s="833" t="str">
        <f t="shared" si="137"/>
        <v/>
      </c>
      <c r="GG673" s="833" t="str">
        <f t="shared" si="138"/>
        <v/>
      </c>
      <c r="GH673" s="833" t="str">
        <f t="shared" si="139"/>
        <v/>
      </c>
      <c r="GI673" s="833" t="str">
        <f t="shared" si="140"/>
        <v/>
      </c>
      <c r="GJ673" s="833" t="str">
        <f t="shared" si="141"/>
        <v/>
      </c>
      <c r="GK673" s="833" t="str">
        <f t="shared" si="142"/>
        <v/>
      </c>
      <c r="GL673" s="833" t="str">
        <f t="shared" si="143"/>
        <v/>
      </c>
      <c r="GM673" s="833" t="str">
        <f t="shared" si="144"/>
        <v/>
      </c>
      <c r="GN673" s="833" t="str">
        <f t="shared" si="145"/>
        <v/>
      </c>
      <c r="GO673" s="1115" t="str">
        <f t="shared" si="146"/>
        <v/>
      </c>
      <c r="GP673" s="1115" t="str">
        <f t="shared" si="147"/>
        <v/>
      </c>
      <c r="GQ673" s="1115" t="str">
        <f t="shared" si="148"/>
        <v/>
      </c>
      <c r="GR673" s="1115" t="str">
        <f t="shared" si="149"/>
        <v/>
      </c>
      <c r="GS673" s="1115" t="str">
        <f t="shared" si="150"/>
        <v/>
      </c>
      <c r="GT673" s="1072" t="str">
        <f t="shared" si="151"/>
        <v/>
      </c>
      <c r="GU673" s="1072" t="str">
        <f t="shared" si="152"/>
        <v/>
      </c>
      <c r="GV673" s="1072" t="str">
        <f t="shared" si="153"/>
        <v/>
      </c>
      <c r="GW673" s="1072" t="str">
        <f t="shared" si="154"/>
        <v/>
      </c>
      <c r="GX673" s="1072" t="str">
        <f t="shared" si="155"/>
        <v/>
      </c>
      <c r="GY673" s="1072" t="str">
        <f t="shared" si="156"/>
        <v/>
      </c>
      <c r="GZ673" s="1072" t="str">
        <f t="shared" si="157"/>
        <v/>
      </c>
      <c r="HA673" s="1072" t="str">
        <f t="shared" si="158"/>
        <v/>
      </c>
      <c r="HB673" s="1072" t="str">
        <f t="shared" si="159"/>
        <v/>
      </c>
      <c r="HC673" s="1072" t="str">
        <f t="shared" si="160"/>
        <v/>
      </c>
      <c r="HD673" s="1072" t="str">
        <f t="shared" si="161"/>
        <v/>
      </c>
      <c r="HE673" s="1072" t="str">
        <f t="shared" si="162"/>
        <v/>
      </c>
      <c r="HF673" s="1072" t="str">
        <f t="shared" si="163"/>
        <v/>
      </c>
      <c r="HG673" s="1072" t="str">
        <f t="shared" si="164"/>
        <v/>
      </c>
      <c r="HH673" s="1072" t="str">
        <f t="shared" si="165"/>
        <v/>
      </c>
      <c r="HI673" s="1072" t="str">
        <f t="shared" si="166"/>
        <v/>
      </c>
      <c r="HJ673" s="1072" t="str">
        <f t="shared" si="167"/>
        <v/>
      </c>
      <c r="HK673" s="1072" t="str">
        <f t="shared" si="168"/>
        <v/>
      </c>
      <c r="HL673" s="1072" t="str">
        <f t="shared" si="169"/>
        <v/>
      </c>
      <c r="HM673" s="1072" t="str">
        <f t="shared" si="170"/>
        <v/>
      </c>
    </row>
    <row r="674" spans="1:221" ht="13.15" customHeight="1">
      <c r="A674" s="1084" t="str">
        <f t="shared" si="171"/>
        <v/>
      </c>
      <c r="B674" s="1037" t="str">
        <f>'Part VI-Revenues &amp; Expenses'!B40</f>
        <v>&lt;&lt;Select&gt;&gt;</v>
      </c>
      <c r="C674" s="1038">
        <f>'Part VI-Revenues &amp; Expenses'!C40</f>
        <v>0</v>
      </c>
      <c r="D674" s="1039">
        <f>'Part VI-Revenues &amp; Expenses'!D40</f>
        <v>0</v>
      </c>
      <c r="E674" s="1040">
        <f>'Part VI-Revenues &amp; Expenses'!E40</f>
        <v>0</v>
      </c>
      <c r="F674" s="1040">
        <f>'Part VI-Revenues &amp; Expenses'!F40</f>
        <v>0</v>
      </c>
      <c r="G674" s="1040">
        <f>'Part VI-Revenues &amp; Expenses'!G40</f>
        <v>0</v>
      </c>
      <c r="H674" s="1040">
        <f>'Part VI-Revenues &amp; Expenses'!H40</f>
        <v>0</v>
      </c>
      <c r="I674" s="1040">
        <f>'Part VI-Revenues &amp; Expenses'!I40</f>
        <v>0</v>
      </c>
      <c r="J674" s="1103">
        <f>'Part VI-Revenues &amp; Expenses'!J40</f>
        <v>0</v>
      </c>
      <c r="K674" s="908">
        <f t="shared" si="205"/>
        <v>0</v>
      </c>
      <c r="L674" s="908">
        <f t="shared" si="0"/>
        <v>0</v>
      </c>
      <c r="M674" s="831">
        <f>'Part VI-Revenues &amp; Expenses'!M40</f>
        <v>0</v>
      </c>
      <c r="N674" s="831">
        <f>'Part VI-Revenues &amp; Expenses'!N40</f>
        <v>0</v>
      </c>
      <c r="O674" s="831">
        <f>'Part VI-Revenues &amp; Expenses'!O40</f>
        <v>0</v>
      </c>
      <c r="P674" s="909">
        <f t="shared" si="203"/>
        <v>0</v>
      </c>
      <c r="Q674" s="910" t="str">
        <f>'Part VI-Revenues &amp; Expenses'!Q40</f>
        <v/>
      </c>
      <c r="R674" s="909"/>
      <c r="S674" s="910"/>
      <c r="T674" s="1576"/>
      <c r="U674" s="1576"/>
      <c r="V674" s="1072" t="str">
        <f t="shared" si="1"/>
        <v/>
      </c>
      <c r="W674" s="1072" t="str">
        <f t="shared" si="2"/>
        <v/>
      </c>
      <c r="X674" s="1072" t="str">
        <f t="shared" si="3"/>
        <v/>
      </c>
      <c r="Y674" s="1072" t="str">
        <f t="shared" si="4"/>
        <v/>
      </c>
      <c r="Z674" s="1072" t="str">
        <f t="shared" si="5"/>
        <v/>
      </c>
      <c r="AA674" s="1072" t="str">
        <f t="shared" si="6"/>
        <v/>
      </c>
      <c r="AB674" s="1072" t="str">
        <f t="shared" si="7"/>
        <v/>
      </c>
      <c r="AC674" s="1072" t="str">
        <f t="shared" si="8"/>
        <v/>
      </c>
      <c r="AD674" s="1072" t="str">
        <f t="shared" si="9"/>
        <v/>
      </c>
      <c r="AE674" s="1072" t="str">
        <f t="shared" si="10"/>
        <v/>
      </c>
      <c r="AF674" s="1072" t="str">
        <f t="shared" si="11"/>
        <v/>
      </c>
      <c r="AG674" s="1072" t="str">
        <f t="shared" si="12"/>
        <v/>
      </c>
      <c r="AH674" s="1072" t="str">
        <f t="shared" si="13"/>
        <v/>
      </c>
      <c r="AI674" s="1072" t="str">
        <f t="shared" si="14"/>
        <v/>
      </c>
      <c r="AJ674" s="1072" t="str">
        <f t="shared" si="15"/>
        <v/>
      </c>
      <c r="AK674" s="1072" t="str">
        <f t="shared" si="16"/>
        <v/>
      </c>
      <c r="AL674" s="1072" t="str">
        <f t="shared" si="17"/>
        <v/>
      </c>
      <c r="AM674" s="1072" t="str">
        <f t="shared" si="18"/>
        <v/>
      </c>
      <c r="AN674" s="1072" t="str">
        <f t="shared" si="19"/>
        <v/>
      </c>
      <c r="AO674" s="1072" t="str">
        <f t="shared" si="20"/>
        <v/>
      </c>
      <c r="AP674" s="1072" t="str">
        <f t="shared" si="173"/>
        <v/>
      </c>
      <c r="AQ674" s="1072" t="str">
        <f t="shared" si="174"/>
        <v/>
      </c>
      <c r="AR674" s="1072" t="str">
        <f t="shared" si="175"/>
        <v/>
      </c>
      <c r="AS674" s="1072" t="str">
        <f t="shared" si="176"/>
        <v/>
      </c>
      <c r="AT674" s="1072" t="str">
        <f t="shared" si="177"/>
        <v/>
      </c>
      <c r="AU674" s="1072" t="str">
        <f t="shared" si="178"/>
        <v/>
      </c>
      <c r="AV674" s="1072" t="str">
        <f t="shared" si="179"/>
        <v/>
      </c>
      <c r="AW674" s="1072" t="str">
        <f t="shared" si="180"/>
        <v/>
      </c>
      <c r="AX674" s="1072" t="str">
        <f t="shared" si="181"/>
        <v/>
      </c>
      <c r="AY674" s="1072" t="str">
        <f t="shared" si="182"/>
        <v/>
      </c>
      <c r="AZ674" s="1072" t="str">
        <f t="shared" si="183"/>
        <v/>
      </c>
      <c r="BA674" s="1072" t="str">
        <f t="shared" si="184"/>
        <v/>
      </c>
      <c r="BB674" s="1072" t="str">
        <f t="shared" si="185"/>
        <v/>
      </c>
      <c r="BC674" s="1072" t="str">
        <f t="shared" si="186"/>
        <v/>
      </c>
      <c r="BD674" s="1072" t="str">
        <f t="shared" si="187"/>
        <v/>
      </c>
      <c r="BE674" s="1072" t="str">
        <f t="shared" si="188"/>
        <v/>
      </c>
      <c r="BF674" s="1072" t="str">
        <f t="shared" si="189"/>
        <v/>
      </c>
      <c r="BG674" s="1072" t="str">
        <f t="shared" si="190"/>
        <v/>
      </c>
      <c r="BH674" s="1072" t="str">
        <f t="shared" si="191"/>
        <v/>
      </c>
      <c r="BI674" s="1072" t="str">
        <f t="shared" si="192"/>
        <v/>
      </c>
      <c r="BJ674" s="1072" t="str">
        <f t="shared" si="193"/>
        <v/>
      </c>
      <c r="BK674" s="1072" t="str">
        <f t="shared" si="194"/>
        <v/>
      </c>
      <c r="BL674" s="1072" t="str">
        <f t="shared" si="195"/>
        <v/>
      </c>
      <c r="BM674" s="1072" t="str">
        <f t="shared" si="196"/>
        <v/>
      </c>
      <c r="BN674" s="1072" t="str">
        <f t="shared" si="197"/>
        <v/>
      </c>
      <c r="BO674" s="1072" t="str">
        <f t="shared" si="198"/>
        <v/>
      </c>
      <c r="BP674" s="1072" t="str">
        <f t="shared" si="199"/>
        <v/>
      </c>
      <c r="BQ674" s="1072" t="str">
        <f t="shared" si="200"/>
        <v/>
      </c>
      <c r="BR674" s="1072" t="str">
        <f t="shared" si="201"/>
        <v/>
      </c>
      <c r="BS674" s="1072" t="str">
        <f t="shared" si="202"/>
        <v/>
      </c>
      <c r="BT674" s="1072" t="str">
        <f t="shared" si="21"/>
        <v/>
      </c>
      <c r="BU674" s="1072" t="str">
        <f t="shared" si="22"/>
        <v/>
      </c>
      <c r="BV674" s="1072" t="str">
        <f t="shared" si="23"/>
        <v/>
      </c>
      <c r="BW674" s="1072" t="str">
        <f t="shared" si="24"/>
        <v/>
      </c>
      <c r="BX674" s="1072" t="str">
        <f t="shared" si="25"/>
        <v/>
      </c>
      <c r="BY674" s="1072" t="str">
        <f t="shared" si="26"/>
        <v/>
      </c>
      <c r="BZ674" s="1072" t="str">
        <f t="shared" si="27"/>
        <v/>
      </c>
      <c r="CA674" s="1072" t="str">
        <f t="shared" si="28"/>
        <v/>
      </c>
      <c r="CB674" s="1072" t="str">
        <f t="shared" si="29"/>
        <v/>
      </c>
      <c r="CC674" s="1072" t="str">
        <f t="shared" si="30"/>
        <v/>
      </c>
      <c r="CD674" s="1072" t="str">
        <f t="shared" si="31"/>
        <v/>
      </c>
      <c r="CE674" s="1072" t="str">
        <f t="shared" si="32"/>
        <v/>
      </c>
      <c r="CF674" s="1072" t="str">
        <f t="shared" si="33"/>
        <v/>
      </c>
      <c r="CG674" s="1072" t="str">
        <f t="shared" si="34"/>
        <v/>
      </c>
      <c r="CH674" s="1072" t="str">
        <f t="shared" si="35"/>
        <v/>
      </c>
      <c r="CI674" s="1072" t="str">
        <f t="shared" si="36"/>
        <v/>
      </c>
      <c r="CJ674" s="1072" t="str">
        <f t="shared" si="37"/>
        <v/>
      </c>
      <c r="CK674" s="1072" t="str">
        <f t="shared" si="38"/>
        <v/>
      </c>
      <c r="CL674" s="1072" t="str">
        <f t="shared" si="39"/>
        <v/>
      </c>
      <c r="CM674" s="1072" t="str">
        <f t="shared" si="40"/>
        <v/>
      </c>
      <c r="CN674" s="1072" t="str">
        <f t="shared" si="41"/>
        <v/>
      </c>
      <c r="CO674" s="1072" t="str">
        <f t="shared" si="42"/>
        <v/>
      </c>
      <c r="CP674" s="1072" t="str">
        <f t="shared" si="43"/>
        <v/>
      </c>
      <c r="CQ674" s="1072" t="str">
        <f t="shared" si="44"/>
        <v/>
      </c>
      <c r="CR674" s="1072" t="str">
        <f t="shared" si="45"/>
        <v/>
      </c>
      <c r="CS674" s="1072" t="str">
        <f t="shared" si="46"/>
        <v/>
      </c>
      <c r="CT674" s="1072" t="str">
        <f t="shared" si="47"/>
        <v/>
      </c>
      <c r="CU674" s="1072" t="str">
        <f t="shared" si="48"/>
        <v/>
      </c>
      <c r="CV674" s="1072" t="str">
        <f t="shared" si="49"/>
        <v/>
      </c>
      <c r="CW674" s="1072" t="str">
        <f t="shared" si="50"/>
        <v/>
      </c>
      <c r="CX674" s="1072" t="str">
        <f t="shared" si="51"/>
        <v/>
      </c>
      <c r="CY674" s="1072" t="str">
        <f t="shared" si="52"/>
        <v/>
      </c>
      <c r="CZ674" s="1072" t="str">
        <f t="shared" si="53"/>
        <v/>
      </c>
      <c r="DA674" s="1072" t="str">
        <f t="shared" si="54"/>
        <v/>
      </c>
      <c r="DB674" s="1072" t="str">
        <f t="shared" si="55"/>
        <v/>
      </c>
      <c r="DC674" s="1072" t="str">
        <f t="shared" si="56"/>
        <v/>
      </c>
      <c r="DD674" s="1072" t="str">
        <f t="shared" si="57"/>
        <v/>
      </c>
      <c r="DE674" s="1072" t="str">
        <f t="shared" si="58"/>
        <v/>
      </c>
      <c r="DF674" s="1072" t="str">
        <f t="shared" si="59"/>
        <v/>
      </c>
      <c r="DG674" s="1072" t="str">
        <f t="shared" si="60"/>
        <v/>
      </c>
      <c r="DH674" s="1072" t="str">
        <f t="shared" si="61"/>
        <v/>
      </c>
      <c r="DI674" s="1072" t="str">
        <f t="shared" si="62"/>
        <v/>
      </c>
      <c r="DJ674" s="1072" t="str">
        <f t="shared" si="63"/>
        <v/>
      </c>
      <c r="DK674" s="1072" t="str">
        <f t="shared" si="64"/>
        <v/>
      </c>
      <c r="DL674" s="1072" t="str">
        <f t="shared" si="65"/>
        <v/>
      </c>
      <c r="DM674" s="1072" t="str">
        <f t="shared" si="66"/>
        <v/>
      </c>
      <c r="DN674" s="1072" t="str">
        <f t="shared" si="67"/>
        <v/>
      </c>
      <c r="DO674" s="1072" t="str">
        <f t="shared" si="68"/>
        <v/>
      </c>
      <c r="DP674" s="1072" t="str">
        <f t="shared" si="69"/>
        <v/>
      </c>
      <c r="DQ674" s="1072" t="str">
        <f t="shared" si="70"/>
        <v/>
      </c>
      <c r="DR674" s="1072" t="str">
        <f t="shared" si="71"/>
        <v/>
      </c>
      <c r="DS674" s="1072" t="str">
        <f t="shared" si="72"/>
        <v/>
      </c>
      <c r="DT674" s="1072" t="str">
        <f t="shared" si="73"/>
        <v/>
      </c>
      <c r="DU674" s="1072" t="str">
        <f t="shared" si="74"/>
        <v/>
      </c>
      <c r="DV674" s="1072" t="str">
        <f t="shared" si="75"/>
        <v/>
      </c>
      <c r="DW674" s="1072" t="str">
        <f t="shared" si="76"/>
        <v/>
      </c>
      <c r="DX674" s="1072" t="str">
        <f t="shared" si="77"/>
        <v/>
      </c>
      <c r="DY674" s="1072" t="str">
        <f t="shared" si="78"/>
        <v/>
      </c>
      <c r="DZ674" s="1072" t="str">
        <f t="shared" si="79"/>
        <v/>
      </c>
      <c r="EA674" s="1072" t="str">
        <f t="shared" si="80"/>
        <v/>
      </c>
      <c r="EB674" s="1072" t="str">
        <f t="shared" si="81"/>
        <v/>
      </c>
      <c r="EC674" s="1072" t="str">
        <f t="shared" si="82"/>
        <v/>
      </c>
      <c r="ED674" s="1072" t="str">
        <f t="shared" si="83"/>
        <v/>
      </c>
      <c r="EE674" s="1072" t="str">
        <f t="shared" si="84"/>
        <v/>
      </c>
      <c r="EF674" s="1072" t="str">
        <f t="shared" si="85"/>
        <v/>
      </c>
      <c r="EG674" s="1072" t="str">
        <f t="shared" si="86"/>
        <v/>
      </c>
      <c r="EH674" s="1072" t="str">
        <f t="shared" si="87"/>
        <v/>
      </c>
      <c r="EI674" s="1072" t="str">
        <f t="shared" si="88"/>
        <v/>
      </c>
      <c r="EJ674" s="1072" t="str">
        <f t="shared" si="89"/>
        <v/>
      </c>
      <c r="EK674" s="1072" t="str">
        <f t="shared" si="90"/>
        <v/>
      </c>
      <c r="EL674" s="1072" t="str">
        <f t="shared" si="91"/>
        <v/>
      </c>
      <c r="EM674" s="1072" t="str">
        <f t="shared" si="92"/>
        <v/>
      </c>
      <c r="EN674" s="1072" t="str">
        <f t="shared" si="93"/>
        <v/>
      </c>
      <c r="EO674" s="1072" t="str">
        <f t="shared" si="94"/>
        <v/>
      </c>
      <c r="EP674" s="1072" t="str">
        <f t="shared" si="95"/>
        <v/>
      </c>
      <c r="EQ674" s="1072" t="str">
        <f t="shared" si="96"/>
        <v/>
      </c>
      <c r="ER674" s="1072" t="str">
        <f t="shared" si="97"/>
        <v/>
      </c>
      <c r="ES674" s="1072" t="str">
        <f t="shared" si="98"/>
        <v/>
      </c>
      <c r="ET674" s="1072" t="str">
        <f t="shared" si="99"/>
        <v/>
      </c>
      <c r="EU674" s="1072" t="str">
        <f t="shared" si="100"/>
        <v/>
      </c>
      <c r="EV674" s="833" t="str">
        <f t="shared" si="101"/>
        <v/>
      </c>
      <c r="EW674" s="833" t="str">
        <f t="shared" si="102"/>
        <v/>
      </c>
      <c r="EX674" s="833" t="str">
        <f t="shared" si="103"/>
        <v/>
      </c>
      <c r="EY674" s="833" t="str">
        <f t="shared" si="104"/>
        <v/>
      </c>
      <c r="EZ674" s="833" t="str">
        <f t="shared" si="105"/>
        <v/>
      </c>
      <c r="FA674" s="833" t="str">
        <f t="shared" si="106"/>
        <v/>
      </c>
      <c r="FB674" s="833" t="str">
        <f t="shared" si="107"/>
        <v/>
      </c>
      <c r="FC674" s="833" t="str">
        <f t="shared" si="108"/>
        <v/>
      </c>
      <c r="FD674" s="833" t="str">
        <f t="shared" si="109"/>
        <v/>
      </c>
      <c r="FE674" s="833" t="str">
        <f t="shared" si="110"/>
        <v/>
      </c>
      <c r="FF674" s="833" t="str">
        <f t="shared" si="111"/>
        <v/>
      </c>
      <c r="FG674" s="833" t="str">
        <f t="shared" si="112"/>
        <v/>
      </c>
      <c r="FH674" s="833" t="str">
        <f t="shared" si="113"/>
        <v/>
      </c>
      <c r="FI674" s="833" t="str">
        <f t="shared" si="114"/>
        <v/>
      </c>
      <c r="FJ674" s="833" t="str">
        <f t="shared" si="115"/>
        <v/>
      </c>
      <c r="FK674" s="833" t="str">
        <f t="shared" si="116"/>
        <v/>
      </c>
      <c r="FL674" s="833" t="str">
        <f t="shared" si="117"/>
        <v/>
      </c>
      <c r="FM674" s="833" t="str">
        <f t="shared" si="118"/>
        <v/>
      </c>
      <c r="FN674" s="833" t="str">
        <f t="shared" si="119"/>
        <v/>
      </c>
      <c r="FO674" s="833" t="str">
        <f t="shared" si="120"/>
        <v/>
      </c>
      <c r="FP674" s="833" t="str">
        <f t="shared" si="121"/>
        <v/>
      </c>
      <c r="FQ674" s="833" t="str">
        <f t="shared" si="122"/>
        <v/>
      </c>
      <c r="FR674" s="833" t="str">
        <f t="shared" si="123"/>
        <v/>
      </c>
      <c r="FS674" s="833" t="str">
        <f t="shared" si="124"/>
        <v/>
      </c>
      <c r="FT674" s="833" t="str">
        <f t="shared" si="125"/>
        <v/>
      </c>
      <c r="FU674" s="833" t="str">
        <f t="shared" si="126"/>
        <v/>
      </c>
      <c r="FV674" s="833" t="str">
        <f t="shared" si="127"/>
        <v/>
      </c>
      <c r="FW674" s="833" t="str">
        <f t="shared" si="128"/>
        <v/>
      </c>
      <c r="FX674" s="833" t="str">
        <f t="shared" si="129"/>
        <v/>
      </c>
      <c r="FY674" s="833" t="str">
        <f t="shared" si="130"/>
        <v/>
      </c>
      <c r="FZ674" s="833" t="str">
        <f t="shared" si="131"/>
        <v/>
      </c>
      <c r="GA674" s="833" t="str">
        <f t="shared" si="132"/>
        <v/>
      </c>
      <c r="GB674" s="833" t="str">
        <f t="shared" si="133"/>
        <v/>
      </c>
      <c r="GC674" s="833" t="str">
        <f t="shared" si="134"/>
        <v/>
      </c>
      <c r="GD674" s="833" t="str">
        <f t="shared" si="135"/>
        <v/>
      </c>
      <c r="GE674" s="833" t="str">
        <f t="shared" si="136"/>
        <v/>
      </c>
      <c r="GF674" s="833" t="str">
        <f t="shared" si="137"/>
        <v/>
      </c>
      <c r="GG674" s="833" t="str">
        <f t="shared" si="138"/>
        <v/>
      </c>
      <c r="GH674" s="833" t="str">
        <f t="shared" si="139"/>
        <v/>
      </c>
      <c r="GI674" s="833" t="str">
        <f t="shared" si="140"/>
        <v/>
      </c>
      <c r="GJ674" s="833" t="str">
        <f t="shared" si="141"/>
        <v/>
      </c>
      <c r="GK674" s="833" t="str">
        <f t="shared" si="142"/>
        <v/>
      </c>
      <c r="GL674" s="833" t="str">
        <f t="shared" si="143"/>
        <v/>
      </c>
      <c r="GM674" s="833" t="str">
        <f t="shared" si="144"/>
        <v/>
      </c>
      <c r="GN674" s="833" t="str">
        <f t="shared" si="145"/>
        <v/>
      </c>
      <c r="GO674" s="1115" t="str">
        <f t="shared" si="146"/>
        <v/>
      </c>
      <c r="GP674" s="1115" t="str">
        <f t="shared" si="147"/>
        <v/>
      </c>
      <c r="GQ674" s="1115" t="str">
        <f t="shared" si="148"/>
        <v/>
      </c>
      <c r="GR674" s="1115" t="str">
        <f t="shared" si="149"/>
        <v/>
      </c>
      <c r="GS674" s="1115" t="str">
        <f t="shared" si="150"/>
        <v/>
      </c>
      <c r="GT674" s="1072" t="str">
        <f t="shared" si="151"/>
        <v/>
      </c>
      <c r="GU674" s="1072" t="str">
        <f t="shared" si="152"/>
        <v/>
      </c>
      <c r="GV674" s="1072" t="str">
        <f t="shared" si="153"/>
        <v/>
      </c>
      <c r="GW674" s="1072" t="str">
        <f t="shared" si="154"/>
        <v/>
      </c>
      <c r="GX674" s="1072" t="str">
        <f t="shared" si="155"/>
        <v/>
      </c>
      <c r="GY674" s="1072" t="str">
        <f t="shared" si="156"/>
        <v/>
      </c>
      <c r="GZ674" s="1072" t="str">
        <f t="shared" si="157"/>
        <v/>
      </c>
      <c r="HA674" s="1072" t="str">
        <f t="shared" si="158"/>
        <v/>
      </c>
      <c r="HB674" s="1072" t="str">
        <f t="shared" si="159"/>
        <v/>
      </c>
      <c r="HC674" s="1072" t="str">
        <f t="shared" si="160"/>
        <v/>
      </c>
      <c r="HD674" s="1072" t="str">
        <f t="shared" si="161"/>
        <v/>
      </c>
      <c r="HE674" s="1072" t="str">
        <f t="shared" si="162"/>
        <v/>
      </c>
      <c r="HF674" s="1072" t="str">
        <f t="shared" si="163"/>
        <v/>
      </c>
      <c r="HG674" s="1072" t="str">
        <f t="shared" si="164"/>
        <v/>
      </c>
      <c r="HH674" s="1072" t="str">
        <f t="shared" si="165"/>
        <v/>
      </c>
      <c r="HI674" s="1072" t="str">
        <f t="shared" si="166"/>
        <v/>
      </c>
      <c r="HJ674" s="1072" t="str">
        <f t="shared" si="167"/>
        <v/>
      </c>
      <c r="HK674" s="1072" t="str">
        <f t="shared" si="168"/>
        <v/>
      </c>
      <c r="HL674" s="1072" t="str">
        <f t="shared" si="169"/>
        <v/>
      </c>
      <c r="HM674" s="1072" t="str">
        <f t="shared" si="170"/>
        <v/>
      </c>
    </row>
    <row r="675" spans="1:221" ht="13.15" customHeight="1">
      <c r="A675" s="1084" t="str">
        <f t="shared" si="171"/>
        <v/>
      </c>
      <c r="B675" s="1037" t="str">
        <f>'Part VI-Revenues &amp; Expenses'!B41</f>
        <v>&lt;&lt;Select&gt;&gt;</v>
      </c>
      <c r="C675" s="1038">
        <f>'Part VI-Revenues &amp; Expenses'!C41</f>
        <v>0</v>
      </c>
      <c r="D675" s="1039">
        <f>'Part VI-Revenues &amp; Expenses'!D41</f>
        <v>0</v>
      </c>
      <c r="E675" s="1040">
        <f>'Part VI-Revenues &amp; Expenses'!E41</f>
        <v>0</v>
      </c>
      <c r="F675" s="1040">
        <f>'Part VI-Revenues &amp; Expenses'!F41</f>
        <v>0</v>
      </c>
      <c r="G675" s="1040">
        <f>'Part VI-Revenues &amp; Expenses'!G41</f>
        <v>0</v>
      </c>
      <c r="H675" s="1040">
        <f>'Part VI-Revenues &amp; Expenses'!H41</f>
        <v>0</v>
      </c>
      <c r="I675" s="1040">
        <f>'Part VI-Revenues &amp; Expenses'!I41</f>
        <v>0</v>
      </c>
      <c r="J675" s="1103">
        <f>'Part VI-Revenues &amp; Expenses'!J41</f>
        <v>0</v>
      </c>
      <c r="K675" s="908">
        <f t="shared" si="205"/>
        <v>0</v>
      </c>
      <c r="L675" s="908">
        <f t="shared" si="0"/>
        <v>0</v>
      </c>
      <c r="M675" s="831">
        <f>'Part VI-Revenues &amp; Expenses'!M41</f>
        <v>0</v>
      </c>
      <c r="N675" s="831">
        <f>'Part VI-Revenues &amp; Expenses'!N41</f>
        <v>0</v>
      </c>
      <c r="O675" s="831">
        <f>'Part VI-Revenues &amp; Expenses'!O41</f>
        <v>0</v>
      </c>
      <c r="P675" s="909">
        <f t="shared" si="203"/>
        <v>0</v>
      </c>
      <c r="Q675" s="910" t="str">
        <f>'Part VI-Revenues &amp; Expenses'!Q41</f>
        <v/>
      </c>
      <c r="R675" s="909"/>
      <c r="S675" s="910"/>
      <c r="T675" s="1576"/>
      <c r="U675" s="1576"/>
      <c r="V675" s="1072" t="str">
        <f t="shared" si="1"/>
        <v/>
      </c>
      <c r="W675" s="1072" t="str">
        <f t="shared" si="2"/>
        <v/>
      </c>
      <c r="X675" s="1072" t="str">
        <f t="shared" si="3"/>
        <v/>
      </c>
      <c r="Y675" s="1072" t="str">
        <f t="shared" si="4"/>
        <v/>
      </c>
      <c r="Z675" s="1072" t="str">
        <f t="shared" si="5"/>
        <v/>
      </c>
      <c r="AA675" s="1072" t="str">
        <f t="shared" si="6"/>
        <v/>
      </c>
      <c r="AB675" s="1072" t="str">
        <f t="shared" si="7"/>
        <v/>
      </c>
      <c r="AC675" s="1072" t="str">
        <f t="shared" si="8"/>
        <v/>
      </c>
      <c r="AD675" s="1072" t="str">
        <f t="shared" si="9"/>
        <v/>
      </c>
      <c r="AE675" s="1072" t="str">
        <f t="shared" si="10"/>
        <v/>
      </c>
      <c r="AF675" s="1072" t="str">
        <f t="shared" si="11"/>
        <v/>
      </c>
      <c r="AG675" s="1072" t="str">
        <f t="shared" si="12"/>
        <v/>
      </c>
      <c r="AH675" s="1072" t="str">
        <f t="shared" si="13"/>
        <v/>
      </c>
      <c r="AI675" s="1072" t="str">
        <f t="shared" si="14"/>
        <v/>
      </c>
      <c r="AJ675" s="1072" t="str">
        <f t="shared" si="15"/>
        <v/>
      </c>
      <c r="AK675" s="1072" t="str">
        <f t="shared" si="16"/>
        <v/>
      </c>
      <c r="AL675" s="1072" t="str">
        <f t="shared" si="17"/>
        <v/>
      </c>
      <c r="AM675" s="1072" t="str">
        <f t="shared" si="18"/>
        <v/>
      </c>
      <c r="AN675" s="1072" t="str">
        <f t="shared" si="19"/>
        <v/>
      </c>
      <c r="AO675" s="1072" t="str">
        <f t="shared" si="20"/>
        <v/>
      </c>
      <c r="AP675" s="1072" t="str">
        <f t="shared" si="173"/>
        <v/>
      </c>
      <c r="AQ675" s="1072" t="str">
        <f t="shared" si="174"/>
        <v/>
      </c>
      <c r="AR675" s="1072" t="str">
        <f t="shared" si="175"/>
        <v/>
      </c>
      <c r="AS675" s="1072" t="str">
        <f t="shared" si="176"/>
        <v/>
      </c>
      <c r="AT675" s="1072" t="str">
        <f t="shared" si="177"/>
        <v/>
      </c>
      <c r="AU675" s="1072" t="str">
        <f t="shared" si="178"/>
        <v/>
      </c>
      <c r="AV675" s="1072" t="str">
        <f t="shared" si="179"/>
        <v/>
      </c>
      <c r="AW675" s="1072" t="str">
        <f t="shared" si="180"/>
        <v/>
      </c>
      <c r="AX675" s="1072" t="str">
        <f t="shared" si="181"/>
        <v/>
      </c>
      <c r="AY675" s="1072" t="str">
        <f t="shared" si="182"/>
        <v/>
      </c>
      <c r="AZ675" s="1072" t="str">
        <f t="shared" si="183"/>
        <v/>
      </c>
      <c r="BA675" s="1072" t="str">
        <f t="shared" si="184"/>
        <v/>
      </c>
      <c r="BB675" s="1072" t="str">
        <f t="shared" si="185"/>
        <v/>
      </c>
      <c r="BC675" s="1072" t="str">
        <f t="shared" si="186"/>
        <v/>
      </c>
      <c r="BD675" s="1072" t="str">
        <f t="shared" si="187"/>
        <v/>
      </c>
      <c r="BE675" s="1072" t="str">
        <f t="shared" si="188"/>
        <v/>
      </c>
      <c r="BF675" s="1072" t="str">
        <f t="shared" si="189"/>
        <v/>
      </c>
      <c r="BG675" s="1072" t="str">
        <f t="shared" si="190"/>
        <v/>
      </c>
      <c r="BH675" s="1072" t="str">
        <f t="shared" si="191"/>
        <v/>
      </c>
      <c r="BI675" s="1072" t="str">
        <f t="shared" si="192"/>
        <v/>
      </c>
      <c r="BJ675" s="1072" t="str">
        <f t="shared" si="193"/>
        <v/>
      </c>
      <c r="BK675" s="1072" t="str">
        <f t="shared" si="194"/>
        <v/>
      </c>
      <c r="BL675" s="1072" t="str">
        <f t="shared" si="195"/>
        <v/>
      </c>
      <c r="BM675" s="1072" t="str">
        <f t="shared" si="196"/>
        <v/>
      </c>
      <c r="BN675" s="1072" t="str">
        <f t="shared" si="197"/>
        <v/>
      </c>
      <c r="BO675" s="1072" t="str">
        <f t="shared" si="198"/>
        <v/>
      </c>
      <c r="BP675" s="1072" t="str">
        <f t="shared" si="199"/>
        <v/>
      </c>
      <c r="BQ675" s="1072" t="str">
        <f t="shared" si="200"/>
        <v/>
      </c>
      <c r="BR675" s="1072" t="str">
        <f t="shared" si="201"/>
        <v/>
      </c>
      <c r="BS675" s="1072" t="str">
        <f t="shared" si="202"/>
        <v/>
      </c>
      <c r="BT675" s="1072" t="str">
        <f t="shared" si="21"/>
        <v/>
      </c>
      <c r="BU675" s="1072" t="str">
        <f t="shared" si="22"/>
        <v/>
      </c>
      <c r="BV675" s="1072" t="str">
        <f t="shared" si="23"/>
        <v/>
      </c>
      <c r="BW675" s="1072" t="str">
        <f t="shared" si="24"/>
        <v/>
      </c>
      <c r="BX675" s="1072" t="str">
        <f t="shared" si="25"/>
        <v/>
      </c>
      <c r="BY675" s="1072" t="str">
        <f t="shared" si="26"/>
        <v/>
      </c>
      <c r="BZ675" s="1072" t="str">
        <f t="shared" si="27"/>
        <v/>
      </c>
      <c r="CA675" s="1072" t="str">
        <f t="shared" si="28"/>
        <v/>
      </c>
      <c r="CB675" s="1072" t="str">
        <f t="shared" si="29"/>
        <v/>
      </c>
      <c r="CC675" s="1072" t="str">
        <f t="shared" si="30"/>
        <v/>
      </c>
      <c r="CD675" s="1072" t="str">
        <f t="shared" si="31"/>
        <v/>
      </c>
      <c r="CE675" s="1072" t="str">
        <f t="shared" si="32"/>
        <v/>
      </c>
      <c r="CF675" s="1072" t="str">
        <f t="shared" si="33"/>
        <v/>
      </c>
      <c r="CG675" s="1072" t="str">
        <f t="shared" si="34"/>
        <v/>
      </c>
      <c r="CH675" s="1072" t="str">
        <f t="shared" si="35"/>
        <v/>
      </c>
      <c r="CI675" s="1072" t="str">
        <f t="shared" si="36"/>
        <v/>
      </c>
      <c r="CJ675" s="1072" t="str">
        <f t="shared" si="37"/>
        <v/>
      </c>
      <c r="CK675" s="1072" t="str">
        <f t="shared" si="38"/>
        <v/>
      </c>
      <c r="CL675" s="1072" t="str">
        <f t="shared" si="39"/>
        <v/>
      </c>
      <c r="CM675" s="1072" t="str">
        <f t="shared" si="40"/>
        <v/>
      </c>
      <c r="CN675" s="1072" t="str">
        <f t="shared" si="41"/>
        <v/>
      </c>
      <c r="CO675" s="1072" t="str">
        <f t="shared" si="42"/>
        <v/>
      </c>
      <c r="CP675" s="1072" t="str">
        <f t="shared" si="43"/>
        <v/>
      </c>
      <c r="CQ675" s="1072" t="str">
        <f t="shared" si="44"/>
        <v/>
      </c>
      <c r="CR675" s="1072" t="str">
        <f t="shared" si="45"/>
        <v/>
      </c>
      <c r="CS675" s="1072" t="str">
        <f t="shared" si="46"/>
        <v/>
      </c>
      <c r="CT675" s="1072" t="str">
        <f t="shared" si="47"/>
        <v/>
      </c>
      <c r="CU675" s="1072" t="str">
        <f t="shared" si="48"/>
        <v/>
      </c>
      <c r="CV675" s="1072" t="str">
        <f t="shared" si="49"/>
        <v/>
      </c>
      <c r="CW675" s="1072" t="str">
        <f t="shared" si="50"/>
        <v/>
      </c>
      <c r="CX675" s="1072" t="str">
        <f t="shared" si="51"/>
        <v/>
      </c>
      <c r="CY675" s="1072" t="str">
        <f t="shared" si="52"/>
        <v/>
      </c>
      <c r="CZ675" s="1072" t="str">
        <f t="shared" si="53"/>
        <v/>
      </c>
      <c r="DA675" s="1072" t="str">
        <f t="shared" si="54"/>
        <v/>
      </c>
      <c r="DB675" s="1072" t="str">
        <f t="shared" si="55"/>
        <v/>
      </c>
      <c r="DC675" s="1072" t="str">
        <f t="shared" si="56"/>
        <v/>
      </c>
      <c r="DD675" s="1072" t="str">
        <f t="shared" si="57"/>
        <v/>
      </c>
      <c r="DE675" s="1072" t="str">
        <f t="shared" si="58"/>
        <v/>
      </c>
      <c r="DF675" s="1072" t="str">
        <f t="shared" si="59"/>
        <v/>
      </c>
      <c r="DG675" s="1072" t="str">
        <f t="shared" si="60"/>
        <v/>
      </c>
      <c r="DH675" s="1072" t="str">
        <f t="shared" si="61"/>
        <v/>
      </c>
      <c r="DI675" s="1072" t="str">
        <f t="shared" si="62"/>
        <v/>
      </c>
      <c r="DJ675" s="1072" t="str">
        <f t="shared" si="63"/>
        <v/>
      </c>
      <c r="DK675" s="1072" t="str">
        <f t="shared" si="64"/>
        <v/>
      </c>
      <c r="DL675" s="1072" t="str">
        <f t="shared" si="65"/>
        <v/>
      </c>
      <c r="DM675" s="1072" t="str">
        <f t="shared" si="66"/>
        <v/>
      </c>
      <c r="DN675" s="1072" t="str">
        <f t="shared" si="67"/>
        <v/>
      </c>
      <c r="DO675" s="1072" t="str">
        <f t="shared" si="68"/>
        <v/>
      </c>
      <c r="DP675" s="1072" t="str">
        <f t="shared" si="69"/>
        <v/>
      </c>
      <c r="DQ675" s="1072" t="str">
        <f t="shared" si="70"/>
        <v/>
      </c>
      <c r="DR675" s="1072" t="str">
        <f t="shared" si="71"/>
        <v/>
      </c>
      <c r="DS675" s="1072" t="str">
        <f t="shared" si="72"/>
        <v/>
      </c>
      <c r="DT675" s="1072" t="str">
        <f t="shared" si="73"/>
        <v/>
      </c>
      <c r="DU675" s="1072" t="str">
        <f t="shared" si="74"/>
        <v/>
      </c>
      <c r="DV675" s="1072" t="str">
        <f t="shared" si="75"/>
        <v/>
      </c>
      <c r="DW675" s="1072" t="str">
        <f t="shared" si="76"/>
        <v/>
      </c>
      <c r="DX675" s="1072" t="str">
        <f t="shared" si="77"/>
        <v/>
      </c>
      <c r="DY675" s="1072" t="str">
        <f t="shared" si="78"/>
        <v/>
      </c>
      <c r="DZ675" s="1072" t="str">
        <f t="shared" si="79"/>
        <v/>
      </c>
      <c r="EA675" s="1072" t="str">
        <f t="shared" si="80"/>
        <v/>
      </c>
      <c r="EB675" s="1072" t="str">
        <f t="shared" si="81"/>
        <v/>
      </c>
      <c r="EC675" s="1072" t="str">
        <f t="shared" si="82"/>
        <v/>
      </c>
      <c r="ED675" s="1072" t="str">
        <f t="shared" si="83"/>
        <v/>
      </c>
      <c r="EE675" s="1072" t="str">
        <f t="shared" si="84"/>
        <v/>
      </c>
      <c r="EF675" s="1072" t="str">
        <f t="shared" si="85"/>
        <v/>
      </c>
      <c r="EG675" s="1072" t="str">
        <f t="shared" si="86"/>
        <v/>
      </c>
      <c r="EH675" s="1072" t="str">
        <f t="shared" si="87"/>
        <v/>
      </c>
      <c r="EI675" s="1072" t="str">
        <f t="shared" si="88"/>
        <v/>
      </c>
      <c r="EJ675" s="1072" t="str">
        <f t="shared" si="89"/>
        <v/>
      </c>
      <c r="EK675" s="1072" t="str">
        <f t="shared" si="90"/>
        <v/>
      </c>
      <c r="EL675" s="1072" t="str">
        <f t="shared" si="91"/>
        <v/>
      </c>
      <c r="EM675" s="1072" t="str">
        <f t="shared" si="92"/>
        <v/>
      </c>
      <c r="EN675" s="1072" t="str">
        <f t="shared" si="93"/>
        <v/>
      </c>
      <c r="EO675" s="1072" t="str">
        <f t="shared" si="94"/>
        <v/>
      </c>
      <c r="EP675" s="1072" t="str">
        <f t="shared" si="95"/>
        <v/>
      </c>
      <c r="EQ675" s="1072" t="str">
        <f t="shared" si="96"/>
        <v/>
      </c>
      <c r="ER675" s="1072" t="str">
        <f t="shared" si="97"/>
        <v/>
      </c>
      <c r="ES675" s="1072" t="str">
        <f t="shared" si="98"/>
        <v/>
      </c>
      <c r="ET675" s="1072" t="str">
        <f t="shared" si="99"/>
        <v/>
      </c>
      <c r="EU675" s="1072" t="str">
        <f t="shared" si="100"/>
        <v/>
      </c>
      <c r="EV675" s="833" t="str">
        <f t="shared" si="101"/>
        <v/>
      </c>
      <c r="EW675" s="833" t="str">
        <f t="shared" si="102"/>
        <v/>
      </c>
      <c r="EX675" s="833" t="str">
        <f t="shared" si="103"/>
        <v/>
      </c>
      <c r="EY675" s="833" t="str">
        <f t="shared" si="104"/>
        <v/>
      </c>
      <c r="EZ675" s="833" t="str">
        <f t="shared" si="105"/>
        <v/>
      </c>
      <c r="FA675" s="833" t="str">
        <f t="shared" si="106"/>
        <v/>
      </c>
      <c r="FB675" s="833" t="str">
        <f t="shared" si="107"/>
        <v/>
      </c>
      <c r="FC675" s="833" t="str">
        <f t="shared" si="108"/>
        <v/>
      </c>
      <c r="FD675" s="833" t="str">
        <f t="shared" si="109"/>
        <v/>
      </c>
      <c r="FE675" s="833" t="str">
        <f t="shared" si="110"/>
        <v/>
      </c>
      <c r="FF675" s="833" t="str">
        <f t="shared" si="111"/>
        <v/>
      </c>
      <c r="FG675" s="833" t="str">
        <f t="shared" si="112"/>
        <v/>
      </c>
      <c r="FH675" s="833" t="str">
        <f t="shared" si="113"/>
        <v/>
      </c>
      <c r="FI675" s="833" t="str">
        <f t="shared" si="114"/>
        <v/>
      </c>
      <c r="FJ675" s="833" t="str">
        <f t="shared" si="115"/>
        <v/>
      </c>
      <c r="FK675" s="833" t="str">
        <f t="shared" si="116"/>
        <v/>
      </c>
      <c r="FL675" s="833" t="str">
        <f t="shared" si="117"/>
        <v/>
      </c>
      <c r="FM675" s="833" t="str">
        <f t="shared" si="118"/>
        <v/>
      </c>
      <c r="FN675" s="833" t="str">
        <f t="shared" si="119"/>
        <v/>
      </c>
      <c r="FO675" s="833" t="str">
        <f t="shared" si="120"/>
        <v/>
      </c>
      <c r="FP675" s="833" t="str">
        <f t="shared" si="121"/>
        <v/>
      </c>
      <c r="FQ675" s="833" t="str">
        <f t="shared" si="122"/>
        <v/>
      </c>
      <c r="FR675" s="833" t="str">
        <f t="shared" si="123"/>
        <v/>
      </c>
      <c r="FS675" s="833" t="str">
        <f t="shared" si="124"/>
        <v/>
      </c>
      <c r="FT675" s="833" t="str">
        <f t="shared" si="125"/>
        <v/>
      </c>
      <c r="FU675" s="833" t="str">
        <f t="shared" si="126"/>
        <v/>
      </c>
      <c r="FV675" s="833" t="str">
        <f t="shared" si="127"/>
        <v/>
      </c>
      <c r="FW675" s="833" t="str">
        <f t="shared" si="128"/>
        <v/>
      </c>
      <c r="FX675" s="833" t="str">
        <f t="shared" si="129"/>
        <v/>
      </c>
      <c r="FY675" s="833" t="str">
        <f t="shared" si="130"/>
        <v/>
      </c>
      <c r="FZ675" s="833" t="str">
        <f t="shared" si="131"/>
        <v/>
      </c>
      <c r="GA675" s="833" t="str">
        <f t="shared" si="132"/>
        <v/>
      </c>
      <c r="GB675" s="833" t="str">
        <f t="shared" si="133"/>
        <v/>
      </c>
      <c r="GC675" s="833" t="str">
        <f t="shared" si="134"/>
        <v/>
      </c>
      <c r="GD675" s="833" t="str">
        <f t="shared" si="135"/>
        <v/>
      </c>
      <c r="GE675" s="833" t="str">
        <f t="shared" si="136"/>
        <v/>
      </c>
      <c r="GF675" s="833" t="str">
        <f t="shared" si="137"/>
        <v/>
      </c>
      <c r="GG675" s="833" t="str">
        <f t="shared" si="138"/>
        <v/>
      </c>
      <c r="GH675" s="833" t="str">
        <f t="shared" si="139"/>
        <v/>
      </c>
      <c r="GI675" s="833" t="str">
        <f t="shared" si="140"/>
        <v/>
      </c>
      <c r="GJ675" s="833" t="str">
        <f t="shared" si="141"/>
        <v/>
      </c>
      <c r="GK675" s="833" t="str">
        <f t="shared" si="142"/>
        <v/>
      </c>
      <c r="GL675" s="833" t="str">
        <f t="shared" si="143"/>
        <v/>
      </c>
      <c r="GM675" s="833" t="str">
        <f t="shared" si="144"/>
        <v/>
      </c>
      <c r="GN675" s="833" t="str">
        <f t="shared" si="145"/>
        <v/>
      </c>
      <c r="GO675" s="1115" t="str">
        <f t="shared" si="146"/>
        <v/>
      </c>
      <c r="GP675" s="1115" t="str">
        <f t="shared" si="147"/>
        <v/>
      </c>
      <c r="GQ675" s="1115" t="str">
        <f t="shared" si="148"/>
        <v/>
      </c>
      <c r="GR675" s="1115" t="str">
        <f t="shared" si="149"/>
        <v/>
      </c>
      <c r="GS675" s="1115" t="str">
        <f t="shared" si="150"/>
        <v/>
      </c>
      <c r="GT675" s="1072" t="str">
        <f t="shared" si="151"/>
        <v/>
      </c>
      <c r="GU675" s="1072" t="str">
        <f t="shared" si="152"/>
        <v/>
      </c>
      <c r="GV675" s="1072" t="str">
        <f t="shared" si="153"/>
        <v/>
      </c>
      <c r="GW675" s="1072" t="str">
        <f t="shared" si="154"/>
        <v/>
      </c>
      <c r="GX675" s="1072" t="str">
        <f t="shared" si="155"/>
        <v/>
      </c>
      <c r="GY675" s="1072" t="str">
        <f t="shared" si="156"/>
        <v/>
      </c>
      <c r="GZ675" s="1072" t="str">
        <f t="shared" si="157"/>
        <v/>
      </c>
      <c r="HA675" s="1072" t="str">
        <f t="shared" si="158"/>
        <v/>
      </c>
      <c r="HB675" s="1072" t="str">
        <f t="shared" si="159"/>
        <v/>
      </c>
      <c r="HC675" s="1072" t="str">
        <f t="shared" si="160"/>
        <v/>
      </c>
      <c r="HD675" s="1072" t="str">
        <f t="shared" si="161"/>
        <v/>
      </c>
      <c r="HE675" s="1072" t="str">
        <f t="shared" si="162"/>
        <v/>
      </c>
      <c r="HF675" s="1072" t="str">
        <f t="shared" si="163"/>
        <v/>
      </c>
      <c r="HG675" s="1072" t="str">
        <f t="shared" si="164"/>
        <v/>
      </c>
      <c r="HH675" s="1072" t="str">
        <f t="shared" si="165"/>
        <v/>
      </c>
      <c r="HI675" s="1072" t="str">
        <f t="shared" si="166"/>
        <v/>
      </c>
      <c r="HJ675" s="1072" t="str">
        <f t="shared" si="167"/>
        <v/>
      </c>
      <c r="HK675" s="1072" t="str">
        <f t="shared" si="168"/>
        <v/>
      </c>
      <c r="HL675" s="1072" t="str">
        <f t="shared" si="169"/>
        <v/>
      </c>
      <c r="HM675" s="1072" t="str">
        <f t="shared" si="170"/>
        <v/>
      </c>
    </row>
    <row r="676" spans="1:221" ht="13.15" customHeight="1">
      <c r="A676" s="1084" t="str">
        <f t="shared" si="171"/>
        <v/>
      </c>
      <c r="B676" s="1037" t="str">
        <f>'Part VI-Revenues &amp; Expenses'!B42</f>
        <v>&lt;&lt;Select&gt;&gt;</v>
      </c>
      <c r="C676" s="1038">
        <f>'Part VI-Revenues &amp; Expenses'!C42</f>
        <v>0</v>
      </c>
      <c r="D676" s="1039">
        <f>'Part VI-Revenues &amp; Expenses'!D42</f>
        <v>0</v>
      </c>
      <c r="E676" s="1040">
        <f>'Part VI-Revenues &amp; Expenses'!E42</f>
        <v>0</v>
      </c>
      <c r="F676" s="1040">
        <f>'Part VI-Revenues &amp; Expenses'!F42</f>
        <v>0</v>
      </c>
      <c r="G676" s="1040">
        <f>'Part VI-Revenues &amp; Expenses'!G42</f>
        <v>0</v>
      </c>
      <c r="H676" s="1040">
        <f>'Part VI-Revenues &amp; Expenses'!H42</f>
        <v>0</v>
      </c>
      <c r="I676" s="1040">
        <f>'Part VI-Revenues &amp; Expenses'!I42</f>
        <v>0</v>
      </c>
      <c r="J676" s="1103">
        <f>'Part VI-Revenues &amp; Expenses'!J42</f>
        <v>0</v>
      </c>
      <c r="K676" s="908">
        <f t="shared" si="205"/>
        <v>0</v>
      </c>
      <c r="L676" s="908">
        <f t="shared" si="0"/>
        <v>0</v>
      </c>
      <c r="M676" s="831">
        <f>'Part VI-Revenues &amp; Expenses'!M42</f>
        <v>0</v>
      </c>
      <c r="N676" s="831">
        <f>'Part VI-Revenues &amp; Expenses'!N42</f>
        <v>0</v>
      </c>
      <c r="O676" s="831">
        <f>'Part VI-Revenues &amp; Expenses'!O42</f>
        <v>0</v>
      </c>
      <c r="P676" s="909">
        <f t="shared" si="203"/>
        <v>0</v>
      </c>
      <c r="Q676" s="910" t="str">
        <f>'Part VI-Revenues &amp; Expenses'!Q42</f>
        <v/>
      </c>
      <c r="R676" s="909"/>
      <c r="S676" s="910"/>
      <c r="T676" s="1576"/>
      <c r="U676" s="1576"/>
      <c r="V676" s="1072" t="str">
        <f t="shared" si="1"/>
        <v/>
      </c>
      <c r="W676" s="1072" t="str">
        <f t="shared" si="2"/>
        <v/>
      </c>
      <c r="X676" s="1072" t="str">
        <f t="shared" si="3"/>
        <v/>
      </c>
      <c r="Y676" s="1072" t="str">
        <f t="shared" si="4"/>
        <v/>
      </c>
      <c r="Z676" s="1072" t="str">
        <f t="shared" si="5"/>
        <v/>
      </c>
      <c r="AA676" s="1072" t="str">
        <f t="shared" si="6"/>
        <v/>
      </c>
      <c r="AB676" s="1072" t="str">
        <f t="shared" si="7"/>
        <v/>
      </c>
      <c r="AC676" s="1072" t="str">
        <f t="shared" si="8"/>
        <v/>
      </c>
      <c r="AD676" s="1072" t="str">
        <f t="shared" si="9"/>
        <v/>
      </c>
      <c r="AE676" s="1072" t="str">
        <f t="shared" si="10"/>
        <v/>
      </c>
      <c r="AF676" s="1072" t="str">
        <f t="shared" si="11"/>
        <v/>
      </c>
      <c r="AG676" s="1072" t="str">
        <f t="shared" si="12"/>
        <v/>
      </c>
      <c r="AH676" s="1072" t="str">
        <f t="shared" si="13"/>
        <v/>
      </c>
      <c r="AI676" s="1072" t="str">
        <f t="shared" si="14"/>
        <v/>
      </c>
      <c r="AJ676" s="1072" t="str">
        <f t="shared" si="15"/>
        <v/>
      </c>
      <c r="AK676" s="1072" t="str">
        <f t="shared" si="16"/>
        <v/>
      </c>
      <c r="AL676" s="1072" t="str">
        <f t="shared" si="17"/>
        <v/>
      </c>
      <c r="AM676" s="1072" t="str">
        <f t="shared" si="18"/>
        <v/>
      </c>
      <c r="AN676" s="1072" t="str">
        <f t="shared" si="19"/>
        <v/>
      </c>
      <c r="AO676" s="1072" t="str">
        <f t="shared" si="20"/>
        <v/>
      </c>
      <c r="AP676" s="1072" t="str">
        <f t="shared" si="173"/>
        <v/>
      </c>
      <c r="AQ676" s="1072" t="str">
        <f t="shared" si="174"/>
        <v/>
      </c>
      <c r="AR676" s="1072" t="str">
        <f t="shared" si="175"/>
        <v/>
      </c>
      <c r="AS676" s="1072" t="str">
        <f t="shared" si="176"/>
        <v/>
      </c>
      <c r="AT676" s="1072" t="str">
        <f t="shared" si="177"/>
        <v/>
      </c>
      <c r="AU676" s="1072" t="str">
        <f t="shared" si="178"/>
        <v/>
      </c>
      <c r="AV676" s="1072" t="str">
        <f t="shared" si="179"/>
        <v/>
      </c>
      <c r="AW676" s="1072" t="str">
        <f t="shared" si="180"/>
        <v/>
      </c>
      <c r="AX676" s="1072" t="str">
        <f t="shared" si="181"/>
        <v/>
      </c>
      <c r="AY676" s="1072" t="str">
        <f t="shared" si="182"/>
        <v/>
      </c>
      <c r="AZ676" s="1072" t="str">
        <f t="shared" si="183"/>
        <v/>
      </c>
      <c r="BA676" s="1072" t="str">
        <f t="shared" si="184"/>
        <v/>
      </c>
      <c r="BB676" s="1072" t="str">
        <f t="shared" si="185"/>
        <v/>
      </c>
      <c r="BC676" s="1072" t="str">
        <f t="shared" si="186"/>
        <v/>
      </c>
      <c r="BD676" s="1072" t="str">
        <f t="shared" si="187"/>
        <v/>
      </c>
      <c r="BE676" s="1072" t="str">
        <f t="shared" si="188"/>
        <v/>
      </c>
      <c r="BF676" s="1072" t="str">
        <f t="shared" si="189"/>
        <v/>
      </c>
      <c r="BG676" s="1072" t="str">
        <f t="shared" si="190"/>
        <v/>
      </c>
      <c r="BH676" s="1072" t="str">
        <f t="shared" si="191"/>
        <v/>
      </c>
      <c r="BI676" s="1072" t="str">
        <f t="shared" si="192"/>
        <v/>
      </c>
      <c r="BJ676" s="1072" t="str">
        <f t="shared" si="193"/>
        <v/>
      </c>
      <c r="BK676" s="1072" t="str">
        <f t="shared" si="194"/>
        <v/>
      </c>
      <c r="BL676" s="1072" t="str">
        <f t="shared" si="195"/>
        <v/>
      </c>
      <c r="BM676" s="1072" t="str">
        <f t="shared" si="196"/>
        <v/>
      </c>
      <c r="BN676" s="1072" t="str">
        <f t="shared" si="197"/>
        <v/>
      </c>
      <c r="BO676" s="1072" t="str">
        <f t="shared" si="198"/>
        <v/>
      </c>
      <c r="BP676" s="1072" t="str">
        <f t="shared" si="199"/>
        <v/>
      </c>
      <c r="BQ676" s="1072" t="str">
        <f t="shared" si="200"/>
        <v/>
      </c>
      <c r="BR676" s="1072" t="str">
        <f t="shared" si="201"/>
        <v/>
      </c>
      <c r="BS676" s="1072" t="str">
        <f t="shared" si="202"/>
        <v/>
      </c>
      <c r="BT676" s="1072" t="str">
        <f t="shared" si="21"/>
        <v/>
      </c>
      <c r="BU676" s="1072" t="str">
        <f t="shared" si="22"/>
        <v/>
      </c>
      <c r="BV676" s="1072" t="str">
        <f t="shared" si="23"/>
        <v/>
      </c>
      <c r="BW676" s="1072" t="str">
        <f t="shared" si="24"/>
        <v/>
      </c>
      <c r="BX676" s="1072" t="str">
        <f t="shared" si="25"/>
        <v/>
      </c>
      <c r="BY676" s="1072" t="str">
        <f t="shared" si="26"/>
        <v/>
      </c>
      <c r="BZ676" s="1072" t="str">
        <f t="shared" si="27"/>
        <v/>
      </c>
      <c r="CA676" s="1072" t="str">
        <f t="shared" si="28"/>
        <v/>
      </c>
      <c r="CB676" s="1072" t="str">
        <f t="shared" si="29"/>
        <v/>
      </c>
      <c r="CC676" s="1072" t="str">
        <f t="shared" si="30"/>
        <v/>
      </c>
      <c r="CD676" s="1072" t="str">
        <f t="shared" si="31"/>
        <v/>
      </c>
      <c r="CE676" s="1072" t="str">
        <f t="shared" si="32"/>
        <v/>
      </c>
      <c r="CF676" s="1072" t="str">
        <f t="shared" si="33"/>
        <v/>
      </c>
      <c r="CG676" s="1072" t="str">
        <f t="shared" si="34"/>
        <v/>
      </c>
      <c r="CH676" s="1072" t="str">
        <f t="shared" si="35"/>
        <v/>
      </c>
      <c r="CI676" s="1072" t="str">
        <f t="shared" si="36"/>
        <v/>
      </c>
      <c r="CJ676" s="1072" t="str">
        <f t="shared" si="37"/>
        <v/>
      </c>
      <c r="CK676" s="1072" t="str">
        <f t="shared" si="38"/>
        <v/>
      </c>
      <c r="CL676" s="1072" t="str">
        <f t="shared" si="39"/>
        <v/>
      </c>
      <c r="CM676" s="1072" t="str">
        <f t="shared" si="40"/>
        <v/>
      </c>
      <c r="CN676" s="1072" t="str">
        <f t="shared" si="41"/>
        <v/>
      </c>
      <c r="CO676" s="1072" t="str">
        <f t="shared" si="42"/>
        <v/>
      </c>
      <c r="CP676" s="1072" t="str">
        <f t="shared" si="43"/>
        <v/>
      </c>
      <c r="CQ676" s="1072" t="str">
        <f t="shared" si="44"/>
        <v/>
      </c>
      <c r="CR676" s="1072" t="str">
        <f t="shared" si="45"/>
        <v/>
      </c>
      <c r="CS676" s="1072" t="str">
        <f t="shared" si="46"/>
        <v/>
      </c>
      <c r="CT676" s="1072" t="str">
        <f t="shared" si="47"/>
        <v/>
      </c>
      <c r="CU676" s="1072" t="str">
        <f t="shared" si="48"/>
        <v/>
      </c>
      <c r="CV676" s="1072" t="str">
        <f t="shared" si="49"/>
        <v/>
      </c>
      <c r="CW676" s="1072" t="str">
        <f t="shared" si="50"/>
        <v/>
      </c>
      <c r="CX676" s="1072" t="str">
        <f t="shared" si="51"/>
        <v/>
      </c>
      <c r="CY676" s="1072" t="str">
        <f t="shared" si="52"/>
        <v/>
      </c>
      <c r="CZ676" s="1072" t="str">
        <f t="shared" si="53"/>
        <v/>
      </c>
      <c r="DA676" s="1072" t="str">
        <f t="shared" si="54"/>
        <v/>
      </c>
      <c r="DB676" s="1072" t="str">
        <f t="shared" si="55"/>
        <v/>
      </c>
      <c r="DC676" s="1072" t="str">
        <f t="shared" si="56"/>
        <v/>
      </c>
      <c r="DD676" s="1072" t="str">
        <f t="shared" si="57"/>
        <v/>
      </c>
      <c r="DE676" s="1072" t="str">
        <f t="shared" si="58"/>
        <v/>
      </c>
      <c r="DF676" s="1072" t="str">
        <f t="shared" si="59"/>
        <v/>
      </c>
      <c r="DG676" s="1072" t="str">
        <f t="shared" si="60"/>
        <v/>
      </c>
      <c r="DH676" s="1072" t="str">
        <f t="shared" si="61"/>
        <v/>
      </c>
      <c r="DI676" s="1072" t="str">
        <f t="shared" si="62"/>
        <v/>
      </c>
      <c r="DJ676" s="1072" t="str">
        <f t="shared" si="63"/>
        <v/>
      </c>
      <c r="DK676" s="1072" t="str">
        <f t="shared" si="64"/>
        <v/>
      </c>
      <c r="DL676" s="1072" t="str">
        <f t="shared" si="65"/>
        <v/>
      </c>
      <c r="DM676" s="1072" t="str">
        <f t="shared" si="66"/>
        <v/>
      </c>
      <c r="DN676" s="1072" t="str">
        <f t="shared" si="67"/>
        <v/>
      </c>
      <c r="DO676" s="1072" t="str">
        <f t="shared" si="68"/>
        <v/>
      </c>
      <c r="DP676" s="1072" t="str">
        <f t="shared" si="69"/>
        <v/>
      </c>
      <c r="DQ676" s="1072" t="str">
        <f t="shared" si="70"/>
        <v/>
      </c>
      <c r="DR676" s="1072" t="str">
        <f t="shared" si="71"/>
        <v/>
      </c>
      <c r="DS676" s="1072" t="str">
        <f t="shared" si="72"/>
        <v/>
      </c>
      <c r="DT676" s="1072" t="str">
        <f t="shared" si="73"/>
        <v/>
      </c>
      <c r="DU676" s="1072" t="str">
        <f t="shared" si="74"/>
        <v/>
      </c>
      <c r="DV676" s="1072" t="str">
        <f t="shared" si="75"/>
        <v/>
      </c>
      <c r="DW676" s="1072" t="str">
        <f t="shared" si="76"/>
        <v/>
      </c>
      <c r="DX676" s="1072" t="str">
        <f t="shared" si="77"/>
        <v/>
      </c>
      <c r="DY676" s="1072" t="str">
        <f t="shared" si="78"/>
        <v/>
      </c>
      <c r="DZ676" s="1072" t="str">
        <f t="shared" si="79"/>
        <v/>
      </c>
      <c r="EA676" s="1072" t="str">
        <f t="shared" si="80"/>
        <v/>
      </c>
      <c r="EB676" s="1072" t="str">
        <f t="shared" si="81"/>
        <v/>
      </c>
      <c r="EC676" s="1072" t="str">
        <f t="shared" si="82"/>
        <v/>
      </c>
      <c r="ED676" s="1072" t="str">
        <f t="shared" si="83"/>
        <v/>
      </c>
      <c r="EE676" s="1072" t="str">
        <f t="shared" si="84"/>
        <v/>
      </c>
      <c r="EF676" s="1072" t="str">
        <f t="shared" si="85"/>
        <v/>
      </c>
      <c r="EG676" s="1072" t="str">
        <f t="shared" si="86"/>
        <v/>
      </c>
      <c r="EH676" s="1072" t="str">
        <f t="shared" si="87"/>
        <v/>
      </c>
      <c r="EI676" s="1072" t="str">
        <f t="shared" si="88"/>
        <v/>
      </c>
      <c r="EJ676" s="1072" t="str">
        <f t="shared" si="89"/>
        <v/>
      </c>
      <c r="EK676" s="1072" t="str">
        <f t="shared" si="90"/>
        <v/>
      </c>
      <c r="EL676" s="1072" t="str">
        <f t="shared" si="91"/>
        <v/>
      </c>
      <c r="EM676" s="1072" t="str">
        <f t="shared" si="92"/>
        <v/>
      </c>
      <c r="EN676" s="1072" t="str">
        <f t="shared" si="93"/>
        <v/>
      </c>
      <c r="EO676" s="1072" t="str">
        <f t="shared" si="94"/>
        <v/>
      </c>
      <c r="EP676" s="1072" t="str">
        <f t="shared" si="95"/>
        <v/>
      </c>
      <c r="EQ676" s="1072" t="str">
        <f t="shared" si="96"/>
        <v/>
      </c>
      <c r="ER676" s="1072" t="str">
        <f t="shared" si="97"/>
        <v/>
      </c>
      <c r="ES676" s="1072" t="str">
        <f t="shared" si="98"/>
        <v/>
      </c>
      <c r="ET676" s="1072" t="str">
        <f t="shared" si="99"/>
        <v/>
      </c>
      <c r="EU676" s="1072" t="str">
        <f t="shared" si="100"/>
        <v/>
      </c>
      <c r="EV676" s="833" t="str">
        <f t="shared" si="101"/>
        <v/>
      </c>
      <c r="EW676" s="833" t="str">
        <f t="shared" si="102"/>
        <v/>
      </c>
      <c r="EX676" s="833" t="str">
        <f t="shared" si="103"/>
        <v/>
      </c>
      <c r="EY676" s="833" t="str">
        <f t="shared" si="104"/>
        <v/>
      </c>
      <c r="EZ676" s="833" t="str">
        <f t="shared" si="105"/>
        <v/>
      </c>
      <c r="FA676" s="833" t="str">
        <f t="shared" si="106"/>
        <v/>
      </c>
      <c r="FB676" s="833" t="str">
        <f t="shared" si="107"/>
        <v/>
      </c>
      <c r="FC676" s="833" t="str">
        <f t="shared" si="108"/>
        <v/>
      </c>
      <c r="FD676" s="833" t="str">
        <f t="shared" si="109"/>
        <v/>
      </c>
      <c r="FE676" s="833" t="str">
        <f t="shared" si="110"/>
        <v/>
      </c>
      <c r="FF676" s="833" t="str">
        <f t="shared" si="111"/>
        <v/>
      </c>
      <c r="FG676" s="833" t="str">
        <f t="shared" si="112"/>
        <v/>
      </c>
      <c r="FH676" s="833" t="str">
        <f t="shared" si="113"/>
        <v/>
      </c>
      <c r="FI676" s="833" t="str">
        <f t="shared" si="114"/>
        <v/>
      </c>
      <c r="FJ676" s="833" t="str">
        <f t="shared" si="115"/>
        <v/>
      </c>
      <c r="FK676" s="833" t="str">
        <f t="shared" si="116"/>
        <v/>
      </c>
      <c r="FL676" s="833" t="str">
        <f t="shared" si="117"/>
        <v/>
      </c>
      <c r="FM676" s="833" t="str">
        <f t="shared" si="118"/>
        <v/>
      </c>
      <c r="FN676" s="833" t="str">
        <f t="shared" si="119"/>
        <v/>
      </c>
      <c r="FO676" s="833" t="str">
        <f t="shared" si="120"/>
        <v/>
      </c>
      <c r="FP676" s="833" t="str">
        <f t="shared" si="121"/>
        <v/>
      </c>
      <c r="FQ676" s="833" t="str">
        <f t="shared" si="122"/>
        <v/>
      </c>
      <c r="FR676" s="833" t="str">
        <f t="shared" si="123"/>
        <v/>
      </c>
      <c r="FS676" s="833" t="str">
        <f t="shared" si="124"/>
        <v/>
      </c>
      <c r="FT676" s="833" t="str">
        <f t="shared" si="125"/>
        <v/>
      </c>
      <c r="FU676" s="833" t="str">
        <f t="shared" si="126"/>
        <v/>
      </c>
      <c r="FV676" s="833" t="str">
        <f t="shared" si="127"/>
        <v/>
      </c>
      <c r="FW676" s="833" t="str">
        <f t="shared" si="128"/>
        <v/>
      </c>
      <c r="FX676" s="833" t="str">
        <f t="shared" si="129"/>
        <v/>
      </c>
      <c r="FY676" s="833" t="str">
        <f t="shared" si="130"/>
        <v/>
      </c>
      <c r="FZ676" s="833" t="str">
        <f t="shared" si="131"/>
        <v/>
      </c>
      <c r="GA676" s="833" t="str">
        <f t="shared" si="132"/>
        <v/>
      </c>
      <c r="GB676" s="833" t="str">
        <f t="shared" si="133"/>
        <v/>
      </c>
      <c r="GC676" s="833" t="str">
        <f t="shared" si="134"/>
        <v/>
      </c>
      <c r="GD676" s="833" t="str">
        <f t="shared" si="135"/>
        <v/>
      </c>
      <c r="GE676" s="833" t="str">
        <f t="shared" si="136"/>
        <v/>
      </c>
      <c r="GF676" s="833" t="str">
        <f t="shared" si="137"/>
        <v/>
      </c>
      <c r="GG676" s="833" t="str">
        <f t="shared" si="138"/>
        <v/>
      </c>
      <c r="GH676" s="833" t="str">
        <f t="shared" si="139"/>
        <v/>
      </c>
      <c r="GI676" s="833" t="str">
        <f t="shared" si="140"/>
        <v/>
      </c>
      <c r="GJ676" s="833" t="str">
        <f t="shared" si="141"/>
        <v/>
      </c>
      <c r="GK676" s="833" t="str">
        <f t="shared" si="142"/>
        <v/>
      </c>
      <c r="GL676" s="833" t="str">
        <f t="shared" si="143"/>
        <v/>
      </c>
      <c r="GM676" s="833" t="str">
        <f t="shared" si="144"/>
        <v/>
      </c>
      <c r="GN676" s="833" t="str">
        <f t="shared" si="145"/>
        <v/>
      </c>
      <c r="GO676" s="1115" t="str">
        <f t="shared" si="146"/>
        <v/>
      </c>
      <c r="GP676" s="1115" t="str">
        <f t="shared" si="147"/>
        <v/>
      </c>
      <c r="GQ676" s="1115" t="str">
        <f t="shared" si="148"/>
        <v/>
      </c>
      <c r="GR676" s="1115" t="str">
        <f t="shared" si="149"/>
        <v/>
      </c>
      <c r="GS676" s="1115" t="str">
        <f t="shared" si="150"/>
        <v/>
      </c>
      <c r="GT676" s="1072" t="str">
        <f t="shared" si="151"/>
        <v/>
      </c>
      <c r="GU676" s="1072" t="str">
        <f t="shared" si="152"/>
        <v/>
      </c>
      <c r="GV676" s="1072" t="str">
        <f t="shared" si="153"/>
        <v/>
      </c>
      <c r="GW676" s="1072" t="str">
        <f t="shared" si="154"/>
        <v/>
      </c>
      <c r="GX676" s="1072" t="str">
        <f t="shared" si="155"/>
        <v/>
      </c>
      <c r="GY676" s="1072" t="str">
        <f t="shared" si="156"/>
        <v/>
      </c>
      <c r="GZ676" s="1072" t="str">
        <f t="shared" si="157"/>
        <v/>
      </c>
      <c r="HA676" s="1072" t="str">
        <f t="shared" si="158"/>
        <v/>
      </c>
      <c r="HB676" s="1072" t="str">
        <f t="shared" si="159"/>
        <v/>
      </c>
      <c r="HC676" s="1072" t="str">
        <f t="shared" si="160"/>
        <v/>
      </c>
      <c r="HD676" s="1072" t="str">
        <f t="shared" si="161"/>
        <v/>
      </c>
      <c r="HE676" s="1072" t="str">
        <f t="shared" si="162"/>
        <v/>
      </c>
      <c r="HF676" s="1072" t="str">
        <f t="shared" si="163"/>
        <v/>
      </c>
      <c r="HG676" s="1072" t="str">
        <f t="shared" si="164"/>
        <v/>
      </c>
      <c r="HH676" s="1072" t="str">
        <f t="shared" si="165"/>
        <v/>
      </c>
      <c r="HI676" s="1072" t="str">
        <f t="shared" si="166"/>
        <v/>
      </c>
      <c r="HJ676" s="1072" t="str">
        <f t="shared" si="167"/>
        <v/>
      </c>
      <c r="HK676" s="1072" t="str">
        <f t="shared" si="168"/>
        <v/>
      </c>
      <c r="HL676" s="1072" t="str">
        <f t="shared" si="169"/>
        <v/>
      </c>
      <c r="HM676" s="1072" t="str">
        <f t="shared" si="170"/>
        <v/>
      </c>
    </row>
    <row r="677" spans="1:221" ht="13.15" customHeight="1">
      <c r="A677" s="1084" t="str">
        <f t="shared" si="171"/>
        <v/>
      </c>
      <c r="B677" s="1037" t="str">
        <f>'Part VI-Revenues &amp; Expenses'!B43</f>
        <v>&lt;&lt;Select&gt;&gt;</v>
      </c>
      <c r="C677" s="1038">
        <f>'Part VI-Revenues &amp; Expenses'!C43</f>
        <v>0</v>
      </c>
      <c r="D677" s="1039">
        <f>'Part VI-Revenues &amp; Expenses'!D43</f>
        <v>0</v>
      </c>
      <c r="E677" s="1040">
        <f>'Part VI-Revenues &amp; Expenses'!E43</f>
        <v>0</v>
      </c>
      <c r="F677" s="1040">
        <f>'Part VI-Revenues &amp; Expenses'!F43</f>
        <v>0</v>
      </c>
      <c r="G677" s="1040">
        <f>'Part VI-Revenues &amp; Expenses'!G43</f>
        <v>0</v>
      </c>
      <c r="H677" s="1040">
        <f>'Part VI-Revenues &amp; Expenses'!H43</f>
        <v>0</v>
      </c>
      <c r="I677" s="1040">
        <f>'Part VI-Revenues &amp; Expenses'!I43</f>
        <v>0</v>
      </c>
      <c r="J677" s="1103">
        <f>'Part VI-Revenues &amp; Expenses'!J43</f>
        <v>0</v>
      </c>
      <c r="K677" s="908">
        <f t="shared" si="205"/>
        <v>0</v>
      </c>
      <c r="L677" s="908">
        <f t="shared" si="0"/>
        <v>0</v>
      </c>
      <c r="M677" s="831">
        <f>'Part VI-Revenues &amp; Expenses'!M43</f>
        <v>0</v>
      </c>
      <c r="N677" s="831">
        <f>'Part VI-Revenues &amp; Expenses'!N43</f>
        <v>0</v>
      </c>
      <c r="O677" s="831">
        <f>'Part VI-Revenues &amp; Expenses'!O43</f>
        <v>0</v>
      </c>
      <c r="P677" s="909">
        <f t="shared" si="203"/>
        <v>0</v>
      </c>
      <c r="Q677" s="910" t="str">
        <f>'Part VI-Revenues &amp; Expenses'!Q43</f>
        <v/>
      </c>
      <c r="R677" s="909"/>
      <c r="S677" s="910"/>
      <c r="T677" s="1576"/>
      <c r="U677" s="1576"/>
      <c r="V677" s="1072" t="str">
        <f t="shared" si="1"/>
        <v/>
      </c>
      <c r="W677" s="1072" t="str">
        <f t="shared" si="2"/>
        <v/>
      </c>
      <c r="X677" s="1072" t="str">
        <f t="shared" si="3"/>
        <v/>
      </c>
      <c r="Y677" s="1072" t="str">
        <f t="shared" si="4"/>
        <v/>
      </c>
      <c r="Z677" s="1072" t="str">
        <f t="shared" si="5"/>
        <v/>
      </c>
      <c r="AA677" s="1072" t="str">
        <f t="shared" si="6"/>
        <v/>
      </c>
      <c r="AB677" s="1072" t="str">
        <f t="shared" si="7"/>
        <v/>
      </c>
      <c r="AC677" s="1072" t="str">
        <f t="shared" si="8"/>
        <v/>
      </c>
      <c r="AD677" s="1072" t="str">
        <f t="shared" si="9"/>
        <v/>
      </c>
      <c r="AE677" s="1072" t="str">
        <f t="shared" si="10"/>
        <v/>
      </c>
      <c r="AF677" s="1072" t="str">
        <f t="shared" si="11"/>
        <v/>
      </c>
      <c r="AG677" s="1072" t="str">
        <f t="shared" si="12"/>
        <v/>
      </c>
      <c r="AH677" s="1072" t="str">
        <f t="shared" si="13"/>
        <v/>
      </c>
      <c r="AI677" s="1072" t="str">
        <f t="shared" si="14"/>
        <v/>
      </c>
      <c r="AJ677" s="1072" t="str">
        <f t="shared" si="15"/>
        <v/>
      </c>
      <c r="AK677" s="1072" t="str">
        <f t="shared" si="16"/>
        <v/>
      </c>
      <c r="AL677" s="1072" t="str">
        <f t="shared" si="17"/>
        <v/>
      </c>
      <c r="AM677" s="1072" t="str">
        <f t="shared" si="18"/>
        <v/>
      </c>
      <c r="AN677" s="1072" t="str">
        <f t="shared" si="19"/>
        <v/>
      </c>
      <c r="AO677" s="1072" t="str">
        <f t="shared" si="20"/>
        <v/>
      </c>
      <c r="AP677" s="1072" t="str">
        <f t="shared" si="173"/>
        <v/>
      </c>
      <c r="AQ677" s="1072" t="str">
        <f t="shared" si="174"/>
        <v/>
      </c>
      <c r="AR677" s="1072" t="str">
        <f t="shared" si="175"/>
        <v/>
      </c>
      <c r="AS677" s="1072" t="str">
        <f t="shared" si="176"/>
        <v/>
      </c>
      <c r="AT677" s="1072" t="str">
        <f t="shared" si="177"/>
        <v/>
      </c>
      <c r="AU677" s="1072" t="str">
        <f t="shared" si="178"/>
        <v/>
      </c>
      <c r="AV677" s="1072" t="str">
        <f t="shared" si="179"/>
        <v/>
      </c>
      <c r="AW677" s="1072" t="str">
        <f t="shared" si="180"/>
        <v/>
      </c>
      <c r="AX677" s="1072" t="str">
        <f t="shared" si="181"/>
        <v/>
      </c>
      <c r="AY677" s="1072" t="str">
        <f t="shared" si="182"/>
        <v/>
      </c>
      <c r="AZ677" s="1072" t="str">
        <f t="shared" si="183"/>
        <v/>
      </c>
      <c r="BA677" s="1072" t="str">
        <f t="shared" si="184"/>
        <v/>
      </c>
      <c r="BB677" s="1072" t="str">
        <f t="shared" si="185"/>
        <v/>
      </c>
      <c r="BC677" s="1072" t="str">
        <f t="shared" si="186"/>
        <v/>
      </c>
      <c r="BD677" s="1072" t="str">
        <f t="shared" si="187"/>
        <v/>
      </c>
      <c r="BE677" s="1072" t="str">
        <f t="shared" si="188"/>
        <v/>
      </c>
      <c r="BF677" s="1072" t="str">
        <f t="shared" si="189"/>
        <v/>
      </c>
      <c r="BG677" s="1072" t="str">
        <f t="shared" si="190"/>
        <v/>
      </c>
      <c r="BH677" s="1072" t="str">
        <f t="shared" si="191"/>
        <v/>
      </c>
      <c r="BI677" s="1072" t="str">
        <f t="shared" si="192"/>
        <v/>
      </c>
      <c r="BJ677" s="1072" t="str">
        <f t="shared" si="193"/>
        <v/>
      </c>
      <c r="BK677" s="1072" t="str">
        <f t="shared" si="194"/>
        <v/>
      </c>
      <c r="BL677" s="1072" t="str">
        <f t="shared" si="195"/>
        <v/>
      </c>
      <c r="BM677" s="1072" t="str">
        <f t="shared" si="196"/>
        <v/>
      </c>
      <c r="BN677" s="1072" t="str">
        <f t="shared" si="197"/>
        <v/>
      </c>
      <c r="BO677" s="1072" t="str">
        <f t="shared" si="198"/>
        <v/>
      </c>
      <c r="BP677" s="1072" t="str">
        <f t="shared" si="199"/>
        <v/>
      </c>
      <c r="BQ677" s="1072" t="str">
        <f t="shared" si="200"/>
        <v/>
      </c>
      <c r="BR677" s="1072" t="str">
        <f t="shared" si="201"/>
        <v/>
      </c>
      <c r="BS677" s="1072" t="str">
        <f t="shared" si="202"/>
        <v/>
      </c>
      <c r="BT677" s="1072" t="str">
        <f t="shared" si="21"/>
        <v/>
      </c>
      <c r="BU677" s="1072" t="str">
        <f t="shared" si="22"/>
        <v/>
      </c>
      <c r="BV677" s="1072" t="str">
        <f t="shared" si="23"/>
        <v/>
      </c>
      <c r="BW677" s="1072" t="str">
        <f t="shared" si="24"/>
        <v/>
      </c>
      <c r="BX677" s="1072" t="str">
        <f t="shared" si="25"/>
        <v/>
      </c>
      <c r="BY677" s="1072" t="str">
        <f t="shared" si="26"/>
        <v/>
      </c>
      <c r="BZ677" s="1072" t="str">
        <f t="shared" si="27"/>
        <v/>
      </c>
      <c r="CA677" s="1072" t="str">
        <f t="shared" si="28"/>
        <v/>
      </c>
      <c r="CB677" s="1072" t="str">
        <f t="shared" si="29"/>
        <v/>
      </c>
      <c r="CC677" s="1072" t="str">
        <f t="shared" si="30"/>
        <v/>
      </c>
      <c r="CD677" s="1072" t="str">
        <f t="shared" si="31"/>
        <v/>
      </c>
      <c r="CE677" s="1072" t="str">
        <f t="shared" si="32"/>
        <v/>
      </c>
      <c r="CF677" s="1072" t="str">
        <f t="shared" si="33"/>
        <v/>
      </c>
      <c r="CG677" s="1072" t="str">
        <f t="shared" si="34"/>
        <v/>
      </c>
      <c r="CH677" s="1072" t="str">
        <f t="shared" si="35"/>
        <v/>
      </c>
      <c r="CI677" s="1072" t="str">
        <f t="shared" si="36"/>
        <v/>
      </c>
      <c r="CJ677" s="1072" t="str">
        <f t="shared" si="37"/>
        <v/>
      </c>
      <c r="CK677" s="1072" t="str">
        <f t="shared" si="38"/>
        <v/>
      </c>
      <c r="CL677" s="1072" t="str">
        <f t="shared" si="39"/>
        <v/>
      </c>
      <c r="CM677" s="1072" t="str">
        <f t="shared" si="40"/>
        <v/>
      </c>
      <c r="CN677" s="1072" t="str">
        <f t="shared" si="41"/>
        <v/>
      </c>
      <c r="CO677" s="1072" t="str">
        <f t="shared" si="42"/>
        <v/>
      </c>
      <c r="CP677" s="1072" t="str">
        <f t="shared" si="43"/>
        <v/>
      </c>
      <c r="CQ677" s="1072" t="str">
        <f t="shared" si="44"/>
        <v/>
      </c>
      <c r="CR677" s="1072" t="str">
        <f t="shared" si="45"/>
        <v/>
      </c>
      <c r="CS677" s="1072" t="str">
        <f t="shared" si="46"/>
        <v/>
      </c>
      <c r="CT677" s="1072" t="str">
        <f t="shared" si="47"/>
        <v/>
      </c>
      <c r="CU677" s="1072" t="str">
        <f t="shared" si="48"/>
        <v/>
      </c>
      <c r="CV677" s="1072" t="str">
        <f t="shared" si="49"/>
        <v/>
      </c>
      <c r="CW677" s="1072" t="str">
        <f t="shared" si="50"/>
        <v/>
      </c>
      <c r="CX677" s="1072" t="str">
        <f t="shared" si="51"/>
        <v/>
      </c>
      <c r="CY677" s="1072" t="str">
        <f t="shared" si="52"/>
        <v/>
      </c>
      <c r="CZ677" s="1072" t="str">
        <f t="shared" si="53"/>
        <v/>
      </c>
      <c r="DA677" s="1072" t="str">
        <f t="shared" si="54"/>
        <v/>
      </c>
      <c r="DB677" s="1072" t="str">
        <f t="shared" si="55"/>
        <v/>
      </c>
      <c r="DC677" s="1072" t="str">
        <f t="shared" si="56"/>
        <v/>
      </c>
      <c r="DD677" s="1072" t="str">
        <f t="shared" si="57"/>
        <v/>
      </c>
      <c r="DE677" s="1072" t="str">
        <f t="shared" si="58"/>
        <v/>
      </c>
      <c r="DF677" s="1072" t="str">
        <f t="shared" si="59"/>
        <v/>
      </c>
      <c r="DG677" s="1072" t="str">
        <f t="shared" si="60"/>
        <v/>
      </c>
      <c r="DH677" s="1072" t="str">
        <f t="shared" si="61"/>
        <v/>
      </c>
      <c r="DI677" s="1072" t="str">
        <f t="shared" si="62"/>
        <v/>
      </c>
      <c r="DJ677" s="1072" t="str">
        <f t="shared" si="63"/>
        <v/>
      </c>
      <c r="DK677" s="1072" t="str">
        <f t="shared" si="64"/>
        <v/>
      </c>
      <c r="DL677" s="1072" t="str">
        <f t="shared" si="65"/>
        <v/>
      </c>
      <c r="DM677" s="1072" t="str">
        <f t="shared" si="66"/>
        <v/>
      </c>
      <c r="DN677" s="1072" t="str">
        <f t="shared" si="67"/>
        <v/>
      </c>
      <c r="DO677" s="1072" t="str">
        <f t="shared" si="68"/>
        <v/>
      </c>
      <c r="DP677" s="1072" t="str">
        <f t="shared" si="69"/>
        <v/>
      </c>
      <c r="DQ677" s="1072" t="str">
        <f t="shared" si="70"/>
        <v/>
      </c>
      <c r="DR677" s="1072" t="str">
        <f t="shared" si="71"/>
        <v/>
      </c>
      <c r="DS677" s="1072" t="str">
        <f t="shared" si="72"/>
        <v/>
      </c>
      <c r="DT677" s="1072" t="str">
        <f t="shared" si="73"/>
        <v/>
      </c>
      <c r="DU677" s="1072" t="str">
        <f t="shared" si="74"/>
        <v/>
      </c>
      <c r="DV677" s="1072" t="str">
        <f t="shared" si="75"/>
        <v/>
      </c>
      <c r="DW677" s="1072" t="str">
        <f t="shared" si="76"/>
        <v/>
      </c>
      <c r="DX677" s="1072" t="str">
        <f t="shared" si="77"/>
        <v/>
      </c>
      <c r="DY677" s="1072" t="str">
        <f t="shared" si="78"/>
        <v/>
      </c>
      <c r="DZ677" s="1072" t="str">
        <f t="shared" si="79"/>
        <v/>
      </c>
      <c r="EA677" s="1072" t="str">
        <f t="shared" si="80"/>
        <v/>
      </c>
      <c r="EB677" s="1072" t="str">
        <f t="shared" si="81"/>
        <v/>
      </c>
      <c r="EC677" s="1072" t="str">
        <f t="shared" si="82"/>
        <v/>
      </c>
      <c r="ED677" s="1072" t="str">
        <f t="shared" si="83"/>
        <v/>
      </c>
      <c r="EE677" s="1072" t="str">
        <f t="shared" si="84"/>
        <v/>
      </c>
      <c r="EF677" s="1072" t="str">
        <f t="shared" si="85"/>
        <v/>
      </c>
      <c r="EG677" s="1072" t="str">
        <f t="shared" si="86"/>
        <v/>
      </c>
      <c r="EH677" s="1072" t="str">
        <f t="shared" si="87"/>
        <v/>
      </c>
      <c r="EI677" s="1072" t="str">
        <f t="shared" si="88"/>
        <v/>
      </c>
      <c r="EJ677" s="1072" t="str">
        <f t="shared" si="89"/>
        <v/>
      </c>
      <c r="EK677" s="1072" t="str">
        <f t="shared" si="90"/>
        <v/>
      </c>
      <c r="EL677" s="1072" t="str">
        <f t="shared" si="91"/>
        <v/>
      </c>
      <c r="EM677" s="1072" t="str">
        <f t="shared" si="92"/>
        <v/>
      </c>
      <c r="EN677" s="1072" t="str">
        <f t="shared" si="93"/>
        <v/>
      </c>
      <c r="EO677" s="1072" t="str">
        <f t="shared" si="94"/>
        <v/>
      </c>
      <c r="EP677" s="1072" t="str">
        <f t="shared" si="95"/>
        <v/>
      </c>
      <c r="EQ677" s="1072" t="str">
        <f t="shared" si="96"/>
        <v/>
      </c>
      <c r="ER677" s="1072" t="str">
        <f t="shared" si="97"/>
        <v/>
      </c>
      <c r="ES677" s="1072" t="str">
        <f t="shared" si="98"/>
        <v/>
      </c>
      <c r="ET677" s="1072" t="str">
        <f t="shared" si="99"/>
        <v/>
      </c>
      <c r="EU677" s="1072" t="str">
        <f t="shared" si="100"/>
        <v/>
      </c>
      <c r="EV677" s="833" t="str">
        <f t="shared" si="101"/>
        <v/>
      </c>
      <c r="EW677" s="833" t="str">
        <f t="shared" si="102"/>
        <v/>
      </c>
      <c r="EX677" s="833" t="str">
        <f t="shared" si="103"/>
        <v/>
      </c>
      <c r="EY677" s="833" t="str">
        <f t="shared" si="104"/>
        <v/>
      </c>
      <c r="EZ677" s="833" t="str">
        <f t="shared" si="105"/>
        <v/>
      </c>
      <c r="FA677" s="833" t="str">
        <f t="shared" si="106"/>
        <v/>
      </c>
      <c r="FB677" s="833" t="str">
        <f t="shared" si="107"/>
        <v/>
      </c>
      <c r="FC677" s="833" t="str">
        <f t="shared" si="108"/>
        <v/>
      </c>
      <c r="FD677" s="833" t="str">
        <f t="shared" si="109"/>
        <v/>
      </c>
      <c r="FE677" s="833" t="str">
        <f t="shared" si="110"/>
        <v/>
      </c>
      <c r="FF677" s="833" t="str">
        <f t="shared" si="111"/>
        <v/>
      </c>
      <c r="FG677" s="833" t="str">
        <f t="shared" si="112"/>
        <v/>
      </c>
      <c r="FH677" s="833" t="str">
        <f t="shared" si="113"/>
        <v/>
      </c>
      <c r="FI677" s="833" t="str">
        <f t="shared" si="114"/>
        <v/>
      </c>
      <c r="FJ677" s="833" t="str">
        <f t="shared" si="115"/>
        <v/>
      </c>
      <c r="FK677" s="833" t="str">
        <f t="shared" si="116"/>
        <v/>
      </c>
      <c r="FL677" s="833" t="str">
        <f t="shared" si="117"/>
        <v/>
      </c>
      <c r="FM677" s="833" t="str">
        <f t="shared" si="118"/>
        <v/>
      </c>
      <c r="FN677" s="833" t="str">
        <f t="shared" si="119"/>
        <v/>
      </c>
      <c r="FO677" s="833" t="str">
        <f t="shared" si="120"/>
        <v/>
      </c>
      <c r="FP677" s="833" t="str">
        <f t="shared" si="121"/>
        <v/>
      </c>
      <c r="FQ677" s="833" t="str">
        <f t="shared" si="122"/>
        <v/>
      </c>
      <c r="FR677" s="833" t="str">
        <f t="shared" si="123"/>
        <v/>
      </c>
      <c r="FS677" s="833" t="str">
        <f t="shared" si="124"/>
        <v/>
      </c>
      <c r="FT677" s="833" t="str">
        <f t="shared" si="125"/>
        <v/>
      </c>
      <c r="FU677" s="833" t="str">
        <f t="shared" si="126"/>
        <v/>
      </c>
      <c r="FV677" s="833" t="str">
        <f t="shared" si="127"/>
        <v/>
      </c>
      <c r="FW677" s="833" t="str">
        <f t="shared" si="128"/>
        <v/>
      </c>
      <c r="FX677" s="833" t="str">
        <f t="shared" si="129"/>
        <v/>
      </c>
      <c r="FY677" s="833" t="str">
        <f t="shared" si="130"/>
        <v/>
      </c>
      <c r="FZ677" s="833" t="str">
        <f t="shared" si="131"/>
        <v/>
      </c>
      <c r="GA677" s="833" t="str">
        <f t="shared" si="132"/>
        <v/>
      </c>
      <c r="GB677" s="833" t="str">
        <f t="shared" si="133"/>
        <v/>
      </c>
      <c r="GC677" s="833" t="str">
        <f t="shared" si="134"/>
        <v/>
      </c>
      <c r="GD677" s="833" t="str">
        <f t="shared" si="135"/>
        <v/>
      </c>
      <c r="GE677" s="833" t="str">
        <f t="shared" si="136"/>
        <v/>
      </c>
      <c r="GF677" s="833" t="str">
        <f t="shared" si="137"/>
        <v/>
      </c>
      <c r="GG677" s="833" t="str">
        <f t="shared" si="138"/>
        <v/>
      </c>
      <c r="GH677" s="833" t="str">
        <f t="shared" si="139"/>
        <v/>
      </c>
      <c r="GI677" s="833" t="str">
        <f t="shared" si="140"/>
        <v/>
      </c>
      <c r="GJ677" s="833" t="str">
        <f t="shared" si="141"/>
        <v/>
      </c>
      <c r="GK677" s="833" t="str">
        <f t="shared" si="142"/>
        <v/>
      </c>
      <c r="GL677" s="833" t="str">
        <f t="shared" si="143"/>
        <v/>
      </c>
      <c r="GM677" s="833" t="str">
        <f t="shared" si="144"/>
        <v/>
      </c>
      <c r="GN677" s="833" t="str">
        <f t="shared" si="145"/>
        <v/>
      </c>
      <c r="GO677" s="1115" t="str">
        <f t="shared" si="146"/>
        <v/>
      </c>
      <c r="GP677" s="1115" t="str">
        <f t="shared" si="147"/>
        <v/>
      </c>
      <c r="GQ677" s="1115" t="str">
        <f t="shared" si="148"/>
        <v/>
      </c>
      <c r="GR677" s="1115" t="str">
        <f t="shared" si="149"/>
        <v/>
      </c>
      <c r="GS677" s="1115" t="str">
        <f t="shared" si="150"/>
        <v/>
      </c>
      <c r="GT677" s="1072" t="str">
        <f t="shared" si="151"/>
        <v/>
      </c>
      <c r="GU677" s="1072" t="str">
        <f t="shared" si="152"/>
        <v/>
      </c>
      <c r="GV677" s="1072" t="str">
        <f t="shared" si="153"/>
        <v/>
      </c>
      <c r="GW677" s="1072" t="str">
        <f t="shared" si="154"/>
        <v/>
      </c>
      <c r="GX677" s="1072" t="str">
        <f t="shared" si="155"/>
        <v/>
      </c>
      <c r="GY677" s="1072" t="str">
        <f t="shared" si="156"/>
        <v/>
      </c>
      <c r="GZ677" s="1072" t="str">
        <f t="shared" si="157"/>
        <v/>
      </c>
      <c r="HA677" s="1072" t="str">
        <f t="shared" si="158"/>
        <v/>
      </c>
      <c r="HB677" s="1072" t="str">
        <f t="shared" si="159"/>
        <v/>
      </c>
      <c r="HC677" s="1072" t="str">
        <f t="shared" si="160"/>
        <v/>
      </c>
      <c r="HD677" s="1072" t="str">
        <f t="shared" si="161"/>
        <v/>
      </c>
      <c r="HE677" s="1072" t="str">
        <f t="shared" si="162"/>
        <v/>
      </c>
      <c r="HF677" s="1072" t="str">
        <f t="shared" si="163"/>
        <v/>
      </c>
      <c r="HG677" s="1072" t="str">
        <f t="shared" si="164"/>
        <v/>
      </c>
      <c r="HH677" s="1072" t="str">
        <f t="shared" si="165"/>
        <v/>
      </c>
      <c r="HI677" s="1072" t="str">
        <f t="shared" si="166"/>
        <v/>
      </c>
      <c r="HJ677" s="1072" t="str">
        <f t="shared" si="167"/>
        <v/>
      </c>
      <c r="HK677" s="1072" t="str">
        <f t="shared" si="168"/>
        <v/>
      </c>
      <c r="HL677" s="1072" t="str">
        <f t="shared" si="169"/>
        <v/>
      </c>
      <c r="HM677" s="1072" t="str">
        <f t="shared" si="170"/>
        <v/>
      </c>
    </row>
    <row r="678" spans="1:221" ht="13.15" customHeight="1">
      <c r="A678" s="1084" t="str">
        <f t="shared" si="171"/>
        <v/>
      </c>
      <c r="B678" s="1037" t="str">
        <f>'Part VI-Revenues &amp; Expenses'!B44</f>
        <v>&lt;&lt;Select&gt;&gt;</v>
      </c>
      <c r="C678" s="1038">
        <f>'Part VI-Revenues &amp; Expenses'!C44</f>
        <v>0</v>
      </c>
      <c r="D678" s="1039">
        <f>'Part VI-Revenues &amp; Expenses'!D44</f>
        <v>0</v>
      </c>
      <c r="E678" s="1040">
        <f>'Part VI-Revenues &amp; Expenses'!E44</f>
        <v>0</v>
      </c>
      <c r="F678" s="1040">
        <f>'Part VI-Revenues &amp; Expenses'!F44</f>
        <v>0</v>
      </c>
      <c r="G678" s="1040">
        <f>'Part VI-Revenues &amp; Expenses'!G44</f>
        <v>0</v>
      </c>
      <c r="H678" s="1040">
        <f>'Part VI-Revenues &amp; Expenses'!H44</f>
        <v>0</v>
      </c>
      <c r="I678" s="1040">
        <f>'Part VI-Revenues &amp; Expenses'!I44</f>
        <v>0</v>
      </c>
      <c r="J678" s="1103">
        <f>'Part VI-Revenues &amp; Expenses'!J44</f>
        <v>0</v>
      </c>
      <c r="K678" s="908">
        <f t="shared" si="205"/>
        <v>0</v>
      </c>
      <c r="L678" s="908">
        <f t="shared" si="0"/>
        <v>0</v>
      </c>
      <c r="M678" s="831">
        <f>'Part VI-Revenues &amp; Expenses'!M44</f>
        <v>0</v>
      </c>
      <c r="N678" s="831">
        <f>'Part VI-Revenues &amp; Expenses'!N44</f>
        <v>0</v>
      </c>
      <c r="O678" s="831">
        <f>'Part VI-Revenues &amp; Expenses'!O44</f>
        <v>0</v>
      </c>
      <c r="P678" s="909">
        <f t="shared" si="203"/>
        <v>0</v>
      </c>
      <c r="Q678" s="910" t="str">
        <f>'Part VI-Revenues &amp; Expenses'!Q44</f>
        <v/>
      </c>
      <c r="R678" s="909"/>
      <c r="S678" s="910"/>
      <c r="T678" s="1576"/>
      <c r="U678" s="1576"/>
      <c r="V678" s="1072" t="str">
        <f t="shared" si="1"/>
        <v/>
      </c>
      <c r="W678" s="1072" t="str">
        <f t="shared" si="2"/>
        <v/>
      </c>
      <c r="X678" s="1072" t="str">
        <f t="shared" si="3"/>
        <v/>
      </c>
      <c r="Y678" s="1072" t="str">
        <f t="shared" si="4"/>
        <v/>
      </c>
      <c r="Z678" s="1072" t="str">
        <f t="shared" si="5"/>
        <v/>
      </c>
      <c r="AA678" s="1072" t="str">
        <f t="shared" si="6"/>
        <v/>
      </c>
      <c r="AB678" s="1072" t="str">
        <f t="shared" si="7"/>
        <v/>
      </c>
      <c r="AC678" s="1072" t="str">
        <f t="shared" si="8"/>
        <v/>
      </c>
      <c r="AD678" s="1072" t="str">
        <f t="shared" si="9"/>
        <v/>
      </c>
      <c r="AE678" s="1072" t="str">
        <f t="shared" si="10"/>
        <v/>
      </c>
      <c r="AF678" s="1072" t="str">
        <f t="shared" si="11"/>
        <v/>
      </c>
      <c r="AG678" s="1072" t="str">
        <f t="shared" si="12"/>
        <v/>
      </c>
      <c r="AH678" s="1072" t="str">
        <f t="shared" si="13"/>
        <v/>
      </c>
      <c r="AI678" s="1072" t="str">
        <f t="shared" si="14"/>
        <v/>
      </c>
      <c r="AJ678" s="1072" t="str">
        <f t="shared" si="15"/>
        <v/>
      </c>
      <c r="AK678" s="1072" t="str">
        <f t="shared" si="16"/>
        <v/>
      </c>
      <c r="AL678" s="1072" t="str">
        <f t="shared" si="17"/>
        <v/>
      </c>
      <c r="AM678" s="1072" t="str">
        <f t="shared" si="18"/>
        <v/>
      </c>
      <c r="AN678" s="1072" t="str">
        <f t="shared" si="19"/>
        <v/>
      </c>
      <c r="AO678" s="1072" t="str">
        <f t="shared" si="20"/>
        <v/>
      </c>
      <c r="AP678" s="1072" t="str">
        <f t="shared" si="173"/>
        <v/>
      </c>
      <c r="AQ678" s="1072" t="str">
        <f t="shared" si="174"/>
        <v/>
      </c>
      <c r="AR678" s="1072" t="str">
        <f t="shared" si="175"/>
        <v/>
      </c>
      <c r="AS678" s="1072" t="str">
        <f t="shared" si="176"/>
        <v/>
      </c>
      <c r="AT678" s="1072" t="str">
        <f t="shared" si="177"/>
        <v/>
      </c>
      <c r="AU678" s="1072" t="str">
        <f t="shared" si="178"/>
        <v/>
      </c>
      <c r="AV678" s="1072" t="str">
        <f t="shared" si="179"/>
        <v/>
      </c>
      <c r="AW678" s="1072" t="str">
        <f t="shared" si="180"/>
        <v/>
      </c>
      <c r="AX678" s="1072" t="str">
        <f t="shared" si="181"/>
        <v/>
      </c>
      <c r="AY678" s="1072" t="str">
        <f t="shared" si="182"/>
        <v/>
      </c>
      <c r="AZ678" s="1072" t="str">
        <f t="shared" si="183"/>
        <v/>
      </c>
      <c r="BA678" s="1072" t="str">
        <f t="shared" si="184"/>
        <v/>
      </c>
      <c r="BB678" s="1072" t="str">
        <f t="shared" si="185"/>
        <v/>
      </c>
      <c r="BC678" s="1072" t="str">
        <f t="shared" si="186"/>
        <v/>
      </c>
      <c r="BD678" s="1072" t="str">
        <f t="shared" si="187"/>
        <v/>
      </c>
      <c r="BE678" s="1072" t="str">
        <f t="shared" si="188"/>
        <v/>
      </c>
      <c r="BF678" s="1072" t="str">
        <f t="shared" si="189"/>
        <v/>
      </c>
      <c r="BG678" s="1072" t="str">
        <f t="shared" si="190"/>
        <v/>
      </c>
      <c r="BH678" s="1072" t="str">
        <f t="shared" si="191"/>
        <v/>
      </c>
      <c r="BI678" s="1072" t="str">
        <f t="shared" si="192"/>
        <v/>
      </c>
      <c r="BJ678" s="1072" t="str">
        <f t="shared" si="193"/>
        <v/>
      </c>
      <c r="BK678" s="1072" t="str">
        <f t="shared" si="194"/>
        <v/>
      </c>
      <c r="BL678" s="1072" t="str">
        <f t="shared" si="195"/>
        <v/>
      </c>
      <c r="BM678" s="1072" t="str">
        <f t="shared" si="196"/>
        <v/>
      </c>
      <c r="BN678" s="1072" t="str">
        <f t="shared" si="197"/>
        <v/>
      </c>
      <c r="BO678" s="1072" t="str">
        <f t="shared" si="198"/>
        <v/>
      </c>
      <c r="BP678" s="1072" t="str">
        <f t="shared" si="199"/>
        <v/>
      </c>
      <c r="BQ678" s="1072" t="str">
        <f t="shared" si="200"/>
        <v/>
      </c>
      <c r="BR678" s="1072" t="str">
        <f t="shared" si="201"/>
        <v/>
      </c>
      <c r="BS678" s="1072" t="str">
        <f t="shared" si="202"/>
        <v/>
      </c>
      <c r="BT678" s="1072" t="str">
        <f t="shared" si="21"/>
        <v/>
      </c>
      <c r="BU678" s="1072" t="str">
        <f t="shared" si="22"/>
        <v/>
      </c>
      <c r="BV678" s="1072" t="str">
        <f t="shared" si="23"/>
        <v/>
      </c>
      <c r="BW678" s="1072" t="str">
        <f t="shared" si="24"/>
        <v/>
      </c>
      <c r="BX678" s="1072" t="str">
        <f t="shared" si="25"/>
        <v/>
      </c>
      <c r="BY678" s="1072" t="str">
        <f t="shared" si="26"/>
        <v/>
      </c>
      <c r="BZ678" s="1072" t="str">
        <f t="shared" si="27"/>
        <v/>
      </c>
      <c r="CA678" s="1072" t="str">
        <f t="shared" si="28"/>
        <v/>
      </c>
      <c r="CB678" s="1072" t="str">
        <f t="shared" si="29"/>
        <v/>
      </c>
      <c r="CC678" s="1072" t="str">
        <f t="shared" si="30"/>
        <v/>
      </c>
      <c r="CD678" s="1072" t="str">
        <f t="shared" si="31"/>
        <v/>
      </c>
      <c r="CE678" s="1072" t="str">
        <f t="shared" si="32"/>
        <v/>
      </c>
      <c r="CF678" s="1072" t="str">
        <f t="shared" si="33"/>
        <v/>
      </c>
      <c r="CG678" s="1072" t="str">
        <f t="shared" si="34"/>
        <v/>
      </c>
      <c r="CH678" s="1072" t="str">
        <f t="shared" si="35"/>
        <v/>
      </c>
      <c r="CI678" s="1072" t="str">
        <f t="shared" si="36"/>
        <v/>
      </c>
      <c r="CJ678" s="1072" t="str">
        <f t="shared" si="37"/>
        <v/>
      </c>
      <c r="CK678" s="1072" t="str">
        <f t="shared" si="38"/>
        <v/>
      </c>
      <c r="CL678" s="1072" t="str">
        <f t="shared" si="39"/>
        <v/>
      </c>
      <c r="CM678" s="1072" t="str">
        <f t="shared" si="40"/>
        <v/>
      </c>
      <c r="CN678" s="1072" t="str">
        <f t="shared" si="41"/>
        <v/>
      </c>
      <c r="CO678" s="1072" t="str">
        <f t="shared" si="42"/>
        <v/>
      </c>
      <c r="CP678" s="1072" t="str">
        <f t="shared" si="43"/>
        <v/>
      </c>
      <c r="CQ678" s="1072" t="str">
        <f t="shared" si="44"/>
        <v/>
      </c>
      <c r="CR678" s="1072" t="str">
        <f t="shared" si="45"/>
        <v/>
      </c>
      <c r="CS678" s="1072" t="str">
        <f t="shared" si="46"/>
        <v/>
      </c>
      <c r="CT678" s="1072" t="str">
        <f t="shared" si="47"/>
        <v/>
      </c>
      <c r="CU678" s="1072" t="str">
        <f t="shared" si="48"/>
        <v/>
      </c>
      <c r="CV678" s="1072" t="str">
        <f t="shared" si="49"/>
        <v/>
      </c>
      <c r="CW678" s="1072" t="str">
        <f t="shared" si="50"/>
        <v/>
      </c>
      <c r="CX678" s="1072" t="str">
        <f t="shared" si="51"/>
        <v/>
      </c>
      <c r="CY678" s="1072" t="str">
        <f t="shared" si="52"/>
        <v/>
      </c>
      <c r="CZ678" s="1072" t="str">
        <f t="shared" si="53"/>
        <v/>
      </c>
      <c r="DA678" s="1072" t="str">
        <f t="shared" si="54"/>
        <v/>
      </c>
      <c r="DB678" s="1072" t="str">
        <f t="shared" si="55"/>
        <v/>
      </c>
      <c r="DC678" s="1072" t="str">
        <f t="shared" si="56"/>
        <v/>
      </c>
      <c r="DD678" s="1072" t="str">
        <f t="shared" si="57"/>
        <v/>
      </c>
      <c r="DE678" s="1072" t="str">
        <f t="shared" si="58"/>
        <v/>
      </c>
      <c r="DF678" s="1072" t="str">
        <f t="shared" si="59"/>
        <v/>
      </c>
      <c r="DG678" s="1072" t="str">
        <f t="shared" si="60"/>
        <v/>
      </c>
      <c r="DH678" s="1072" t="str">
        <f t="shared" si="61"/>
        <v/>
      </c>
      <c r="DI678" s="1072" t="str">
        <f t="shared" si="62"/>
        <v/>
      </c>
      <c r="DJ678" s="1072" t="str">
        <f t="shared" si="63"/>
        <v/>
      </c>
      <c r="DK678" s="1072" t="str">
        <f t="shared" si="64"/>
        <v/>
      </c>
      <c r="DL678" s="1072" t="str">
        <f t="shared" si="65"/>
        <v/>
      </c>
      <c r="DM678" s="1072" t="str">
        <f t="shared" si="66"/>
        <v/>
      </c>
      <c r="DN678" s="1072" t="str">
        <f t="shared" si="67"/>
        <v/>
      </c>
      <c r="DO678" s="1072" t="str">
        <f t="shared" si="68"/>
        <v/>
      </c>
      <c r="DP678" s="1072" t="str">
        <f t="shared" si="69"/>
        <v/>
      </c>
      <c r="DQ678" s="1072" t="str">
        <f t="shared" si="70"/>
        <v/>
      </c>
      <c r="DR678" s="1072" t="str">
        <f t="shared" si="71"/>
        <v/>
      </c>
      <c r="DS678" s="1072" t="str">
        <f t="shared" si="72"/>
        <v/>
      </c>
      <c r="DT678" s="1072" t="str">
        <f t="shared" si="73"/>
        <v/>
      </c>
      <c r="DU678" s="1072" t="str">
        <f t="shared" si="74"/>
        <v/>
      </c>
      <c r="DV678" s="1072" t="str">
        <f t="shared" si="75"/>
        <v/>
      </c>
      <c r="DW678" s="1072" t="str">
        <f t="shared" si="76"/>
        <v/>
      </c>
      <c r="DX678" s="1072" t="str">
        <f t="shared" si="77"/>
        <v/>
      </c>
      <c r="DY678" s="1072" t="str">
        <f t="shared" si="78"/>
        <v/>
      </c>
      <c r="DZ678" s="1072" t="str">
        <f t="shared" si="79"/>
        <v/>
      </c>
      <c r="EA678" s="1072" t="str">
        <f t="shared" si="80"/>
        <v/>
      </c>
      <c r="EB678" s="1072" t="str">
        <f t="shared" si="81"/>
        <v/>
      </c>
      <c r="EC678" s="1072" t="str">
        <f t="shared" si="82"/>
        <v/>
      </c>
      <c r="ED678" s="1072" t="str">
        <f t="shared" si="83"/>
        <v/>
      </c>
      <c r="EE678" s="1072" t="str">
        <f t="shared" si="84"/>
        <v/>
      </c>
      <c r="EF678" s="1072" t="str">
        <f t="shared" si="85"/>
        <v/>
      </c>
      <c r="EG678" s="1072" t="str">
        <f t="shared" si="86"/>
        <v/>
      </c>
      <c r="EH678" s="1072" t="str">
        <f t="shared" si="87"/>
        <v/>
      </c>
      <c r="EI678" s="1072" t="str">
        <f t="shared" si="88"/>
        <v/>
      </c>
      <c r="EJ678" s="1072" t="str">
        <f t="shared" si="89"/>
        <v/>
      </c>
      <c r="EK678" s="1072" t="str">
        <f t="shared" si="90"/>
        <v/>
      </c>
      <c r="EL678" s="1072" t="str">
        <f t="shared" si="91"/>
        <v/>
      </c>
      <c r="EM678" s="1072" t="str">
        <f t="shared" si="92"/>
        <v/>
      </c>
      <c r="EN678" s="1072" t="str">
        <f t="shared" si="93"/>
        <v/>
      </c>
      <c r="EO678" s="1072" t="str">
        <f t="shared" si="94"/>
        <v/>
      </c>
      <c r="EP678" s="1072" t="str">
        <f t="shared" si="95"/>
        <v/>
      </c>
      <c r="EQ678" s="1072" t="str">
        <f t="shared" si="96"/>
        <v/>
      </c>
      <c r="ER678" s="1072" t="str">
        <f t="shared" si="97"/>
        <v/>
      </c>
      <c r="ES678" s="1072" t="str">
        <f t="shared" si="98"/>
        <v/>
      </c>
      <c r="ET678" s="1072" t="str">
        <f t="shared" si="99"/>
        <v/>
      </c>
      <c r="EU678" s="1072" t="str">
        <f t="shared" si="100"/>
        <v/>
      </c>
      <c r="EV678" s="833" t="str">
        <f t="shared" si="101"/>
        <v/>
      </c>
      <c r="EW678" s="833" t="str">
        <f t="shared" si="102"/>
        <v/>
      </c>
      <c r="EX678" s="833" t="str">
        <f t="shared" si="103"/>
        <v/>
      </c>
      <c r="EY678" s="833" t="str">
        <f t="shared" si="104"/>
        <v/>
      </c>
      <c r="EZ678" s="833" t="str">
        <f t="shared" si="105"/>
        <v/>
      </c>
      <c r="FA678" s="833" t="str">
        <f t="shared" si="106"/>
        <v/>
      </c>
      <c r="FB678" s="833" t="str">
        <f t="shared" si="107"/>
        <v/>
      </c>
      <c r="FC678" s="833" t="str">
        <f t="shared" si="108"/>
        <v/>
      </c>
      <c r="FD678" s="833" t="str">
        <f t="shared" si="109"/>
        <v/>
      </c>
      <c r="FE678" s="833" t="str">
        <f t="shared" si="110"/>
        <v/>
      </c>
      <c r="FF678" s="833" t="str">
        <f t="shared" si="111"/>
        <v/>
      </c>
      <c r="FG678" s="833" t="str">
        <f t="shared" si="112"/>
        <v/>
      </c>
      <c r="FH678" s="833" t="str">
        <f t="shared" si="113"/>
        <v/>
      </c>
      <c r="FI678" s="833" t="str">
        <f t="shared" si="114"/>
        <v/>
      </c>
      <c r="FJ678" s="833" t="str">
        <f t="shared" si="115"/>
        <v/>
      </c>
      <c r="FK678" s="833" t="str">
        <f t="shared" si="116"/>
        <v/>
      </c>
      <c r="FL678" s="833" t="str">
        <f t="shared" si="117"/>
        <v/>
      </c>
      <c r="FM678" s="833" t="str">
        <f t="shared" si="118"/>
        <v/>
      </c>
      <c r="FN678" s="833" t="str">
        <f t="shared" si="119"/>
        <v/>
      </c>
      <c r="FO678" s="833" t="str">
        <f t="shared" si="120"/>
        <v/>
      </c>
      <c r="FP678" s="833" t="str">
        <f t="shared" si="121"/>
        <v/>
      </c>
      <c r="FQ678" s="833" t="str">
        <f t="shared" si="122"/>
        <v/>
      </c>
      <c r="FR678" s="833" t="str">
        <f t="shared" si="123"/>
        <v/>
      </c>
      <c r="FS678" s="833" t="str">
        <f t="shared" si="124"/>
        <v/>
      </c>
      <c r="FT678" s="833" t="str">
        <f t="shared" si="125"/>
        <v/>
      </c>
      <c r="FU678" s="833" t="str">
        <f t="shared" si="126"/>
        <v/>
      </c>
      <c r="FV678" s="833" t="str">
        <f t="shared" si="127"/>
        <v/>
      </c>
      <c r="FW678" s="833" t="str">
        <f t="shared" si="128"/>
        <v/>
      </c>
      <c r="FX678" s="833" t="str">
        <f t="shared" si="129"/>
        <v/>
      </c>
      <c r="FY678" s="833" t="str">
        <f t="shared" si="130"/>
        <v/>
      </c>
      <c r="FZ678" s="833" t="str">
        <f t="shared" si="131"/>
        <v/>
      </c>
      <c r="GA678" s="833" t="str">
        <f t="shared" si="132"/>
        <v/>
      </c>
      <c r="GB678" s="833" t="str">
        <f t="shared" si="133"/>
        <v/>
      </c>
      <c r="GC678" s="833" t="str">
        <f t="shared" si="134"/>
        <v/>
      </c>
      <c r="GD678" s="833" t="str">
        <f t="shared" si="135"/>
        <v/>
      </c>
      <c r="GE678" s="833" t="str">
        <f t="shared" si="136"/>
        <v/>
      </c>
      <c r="GF678" s="833" t="str">
        <f t="shared" si="137"/>
        <v/>
      </c>
      <c r="GG678" s="833" t="str">
        <f t="shared" si="138"/>
        <v/>
      </c>
      <c r="GH678" s="833" t="str">
        <f t="shared" si="139"/>
        <v/>
      </c>
      <c r="GI678" s="833" t="str">
        <f t="shared" si="140"/>
        <v/>
      </c>
      <c r="GJ678" s="833" t="str">
        <f t="shared" si="141"/>
        <v/>
      </c>
      <c r="GK678" s="833" t="str">
        <f t="shared" si="142"/>
        <v/>
      </c>
      <c r="GL678" s="833" t="str">
        <f t="shared" si="143"/>
        <v/>
      </c>
      <c r="GM678" s="833" t="str">
        <f t="shared" si="144"/>
        <v/>
      </c>
      <c r="GN678" s="833" t="str">
        <f t="shared" si="145"/>
        <v/>
      </c>
      <c r="GO678" s="1115" t="str">
        <f t="shared" si="146"/>
        <v/>
      </c>
      <c r="GP678" s="1115" t="str">
        <f t="shared" si="147"/>
        <v/>
      </c>
      <c r="GQ678" s="1115" t="str">
        <f t="shared" si="148"/>
        <v/>
      </c>
      <c r="GR678" s="1115" t="str">
        <f t="shared" si="149"/>
        <v/>
      </c>
      <c r="GS678" s="1115" t="str">
        <f t="shared" si="150"/>
        <v/>
      </c>
      <c r="GT678" s="1072" t="str">
        <f t="shared" si="151"/>
        <v/>
      </c>
      <c r="GU678" s="1072" t="str">
        <f t="shared" si="152"/>
        <v/>
      </c>
      <c r="GV678" s="1072" t="str">
        <f t="shared" si="153"/>
        <v/>
      </c>
      <c r="GW678" s="1072" t="str">
        <f t="shared" si="154"/>
        <v/>
      </c>
      <c r="GX678" s="1072" t="str">
        <f t="shared" si="155"/>
        <v/>
      </c>
      <c r="GY678" s="1072" t="str">
        <f t="shared" si="156"/>
        <v/>
      </c>
      <c r="GZ678" s="1072" t="str">
        <f t="shared" si="157"/>
        <v/>
      </c>
      <c r="HA678" s="1072" t="str">
        <f t="shared" si="158"/>
        <v/>
      </c>
      <c r="HB678" s="1072" t="str">
        <f t="shared" si="159"/>
        <v/>
      </c>
      <c r="HC678" s="1072" t="str">
        <f t="shared" si="160"/>
        <v/>
      </c>
      <c r="HD678" s="1072" t="str">
        <f t="shared" si="161"/>
        <v/>
      </c>
      <c r="HE678" s="1072" t="str">
        <f t="shared" si="162"/>
        <v/>
      </c>
      <c r="HF678" s="1072" t="str">
        <f t="shared" si="163"/>
        <v/>
      </c>
      <c r="HG678" s="1072" t="str">
        <f t="shared" si="164"/>
        <v/>
      </c>
      <c r="HH678" s="1072" t="str">
        <f t="shared" si="165"/>
        <v/>
      </c>
      <c r="HI678" s="1072" t="str">
        <f t="shared" si="166"/>
        <v/>
      </c>
      <c r="HJ678" s="1072" t="str">
        <f t="shared" si="167"/>
        <v/>
      </c>
      <c r="HK678" s="1072" t="str">
        <f t="shared" si="168"/>
        <v/>
      </c>
      <c r="HL678" s="1072" t="str">
        <f t="shared" si="169"/>
        <v/>
      </c>
      <c r="HM678" s="1072" t="str">
        <f t="shared" si="170"/>
        <v/>
      </c>
    </row>
    <row r="679" spans="1:221" ht="13.15" customHeight="1">
      <c r="A679" s="1084" t="str">
        <f t="shared" si="171"/>
        <v/>
      </c>
      <c r="B679" s="1037" t="str">
        <f>'Part VI-Revenues &amp; Expenses'!B45</f>
        <v>&lt;&lt;Select&gt;&gt;</v>
      </c>
      <c r="C679" s="1038">
        <f>'Part VI-Revenues &amp; Expenses'!C45</f>
        <v>0</v>
      </c>
      <c r="D679" s="1039">
        <f>'Part VI-Revenues &amp; Expenses'!D45</f>
        <v>0</v>
      </c>
      <c r="E679" s="1040">
        <f>'Part VI-Revenues &amp; Expenses'!E45</f>
        <v>0</v>
      </c>
      <c r="F679" s="1040">
        <f>'Part VI-Revenues &amp; Expenses'!F45</f>
        <v>0</v>
      </c>
      <c r="G679" s="1040">
        <f>'Part VI-Revenues &amp; Expenses'!G45</f>
        <v>0</v>
      </c>
      <c r="H679" s="1040">
        <f>'Part VI-Revenues &amp; Expenses'!H45</f>
        <v>0</v>
      </c>
      <c r="I679" s="1040">
        <f>'Part VI-Revenues &amp; Expenses'!I45</f>
        <v>0</v>
      </c>
      <c r="J679" s="1103">
        <f>'Part VI-Revenues &amp; Expenses'!J45</f>
        <v>0</v>
      </c>
      <c r="K679" s="908">
        <f t="shared" si="205"/>
        <v>0</v>
      </c>
      <c r="L679" s="908">
        <f t="shared" si="0"/>
        <v>0</v>
      </c>
      <c r="M679" s="831">
        <f>'Part VI-Revenues &amp; Expenses'!M45</f>
        <v>0</v>
      </c>
      <c r="N679" s="831">
        <f>'Part VI-Revenues &amp; Expenses'!N45</f>
        <v>0</v>
      </c>
      <c r="O679" s="831">
        <f>'Part VI-Revenues &amp; Expenses'!O45</f>
        <v>0</v>
      </c>
      <c r="P679" s="909">
        <f t="shared" si="203"/>
        <v>0</v>
      </c>
      <c r="Q679" s="910" t="str">
        <f>'Part VI-Revenues &amp; Expenses'!Q45</f>
        <v/>
      </c>
      <c r="R679" s="909"/>
      <c r="S679" s="910"/>
      <c r="T679" s="1576"/>
      <c r="U679" s="1576"/>
      <c r="V679" s="1072" t="str">
        <f t="shared" si="1"/>
        <v/>
      </c>
      <c r="W679" s="1072" t="str">
        <f t="shared" si="2"/>
        <v/>
      </c>
      <c r="X679" s="1072" t="str">
        <f t="shared" si="3"/>
        <v/>
      </c>
      <c r="Y679" s="1072" t="str">
        <f t="shared" si="4"/>
        <v/>
      </c>
      <c r="Z679" s="1072" t="str">
        <f t="shared" si="5"/>
        <v/>
      </c>
      <c r="AA679" s="1072" t="str">
        <f t="shared" si="6"/>
        <v/>
      </c>
      <c r="AB679" s="1072" t="str">
        <f t="shared" si="7"/>
        <v/>
      </c>
      <c r="AC679" s="1072" t="str">
        <f t="shared" si="8"/>
        <v/>
      </c>
      <c r="AD679" s="1072" t="str">
        <f t="shared" si="9"/>
        <v/>
      </c>
      <c r="AE679" s="1072" t="str">
        <f t="shared" si="10"/>
        <v/>
      </c>
      <c r="AF679" s="1072" t="str">
        <f t="shared" si="11"/>
        <v/>
      </c>
      <c r="AG679" s="1072" t="str">
        <f t="shared" si="12"/>
        <v/>
      </c>
      <c r="AH679" s="1072" t="str">
        <f t="shared" si="13"/>
        <v/>
      </c>
      <c r="AI679" s="1072" t="str">
        <f t="shared" si="14"/>
        <v/>
      </c>
      <c r="AJ679" s="1072" t="str">
        <f t="shared" si="15"/>
        <v/>
      </c>
      <c r="AK679" s="1072" t="str">
        <f t="shared" si="16"/>
        <v/>
      </c>
      <c r="AL679" s="1072" t="str">
        <f t="shared" si="17"/>
        <v/>
      </c>
      <c r="AM679" s="1072" t="str">
        <f t="shared" si="18"/>
        <v/>
      </c>
      <c r="AN679" s="1072" t="str">
        <f t="shared" si="19"/>
        <v/>
      </c>
      <c r="AO679" s="1072" t="str">
        <f t="shared" si="20"/>
        <v/>
      </c>
      <c r="AP679" s="1072" t="str">
        <f t="shared" si="173"/>
        <v/>
      </c>
      <c r="AQ679" s="1072" t="str">
        <f t="shared" si="174"/>
        <v/>
      </c>
      <c r="AR679" s="1072" t="str">
        <f t="shared" si="175"/>
        <v/>
      </c>
      <c r="AS679" s="1072" t="str">
        <f t="shared" si="176"/>
        <v/>
      </c>
      <c r="AT679" s="1072" t="str">
        <f t="shared" si="177"/>
        <v/>
      </c>
      <c r="AU679" s="1072" t="str">
        <f t="shared" si="178"/>
        <v/>
      </c>
      <c r="AV679" s="1072" t="str">
        <f t="shared" si="179"/>
        <v/>
      </c>
      <c r="AW679" s="1072" t="str">
        <f t="shared" si="180"/>
        <v/>
      </c>
      <c r="AX679" s="1072" t="str">
        <f t="shared" si="181"/>
        <v/>
      </c>
      <c r="AY679" s="1072" t="str">
        <f t="shared" si="182"/>
        <v/>
      </c>
      <c r="AZ679" s="1072" t="str">
        <f t="shared" si="183"/>
        <v/>
      </c>
      <c r="BA679" s="1072" t="str">
        <f t="shared" si="184"/>
        <v/>
      </c>
      <c r="BB679" s="1072" t="str">
        <f t="shared" si="185"/>
        <v/>
      </c>
      <c r="BC679" s="1072" t="str">
        <f t="shared" si="186"/>
        <v/>
      </c>
      <c r="BD679" s="1072" t="str">
        <f t="shared" si="187"/>
        <v/>
      </c>
      <c r="BE679" s="1072" t="str">
        <f t="shared" si="188"/>
        <v/>
      </c>
      <c r="BF679" s="1072" t="str">
        <f t="shared" si="189"/>
        <v/>
      </c>
      <c r="BG679" s="1072" t="str">
        <f t="shared" si="190"/>
        <v/>
      </c>
      <c r="BH679" s="1072" t="str">
        <f t="shared" si="191"/>
        <v/>
      </c>
      <c r="BI679" s="1072" t="str">
        <f t="shared" si="192"/>
        <v/>
      </c>
      <c r="BJ679" s="1072" t="str">
        <f t="shared" si="193"/>
        <v/>
      </c>
      <c r="BK679" s="1072" t="str">
        <f t="shared" si="194"/>
        <v/>
      </c>
      <c r="BL679" s="1072" t="str">
        <f t="shared" si="195"/>
        <v/>
      </c>
      <c r="BM679" s="1072" t="str">
        <f t="shared" si="196"/>
        <v/>
      </c>
      <c r="BN679" s="1072" t="str">
        <f t="shared" si="197"/>
        <v/>
      </c>
      <c r="BO679" s="1072" t="str">
        <f t="shared" si="198"/>
        <v/>
      </c>
      <c r="BP679" s="1072" t="str">
        <f t="shared" si="199"/>
        <v/>
      </c>
      <c r="BQ679" s="1072" t="str">
        <f t="shared" si="200"/>
        <v/>
      </c>
      <c r="BR679" s="1072" t="str">
        <f t="shared" si="201"/>
        <v/>
      </c>
      <c r="BS679" s="1072" t="str">
        <f t="shared" si="202"/>
        <v/>
      </c>
      <c r="BT679" s="1072" t="str">
        <f t="shared" si="21"/>
        <v/>
      </c>
      <c r="BU679" s="1072" t="str">
        <f t="shared" si="22"/>
        <v/>
      </c>
      <c r="BV679" s="1072" t="str">
        <f t="shared" si="23"/>
        <v/>
      </c>
      <c r="BW679" s="1072" t="str">
        <f t="shared" si="24"/>
        <v/>
      </c>
      <c r="BX679" s="1072" t="str">
        <f t="shared" si="25"/>
        <v/>
      </c>
      <c r="BY679" s="1072" t="str">
        <f t="shared" si="26"/>
        <v/>
      </c>
      <c r="BZ679" s="1072" t="str">
        <f t="shared" si="27"/>
        <v/>
      </c>
      <c r="CA679" s="1072" t="str">
        <f t="shared" si="28"/>
        <v/>
      </c>
      <c r="CB679" s="1072" t="str">
        <f t="shared" si="29"/>
        <v/>
      </c>
      <c r="CC679" s="1072" t="str">
        <f t="shared" si="30"/>
        <v/>
      </c>
      <c r="CD679" s="1072" t="str">
        <f t="shared" si="31"/>
        <v/>
      </c>
      <c r="CE679" s="1072" t="str">
        <f t="shared" si="32"/>
        <v/>
      </c>
      <c r="CF679" s="1072" t="str">
        <f t="shared" si="33"/>
        <v/>
      </c>
      <c r="CG679" s="1072" t="str">
        <f t="shared" si="34"/>
        <v/>
      </c>
      <c r="CH679" s="1072" t="str">
        <f t="shared" si="35"/>
        <v/>
      </c>
      <c r="CI679" s="1072" t="str">
        <f t="shared" si="36"/>
        <v/>
      </c>
      <c r="CJ679" s="1072" t="str">
        <f t="shared" si="37"/>
        <v/>
      </c>
      <c r="CK679" s="1072" t="str">
        <f t="shared" si="38"/>
        <v/>
      </c>
      <c r="CL679" s="1072" t="str">
        <f t="shared" si="39"/>
        <v/>
      </c>
      <c r="CM679" s="1072" t="str">
        <f t="shared" si="40"/>
        <v/>
      </c>
      <c r="CN679" s="1072" t="str">
        <f t="shared" si="41"/>
        <v/>
      </c>
      <c r="CO679" s="1072" t="str">
        <f t="shared" si="42"/>
        <v/>
      </c>
      <c r="CP679" s="1072" t="str">
        <f t="shared" si="43"/>
        <v/>
      </c>
      <c r="CQ679" s="1072" t="str">
        <f t="shared" si="44"/>
        <v/>
      </c>
      <c r="CR679" s="1072" t="str">
        <f t="shared" si="45"/>
        <v/>
      </c>
      <c r="CS679" s="1072" t="str">
        <f t="shared" si="46"/>
        <v/>
      </c>
      <c r="CT679" s="1072" t="str">
        <f t="shared" si="47"/>
        <v/>
      </c>
      <c r="CU679" s="1072" t="str">
        <f t="shared" si="48"/>
        <v/>
      </c>
      <c r="CV679" s="1072" t="str">
        <f t="shared" si="49"/>
        <v/>
      </c>
      <c r="CW679" s="1072" t="str">
        <f t="shared" si="50"/>
        <v/>
      </c>
      <c r="CX679" s="1072" t="str">
        <f t="shared" si="51"/>
        <v/>
      </c>
      <c r="CY679" s="1072" t="str">
        <f t="shared" si="52"/>
        <v/>
      </c>
      <c r="CZ679" s="1072" t="str">
        <f t="shared" si="53"/>
        <v/>
      </c>
      <c r="DA679" s="1072" t="str">
        <f t="shared" si="54"/>
        <v/>
      </c>
      <c r="DB679" s="1072" t="str">
        <f t="shared" si="55"/>
        <v/>
      </c>
      <c r="DC679" s="1072" t="str">
        <f t="shared" si="56"/>
        <v/>
      </c>
      <c r="DD679" s="1072" t="str">
        <f t="shared" si="57"/>
        <v/>
      </c>
      <c r="DE679" s="1072" t="str">
        <f t="shared" si="58"/>
        <v/>
      </c>
      <c r="DF679" s="1072" t="str">
        <f t="shared" si="59"/>
        <v/>
      </c>
      <c r="DG679" s="1072" t="str">
        <f t="shared" si="60"/>
        <v/>
      </c>
      <c r="DH679" s="1072" t="str">
        <f t="shared" si="61"/>
        <v/>
      </c>
      <c r="DI679" s="1072" t="str">
        <f t="shared" si="62"/>
        <v/>
      </c>
      <c r="DJ679" s="1072" t="str">
        <f t="shared" si="63"/>
        <v/>
      </c>
      <c r="DK679" s="1072" t="str">
        <f t="shared" si="64"/>
        <v/>
      </c>
      <c r="DL679" s="1072" t="str">
        <f t="shared" si="65"/>
        <v/>
      </c>
      <c r="DM679" s="1072" t="str">
        <f t="shared" si="66"/>
        <v/>
      </c>
      <c r="DN679" s="1072" t="str">
        <f t="shared" si="67"/>
        <v/>
      </c>
      <c r="DO679" s="1072" t="str">
        <f t="shared" si="68"/>
        <v/>
      </c>
      <c r="DP679" s="1072" t="str">
        <f t="shared" si="69"/>
        <v/>
      </c>
      <c r="DQ679" s="1072" t="str">
        <f t="shared" si="70"/>
        <v/>
      </c>
      <c r="DR679" s="1072" t="str">
        <f t="shared" si="71"/>
        <v/>
      </c>
      <c r="DS679" s="1072" t="str">
        <f t="shared" si="72"/>
        <v/>
      </c>
      <c r="DT679" s="1072" t="str">
        <f t="shared" si="73"/>
        <v/>
      </c>
      <c r="DU679" s="1072" t="str">
        <f t="shared" si="74"/>
        <v/>
      </c>
      <c r="DV679" s="1072" t="str">
        <f t="shared" si="75"/>
        <v/>
      </c>
      <c r="DW679" s="1072" t="str">
        <f t="shared" si="76"/>
        <v/>
      </c>
      <c r="DX679" s="1072" t="str">
        <f t="shared" si="77"/>
        <v/>
      </c>
      <c r="DY679" s="1072" t="str">
        <f t="shared" si="78"/>
        <v/>
      </c>
      <c r="DZ679" s="1072" t="str">
        <f t="shared" si="79"/>
        <v/>
      </c>
      <c r="EA679" s="1072" t="str">
        <f t="shared" si="80"/>
        <v/>
      </c>
      <c r="EB679" s="1072" t="str">
        <f t="shared" si="81"/>
        <v/>
      </c>
      <c r="EC679" s="1072" t="str">
        <f t="shared" si="82"/>
        <v/>
      </c>
      <c r="ED679" s="1072" t="str">
        <f t="shared" si="83"/>
        <v/>
      </c>
      <c r="EE679" s="1072" t="str">
        <f t="shared" si="84"/>
        <v/>
      </c>
      <c r="EF679" s="1072" t="str">
        <f t="shared" si="85"/>
        <v/>
      </c>
      <c r="EG679" s="1072" t="str">
        <f t="shared" si="86"/>
        <v/>
      </c>
      <c r="EH679" s="1072" t="str">
        <f t="shared" si="87"/>
        <v/>
      </c>
      <c r="EI679" s="1072" t="str">
        <f t="shared" si="88"/>
        <v/>
      </c>
      <c r="EJ679" s="1072" t="str">
        <f t="shared" si="89"/>
        <v/>
      </c>
      <c r="EK679" s="1072" t="str">
        <f t="shared" si="90"/>
        <v/>
      </c>
      <c r="EL679" s="1072" t="str">
        <f t="shared" si="91"/>
        <v/>
      </c>
      <c r="EM679" s="1072" t="str">
        <f t="shared" si="92"/>
        <v/>
      </c>
      <c r="EN679" s="1072" t="str">
        <f t="shared" si="93"/>
        <v/>
      </c>
      <c r="EO679" s="1072" t="str">
        <f t="shared" si="94"/>
        <v/>
      </c>
      <c r="EP679" s="1072" t="str">
        <f t="shared" si="95"/>
        <v/>
      </c>
      <c r="EQ679" s="1072" t="str">
        <f t="shared" si="96"/>
        <v/>
      </c>
      <c r="ER679" s="1072" t="str">
        <f t="shared" si="97"/>
        <v/>
      </c>
      <c r="ES679" s="1072" t="str">
        <f t="shared" si="98"/>
        <v/>
      </c>
      <c r="ET679" s="1072" t="str">
        <f t="shared" si="99"/>
        <v/>
      </c>
      <c r="EU679" s="1072" t="str">
        <f t="shared" si="100"/>
        <v/>
      </c>
      <c r="EV679" s="833" t="str">
        <f t="shared" si="101"/>
        <v/>
      </c>
      <c r="EW679" s="833" t="str">
        <f t="shared" si="102"/>
        <v/>
      </c>
      <c r="EX679" s="833" t="str">
        <f t="shared" si="103"/>
        <v/>
      </c>
      <c r="EY679" s="833" t="str">
        <f t="shared" si="104"/>
        <v/>
      </c>
      <c r="EZ679" s="833" t="str">
        <f t="shared" si="105"/>
        <v/>
      </c>
      <c r="FA679" s="833" t="str">
        <f t="shared" si="106"/>
        <v/>
      </c>
      <c r="FB679" s="833" t="str">
        <f t="shared" si="107"/>
        <v/>
      </c>
      <c r="FC679" s="833" t="str">
        <f t="shared" si="108"/>
        <v/>
      </c>
      <c r="FD679" s="833" t="str">
        <f t="shared" si="109"/>
        <v/>
      </c>
      <c r="FE679" s="833" t="str">
        <f t="shared" si="110"/>
        <v/>
      </c>
      <c r="FF679" s="833" t="str">
        <f t="shared" si="111"/>
        <v/>
      </c>
      <c r="FG679" s="833" t="str">
        <f t="shared" si="112"/>
        <v/>
      </c>
      <c r="FH679" s="833" t="str">
        <f t="shared" si="113"/>
        <v/>
      </c>
      <c r="FI679" s="833" t="str">
        <f t="shared" si="114"/>
        <v/>
      </c>
      <c r="FJ679" s="833" t="str">
        <f t="shared" si="115"/>
        <v/>
      </c>
      <c r="FK679" s="833" t="str">
        <f t="shared" si="116"/>
        <v/>
      </c>
      <c r="FL679" s="833" t="str">
        <f t="shared" si="117"/>
        <v/>
      </c>
      <c r="FM679" s="833" t="str">
        <f t="shared" si="118"/>
        <v/>
      </c>
      <c r="FN679" s="833" t="str">
        <f t="shared" si="119"/>
        <v/>
      </c>
      <c r="FO679" s="833" t="str">
        <f t="shared" si="120"/>
        <v/>
      </c>
      <c r="FP679" s="833" t="str">
        <f t="shared" si="121"/>
        <v/>
      </c>
      <c r="FQ679" s="833" t="str">
        <f t="shared" si="122"/>
        <v/>
      </c>
      <c r="FR679" s="833" t="str">
        <f t="shared" si="123"/>
        <v/>
      </c>
      <c r="FS679" s="833" t="str">
        <f t="shared" si="124"/>
        <v/>
      </c>
      <c r="FT679" s="833" t="str">
        <f t="shared" si="125"/>
        <v/>
      </c>
      <c r="FU679" s="833" t="str">
        <f t="shared" si="126"/>
        <v/>
      </c>
      <c r="FV679" s="833" t="str">
        <f t="shared" si="127"/>
        <v/>
      </c>
      <c r="FW679" s="833" t="str">
        <f t="shared" si="128"/>
        <v/>
      </c>
      <c r="FX679" s="833" t="str">
        <f t="shared" si="129"/>
        <v/>
      </c>
      <c r="FY679" s="833" t="str">
        <f t="shared" si="130"/>
        <v/>
      </c>
      <c r="FZ679" s="833" t="str">
        <f t="shared" si="131"/>
        <v/>
      </c>
      <c r="GA679" s="833" t="str">
        <f t="shared" si="132"/>
        <v/>
      </c>
      <c r="GB679" s="833" t="str">
        <f t="shared" si="133"/>
        <v/>
      </c>
      <c r="GC679" s="833" t="str">
        <f t="shared" si="134"/>
        <v/>
      </c>
      <c r="GD679" s="833" t="str">
        <f t="shared" si="135"/>
        <v/>
      </c>
      <c r="GE679" s="833" t="str">
        <f t="shared" si="136"/>
        <v/>
      </c>
      <c r="GF679" s="833" t="str">
        <f t="shared" si="137"/>
        <v/>
      </c>
      <c r="GG679" s="833" t="str">
        <f t="shared" si="138"/>
        <v/>
      </c>
      <c r="GH679" s="833" t="str">
        <f t="shared" si="139"/>
        <v/>
      </c>
      <c r="GI679" s="833" t="str">
        <f t="shared" si="140"/>
        <v/>
      </c>
      <c r="GJ679" s="833" t="str">
        <f t="shared" si="141"/>
        <v/>
      </c>
      <c r="GK679" s="833" t="str">
        <f t="shared" si="142"/>
        <v/>
      </c>
      <c r="GL679" s="833" t="str">
        <f t="shared" si="143"/>
        <v/>
      </c>
      <c r="GM679" s="833" t="str">
        <f t="shared" si="144"/>
        <v/>
      </c>
      <c r="GN679" s="833" t="str">
        <f t="shared" si="145"/>
        <v/>
      </c>
      <c r="GO679" s="1115" t="str">
        <f t="shared" si="146"/>
        <v/>
      </c>
      <c r="GP679" s="1115" t="str">
        <f t="shared" si="147"/>
        <v/>
      </c>
      <c r="GQ679" s="1115" t="str">
        <f t="shared" si="148"/>
        <v/>
      </c>
      <c r="GR679" s="1115" t="str">
        <f t="shared" si="149"/>
        <v/>
      </c>
      <c r="GS679" s="1115" t="str">
        <f t="shared" si="150"/>
        <v/>
      </c>
      <c r="GT679" s="1072" t="str">
        <f t="shared" si="151"/>
        <v/>
      </c>
      <c r="GU679" s="1072" t="str">
        <f t="shared" si="152"/>
        <v/>
      </c>
      <c r="GV679" s="1072" t="str">
        <f t="shared" si="153"/>
        <v/>
      </c>
      <c r="GW679" s="1072" t="str">
        <f t="shared" si="154"/>
        <v/>
      </c>
      <c r="GX679" s="1072" t="str">
        <f t="shared" si="155"/>
        <v/>
      </c>
      <c r="GY679" s="1072" t="str">
        <f t="shared" si="156"/>
        <v/>
      </c>
      <c r="GZ679" s="1072" t="str">
        <f t="shared" si="157"/>
        <v/>
      </c>
      <c r="HA679" s="1072" t="str">
        <f t="shared" si="158"/>
        <v/>
      </c>
      <c r="HB679" s="1072" t="str">
        <f t="shared" si="159"/>
        <v/>
      </c>
      <c r="HC679" s="1072" t="str">
        <f t="shared" si="160"/>
        <v/>
      </c>
      <c r="HD679" s="1072" t="str">
        <f t="shared" si="161"/>
        <v/>
      </c>
      <c r="HE679" s="1072" t="str">
        <f t="shared" si="162"/>
        <v/>
      </c>
      <c r="HF679" s="1072" t="str">
        <f t="shared" si="163"/>
        <v/>
      </c>
      <c r="HG679" s="1072" t="str">
        <f t="shared" si="164"/>
        <v/>
      </c>
      <c r="HH679" s="1072" t="str">
        <f t="shared" si="165"/>
        <v/>
      </c>
      <c r="HI679" s="1072" t="str">
        <f t="shared" si="166"/>
        <v/>
      </c>
      <c r="HJ679" s="1072" t="str">
        <f t="shared" si="167"/>
        <v/>
      </c>
      <c r="HK679" s="1072" t="str">
        <f t="shared" si="168"/>
        <v/>
      </c>
      <c r="HL679" s="1072" t="str">
        <f t="shared" si="169"/>
        <v/>
      </c>
      <c r="HM679" s="1072" t="str">
        <f t="shared" si="170"/>
        <v/>
      </c>
    </row>
    <row r="680" spans="1:221" ht="13.15" customHeight="1">
      <c r="A680" s="1084" t="str">
        <f t="shared" si="171"/>
        <v/>
      </c>
      <c r="B680" s="1037" t="str">
        <f>'Part VI-Revenues &amp; Expenses'!B46</f>
        <v>&lt;&lt;Select&gt;&gt;</v>
      </c>
      <c r="C680" s="1038">
        <f>'Part VI-Revenues &amp; Expenses'!C46</f>
        <v>0</v>
      </c>
      <c r="D680" s="1039">
        <f>'Part VI-Revenues &amp; Expenses'!D46</f>
        <v>0</v>
      </c>
      <c r="E680" s="1040">
        <f>'Part VI-Revenues &amp; Expenses'!E46</f>
        <v>0</v>
      </c>
      <c r="F680" s="1040">
        <f>'Part VI-Revenues &amp; Expenses'!F46</f>
        <v>0</v>
      </c>
      <c r="G680" s="1040">
        <f>'Part VI-Revenues &amp; Expenses'!G46</f>
        <v>0</v>
      </c>
      <c r="H680" s="1040">
        <f>'Part VI-Revenues &amp; Expenses'!H46</f>
        <v>0</v>
      </c>
      <c r="I680" s="1040">
        <f>'Part VI-Revenues &amp; Expenses'!I46</f>
        <v>0</v>
      </c>
      <c r="J680" s="1103">
        <f>'Part VI-Revenues &amp; Expenses'!J46</f>
        <v>0</v>
      </c>
      <c r="K680" s="908">
        <f t="shared" si="205"/>
        <v>0</v>
      </c>
      <c r="L680" s="908">
        <f t="shared" si="0"/>
        <v>0</v>
      </c>
      <c r="M680" s="831">
        <f>'Part VI-Revenues &amp; Expenses'!M46</f>
        <v>0</v>
      </c>
      <c r="N680" s="831">
        <f>'Part VI-Revenues &amp; Expenses'!N46</f>
        <v>0</v>
      </c>
      <c r="O680" s="831">
        <f>'Part VI-Revenues &amp; Expenses'!O46</f>
        <v>0</v>
      </c>
      <c r="P680" s="909">
        <f t="shared" si="203"/>
        <v>0</v>
      </c>
      <c r="Q680" s="910" t="str">
        <f>'Part VI-Revenues &amp; Expenses'!Q46</f>
        <v/>
      </c>
      <c r="R680" s="909"/>
      <c r="S680" s="910"/>
      <c r="T680" s="1576"/>
      <c r="U680" s="1576"/>
      <c r="V680" s="1072" t="str">
        <f t="shared" si="1"/>
        <v/>
      </c>
      <c r="W680" s="1072" t="str">
        <f t="shared" si="2"/>
        <v/>
      </c>
      <c r="X680" s="1072" t="str">
        <f t="shared" si="3"/>
        <v/>
      </c>
      <c r="Y680" s="1072" t="str">
        <f t="shared" si="4"/>
        <v/>
      </c>
      <c r="Z680" s="1072" t="str">
        <f t="shared" si="5"/>
        <v/>
      </c>
      <c r="AA680" s="1072" t="str">
        <f t="shared" si="6"/>
        <v/>
      </c>
      <c r="AB680" s="1072" t="str">
        <f t="shared" si="7"/>
        <v/>
      </c>
      <c r="AC680" s="1072" t="str">
        <f t="shared" si="8"/>
        <v/>
      </c>
      <c r="AD680" s="1072" t="str">
        <f t="shared" si="9"/>
        <v/>
      </c>
      <c r="AE680" s="1072" t="str">
        <f t="shared" si="10"/>
        <v/>
      </c>
      <c r="AF680" s="1072" t="str">
        <f t="shared" si="11"/>
        <v/>
      </c>
      <c r="AG680" s="1072" t="str">
        <f t="shared" si="12"/>
        <v/>
      </c>
      <c r="AH680" s="1072" t="str">
        <f t="shared" si="13"/>
        <v/>
      </c>
      <c r="AI680" s="1072" t="str">
        <f t="shared" si="14"/>
        <v/>
      </c>
      <c r="AJ680" s="1072" t="str">
        <f t="shared" si="15"/>
        <v/>
      </c>
      <c r="AK680" s="1072" t="str">
        <f t="shared" si="16"/>
        <v/>
      </c>
      <c r="AL680" s="1072" t="str">
        <f t="shared" si="17"/>
        <v/>
      </c>
      <c r="AM680" s="1072" t="str">
        <f t="shared" si="18"/>
        <v/>
      </c>
      <c r="AN680" s="1072" t="str">
        <f t="shared" si="19"/>
        <v/>
      </c>
      <c r="AO680" s="1072" t="str">
        <f t="shared" si="20"/>
        <v/>
      </c>
      <c r="AP680" s="1072" t="str">
        <f t="shared" si="173"/>
        <v/>
      </c>
      <c r="AQ680" s="1072" t="str">
        <f t="shared" si="174"/>
        <v/>
      </c>
      <c r="AR680" s="1072" t="str">
        <f t="shared" si="175"/>
        <v/>
      </c>
      <c r="AS680" s="1072" t="str">
        <f t="shared" si="176"/>
        <v/>
      </c>
      <c r="AT680" s="1072" t="str">
        <f t="shared" si="177"/>
        <v/>
      </c>
      <c r="AU680" s="1072" t="str">
        <f t="shared" si="178"/>
        <v/>
      </c>
      <c r="AV680" s="1072" t="str">
        <f t="shared" si="179"/>
        <v/>
      </c>
      <c r="AW680" s="1072" t="str">
        <f t="shared" si="180"/>
        <v/>
      </c>
      <c r="AX680" s="1072" t="str">
        <f t="shared" si="181"/>
        <v/>
      </c>
      <c r="AY680" s="1072" t="str">
        <f t="shared" si="182"/>
        <v/>
      </c>
      <c r="AZ680" s="1072" t="str">
        <f t="shared" si="183"/>
        <v/>
      </c>
      <c r="BA680" s="1072" t="str">
        <f t="shared" si="184"/>
        <v/>
      </c>
      <c r="BB680" s="1072" t="str">
        <f t="shared" si="185"/>
        <v/>
      </c>
      <c r="BC680" s="1072" t="str">
        <f t="shared" si="186"/>
        <v/>
      </c>
      <c r="BD680" s="1072" t="str">
        <f t="shared" si="187"/>
        <v/>
      </c>
      <c r="BE680" s="1072" t="str">
        <f t="shared" si="188"/>
        <v/>
      </c>
      <c r="BF680" s="1072" t="str">
        <f t="shared" si="189"/>
        <v/>
      </c>
      <c r="BG680" s="1072" t="str">
        <f t="shared" si="190"/>
        <v/>
      </c>
      <c r="BH680" s="1072" t="str">
        <f t="shared" si="191"/>
        <v/>
      </c>
      <c r="BI680" s="1072" t="str">
        <f t="shared" si="192"/>
        <v/>
      </c>
      <c r="BJ680" s="1072" t="str">
        <f t="shared" si="193"/>
        <v/>
      </c>
      <c r="BK680" s="1072" t="str">
        <f t="shared" si="194"/>
        <v/>
      </c>
      <c r="BL680" s="1072" t="str">
        <f t="shared" si="195"/>
        <v/>
      </c>
      <c r="BM680" s="1072" t="str">
        <f t="shared" si="196"/>
        <v/>
      </c>
      <c r="BN680" s="1072" t="str">
        <f t="shared" si="197"/>
        <v/>
      </c>
      <c r="BO680" s="1072" t="str">
        <f t="shared" si="198"/>
        <v/>
      </c>
      <c r="BP680" s="1072" t="str">
        <f t="shared" si="199"/>
        <v/>
      </c>
      <c r="BQ680" s="1072" t="str">
        <f t="shared" si="200"/>
        <v/>
      </c>
      <c r="BR680" s="1072" t="str">
        <f t="shared" si="201"/>
        <v/>
      </c>
      <c r="BS680" s="1072" t="str">
        <f t="shared" si="202"/>
        <v/>
      </c>
      <c r="BT680" s="1072" t="str">
        <f t="shared" si="21"/>
        <v/>
      </c>
      <c r="BU680" s="1072" t="str">
        <f t="shared" si="22"/>
        <v/>
      </c>
      <c r="BV680" s="1072" t="str">
        <f t="shared" si="23"/>
        <v/>
      </c>
      <c r="BW680" s="1072" t="str">
        <f t="shared" si="24"/>
        <v/>
      </c>
      <c r="BX680" s="1072" t="str">
        <f t="shared" si="25"/>
        <v/>
      </c>
      <c r="BY680" s="1072" t="str">
        <f t="shared" si="26"/>
        <v/>
      </c>
      <c r="BZ680" s="1072" t="str">
        <f t="shared" si="27"/>
        <v/>
      </c>
      <c r="CA680" s="1072" t="str">
        <f t="shared" si="28"/>
        <v/>
      </c>
      <c r="CB680" s="1072" t="str">
        <f t="shared" si="29"/>
        <v/>
      </c>
      <c r="CC680" s="1072" t="str">
        <f t="shared" si="30"/>
        <v/>
      </c>
      <c r="CD680" s="1072" t="str">
        <f t="shared" si="31"/>
        <v/>
      </c>
      <c r="CE680" s="1072" t="str">
        <f t="shared" si="32"/>
        <v/>
      </c>
      <c r="CF680" s="1072" t="str">
        <f t="shared" si="33"/>
        <v/>
      </c>
      <c r="CG680" s="1072" t="str">
        <f t="shared" si="34"/>
        <v/>
      </c>
      <c r="CH680" s="1072" t="str">
        <f t="shared" si="35"/>
        <v/>
      </c>
      <c r="CI680" s="1072" t="str">
        <f t="shared" si="36"/>
        <v/>
      </c>
      <c r="CJ680" s="1072" t="str">
        <f t="shared" si="37"/>
        <v/>
      </c>
      <c r="CK680" s="1072" t="str">
        <f t="shared" si="38"/>
        <v/>
      </c>
      <c r="CL680" s="1072" t="str">
        <f t="shared" si="39"/>
        <v/>
      </c>
      <c r="CM680" s="1072" t="str">
        <f t="shared" si="40"/>
        <v/>
      </c>
      <c r="CN680" s="1072" t="str">
        <f t="shared" si="41"/>
        <v/>
      </c>
      <c r="CO680" s="1072" t="str">
        <f t="shared" si="42"/>
        <v/>
      </c>
      <c r="CP680" s="1072" t="str">
        <f t="shared" si="43"/>
        <v/>
      </c>
      <c r="CQ680" s="1072" t="str">
        <f t="shared" si="44"/>
        <v/>
      </c>
      <c r="CR680" s="1072" t="str">
        <f t="shared" si="45"/>
        <v/>
      </c>
      <c r="CS680" s="1072" t="str">
        <f t="shared" si="46"/>
        <v/>
      </c>
      <c r="CT680" s="1072" t="str">
        <f t="shared" si="47"/>
        <v/>
      </c>
      <c r="CU680" s="1072" t="str">
        <f t="shared" si="48"/>
        <v/>
      </c>
      <c r="CV680" s="1072" t="str">
        <f t="shared" si="49"/>
        <v/>
      </c>
      <c r="CW680" s="1072" t="str">
        <f t="shared" si="50"/>
        <v/>
      </c>
      <c r="CX680" s="1072" t="str">
        <f t="shared" si="51"/>
        <v/>
      </c>
      <c r="CY680" s="1072" t="str">
        <f t="shared" si="52"/>
        <v/>
      </c>
      <c r="CZ680" s="1072" t="str">
        <f t="shared" si="53"/>
        <v/>
      </c>
      <c r="DA680" s="1072" t="str">
        <f t="shared" si="54"/>
        <v/>
      </c>
      <c r="DB680" s="1072" t="str">
        <f t="shared" si="55"/>
        <v/>
      </c>
      <c r="DC680" s="1072" t="str">
        <f t="shared" si="56"/>
        <v/>
      </c>
      <c r="DD680" s="1072" t="str">
        <f t="shared" si="57"/>
        <v/>
      </c>
      <c r="DE680" s="1072" t="str">
        <f t="shared" si="58"/>
        <v/>
      </c>
      <c r="DF680" s="1072" t="str">
        <f t="shared" si="59"/>
        <v/>
      </c>
      <c r="DG680" s="1072" t="str">
        <f t="shared" si="60"/>
        <v/>
      </c>
      <c r="DH680" s="1072" t="str">
        <f t="shared" si="61"/>
        <v/>
      </c>
      <c r="DI680" s="1072" t="str">
        <f t="shared" si="62"/>
        <v/>
      </c>
      <c r="DJ680" s="1072" t="str">
        <f t="shared" si="63"/>
        <v/>
      </c>
      <c r="DK680" s="1072" t="str">
        <f t="shared" si="64"/>
        <v/>
      </c>
      <c r="DL680" s="1072" t="str">
        <f t="shared" si="65"/>
        <v/>
      </c>
      <c r="DM680" s="1072" t="str">
        <f t="shared" si="66"/>
        <v/>
      </c>
      <c r="DN680" s="1072" t="str">
        <f t="shared" si="67"/>
        <v/>
      </c>
      <c r="DO680" s="1072" t="str">
        <f t="shared" si="68"/>
        <v/>
      </c>
      <c r="DP680" s="1072" t="str">
        <f t="shared" si="69"/>
        <v/>
      </c>
      <c r="DQ680" s="1072" t="str">
        <f t="shared" si="70"/>
        <v/>
      </c>
      <c r="DR680" s="1072" t="str">
        <f t="shared" si="71"/>
        <v/>
      </c>
      <c r="DS680" s="1072" t="str">
        <f t="shared" si="72"/>
        <v/>
      </c>
      <c r="DT680" s="1072" t="str">
        <f t="shared" si="73"/>
        <v/>
      </c>
      <c r="DU680" s="1072" t="str">
        <f t="shared" si="74"/>
        <v/>
      </c>
      <c r="DV680" s="1072" t="str">
        <f t="shared" si="75"/>
        <v/>
      </c>
      <c r="DW680" s="1072" t="str">
        <f t="shared" si="76"/>
        <v/>
      </c>
      <c r="DX680" s="1072" t="str">
        <f t="shared" si="77"/>
        <v/>
      </c>
      <c r="DY680" s="1072" t="str">
        <f t="shared" si="78"/>
        <v/>
      </c>
      <c r="DZ680" s="1072" t="str">
        <f t="shared" si="79"/>
        <v/>
      </c>
      <c r="EA680" s="1072" t="str">
        <f t="shared" si="80"/>
        <v/>
      </c>
      <c r="EB680" s="1072" t="str">
        <f t="shared" si="81"/>
        <v/>
      </c>
      <c r="EC680" s="1072" t="str">
        <f t="shared" si="82"/>
        <v/>
      </c>
      <c r="ED680" s="1072" t="str">
        <f t="shared" si="83"/>
        <v/>
      </c>
      <c r="EE680" s="1072" t="str">
        <f t="shared" si="84"/>
        <v/>
      </c>
      <c r="EF680" s="1072" t="str">
        <f t="shared" si="85"/>
        <v/>
      </c>
      <c r="EG680" s="1072" t="str">
        <f t="shared" si="86"/>
        <v/>
      </c>
      <c r="EH680" s="1072" t="str">
        <f t="shared" si="87"/>
        <v/>
      </c>
      <c r="EI680" s="1072" t="str">
        <f t="shared" si="88"/>
        <v/>
      </c>
      <c r="EJ680" s="1072" t="str">
        <f t="shared" si="89"/>
        <v/>
      </c>
      <c r="EK680" s="1072" t="str">
        <f t="shared" si="90"/>
        <v/>
      </c>
      <c r="EL680" s="1072" t="str">
        <f t="shared" si="91"/>
        <v/>
      </c>
      <c r="EM680" s="1072" t="str">
        <f t="shared" si="92"/>
        <v/>
      </c>
      <c r="EN680" s="1072" t="str">
        <f t="shared" si="93"/>
        <v/>
      </c>
      <c r="EO680" s="1072" t="str">
        <f t="shared" si="94"/>
        <v/>
      </c>
      <c r="EP680" s="1072" t="str">
        <f t="shared" si="95"/>
        <v/>
      </c>
      <c r="EQ680" s="1072" t="str">
        <f t="shared" si="96"/>
        <v/>
      </c>
      <c r="ER680" s="1072" t="str">
        <f t="shared" si="97"/>
        <v/>
      </c>
      <c r="ES680" s="1072" t="str">
        <f t="shared" si="98"/>
        <v/>
      </c>
      <c r="ET680" s="1072" t="str">
        <f t="shared" si="99"/>
        <v/>
      </c>
      <c r="EU680" s="1072" t="str">
        <f t="shared" si="100"/>
        <v/>
      </c>
      <c r="EV680" s="833" t="str">
        <f t="shared" si="101"/>
        <v/>
      </c>
      <c r="EW680" s="833" t="str">
        <f t="shared" si="102"/>
        <v/>
      </c>
      <c r="EX680" s="833" t="str">
        <f t="shared" si="103"/>
        <v/>
      </c>
      <c r="EY680" s="833" t="str">
        <f t="shared" si="104"/>
        <v/>
      </c>
      <c r="EZ680" s="833" t="str">
        <f t="shared" si="105"/>
        <v/>
      </c>
      <c r="FA680" s="833" t="str">
        <f t="shared" si="106"/>
        <v/>
      </c>
      <c r="FB680" s="833" t="str">
        <f t="shared" si="107"/>
        <v/>
      </c>
      <c r="FC680" s="833" t="str">
        <f t="shared" si="108"/>
        <v/>
      </c>
      <c r="FD680" s="833" t="str">
        <f t="shared" si="109"/>
        <v/>
      </c>
      <c r="FE680" s="833" t="str">
        <f t="shared" si="110"/>
        <v/>
      </c>
      <c r="FF680" s="833" t="str">
        <f t="shared" si="111"/>
        <v/>
      </c>
      <c r="FG680" s="833" t="str">
        <f t="shared" si="112"/>
        <v/>
      </c>
      <c r="FH680" s="833" t="str">
        <f t="shared" si="113"/>
        <v/>
      </c>
      <c r="FI680" s="833" t="str">
        <f t="shared" si="114"/>
        <v/>
      </c>
      <c r="FJ680" s="833" t="str">
        <f t="shared" si="115"/>
        <v/>
      </c>
      <c r="FK680" s="833" t="str">
        <f t="shared" si="116"/>
        <v/>
      </c>
      <c r="FL680" s="833" t="str">
        <f t="shared" si="117"/>
        <v/>
      </c>
      <c r="FM680" s="833" t="str">
        <f t="shared" si="118"/>
        <v/>
      </c>
      <c r="FN680" s="833" t="str">
        <f t="shared" si="119"/>
        <v/>
      </c>
      <c r="FO680" s="833" t="str">
        <f t="shared" si="120"/>
        <v/>
      </c>
      <c r="FP680" s="833" t="str">
        <f t="shared" si="121"/>
        <v/>
      </c>
      <c r="FQ680" s="833" t="str">
        <f t="shared" si="122"/>
        <v/>
      </c>
      <c r="FR680" s="833" t="str">
        <f t="shared" si="123"/>
        <v/>
      </c>
      <c r="FS680" s="833" t="str">
        <f t="shared" si="124"/>
        <v/>
      </c>
      <c r="FT680" s="833" t="str">
        <f t="shared" si="125"/>
        <v/>
      </c>
      <c r="FU680" s="833" t="str">
        <f t="shared" si="126"/>
        <v/>
      </c>
      <c r="FV680" s="833" t="str">
        <f t="shared" si="127"/>
        <v/>
      </c>
      <c r="FW680" s="833" t="str">
        <f t="shared" si="128"/>
        <v/>
      </c>
      <c r="FX680" s="833" t="str">
        <f t="shared" si="129"/>
        <v/>
      </c>
      <c r="FY680" s="833" t="str">
        <f t="shared" si="130"/>
        <v/>
      </c>
      <c r="FZ680" s="833" t="str">
        <f t="shared" si="131"/>
        <v/>
      </c>
      <c r="GA680" s="833" t="str">
        <f t="shared" si="132"/>
        <v/>
      </c>
      <c r="GB680" s="833" t="str">
        <f t="shared" si="133"/>
        <v/>
      </c>
      <c r="GC680" s="833" t="str">
        <f t="shared" si="134"/>
        <v/>
      </c>
      <c r="GD680" s="833" t="str">
        <f t="shared" si="135"/>
        <v/>
      </c>
      <c r="GE680" s="833" t="str">
        <f t="shared" si="136"/>
        <v/>
      </c>
      <c r="GF680" s="833" t="str">
        <f t="shared" si="137"/>
        <v/>
      </c>
      <c r="GG680" s="833" t="str">
        <f t="shared" si="138"/>
        <v/>
      </c>
      <c r="GH680" s="833" t="str">
        <f t="shared" si="139"/>
        <v/>
      </c>
      <c r="GI680" s="833" t="str">
        <f t="shared" si="140"/>
        <v/>
      </c>
      <c r="GJ680" s="833" t="str">
        <f t="shared" si="141"/>
        <v/>
      </c>
      <c r="GK680" s="833" t="str">
        <f t="shared" si="142"/>
        <v/>
      </c>
      <c r="GL680" s="833" t="str">
        <f t="shared" si="143"/>
        <v/>
      </c>
      <c r="GM680" s="833" t="str">
        <f t="shared" si="144"/>
        <v/>
      </c>
      <c r="GN680" s="833" t="str">
        <f t="shared" si="145"/>
        <v/>
      </c>
      <c r="GO680" s="1115" t="str">
        <f t="shared" si="146"/>
        <v/>
      </c>
      <c r="GP680" s="1115" t="str">
        <f t="shared" si="147"/>
        <v/>
      </c>
      <c r="GQ680" s="1115" t="str">
        <f t="shared" si="148"/>
        <v/>
      </c>
      <c r="GR680" s="1115" t="str">
        <f t="shared" si="149"/>
        <v/>
      </c>
      <c r="GS680" s="1115" t="str">
        <f t="shared" si="150"/>
        <v/>
      </c>
      <c r="GT680" s="1072" t="str">
        <f t="shared" si="151"/>
        <v/>
      </c>
      <c r="GU680" s="1072" t="str">
        <f t="shared" si="152"/>
        <v/>
      </c>
      <c r="GV680" s="1072" t="str">
        <f t="shared" si="153"/>
        <v/>
      </c>
      <c r="GW680" s="1072" t="str">
        <f t="shared" si="154"/>
        <v/>
      </c>
      <c r="GX680" s="1072" t="str">
        <f t="shared" si="155"/>
        <v/>
      </c>
      <c r="GY680" s="1072" t="str">
        <f t="shared" si="156"/>
        <v/>
      </c>
      <c r="GZ680" s="1072" t="str">
        <f t="shared" si="157"/>
        <v/>
      </c>
      <c r="HA680" s="1072" t="str">
        <f t="shared" si="158"/>
        <v/>
      </c>
      <c r="HB680" s="1072" t="str">
        <f t="shared" si="159"/>
        <v/>
      </c>
      <c r="HC680" s="1072" t="str">
        <f t="shared" si="160"/>
        <v/>
      </c>
      <c r="HD680" s="1072" t="str">
        <f t="shared" si="161"/>
        <v/>
      </c>
      <c r="HE680" s="1072" t="str">
        <f t="shared" si="162"/>
        <v/>
      </c>
      <c r="HF680" s="1072" t="str">
        <f t="shared" si="163"/>
        <v/>
      </c>
      <c r="HG680" s="1072" t="str">
        <f t="shared" si="164"/>
        <v/>
      </c>
      <c r="HH680" s="1072" t="str">
        <f t="shared" si="165"/>
        <v/>
      </c>
      <c r="HI680" s="1072" t="str">
        <f t="shared" si="166"/>
        <v/>
      </c>
      <c r="HJ680" s="1072" t="str">
        <f t="shared" si="167"/>
        <v/>
      </c>
      <c r="HK680" s="1072" t="str">
        <f t="shared" si="168"/>
        <v/>
      </c>
      <c r="HL680" s="1072" t="str">
        <f t="shared" si="169"/>
        <v/>
      </c>
      <c r="HM680" s="1072" t="str">
        <f t="shared" si="170"/>
        <v/>
      </c>
    </row>
    <row r="681" spans="1:221" ht="13.15" customHeight="1">
      <c r="A681" s="1084" t="str">
        <f t="shared" si="171"/>
        <v/>
      </c>
      <c r="B681" s="1037" t="str">
        <f>'Part VI-Revenues &amp; Expenses'!B47</f>
        <v>&lt;&lt;Select&gt;&gt;</v>
      </c>
      <c r="C681" s="1038">
        <f>'Part VI-Revenues &amp; Expenses'!C47</f>
        <v>0</v>
      </c>
      <c r="D681" s="1039">
        <f>'Part VI-Revenues &amp; Expenses'!D47</f>
        <v>0</v>
      </c>
      <c r="E681" s="1040">
        <f>'Part VI-Revenues &amp; Expenses'!E47</f>
        <v>0</v>
      </c>
      <c r="F681" s="1040">
        <f>'Part VI-Revenues &amp; Expenses'!F47</f>
        <v>0</v>
      </c>
      <c r="G681" s="1040">
        <f>'Part VI-Revenues &amp; Expenses'!G47</f>
        <v>0</v>
      </c>
      <c r="H681" s="1040">
        <f>'Part VI-Revenues &amp; Expenses'!H47</f>
        <v>0</v>
      </c>
      <c r="I681" s="1040">
        <f>'Part VI-Revenues &amp; Expenses'!I47</f>
        <v>0</v>
      </c>
      <c r="J681" s="1103">
        <f>'Part VI-Revenues &amp; Expenses'!J47</f>
        <v>0</v>
      </c>
      <c r="K681" s="908">
        <f t="shared" si="204"/>
        <v>0</v>
      </c>
      <c r="L681" s="908">
        <f t="shared" si="0"/>
        <v>0</v>
      </c>
      <c r="M681" s="831">
        <f>'Part VI-Revenues &amp; Expenses'!M47</f>
        <v>0</v>
      </c>
      <c r="N681" s="831">
        <f>'Part VI-Revenues &amp; Expenses'!N47</f>
        <v>0</v>
      </c>
      <c r="O681" s="831">
        <f>'Part VI-Revenues &amp; Expenses'!O47</f>
        <v>0</v>
      </c>
      <c r="P681" s="909">
        <f t="shared" si="203"/>
        <v>0</v>
      </c>
      <c r="Q681" s="910" t="str">
        <f>'Part VI-Revenues &amp; Expenses'!Q47</f>
        <v/>
      </c>
      <c r="R681" s="909"/>
      <c r="S681" s="910"/>
      <c r="T681" s="1576"/>
      <c r="U681" s="1576"/>
      <c r="V681" s="1072" t="str">
        <f t="shared" si="1"/>
        <v/>
      </c>
      <c r="W681" s="1072" t="str">
        <f t="shared" si="2"/>
        <v/>
      </c>
      <c r="X681" s="1072" t="str">
        <f t="shared" si="3"/>
        <v/>
      </c>
      <c r="Y681" s="1072" t="str">
        <f t="shared" si="4"/>
        <v/>
      </c>
      <c r="Z681" s="1072" t="str">
        <f t="shared" si="5"/>
        <v/>
      </c>
      <c r="AA681" s="1072" t="str">
        <f t="shared" si="6"/>
        <v/>
      </c>
      <c r="AB681" s="1072" t="str">
        <f t="shared" si="7"/>
        <v/>
      </c>
      <c r="AC681" s="1072" t="str">
        <f t="shared" si="8"/>
        <v/>
      </c>
      <c r="AD681" s="1072" t="str">
        <f t="shared" si="9"/>
        <v/>
      </c>
      <c r="AE681" s="1072" t="str">
        <f t="shared" si="10"/>
        <v/>
      </c>
      <c r="AF681" s="1072" t="str">
        <f t="shared" si="11"/>
        <v/>
      </c>
      <c r="AG681" s="1072" t="str">
        <f t="shared" si="12"/>
        <v/>
      </c>
      <c r="AH681" s="1072" t="str">
        <f t="shared" si="13"/>
        <v/>
      </c>
      <c r="AI681" s="1072" t="str">
        <f t="shared" si="14"/>
        <v/>
      </c>
      <c r="AJ681" s="1072" t="str">
        <f t="shared" si="15"/>
        <v/>
      </c>
      <c r="AK681" s="1072" t="str">
        <f t="shared" si="16"/>
        <v/>
      </c>
      <c r="AL681" s="1072" t="str">
        <f t="shared" si="17"/>
        <v/>
      </c>
      <c r="AM681" s="1072" t="str">
        <f t="shared" si="18"/>
        <v/>
      </c>
      <c r="AN681" s="1072" t="str">
        <f t="shared" si="19"/>
        <v/>
      </c>
      <c r="AO681" s="1072" t="str">
        <f t="shared" si="20"/>
        <v/>
      </c>
      <c r="AP681" s="1072" t="str">
        <f t="shared" si="173"/>
        <v/>
      </c>
      <c r="AQ681" s="1072" t="str">
        <f t="shared" si="174"/>
        <v/>
      </c>
      <c r="AR681" s="1072" t="str">
        <f t="shared" si="175"/>
        <v/>
      </c>
      <c r="AS681" s="1072" t="str">
        <f t="shared" si="176"/>
        <v/>
      </c>
      <c r="AT681" s="1072" t="str">
        <f t="shared" si="177"/>
        <v/>
      </c>
      <c r="AU681" s="1072" t="str">
        <f t="shared" si="178"/>
        <v/>
      </c>
      <c r="AV681" s="1072" t="str">
        <f t="shared" si="179"/>
        <v/>
      </c>
      <c r="AW681" s="1072" t="str">
        <f t="shared" si="180"/>
        <v/>
      </c>
      <c r="AX681" s="1072" t="str">
        <f t="shared" si="181"/>
        <v/>
      </c>
      <c r="AY681" s="1072" t="str">
        <f t="shared" si="182"/>
        <v/>
      </c>
      <c r="AZ681" s="1072" t="str">
        <f t="shared" si="183"/>
        <v/>
      </c>
      <c r="BA681" s="1072" t="str">
        <f t="shared" si="184"/>
        <v/>
      </c>
      <c r="BB681" s="1072" t="str">
        <f t="shared" si="185"/>
        <v/>
      </c>
      <c r="BC681" s="1072" t="str">
        <f t="shared" si="186"/>
        <v/>
      </c>
      <c r="BD681" s="1072" t="str">
        <f t="shared" si="187"/>
        <v/>
      </c>
      <c r="BE681" s="1072" t="str">
        <f t="shared" si="188"/>
        <v/>
      </c>
      <c r="BF681" s="1072" t="str">
        <f t="shared" si="189"/>
        <v/>
      </c>
      <c r="BG681" s="1072" t="str">
        <f t="shared" si="190"/>
        <v/>
      </c>
      <c r="BH681" s="1072" t="str">
        <f t="shared" si="191"/>
        <v/>
      </c>
      <c r="BI681" s="1072" t="str">
        <f t="shared" si="192"/>
        <v/>
      </c>
      <c r="BJ681" s="1072" t="str">
        <f t="shared" si="193"/>
        <v/>
      </c>
      <c r="BK681" s="1072" t="str">
        <f t="shared" si="194"/>
        <v/>
      </c>
      <c r="BL681" s="1072" t="str">
        <f t="shared" si="195"/>
        <v/>
      </c>
      <c r="BM681" s="1072" t="str">
        <f t="shared" si="196"/>
        <v/>
      </c>
      <c r="BN681" s="1072" t="str">
        <f t="shared" si="197"/>
        <v/>
      </c>
      <c r="BO681" s="1072" t="str">
        <f t="shared" si="198"/>
        <v/>
      </c>
      <c r="BP681" s="1072" t="str">
        <f t="shared" si="199"/>
        <v/>
      </c>
      <c r="BQ681" s="1072" t="str">
        <f t="shared" si="200"/>
        <v/>
      </c>
      <c r="BR681" s="1072" t="str">
        <f t="shared" si="201"/>
        <v/>
      </c>
      <c r="BS681" s="1072" t="str">
        <f t="shared" si="202"/>
        <v/>
      </c>
      <c r="BT681" s="1072" t="str">
        <f t="shared" si="21"/>
        <v/>
      </c>
      <c r="BU681" s="1072" t="str">
        <f t="shared" si="22"/>
        <v/>
      </c>
      <c r="BV681" s="1072" t="str">
        <f t="shared" si="23"/>
        <v/>
      </c>
      <c r="BW681" s="1072" t="str">
        <f t="shared" si="24"/>
        <v/>
      </c>
      <c r="BX681" s="1072" t="str">
        <f t="shared" si="25"/>
        <v/>
      </c>
      <c r="BY681" s="1072" t="str">
        <f t="shared" si="26"/>
        <v/>
      </c>
      <c r="BZ681" s="1072" t="str">
        <f t="shared" si="27"/>
        <v/>
      </c>
      <c r="CA681" s="1072" t="str">
        <f t="shared" si="28"/>
        <v/>
      </c>
      <c r="CB681" s="1072" t="str">
        <f t="shared" si="29"/>
        <v/>
      </c>
      <c r="CC681" s="1072" t="str">
        <f t="shared" si="30"/>
        <v/>
      </c>
      <c r="CD681" s="1072" t="str">
        <f t="shared" si="31"/>
        <v/>
      </c>
      <c r="CE681" s="1072" t="str">
        <f t="shared" si="32"/>
        <v/>
      </c>
      <c r="CF681" s="1072" t="str">
        <f t="shared" si="33"/>
        <v/>
      </c>
      <c r="CG681" s="1072" t="str">
        <f t="shared" si="34"/>
        <v/>
      </c>
      <c r="CH681" s="1072" t="str">
        <f t="shared" si="35"/>
        <v/>
      </c>
      <c r="CI681" s="1072" t="str">
        <f t="shared" si="36"/>
        <v/>
      </c>
      <c r="CJ681" s="1072" t="str">
        <f t="shared" si="37"/>
        <v/>
      </c>
      <c r="CK681" s="1072" t="str">
        <f t="shared" si="38"/>
        <v/>
      </c>
      <c r="CL681" s="1072" t="str">
        <f t="shared" si="39"/>
        <v/>
      </c>
      <c r="CM681" s="1072" t="str">
        <f t="shared" si="40"/>
        <v/>
      </c>
      <c r="CN681" s="1072" t="str">
        <f t="shared" si="41"/>
        <v/>
      </c>
      <c r="CO681" s="1072" t="str">
        <f t="shared" si="42"/>
        <v/>
      </c>
      <c r="CP681" s="1072" t="str">
        <f t="shared" si="43"/>
        <v/>
      </c>
      <c r="CQ681" s="1072" t="str">
        <f t="shared" si="44"/>
        <v/>
      </c>
      <c r="CR681" s="1072" t="str">
        <f t="shared" si="45"/>
        <v/>
      </c>
      <c r="CS681" s="1072" t="str">
        <f t="shared" si="46"/>
        <v/>
      </c>
      <c r="CT681" s="1072" t="str">
        <f t="shared" si="47"/>
        <v/>
      </c>
      <c r="CU681" s="1072" t="str">
        <f t="shared" si="48"/>
        <v/>
      </c>
      <c r="CV681" s="1072" t="str">
        <f t="shared" si="49"/>
        <v/>
      </c>
      <c r="CW681" s="1072" t="str">
        <f t="shared" si="50"/>
        <v/>
      </c>
      <c r="CX681" s="1072" t="str">
        <f t="shared" si="51"/>
        <v/>
      </c>
      <c r="CY681" s="1072" t="str">
        <f t="shared" si="52"/>
        <v/>
      </c>
      <c r="CZ681" s="1072" t="str">
        <f t="shared" si="53"/>
        <v/>
      </c>
      <c r="DA681" s="1072" t="str">
        <f t="shared" si="54"/>
        <v/>
      </c>
      <c r="DB681" s="1072" t="str">
        <f t="shared" si="55"/>
        <v/>
      </c>
      <c r="DC681" s="1072" t="str">
        <f t="shared" si="56"/>
        <v/>
      </c>
      <c r="DD681" s="1072" t="str">
        <f t="shared" si="57"/>
        <v/>
      </c>
      <c r="DE681" s="1072" t="str">
        <f t="shared" si="58"/>
        <v/>
      </c>
      <c r="DF681" s="1072" t="str">
        <f t="shared" si="59"/>
        <v/>
      </c>
      <c r="DG681" s="1072" t="str">
        <f t="shared" si="60"/>
        <v/>
      </c>
      <c r="DH681" s="1072" t="str">
        <f t="shared" si="61"/>
        <v/>
      </c>
      <c r="DI681" s="1072" t="str">
        <f t="shared" si="62"/>
        <v/>
      </c>
      <c r="DJ681" s="1072" t="str">
        <f t="shared" si="63"/>
        <v/>
      </c>
      <c r="DK681" s="1072" t="str">
        <f t="shared" si="64"/>
        <v/>
      </c>
      <c r="DL681" s="1072" t="str">
        <f t="shared" si="65"/>
        <v/>
      </c>
      <c r="DM681" s="1072" t="str">
        <f t="shared" si="66"/>
        <v/>
      </c>
      <c r="DN681" s="1072" t="str">
        <f t="shared" si="67"/>
        <v/>
      </c>
      <c r="DO681" s="1072" t="str">
        <f t="shared" si="68"/>
        <v/>
      </c>
      <c r="DP681" s="1072" t="str">
        <f t="shared" si="69"/>
        <v/>
      </c>
      <c r="DQ681" s="1072" t="str">
        <f t="shared" si="70"/>
        <v/>
      </c>
      <c r="DR681" s="1072" t="str">
        <f t="shared" si="71"/>
        <v/>
      </c>
      <c r="DS681" s="1072" t="str">
        <f t="shared" si="72"/>
        <v/>
      </c>
      <c r="DT681" s="1072" t="str">
        <f t="shared" si="73"/>
        <v/>
      </c>
      <c r="DU681" s="1072" t="str">
        <f t="shared" si="74"/>
        <v/>
      </c>
      <c r="DV681" s="1072" t="str">
        <f t="shared" si="75"/>
        <v/>
      </c>
      <c r="DW681" s="1072" t="str">
        <f t="shared" si="76"/>
        <v/>
      </c>
      <c r="DX681" s="1072" t="str">
        <f t="shared" si="77"/>
        <v/>
      </c>
      <c r="DY681" s="1072" t="str">
        <f t="shared" si="78"/>
        <v/>
      </c>
      <c r="DZ681" s="1072" t="str">
        <f t="shared" si="79"/>
        <v/>
      </c>
      <c r="EA681" s="1072" t="str">
        <f t="shared" si="80"/>
        <v/>
      </c>
      <c r="EB681" s="1072" t="str">
        <f t="shared" si="81"/>
        <v/>
      </c>
      <c r="EC681" s="1072" t="str">
        <f t="shared" si="82"/>
        <v/>
      </c>
      <c r="ED681" s="1072" t="str">
        <f t="shared" si="83"/>
        <v/>
      </c>
      <c r="EE681" s="1072" t="str">
        <f t="shared" si="84"/>
        <v/>
      </c>
      <c r="EF681" s="1072" t="str">
        <f t="shared" si="85"/>
        <v/>
      </c>
      <c r="EG681" s="1072" t="str">
        <f t="shared" si="86"/>
        <v/>
      </c>
      <c r="EH681" s="1072" t="str">
        <f t="shared" si="87"/>
        <v/>
      </c>
      <c r="EI681" s="1072" t="str">
        <f t="shared" si="88"/>
        <v/>
      </c>
      <c r="EJ681" s="1072" t="str">
        <f t="shared" si="89"/>
        <v/>
      </c>
      <c r="EK681" s="1072" t="str">
        <f t="shared" si="90"/>
        <v/>
      </c>
      <c r="EL681" s="1072" t="str">
        <f t="shared" si="91"/>
        <v/>
      </c>
      <c r="EM681" s="1072" t="str">
        <f t="shared" si="92"/>
        <v/>
      </c>
      <c r="EN681" s="1072" t="str">
        <f t="shared" si="93"/>
        <v/>
      </c>
      <c r="EO681" s="1072" t="str">
        <f t="shared" si="94"/>
        <v/>
      </c>
      <c r="EP681" s="1072" t="str">
        <f t="shared" si="95"/>
        <v/>
      </c>
      <c r="EQ681" s="1072" t="str">
        <f t="shared" si="96"/>
        <v/>
      </c>
      <c r="ER681" s="1072" t="str">
        <f t="shared" si="97"/>
        <v/>
      </c>
      <c r="ES681" s="1072" t="str">
        <f t="shared" si="98"/>
        <v/>
      </c>
      <c r="ET681" s="1072" t="str">
        <f t="shared" si="99"/>
        <v/>
      </c>
      <c r="EU681" s="1072" t="str">
        <f t="shared" si="100"/>
        <v/>
      </c>
      <c r="EV681" s="833" t="str">
        <f t="shared" si="101"/>
        <v/>
      </c>
      <c r="EW681" s="833" t="str">
        <f t="shared" si="102"/>
        <v/>
      </c>
      <c r="EX681" s="833" t="str">
        <f t="shared" si="103"/>
        <v/>
      </c>
      <c r="EY681" s="833" t="str">
        <f t="shared" si="104"/>
        <v/>
      </c>
      <c r="EZ681" s="833" t="str">
        <f t="shared" si="105"/>
        <v/>
      </c>
      <c r="FA681" s="833" t="str">
        <f t="shared" si="106"/>
        <v/>
      </c>
      <c r="FB681" s="833" t="str">
        <f t="shared" si="107"/>
        <v/>
      </c>
      <c r="FC681" s="833" t="str">
        <f t="shared" si="108"/>
        <v/>
      </c>
      <c r="FD681" s="833" t="str">
        <f t="shared" si="109"/>
        <v/>
      </c>
      <c r="FE681" s="833" t="str">
        <f t="shared" si="110"/>
        <v/>
      </c>
      <c r="FF681" s="833" t="str">
        <f t="shared" si="111"/>
        <v/>
      </c>
      <c r="FG681" s="833" t="str">
        <f t="shared" si="112"/>
        <v/>
      </c>
      <c r="FH681" s="833" t="str">
        <f t="shared" si="113"/>
        <v/>
      </c>
      <c r="FI681" s="833" t="str">
        <f t="shared" si="114"/>
        <v/>
      </c>
      <c r="FJ681" s="833" t="str">
        <f t="shared" si="115"/>
        <v/>
      </c>
      <c r="FK681" s="833" t="str">
        <f t="shared" si="116"/>
        <v/>
      </c>
      <c r="FL681" s="833" t="str">
        <f t="shared" si="117"/>
        <v/>
      </c>
      <c r="FM681" s="833" t="str">
        <f t="shared" si="118"/>
        <v/>
      </c>
      <c r="FN681" s="833" t="str">
        <f t="shared" si="119"/>
        <v/>
      </c>
      <c r="FO681" s="833" t="str">
        <f t="shared" si="120"/>
        <v/>
      </c>
      <c r="FP681" s="833" t="str">
        <f t="shared" si="121"/>
        <v/>
      </c>
      <c r="FQ681" s="833" t="str">
        <f t="shared" si="122"/>
        <v/>
      </c>
      <c r="FR681" s="833" t="str">
        <f t="shared" si="123"/>
        <v/>
      </c>
      <c r="FS681" s="833" t="str">
        <f t="shared" si="124"/>
        <v/>
      </c>
      <c r="FT681" s="833" t="str">
        <f t="shared" si="125"/>
        <v/>
      </c>
      <c r="FU681" s="833" t="str">
        <f t="shared" si="126"/>
        <v/>
      </c>
      <c r="FV681" s="833" t="str">
        <f t="shared" si="127"/>
        <v/>
      </c>
      <c r="FW681" s="833" t="str">
        <f t="shared" si="128"/>
        <v/>
      </c>
      <c r="FX681" s="833" t="str">
        <f t="shared" si="129"/>
        <v/>
      </c>
      <c r="FY681" s="833" t="str">
        <f t="shared" si="130"/>
        <v/>
      </c>
      <c r="FZ681" s="833" t="str">
        <f t="shared" si="131"/>
        <v/>
      </c>
      <c r="GA681" s="833" t="str">
        <f t="shared" si="132"/>
        <v/>
      </c>
      <c r="GB681" s="833" t="str">
        <f t="shared" si="133"/>
        <v/>
      </c>
      <c r="GC681" s="833" t="str">
        <f t="shared" si="134"/>
        <v/>
      </c>
      <c r="GD681" s="833" t="str">
        <f t="shared" si="135"/>
        <v/>
      </c>
      <c r="GE681" s="833" t="str">
        <f t="shared" si="136"/>
        <v/>
      </c>
      <c r="GF681" s="833" t="str">
        <f t="shared" si="137"/>
        <v/>
      </c>
      <c r="GG681" s="833" t="str">
        <f t="shared" si="138"/>
        <v/>
      </c>
      <c r="GH681" s="833" t="str">
        <f t="shared" si="139"/>
        <v/>
      </c>
      <c r="GI681" s="833" t="str">
        <f t="shared" si="140"/>
        <v/>
      </c>
      <c r="GJ681" s="833" t="str">
        <f t="shared" si="141"/>
        <v/>
      </c>
      <c r="GK681" s="833" t="str">
        <f t="shared" si="142"/>
        <v/>
      </c>
      <c r="GL681" s="833" t="str">
        <f t="shared" si="143"/>
        <v/>
      </c>
      <c r="GM681" s="833" t="str">
        <f t="shared" si="144"/>
        <v/>
      </c>
      <c r="GN681" s="833" t="str">
        <f t="shared" si="145"/>
        <v/>
      </c>
      <c r="GO681" s="1115" t="str">
        <f t="shared" si="146"/>
        <v/>
      </c>
      <c r="GP681" s="1115" t="str">
        <f t="shared" si="147"/>
        <v/>
      </c>
      <c r="GQ681" s="1115" t="str">
        <f t="shared" si="148"/>
        <v/>
      </c>
      <c r="GR681" s="1115" t="str">
        <f t="shared" si="149"/>
        <v/>
      </c>
      <c r="GS681" s="1115" t="str">
        <f t="shared" si="150"/>
        <v/>
      </c>
      <c r="GT681" s="1072" t="str">
        <f t="shared" si="151"/>
        <v/>
      </c>
      <c r="GU681" s="1072" t="str">
        <f t="shared" si="152"/>
        <v/>
      </c>
      <c r="GV681" s="1072" t="str">
        <f t="shared" si="153"/>
        <v/>
      </c>
      <c r="GW681" s="1072" t="str">
        <f t="shared" si="154"/>
        <v/>
      </c>
      <c r="GX681" s="1072" t="str">
        <f t="shared" si="155"/>
        <v/>
      </c>
      <c r="GY681" s="1072" t="str">
        <f t="shared" si="156"/>
        <v/>
      </c>
      <c r="GZ681" s="1072" t="str">
        <f t="shared" si="157"/>
        <v/>
      </c>
      <c r="HA681" s="1072" t="str">
        <f t="shared" si="158"/>
        <v/>
      </c>
      <c r="HB681" s="1072" t="str">
        <f t="shared" si="159"/>
        <v/>
      </c>
      <c r="HC681" s="1072" t="str">
        <f t="shared" si="160"/>
        <v/>
      </c>
      <c r="HD681" s="1072" t="str">
        <f t="shared" si="161"/>
        <v/>
      </c>
      <c r="HE681" s="1072" t="str">
        <f t="shared" si="162"/>
        <v/>
      </c>
      <c r="HF681" s="1072" t="str">
        <f t="shared" si="163"/>
        <v/>
      </c>
      <c r="HG681" s="1072" t="str">
        <f t="shared" si="164"/>
        <v/>
      </c>
      <c r="HH681" s="1072" t="str">
        <f t="shared" si="165"/>
        <v/>
      </c>
      <c r="HI681" s="1072" t="str">
        <f t="shared" si="166"/>
        <v/>
      </c>
      <c r="HJ681" s="1072" t="str">
        <f t="shared" si="167"/>
        <v/>
      </c>
      <c r="HK681" s="1072" t="str">
        <f t="shared" si="168"/>
        <v/>
      </c>
      <c r="HL681" s="1072" t="str">
        <f t="shared" si="169"/>
        <v/>
      </c>
      <c r="HM681" s="1072" t="str">
        <f t="shared" si="170"/>
        <v/>
      </c>
    </row>
    <row r="682" spans="1:221" ht="14.45" customHeight="1">
      <c r="A682" s="1084">
        <f>COUNT(A644,A645,A646,A647,A648,A649,A650,A651,A652,A653,A654,A655,A656,A657,A658,A659,A660,A661,A662,A663,A664,A665,A666,A667,A668,A669,A670,A671,A672,A673)</f>
        <v>0</v>
      </c>
      <c r="B682" s="583"/>
      <c r="C682" s="583"/>
      <c r="D682" s="911" t="s">
        <v>1080</v>
      </c>
      <c r="E682" s="908">
        <f>SUM(E644:E681)</f>
        <v>75</v>
      </c>
      <c r="F682" s="908">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75294</v>
      </c>
      <c r="G682" s="585"/>
      <c r="H682" s="585"/>
      <c r="I682" s="585"/>
      <c r="J682" s="585"/>
      <c r="K682" s="912" t="s">
        <v>1388</v>
      </c>
      <c r="L682" s="908">
        <f>SUM(L644:L681)</f>
        <v>41971</v>
      </c>
      <c r="M682" s="583"/>
      <c r="N682" s="583"/>
      <c r="O682" s="583"/>
      <c r="P682" s="583"/>
      <c r="Q682" s="583"/>
      <c r="R682" s="583"/>
      <c r="S682" s="583"/>
      <c r="T682" s="1070"/>
      <c r="U682" s="834"/>
      <c r="V682" s="834">
        <f t="shared" ref="V682:CK682" si="206">SUM(V644:V681)</f>
        <v>0</v>
      </c>
      <c r="W682" s="834">
        <f t="shared" si="206"/>
        <v>24</v>
      </c>
      <c r="X682" s="834">
        <f t="shared" si="206"/>
        <v>37</v>
      </c>
      <c r="Y682" s="834">
        <f t="shared" si="206"/>
        <v>12</v>
      </c>
      <c r="Z682" s="834">
        <f t="shared" si="206"/>
        <v>2</v>
      </c>
      <c r="AA682" s="834">
        <f t="shared" si="206"/>
        <v>0</v>
      </c>
      <c r="AB682" s="834">
        <f t="shared" si="206"/>
        <v>0</v>
      </c>
      <c r="AC682" s="834">
        <f t="shared" si="206"/>
        <v>0</v>
      </c>
      <c r="AD682" s="834">
        <f t="shared" si="206"/>
        <v>0</v>
      </c>
      <c r="AE682" s="834">
        <f t="shared" si="206"/>
        <v>0</v>
      </c>
      <c r="AF682" s="834">
        <f t="shared" si="206"/>
        <v>0</v>
      </c>
      <c r="AG682" s="834">
        <f t="shared" si="206"/>
        <v>0</v>
      </c>
      <c r="AH682" s="834">
        <f t="shared" si="206"/>
        <v>0</v>
      </c>
      <c r="AI682" s="834">
        <f t="shared" si="206"/>
        <v>0</v>
      </c>
      <c r="AJ682" s="834">
        <f t="shared" si="206"/>
        <v>0</v>
      </c>
      <c r="AK682" s="834">
        <f t="shared" si="206"/>
        <v>0</v>
      </c>
      <c r="AL682" s="834">
        <f t="shared" si="206"/>
        <v>0</v>
      </c>
      <c r="AM682" s="834">
        <f t="shared" si="206"/>
        <v>0</v>
      </c>
      <c r="AN682" s="834">
        <f t="shared" si="206"/>
        <v>0</v>
      </c>
      <c r="AO682" s="834">
        <f t="shared" si="206"/>
        <v>0</v>
      </c>
      <c r="AP682" s="834">
        <f t="shared" si="206"/>
        <v>0</v>
      </c>
      <c r="AQ682" s="834">
        <f t="shared" si="206"/>
        <v>0</v>
      </c>
      <c r="AR682" s="834">
        <f t="shared" si="206"/>
        <v>0</v>
      </c>
      <c r="AS682" s="834">
        <f t="shared" si="206"/>
        <v>0</v>
      </c>
      <c r="AT682" s="834">
        <f t="shared" si="206"/>
        <v>0</v>
      </c>
      <c r="AU682" s="834">
        <f t="shared" si="206"/>
        <v>0</v>
      </c>
      <c r="AV682" s="834">
        <f t="shared" si="206"/>
        <v>0</v>
      </c>
      <c r="AW682" s="834">
        <f t="shared" si="206"/>
        <v>0</v>
      </c>
      <c r="AX682" s="834">
        <f t="shared" si="206"/>
        <v>0</v>
      </c>
      <c r="AY682" s="834">
        <f t="shared" si="206"/>
        <v>0</v>
      </c>
      <c r="AZ682" s="834">
        <f t="shared" si="206"/>
        <v>0</v>
      </c>
      <c r="BA682" s="834">
        <f t="shared" si="206"/>
        <v>24</v>
      </c>
      <c r="BB682" s="834">
        <f t="shared" si="206"/>
        <v>37</v>
      </c>
      <c r="BC682" s="834">
        <f t="shared" si="206"/>
        <v>12</v>
      </c>
      <c r="BD682" s="834">
        <f t="shared" si="206"/>
        <v>2</v>
      </c>
      <c r="BE682" s="834">
        <f t="shared" si="206"/>
        <v>0</v>
      </c>
      <c r="BF682" s="834">
        <f t="shared" si="206"/>
        <v>0</v>
      </c>
      <c r="BG682" s="834">
        <f t="shared" si="206"/>
        <v>0</v>
      </c>
      <c r="BH682" s="834">
        <f t="shared" si="206"/>
        <v>0</v>
      </c>
      <c r="BI682" s="834">
        <f t="shared" si="206"/>
        <v>0</v>
      </c>
      <c r="BJ682" s="834">
        <f t="shared" si="206"/>
        <v>0</v>
      </c>
      <c r="BK682" s="834">
        <f t="shared" si="206"/>
        <v>0</v>
      </c>
      <c r="BL682" s="834">
        <f t="shared" si="206"/>
        <v>0</v>
      </c>
      <c r="BM682" s="834">
        <f t="shared" si="206"/>
        <v>0</v>
      </c>
      <c r="BN682" s="834">
        <f t="shared" si="206"/>
        <v>0</v>
      </c>
      <c r="BO682" s="834">
        <f t="shared" si="206"/>
        <v>0</v>
      </c>
      <c r="BP682" s="834">
        <f t="shared" si="206"/>
        <v>0</v>
      </c>
      <c r="BQ682" s="834">
        <f t="shared" si="206"/>
        <v>0</v>
      </c>
      <c r="BR682" s="834">
        <f t="shared" si="206"/>
        <v>0</v>
      </c>
      <c r="BS682" s="834">
        <f t="shared" si="206"/>
        <v>0</v>
      </c>
      <c r="BT682" s="834">
        <f t="shared" si="206"/>
        <v>0</v>
      </c>
      <c r="BU682" s="834">
        <f t="shared" si="206"/>
        <v>0</v>
      </c>
      <c r="BV682" s="834">
        <f t="shared" si="206"/>
        <v>0</v>
      </c>
      <c r="BW682" s="834">
        <f t="shared" si="206"/>
        <v>0</v>
      </c>
      <c r="BX682" s="834">
        <f t="shared" si="206"/>
        <v>0</v>
      </c>
      <c r="BY682" s="834">
        <f t="shared" si="206"/>
        <v>0</v>
      </c>
      <c r="BZ682" s="834">
        <f t="shared" si="206"/>
        <v>19824</v>
      </c>
      <c r="CA682" s="834">
        <f t="shared" si="206"/>
        <v>37518</v>
      </c>
      <c r="CB682" s="834">
        <f t="shared" si="206"/>
        <v>15000</v>
      </c>
      <c r="CC682" s="834">
        <f t="shared" si="206"/>
        <v>2952</v>
      </c>
      <c r="CD682" s="834">
        <f t="shared" si="206"/>
        <v>0</v>
      </c>
      <c r="CE682" s="834">
        <f t="shared" si="206"/>
        <v>0</v>
      </c>
      <c r="CF682" s="834">
        <f t="shared" si="206"/>
        <v>0</v>
      </c>
      <c r="CG682" s="834">
        <f t="shared" si="206"/>
        <v>0</v>
      </c>
      <c r="CH682" s="834">
        <f t="shared" si="206"/>
        <v>0</v>
      </c>
      <c r="CI682" s="834">
        <f t="shared" si="206"/>
        <v>0</v>
      </c>
      <c r="CJ682" s="834">
        <f t="shared" si="206"/>
        <v>0</v>
      </c>
      <c r="CK682" s="834">
        <f t="shared" si="206"/>
        <v>0</v>
      </c>
      <c r="CL682" s="834">
        <f t="shared" ref="CL682:EP682" si="207">SUM(CL644:CL681)</f>
        <v>0</v>
      </c>
      <c r="CM682" s="834">
        <f t="shared" si="207"/>
        <v>0</v>
      </c>
      <c r="CN682" s="834">
        <f t="shared" si="207"/>
        <v>0</v>
      </c>
      <c r="CO682" s="834">
        <f t="shared" si="207"/>
        <v>0</v>
      </c>
      <c r="CP682" s="834">
        <f t="shared" si="207"/>
        <v>0</v>
      </c>
      <c r="CQ682" s="834">
        <f t="shared" si="207"/>
        <v>0</v>
      </c>
      <c r="CR682" s="834">
        <f t="shared" si="207"/>
        <v>0</v>
      </c>
      <c r="CS682" s="834">
        <f t="shared" si="207"/>
        <v>0</v>
      </c>
      <c r="CT682" s="834">
        <f t="shared" si="207"/>
        <v>19824</v>
      </c>
      <c r="CU682" s="834">
        <f t="shared" si="207"/>
        <v>37518</v>
      </c>
      <c r="CV682" s="834">
        <f t="shared" si="207"/>
        <v>15000</v>
      </c>
      <c r="CW682" s="834">
        <f t="shared" si="207"/>
        <v>2952</v>
      </c>
      <c r="CX682" s="834">
        <f t="shared" si="207"/>
        <v>0</v>
      </c>
      <c r="CY682" s="834">
        <f t="shared" si="207"/>
        <v>0</v>
      </c>
      <c r="CZ682" s="834">
        <f t="shared" si="207"/>
        <v>0</v>
      </c>
      <c r="DA682" s="834">
        <f t="shared" si="207"/>
        <v>0</v>
      </c>
      <c r="DB682" s="834">
        <f t="shared" si="207"/>
        <v>0</v>
      </c>
      <c r="DC682" s="834">
        <f t="shared" si="207"/>
        <v>0</v>
      </c>
      <c r="DD682" s="834">
        <f t="shared" si="207"/>
        <v>0</v>
      </c>
      <c r="DE682" s="834">
        <f t="shared" si="207"/>
        <v>0</v>
      </c>
      <c r="DF682" s="834">
        <f t="shared" si="207"/>
        <v>0</v>
      </c>
      <c r="DG682" s="834">
        <f t="shared" si="207"/>
        <v>0</v>
      </c>
      <c r="DH682" s="834">
        <f t="shared" si="207"/>
        <v>0</v>
      </c>
      <c r="DI682" s="834">
        <f t="shared" si="207"/>
        <v>0</v>
      </c>
      <c r="DJ682" s="834">
        <f t="shared" si="207"/>
        <v>0</v>
      </c>
      <c r="DK682" s="834">
        <f t="shared" si="207"/>
        <v>0</v>
      </c>
      <c r="DL682" s="834">
        <f t="shared" si="207"/>
        <v>0</v>
      </c>
      <c r="DM682" s="834">
        <f>SUM(DM644:DM681)</f>
        <v>0</v>
      </c>
      <c r="DN682" s="834">
        <f>SUM(DN644:DN681)</f>
        <v>0</v>
      </c>
      <c r="DO682" s="834">
        <f>SUM(DO644:DO681)</f>
        <v>0</v>
      </c>
      <c r="DP682" s="834">
        <f>SUM(DP644:DP681)</f>
        <v>0</v>
      </c>
      <c r="DQ682" s="834">
        <f>SUM(DQ644:DQ681)</f>
        <v>0</v>
      </c>
      <c r="DR682" s="834">
        <f t="shared" si="207"/>
        <v>0</v>
      </c>
      <c r="DS682" s="834">
        <f t="shared" si="207"/>
        <v>24</v>
      </c>
      <c r="DT682" s="834">
        <f t="shared" si="207"/>
        <v>37</v>
      </c>
      <c r="DU682" s="834">
        <f t="shared" si="207"/>
        <v>12</v>
      </c>
      <c r="DV682" s="834">
        <f t="shared" si="207"/>
        <v>2</v>
      </c>
      <c r="DW682" s="834">
        <f t="shared" si="207"/>
        <v>0</v>
      </c>
      <c r="DX682" s="834">
        <f t="shared" si="207"/>
        <v>0</v>
      </c>
      <c r="DY682" s="834">
        <f t="shared" si="207"/>
        <v>0</v>
      </c>
      <c r="DZ682" s="834">
        <f t="shared" si="207"/>
        <v>0</v>
      </c>
      <c r="EA682" s="834">
        <f t="shared" si="207"/>
        <v>0</v>
      </c>
      <c r="EB682" s="834">
        <f>SUM(EB644:EB681)</f>
        <v>0</v>
      </c>
      <c r="EC682" s="834">
        <f>SUM(EC644:EC681)</f>
        <v>0</v>
      </c>
      <c r="ED682" s="834">
        <f>SUM(ED644:ED681)</f>
        <v>0</v>
      </c>
      <c r="EE682" s="834">
        <f>SUM(EE644:EE681)</f>
        <v>0</v>
      </c>
      <c r="EF682" s="834">
        <f>SUM(EF644:EF681)</f>
        <v>0</v>
      </c>
      <c r="EG682" s="834">
        <f t="shared" si="207"/>
        <v>0</v>
      </c>
      <c r="EH682" s="834">
        <f t="shared" si="207"/>
        <v>0</v>
      </c>
      <c r="EI682" s="834">
        <f t="shared" si="207"/>
        <v>0</v>
      </c>
      <c r="EJ682" s="834">
        <f t="shared" si="207"/>
        <v>0</v>
      </c>
      <c r="EK682" s="834">
        <f t="shared" si="207"/>
        <v>0</v>
      </c>
      <c r="EL682" s="834">
        <f t="shared" si="207"/>
        <v>0</v>
      </c>
      <c r="EM682" s="834">
        <f t="shared" si="207"/>
        <v>0</v>
      </c>
      <c r="EN682" s="834">
        <f t="shared" si="207"/>
        <v>0</v>
      </c>
      <c r="EO682" s="834">
        <f t="shared" si="207"/>
        <v>0</v>
      </c>
      <c r="EP682" s="834">
        <f t="shared" si="207"/>
        <v>0</v>
      </c>
      <c r="EQ682" s="834">
        <f>SUM(EQ644:EQ681)</f>
        <v>0</v>
      </c>
      <c r="ER682" s="834">
        <f>SUM(ER644:ER681)</f>
        <v>0</v>
      </c>
      <c r="ES682" s="834">
        <f>SUM(ES644:ES681)</f>
        <v>0</v>
      </c>
      <c r="ET682" s="834">
        <f>SUM(ET644:ET681)</f>
        <v>0</v>
      </c>
      <c r="EU682" s="834">
        <f>SUM(EU644:EU681)</f>
        <v>0</v>
      </c>
      <c r="EV682" s="834">
        <f t="shared" ref="EV682:HG682" si="208">SUM(EV644:EV681)</f>
        <v>0</v>
      </c>
      <c r="EW682" s="834">
        <f t="shared" si="208"/>
        <v>12</v>
      </c>
      <c r="EX682" s="834">
        <f t="shared" si="208"/>
        <v>0</v>
      </c>
      <c r="EY682" s="834">
        <f t="shared" si="208"/>
        <v>0</v>
      </c>
      <c r="EZ682" s="834">
        <f t="shared" si="208"/>
        <v>0</v>
      </c>
      <c r="FA682" s="834">
        <f t="shared" si="208"/>
        <v>0</v>
      </c>
      <c r="FB682" s="834">
        <f t="shared" si="208"/>
        <v>0</v>
      </c>
      <c r="FC682" s="834">
        <f t="shared" si="208"/>
        <v>0</v>
      </c>
      <c r="FD682" s="834">
        <f t="shared" si="208"/>
        <v>5</v>
      </c>
      <c r="FE682" s="834">
        <f t="shared" si="208"/>
        <v>2</v>
      </c>
      <c r="FF682" s="834">
        <f t="shared" si="208"/>
        <v>0</v>
      </c>
      <c r="FG682" s="834">
        <f t="shared" si="208"/>
        <v>0</v>
      </c>
      <c r="FH682" s="834">
        <f t="shared" si="208"/>
        <v>0</v>
      </c>
      <c r="FI682" s="834">
        <f t="shared" si="208"/>
        <v>0</v>
      </c>
      <c r="FJ682" s="834">
        <f t="shared" si="208"/>
        <v>0</v>
      </c>
      <c r="FK682" s="834">
        <f t="shared" si="208"/>
        <v>0</v>
      </c>
      <c r="FL682" s="834">
        <f t="shared" si="208"/>
        <v>12</v>
      </c>
      <c r="FM682" s="834">
        <f t="shared" si="208"/>
        <v>37</v>
      </c>
      <c r="FN682" s="834">
        <f t="shared" si="208"/>
        <v>7</v>
      </c>
      <c r="FO682" s="834">
        <f t="shared" si="208"/>
        <v>0</v>
      </c>
      <c r="FP682" s="834">
        <f t="shared" si="208"/>
        <v>0</v>
      </c>
      <c r="FQ682" s="834">
        <f t="shared" si="208"/>
        <v>0</v>
      </c>
      <c r="FR682" s="834">
        <f t="shared" si="208"/>
        <v>0</v>
      </c>
      <c r="FS682" s="834">
        <f t="shared" si="208"/>
        <v>0</v>
      </c>
      <c r="FT682" s="834">
        <f t="shared" si="208"/>
        <v>0</v>
      </c>
      <c r="FU682" s="834">
        <f t="shared" si="208"/>
        <v>0</v>
      </c>
      <c r="FV682" s="834">
        <f t="shared" si="208"/>
        <v>12</v>
      </c>
      <c r="FW682" s="834">
        <f t="shared" si="208"/>
        <v>0</v>
      </c>
      <c r="FX682" s="834">
        <f t="shared" si="208"/>
        <v>0</v>
      </c>
      <c r="FY682" s="834">
        <f t="shared" si="208"/>
        <v>0</v>
      </c>
      <c r="FZ682" s="834">
        <f t="shared" si="208"/>
        <v>0</v>
      </c>
      <c r="GA682" s="834">
        <f t="shared" si="208"/>
        <v>0</v>
      </c>
      <c r="GB682" s="834">
        <f t="shared" si="208"/>
        <v>0</v>
      </c>
      <c r="GC682" s="834">
        <f t="shared" si="208"/>
        <v>0</v>
      </c>
      <c r="GD682" s="834">
        <f t="shared" si="208"/>
        <v>0</v>
      </c>
      <c r="GE682" s="834">
        <f t="shared" si="208"/>
        <v>0</v>
      </c>
      <c r="GF682" s="834">
        <f t="shared" si="208"/>
        <v>0</v>
      </c>
      <c r="GG682" s="834">
        <f t="shared" si="208"/>
        <v>0</v>
      </c>
      <c r="GH682" s="834">
        <f t="shared" si="208"/>
        <v>0</v>
      </c>
      <c r="GI682" s="834">
        <f t="shared" si="208"/>
        <v>0</v>
      </c>
      <c r="GJ682" s="834">
        <f t="shared" si="208"/>
        <v>0</v>
      </c>
      <c r="GK682" s="834">
        <f t="shared" si="208"/>
        <v>0</v>
      </c>
      <c r="GL682" s="834">
        <f t="shared" si="208"/>
        <v>0</v>
      </c>
      <c r="GM682" s="834">
        <f t="shared" si="208"/>
        <v>0</v>
      </c>
      <c r="GN682" s="834">
        <f t="shared" si="208"/>
        <v>0</v>
      </c>
      <c r="GO682" s="834">
        <f t="shared" si="208"/>
        <v>0</v>
      </c>
      <c r="GP682" s="834">
        <f t="shared" si="208"/>
        <v>0</v>
      </c>
      <c r="GQ682" s="834">
        <f t="shared" si="208"/>
        <v>0</v>
      </c>
      <c r="GR682" s="834">
        <f t="shared" si="208"/>
        <v>0</v>
      </c>
      <c r="GS682" s="834">
        <f t="shared" si="208"/>
        <v>0</v>
      </c>
      <c r="GT682" s="834">
        <f t="shared" si="208"/>
        <v>0</v>
      </c>
      <c r="GU682" s="834">
        <f t="shared" si="208"/>
        <v>0</v>
      </c>
      <c r="GV682" s="834">
        <f t="shared" si="208"/>
        <v>0</v>
      </c>
      <c r="GW682" s="834">
        <f t="shared" si="208"/>
        <v>0</v>
      </c>
      <c r="GX682" s="834">
        <f t="shared" si="208"/>
        <v>0</v>
      </c>
      <c r="GY682" s="834">
        <f t="shared" si="208"/>
        <v>0</v>
      </c>
      <c r="GZ682" s="834">
        <f t="shared" si="208"/>
        <v>0</v>
      </c>
      <c r="HA682" s="834">
        <f t="shared" si="208"/>
        <v>0</v>
      </c>
      <c r="HB682" s="834">
        <f t="shared" si="208"/>
        <v>0</v>
      </c>
      <c r="HC682" s="834">
        <f t="shared" si="208"/>
        <v>0</v>
      </c>
      <c r="HD682" s="834">
        <f t="shared" si="208"/>
        <v>0</v>
      </c>
      <c r="HE682" s="834">
        <f t="shared" si="208"/>
        <v>0</v>
      </c>
      <c r="HF682" s="834">
        <f t="shared" si="208"/>
        <v>0</v>
      </c>
      <c r="HG682" s="834">
        <f t="shared" si="208"/>
        <v>0</v>
      </c>
      <c r="HH682" s="834">
        <f t="shared" ref="HH682:HM682" si="209">SUM(HH644:HH681)</f>
        <v>0</v>
      </c>
      <c r="HI682" s="834">
        <f t="shared" si="209"/>
        <v>0</v>
      </c>
      <c r="HJ682" s="834">
        <f t="shared" si="209"/>
        <v>0</v>
      </c>
      <c r="HK682" s="834">
        <f t="shared" si="209"/>
        <v>0</v>
      </c>
      <c r="HL682" s="834">
        <f t="shared" si="209"/>
        <v>0</v>
      </c>
      <c r="HM682" s="834">
        <f t="shared" si="209"/>
        <v>0</v>
      </c>
    </row>
    <row r="683" spans="1:221" ht="14.45" customHeight="1">
      <c r="B683" s="583"/>
      <c r="D683" s="911"/>
      <c r="E683" s="908"/>
      <c r="F683" s="908"/>
      <c r="G683" s="585"/>
      <c r="H683" s="585"/>
      <c r="I683" s="585"/>
      <c r="J683" s="585"/>
      <c r="K683" s="911" t="s">
        <v>868</v>
      </c>
      <c r="L683" s="908">
        <f>L682*12</f>
        <v>503652</v>
      </c>
      <c r="M683" s="583"/>
      <c r="N683" s="583"/>
      <c r="O683" s="583"/>
      <c r="P683" s="583"/>
      <c r="Q683" s="583"/>
      <c r="R683" s="583"/>
      <c r="S683" s="583"/>
      <c r="T683" s="583"/>
      <c r="U683" s="834"/>
      <c r="V683" s="834"/>
      <c r="W683" s="834"/>
      <c r="X683" s="834"/>
      <c r="Y683" s="834"/>
      <c r="Z683" s="834"/>
      <c r="AA683" s="834"/>
      <c r="AB683" s="834"/>
      <c r="AC683" s="834"/>
      <c r="AD683" s="834"/>
      <c r="AE683" s="834"/>
      <c r="AF683" s="834"/>
      <c r="AG683" s="834"/>
      <c r="AH683" s="834"/>
      <c r="AI683" s="834"/>
      <c r="AJ683" s="834"/>
      <c r="AK683" s="834"/>
      <c r="AL683" s="834"/>
      <c r="AM683" s="834"/>
      <c r="AN683" s="834"/>
      <c r="AO683" s="834"/>
      <c r="AP683" s="834"/>
      <c r="AQ683" s="834"/>
      <c r="AR683" s="834"/>
      <c r="AS683" s="834"/>
      <c r="AT683" s="834"/>
      <c r="AU683" s="834"/>
      <c r="AV683" s="834"/>
      <c r="AW683" s="834"/>
      <c r="AX683" s="834"/>
      <c r="AY683" s="834"/>
      <c r="AZ683" s="834"/>
      <c r="BA683" s="834"/>
      <c r="BB683" s="834"/>
      <c r="BC683" s="834"/>
      <c r="BD683" s="834"/>
      <c r="BE683" s="834"/>
      <c r="BF683" s="834"/>
      <c r="BG683" s="834"/>
      <c r="BH683" s="834"/>
      <c r="BI683" s="834"/>
      <c r="BJ683" s="834"/>
      <c r="BK683" s="834"/>
      <c r="BL683" s="834"/>
      <c r="BM683" s="834"/>
      <c r="BN683" s="834"/>
      <c r="BO683" s="834"/>
      <c r="BP683" s="834"/>
      <c r="BQ683" s="834"/>
      <c r="BR683" s="834"/>
      <c r="BS683" s="834"/>
      <c r="BT683" s="834"/>
      <c r="BU683" s="834"/>
      <c r="BV683" s="834"/>
      <c r="BW683" s="834"/>
      <c r="BX683" s="834"/>
      <c r="BY683" s="834"/>
      <c r="BZ683" s="834"/>
      <c r="CA683" s="834"/>
      <c r="CB683" s="834"/>
      <c r="CC683" s="834"/>
      <c r="CD683" s="834"/>
      <c r="CE683" s="834"/>
      <c r="CF683" s="834"/>
      <c r="CG683" s="834"/>
      <c r="CH683" s="834"/>
      <c r="CI683" s="834"/>
      <c r="CJ683" s="834"/>
      <c r="CK683" s="834"/>
      <c r="CL683" s="834"/>
      <c r="CM683" s="834"/>
      <c r="CN683" s="834"/>
      <c r="CO683" s="834"/>
      <c r="CP683" s="834"/>
      <c r="CQ683" s="834"/>
      <c r="CR683" s="834"/>
      <c r="CS683" s="834"/>
      <c r="CT683" s="834"/>
      <c r="CU683" s="834"/>
      <c r="CV683" s="834"/>
      <c r="CW683" s="834"/>
      <c r="CX683" s="834"/>
      <c r="CY683" s="834"/>
      <c r="CZ683" s="834"/>
      <c r="DA683" s="834"/>
      <c r="DB683" s="834"/>
      <c r="DC683" s="834"/>
      <c r="DD683" s="834"/>
      <c r="DE683" s="834"/>
      <c r="DF683" s="834"/>
      <c r="DG683" s="834"/>
      <c r="DH683" s="834"/>
      <c r="DI683" s="834"/>
      <c r="DJ683" s="834"/>
      <c r="DK683" s="834"/>
      <c r="DL683" s="834"/>
      <c r="DM683" s="834"/>
      <c r="DN683" s="834"/>
      <c r="DO683" s="834"/>
      <c r="DP683" s="834"/>
      <c r="DQ683" s="834"/>
      <c r="DR683" s="834"/>
      <c r="DS683" s="834"/>
      <c r="DT683" s="834"/>
      <c r="DU683" s="834"/>
      <c r="DV683" s="834"/>
      <c r="DW683" s="834"/>
      <c r="DX683" s="834"/>
      <c r="DY683" s="834"/>
      <c r="DZ683" s="834"/>
      <c r="EA683" s="834"/>
      <c r="EB683" s="834"/>
      <c r="EC683" s="834"/>
      <c r="ED683" s="834"/>
      <c r="EE683" s="834"/>
      <c r="EF683" s="834"/>
      <c r="EG683" s="834"/>
      <c r="EH683" s="834"/>
      <c r="EI683" s="834"/>
      <c r="EJ683" s="834"/>
      <c r="EK683" s="834"/>
      <c r="EL683" s="834"/>
      <c r="EM683" s="834"/>
      <c r="EN683" s="834"/>
      <c r="EO683" s="834"/>
      <c r="EP683" s="834"/>
      <c r="EQ683" s="834"/>
      <c r="ER683" s="834"/>
      <c r="ES683" s="834"/>
      <c r="ET683" s="834"/>
      <c r="EU683" s="834"/>
      <c r="EV683" s="834"/>
      <c r="EW683" s="834"/>
      <c r="EX683" s="834"/>
      <c r="EY683" s="834"/>
      <c r="EZ683" s="834"/>
      <c r="FA683" s="834"/>
      <c r="FB683" s="834"/>
      <c r="FC683" s="834"/>
      <c r="FD683" s="834"/>
      <c r="FE683" s="834"/>
      <c r="FF683" s="834"/>
      <c r="FG683" s="834"/>
      <c r="FH683" s="834"/>
      <c r="FI683" s="834"/>
      <c r="FJ683" s="834"/>
      <c r="FK683" s="834"/>
      <c r="FL683" s="834"/>
      <c r="FM683" s="834"/>
      <c r="FN683" s="834"/>
      <c r="FO683" s="834"/>
      <c r="FP683" s="834"/>
      <c r="FQ683" s="834"/>
      <c r="FR683" s="834"/>
      <c r="FS683" s="834"/>
      <c r="FT683" s="834"/>
      <c r="FU683" s="834"/>
      <c r="FV683" s="834"/>
      <c r="FW683" s="834"/>
      <c r="FX683" s="834"/>
      <c r="FY683" s="834"/>
      <c r="FZ683" s="834"/>
      <c r="GA683" s="834"/>
      <c r="GB683" s="834"/>
      <c r="GC683" s="834"/>
      <c r="GD683" s="834"/>
      <c r="GE683" s="834"/>
      <c r="GF683" s="834"/>
      <c r="GG683" s="834"/>
      <c r="GH683" s="834"/>
      <c r="GI683" s="834"/>
      <c r="GJ683" s="834"/>
      <c r="GK683" s="834"/>
      <c r="GL683" s="834"/>
      <c r="GM683" s="834"/>
      <c r="GN683" s="834"/>
      <c r="GO683" s="834"/>
      <c r="GP683" s="834"/>
      <c r="GQ683" s="834"/>
      <c r="GR683" s="834"/>
      <c r="GS683" s="834"/>
      <c r="GT683" s="834"/>
      <c r="GU683" s="834"/>
      <c r="GV683" s="834"/>
      <c r="GW683" s="834"/>
      <c r="GX683" s="834"/>
      <c r="GY683" s="834"/>
      <c r="GZ683" s="834"/>
      <c r="HA683" s="834"/>
      <c r="HB683" s="834"/>
      <c r="HC683" s="834"/>
      <c r="HD683" s="834"/>
      <c r="HE683" s="834"/>
      <c r="HF683" s="834"/>
      <c r="HG683" s="834"/>
      <c r="HH683" s="834"/>
      <c r="HI683" s="834"/>
      <c r="HJ683" s="834"/>
      <c r="HK683" s="834"/>
      <c r="HL683" s="834"/>
      <c r="HM683" s="834"/>
    </row>
    <row r="684" spans="1:221" ht="3" customHeight="1">
      <c r="A684" s="584"/>
      <c r="B684" s="583"/>
      <c r="D684" s="911"/>
      <c r="E684" s="908"/>
      <c r="F684" s="908"/>
      <c r="G684" s="585"/>
      <c r="H684" s="585"/>
      <c r="I684" s="585"/>
      <c r="J684" s="585"/>
      <c r="K684" s="911"/>
      <c r="L684" s="908"/>
      <c r="M684" s="583"/>
      <c r="N684" s="583"/>
      <c r="O684" s="583"/>
      <c r="P684" s="583"/>
      <c r="Q684" s="583"/>
      <c r="R684" s="583"/>
      <c r="S684" s="583"/>
      <c r="T684" s="583"/>
      <c r="U684" s="834"/>
      <c r="V684" s="834"/>
      <c r="W684" s="834"/>
      <c r="X684" s="834"/>
      <c r="Y684" s="834"/>
      <c r="Z684" s="834"/>
      <c r="AA684" s="834"/>
      <c r="AB684" s="834"/>
      <c r="AC684" s="834"/>
      <c r="AD684" s="834"/>
      <c r="AE684" s="834"/>
      <c r="AF684" s="834"/>
      <c r="AG684" s="834"/>
      <c r="AH684" s="834"/>
      <c r="AI684" s="834"/>
      <c r="AJ684" s="834"/>
      <c r="AK684" s="834"/>
      <c r="AL684" s="834"/>
      <c r="AM684" s="834"/>
      <c r="AN684" s="834"/>
      <c r="AO684" s="834"/>
      <c r="AP684" s="834"/>
      <c r="AQ684" s="834"/>
      <c r="AR684" s="834"/>
      <c r="AS684" s="834"/>
      <c r="AT684" s="834"/>
      <c r="AU684" s="834"/>
      <c r="AV684" s="834"/>
      <c r="AW684" s="834"/>
      <c r="AX684" s="834"/>
      <c r="AY684" s="834"/>
      <c r="AZ684" s="834"/>
      <c r="BA684" s="834"/>
      <c r="BB684" s="834"/>
      <c r="BC684" s="834"/>
      <c r="BD684" s="834"/>
      <c r="BE684" s="834"/>
      <c r="BF684" s="834"/>
      <c r="BG684" s="834"/>
      <c r="BH684" s="834"/>
      <c r="BI684" s="834"/>
      <c r="BJ684" s="834"/>
      <c r="BK684" s="834"/>
      <c r="BL684" s="834"/>
      <c r="BM684" s="834"/>
      <c r="BN684" s="834"/>
      <c r="BO684" s="834"/>
      <c r="BP684" s="834"/>
      <c r="BQ684" s="834"/>
      <c r="BR684" s="834"/>
      <c r="BS684" s="834"/>
      <c r="BT684" s="834"/>
      <c r="BU684" s="834"/>
      <c r="BV684" s="834"/>
      <c r="BW684" s="834"/>
      <c r="BX684" s="834"/>
      <c r="BY684" s="834"/>
      <c r="BZ684" s="834"/>
      <c r="CA684" s="834"/>
      <c r="CB684" s="834"/>
      <c r="CC684" s="834"/>
      <c r="CD684" s="834"/>
      <c r="CE684" s="834"/>
      <c r="CF684" s="834"/>
      <c r="CG684" s="834"/>
      <c r="CH684" s="834"/>
      <c r="CI684" s="834"/>
      <c r="CJ684" s="834"/>
      <c r="CK684" s="834"/>
      <c r="CL684" s="834"/>
      <c r="CM684" s="834"/>
      <c r="CN684" s="834"/>
      <c r="CO684" s="834"/>
      <c r="CP684" s="834"/>
      <c r="CQ684" s="834"/>
      <c r="CR684" s="834"/>
      <c r="CS684" s="834"/>
      <c r="CT684" s="834"/>
      <c r="CU684" s="834"/>
      <c r="CV684" s="834"/>
      <c r="CW684" s="834"/>
      <c r="CX684" s="834"/>
      <c r="CY684" s="834"/>
      <c r="CZ684" s="834"/>
      <c r="DA684" s="834"/>
      <c r="DB684" s="834"/>
      <c r="DC684" s="834"/>
      <c r="DD684" s="834"/>
      <c r="DE684" s="834"/>
      <c r="DF684" s="834"/>
      <c r="DG684" s="834"/>
      <c r="DH684" s="834"/>
      <c r="DI684" s="834"/>
      <c r="DJ684" s="834"/>
      <c r="DK684" s="834"/>
      <c r="DL684" s="834"/>
      <c r="DM684" s="834"/>
      <c r="DN684" s="834"/>
      <c r="DO684" s="834"/>
      <c r="DP684" s="834"/>
      <c r="DQ684" s="834"/>
      <c r="DR684" s="834"/>
      <c r="DS684" s="834"/>
      <c r="DT684" s="834"/>
      <c r="DU684" s="834"/>
      <c r="DV684" s="834"/>
      <c r="DW684" s="834"/>
      <c r="DX684" s="834"/>
      <c r="DY684" s="834"/>
      <c r="DZ684" s="834"/>
      <c r="EA684" s="834"/>
      <c r="EB684" s="834"/>
      <c r="EC684" s="834"/>
      <c r="ED684" s="834"/>
      <c r="EE684" s="834"/>
      <c r="EF684" s="834"/>
      <c r="EG684" s="834"/>
      <c r="EH684" s="834"/>
      <c r="EI684" s="834"/>
      <c r="EJ684" s="834"/>
      <c r="EK684" s="834"/>
      <c r="EL684" s="834"/>
      <c r="EM684" s="834"/>
      <c r="EN684" s="834"/>
      <c r="EO684" s="834"/>
      <c r="EP684" s="834"/>
      <c r="EQ684" s="834"/>
      <c r="ER684" s="834"/>
      <c r="ES684" s="834"/>
      <c r="ET684" s="834"/>
      <c r="EU684" s="834"/>
      <c r="EV684" s="834"/>
      <c r="EW684" s="834"/>
      <c r="EX684" s="834"/>
      <c r="EY684" s="834"/>
      <c r="EZ684" s="834"/>
      <c r="FA684" s="834"/>
      <c r="FB684" s="834"/>
      <c r="FC684" s="834"/>
      <c r="FD684" s="834"/>
      <c r="FE684" s="834"/>
      <c r="FF684" s="834"/>
      <c r="FG684" s="834"/>
      <c r="FH684" s="834"/>
      <c r="FI684" s="834"/>
      <c r="FJ684" s="834"/>
      <c r="FK684" s="834"/>
      <c r="FL684" s="834"/>
      <c r="FM684" s="834"/>
      <c r="FN684" s="834"/>
      <c r="FO684" s="834"/>
      <c r="FP684" s="834"/>
      <c r="FQ684" s="834"/>
      <c r="FR684" s="834"/>
      <c r="FS684" s="834"/>
      <c r="FT684" s="834"/>
      <c r="FU684" s="834"/>
      <c r="FV684" s="834"/>
      <c r="FW684" s="834"/>
      <c r="FX684" s="834"/>
      <c r="FY684" s="834"/>
      <c r="FZ684" s="834"/>
      <c r="GA684" s="834"/>
      <c r="GB684" s="834"/>
      <c r="GC684" s="834"/>
      <c r="GD684" s="834"/>
      <c r="GE684" s="834"/>
      <c r="GF684" s="834"/>
      <c r="GG684" s="834"/>
      <c r="GH684" s="834"/>
      <c r="GI684" s="834"/>
      <c r="GJ684" s="834"/>
      <c r="GK684" s="834"/>
      <c r="GL684" s="834"/>
      <c r="GM684" s="834"/>
      <c r="GN684" s="834"/>
      <c r="GO684" s="834"/>
      <c r="GP684" s="834"/>
      <c r="GQ684" s="834"/>
      <c r="GR684" s="834"/>
      <c r="GS684" s="834"/>
      <c r="GT684" s="834"/>
      <c r="GU684" s="834"/>
      <c r="GV684" s="834"/>
      <c r="GW684" s="834"/>
      <c r="GX684" s="834"/>
      <c r="GY684" s="834"/>
      <c r="GZ684" s="834"/>
      <c r="HA684" s="834"/>
      <c r="HB684" s="834"/>
      <c r="HC684" s="834"/>
      <c r="HD684" s="834"/>
      <c r="HE684" s="834"/>
      <c r="HF684" s="834"/>
      <c r="HG684" s="834"/>
      <c r="HH684" s="834"/>
      <c r="HI684" s="834"/>
      <c r="HJ684" s="834"/>
      <c r="HK684" s="834"/>
      <c r="HL684" s="834"/>
      <c r="HM684" s="834"/>
    </row>
    <row r="685" spans="1:221" ht="12" customHeight="1">
      <c r="A685" s="1625" t="s">
        <v>3672</v>
      </c>
      <c r="B685" s="1626"/>
      <c r="C685" s="1626"/>
      <c r="D685" s="1626"/>
      <c r="E685" s="1626"/>
      <c r="F685" s="1626"/>
      <c r="G685" s="1626"/>
      <c r="H685" s="1626"/>
      <c r="I685" s="1626"/>
      <c r="J685" s="1626"/>
      <c r="K685" s="1626"/>
      <c r="L685" s="1626"/>
      <c r="M685" s="1626"/>
      <c r="N685" s="1626"/>
      <c r="O685" s="1626"/>
      <c r="P685" s="1626"/>
      <c r="Q685" s="583"/>
      <c r="R685" s="583"/>
      <c r="S685" s="583"/>
      <c r="T685" s="583"/>
      <c r="U685" s="834"/>
      <c r="V685" s="834"/>
      <c r="W685" s="834"/>
      <c r="X685" s="834"/>
      <c r="Y685" s="834"/>
      <c r="Z685" s="834"/>
      <c r="AA685" s="834"/>
      <c r="AB685" s="834"/>
      <c r="AC685" s="834"/>
      <c r="AD685" s="834"/>
      <c r="AE685" s="834"/>
      <c r="AF685" s="834"/>
      <c r="AG685" s="834"/>
      <c r="AH685" s="834"/>
      <c r="AI685" s="834"/>
      <c r="AJ685" s="834"/>
      <c r="AK685" s="834"/>
      <c r="AL685" s="834"/>
      <c r="AM685" s="834"/>
      <c r="AN685" s="834"/>
      <c r="AO685" s="834"/>
      <c r="AP685" s="834"/>
      <c r="AQ685" s="834"/>
      <c r="AR685" s="834"/>
      <c r="AS685" s="834"/>
      <c r="AT685" s="834"/>
      <c r="AU685" s="834"/>
      <c r="AV685" s="834"/>
      <c r="AW685" s="834"/>
      <c r="AX685" s="834"/>
      <c r="AY685" s="834"/>
      <c r="AZ685" s="834"/>
      <c r="BA685" s="834"/>
      <c r="BB685" s="834"/>
      <c r="BC685" s="834"/>
      <c r="BD685" s="834"/>
      <c r="BE685" s="834"/>
      <c r="BF685" s="834"/>
      <c r="BG685" s="834"/>
      <c r="BH685" s="834"/>
      <c r="BI685" s="834"/>
      <c r="BJ685" s="834"/>
      <c r="BK685" s="834"/>
      <c r="BL685" s="834"/>
      <c r="BM685" s="834"/>
      <c r="BN685" s="834"/>
      <c r="BO685" s="834"/>
      <c r="BP685" s="834"/>
      <c r="BQ685" s="834"/>
      <c r="BR685" s="834"/>
      <c r="BS685" s="834"/>
      <c r="BT685" s="834"/>
      <c r="BU685" s="834"/>
      <c r="BV685" s="834"/>
      <c r="BW685" s="834"/>
      <c r="BX685" s="834"/>
      <c r="BY685" s="834"/>
      <c r="BZ685" s="834"/>
      <c r="CA685" s="834"/>
      <c r="CB685" s="834"/>
      <c r="CC685" s="834"/>
      <c r="CD685" s="834"/>
      <c r="CE685" s="834"/>
      <c r="CF685" s="834"/>
      <c r="CG685" s="834"/>
      <c r="CH685" s="834"/>
      <c r="CI685" s="834"/>
      <c r="CJ685" s="834"/>
      <c r="CK685" s="834"/>
      <c r="CL685" s="834"/>
      <c r="CM685" s="834"/>
      <c r="CN685" s="834"/>
      <c r="CO685" s="834"/>
      <c r="CP685" s="834"/>
      <c r="CQ685" s="834"/>
      <c r="CR685" s="834"/>
      <c r="CS685" s="834"/>
      <c r="CT685" s="834"/>
      <c r="CU685" s="834"/>
      <c r="CV685" s="834"/>
      <c r="CW685" s="834"/>
      <c r="CX685" s="834"/>
      <c r="CY685" s="834"/>
      <c r="CZ685" s="834"/>
      <c r="DA685" s="834"/>
      <c r="DB685" s="834"/>
      <c r="DC685" s="834"/>
      <c r="DD685" s="834"/>
      <c r="DE685" s="834"/>
      <c r="DF685" s="834"/>
      <c r="DG685" s="834"/>
      <c r="DH685" s="834"/>
      <c r="DI685" s="834"/>
      <c r="DJ685" s="834"/>
      <c r="DK685" s="834"/>
      <c r="DL685" s="834"/>
      <c r="DM685" s="834"/>
      <c r="DN685" s="834"/>
      <c r="DO685" s="834"/>
      <c r="DP685" s="834"/>
      <c r="DQ685" s="834"/>
      <c r="DR685" s="834"/>
      <c r="DS685" s="834"/>
      <c r="DT685" s="834"/>
      <c r="DU685" s="834"/>
      <c r="DV685" s="834"/>
      <c r="DW685" s="834"/>
      <c r="DX685" s="834"/>
      <c r="DY685" s="834"/>
      <c r="DZ685" s="834"/>
      <c r="EA685" s="834"/>
      <c r="EB685" s="834"/>
      <c r="EC685" s="834"/>
      <c r="ED685" s="834"/>
      <c r="EE685" s="834"/>
      <c r="EF685" s="834"/>
      <c r="EG685" s="834"/>
      <c r="EH685" s="834"/>
      <c r="EI685" s="834"/>
      <c r="EJ685" s="834"/>
      <c r="EK685" s="834"/>
      <c r="EL685" s="834"/>
      <c r="EM685" s="834"/>
      <c r="EN685" s="834"/>
      <c r="EO685" s="834"/>
      <c r="EP685" s="834"/>
      <c r="EQ685" s="834"/>
      <c r="ER685" s="834"/>
      <c r="ES685" s="834"/>
      <c r="ET685" s="834"/>
      <c r="EU685" s="834"/>
      <c r="EV685" s="834"/>
      <c r="EW685" s="834"/>
      <c r="EX685" s="834"/>
      <c r="EY685" s="834"/>
      <c r="EZ685" s="834"/>
      <c r="FA685" s="834"/>
      <c r="FB685" s="834"/>
      <c r="FC685" s="834"/>
      <c r="FD685" s="834"/>
      <c r="FE685" s="834"/>
      <c r="FF685" s="834"/>
      <c r="FG685" s="834"/>
      <c r="FH685" s="834"/>
      <c r="FI685" s="834"/>
      <c r="FJ685" s="834"/>
      <c r="FK685" s="834"/>
      <c r="FL685" s="834"/>
      <c r="FM685" s="834"/>
      <c r="FN685" s="834"/>
      <c r="FO685" s="834"/>
      <c r="FP685" s="834"/>
      <c r="FQ685" s="834"/>
      <c r="FR685" s="834"/>
      <c r="FS685" s="834"/>
      <c r="FT685" s="834"/>
      <c r="FU685" s="834"/>
      <c r="FV685" s="834"/>
      <c r="FW685" s="834"/>
      <c r="FX685" s="834"/>
      <c r="FY685" s="834"/>
      <c r="FZ685" s="834"/>
      <c r="GA685" s="834"/>
      <c r="GB685" s="834"/>
      <c r="GC685" s="834"/>
      <c r="GD685" s="834"/>
      <c r="GE685" s="834"/>
      <c r="GF685" s="834"/>
      <c r="GG685" s="834"/>
      <c r="GH685" s="834"/>
      <c r="GI685" s="834"/>
      <c r="GJ685" s="834"/>
      <c r="GK685" s="834"/>
      <c r="GL685" s="834"/>
      <c r="GM685" s="834"/>
      <c r="GN685" s="834"/>
      <c r="GO685" s="834"/>
      <c r="GP685" s="834"/>
      <c r="GQ685" s="834"/>
      <c r="GR685" s="834"/>
      <c r="GS685" s="834"/>
      <c r="GT685" s="834"/>
      <c r="GU685" s="834"/>
      <c r="GV685" s="834"/>
      <c r="GW685" s="834"/>
      <c r="GX685" s="834"/>
      <c r="GY685" s="834"/>
      <c r="GZ685" s="834"/>
      <c r="HA685" s="834"/>
      <c r="HB685" s="834"/>
      <c r="HC685" s="834"/>
      <c r="HD685" s="834"/>
      <c r="HE685" s="834"/>
      <c r="HF685" s="834"/>
      <c r="HG685" s="834"/>
      <c r="HH685" s="834"/>
      <c r="HI685" s="834"/>
      <c r="HJ685" s="834"/>
      <c r="HK685" s="834"/>
      <c r="HL685" s="834"/>
      <c r="HM685" s="834"/>
    </row>
    <row r="686" spans="1:221" ht="12" customHeight="1">
      <c r="A686" s="1626"/>
      <c r="B686" s="1626"/>
      <c r="C686" s="1626"/>
      <c r="D686" s="1626"/>
      <c r="E686" s="1626"/>
      <c r="F686" s="1626"/>
      <c r="G686" s="1626"/>
      <c r="H686" s="1626"/>
      <c r="I686" s="1626"/>
      <c r="J686" s="1626"/>
      <c r="K686" s="1626"/>
      <c r="L686" s="1626"/>
      <c r="M686" s="1626"/>
      <c r="N686" s="1626"/>
      <c r="O686" s="1626"/>
      <c r="P686" s="1626"/>
      <c r="Q686" s="583"/>
      <c r="R686" s="583"/>
      <c r="S686" s="583"/>
      <c r="T686" s="583"/>
      <c r="U686" s="834"/>
      <c r="V686" s="834"/>
      <c r="W686" s="834"/>
      <c r="X686" s="834"/>
      <c r="Y686" s="834"/>
      <c r="Z686" s="834"/>
      <c r="AA686" s="834"/>
      <c r="AB686" s="834"/>
      <c r="AC686" s="834"/>
      <c r="AD686" s="834"/>
      <c r="AE686" s="834"/>
      <c r="AF686" s="834"/>
      <c r="AG686" s="834"/>
      <c r="AH686" s="834"/>
      <c r="AI686" s="834"/>
      <c r="AJ686" s="834"/>
      <c r="AK686" s="834"/>
      <c r="AL686" s="834"/>
      <c r="AM686" s="834"/>
      <c r="AN686" s="834"/>
      <c r="AO686" s="834"/>
      <c r="AP686" s="834"/>
      <c r="AQ686" s="834"/>
      <c r="AR686" s="834"/>
      <c r="AS686" s="834"/>
      <c r="AT686" s="834"/>
      <c r="AU686" s="834"/>
      <c r="AV686" s="834"/>
      <c r="AW686" s="834"/>
      <c r="AX686" s="834"/>
      <c r="AY686" s="834"/>
      <c r="AZ686" s="834"/>
      <c r="BA686" s="834"/>
      <c r="BB686" s="834"/>
      <c r="BC686" s="834"/>
      <c r="BD686" s="834"/>
      <c r="BE686" s="834"/>
      <c r="BF686" s="834"/>
      <c r="BG686" s="834"/>
      <c r="BH686" s="834"/>
      <c r="BI686" s="834"/>
      <c r="BJ686" s="834"/>
      <c r="BK686" s="834"/>
      <c r="BL686" s="834"/>
      <c r="BM686" s="834"/>
      <c r="BN686" s="834"/>
      <c r="BO686" s="834"/>
      <c r="BP686" s="834"/>
      <c r="BQ686" s="834"/>
      <c r="BR686" s="834"/>
      <c r="BS686" s="834"/>
      <c r="BT686" s="834"/>
      <c r="BU686" s="834"/>
      <c r="BV686" s="834"/>
      <c r="BW686" s="834"/>
      <c r="BX686" s="834"/>
      <c r="BY686" s="834"/>
      <c r="BZ686" s="834"/>
      <c r="CA686" s="834"/>
      <c r="CB686" s="834"/>
      <c r="CC686" s="834"/>
      <c r="CD686" s="834"/>
      <c r="CE686" s="834"/>
      <c r="CF686" s="834"/>
      <c r="CG686" s="834"/>
      <c r="CH686" s="834"/>
      <c r="CI686" s="834"/>
      <c r="CJ686" s="834"/>
      <c r="CK686" s="834"/>
      <c r="CL686" s="834"/>
      <c r="CM686" s="834"/>
      <c r="CN686" s="834"/>
      <c r="CO686" s="834"/>
      <c r="CP686" s="834"/>
      <c r="CQ686" s="834"/>
      <c r="CR686" s="834"/>
      <c r="CS686" s="834"/>
      <c r="CT686" s="834"/>
      <c r="CU686" s="834"/>
      <c r="CV686" s="834"/>
      <c r="CW686" s="834"/>
      <c r="CX686" s="834"/>
      <c r="CY686" s="834"/>
      <c r="CZ686" s="834"/>
      <c r="DA686" s="834"/>
      <c r="DB686" s="834"/>
      <c r="DC686" s="834"/>
      <c r="DD686" s="834"/>
      <c r="DE686" s="834"/>
      <c r="DF686" s="834"/>
      <c r="DG686" s="834"/>
      <c r="DH686" s="834"/>
      <c r="DI686" s="834"/>
      <c r="DJ686" s="834"/>
      <c r="DK686" s="834"/>
      <c r="DL686" s="834"/>
      <c r="DM686" s="834"/>
      <c r="DN686" s="834"/>
      <c r="DO686" s="834"/>
      <c r="DP686" s="834"/>
      <c r="DQ686" s="834"/>
      <c r="DR686" s="834"/>
      <c r="DS686" s="834"/>
      <c r="DT686" s="834"/>
      <c r="DU686" s="834"/>
      <c r="DV686" s="834"/>
      <c r="DW686" s="834"/>
      <c r="DX686" s="834"/>
      <c r="DY686" s="834"/>
      <c r="DZ686" s="834"/>
      <c r="EA686" s="834"/>
      <c r="EB686" s="834"/>
      <c r="EC686" s="834"/>
      <c r="ED686" s="834"/>
      <c r="EE686" s="834"/>
      <c r="EF686" s="834"/>
      <c r="EG686" s="834"/>
      <c r="EH686" s="834"/>
      <c r="EI686" s="834"/>
      <c r="EJ686" s="834"/>
      <c r="EK686" s="834"/>
      <c r="EL686" s="834"/>
      <c r="EM686" s="834"/>
      <c r="EN686" s="834"/>
      <c r="EO686" s="834"/>
      <c r="EP686" s="834"/>
      <c r="EQ686" s="834"/>
      <c r="ER686" s="834"/>
      <c r="ES686" s="834"/>
      <c r="ET686" s="834"/>
      <c r="EU686" s="834"/>
      <c r="EV686" s="834"/>
      <c r="EW686" s="834"/>
      <c r="EX686" s="834"/>
      <c r="EY686" s="834"/>
      <c r="EZ686" s="834"/>
      <c r="FA686" s="834"/>
      <c r="FB686" s="834"/>
      <c r="FC686" s="834"/>
      <c r="FD686" s="834"/>
      <c r="FE686" s="834"/>
      <c r="FF686" s="834"/>
      <c r="FG686" s="834"/>
      <c r="FH686" s="834"/>
      <c r="FI686" s="834"/>
      <c r="FJ686" s="834"/>
      <c r="FK686" s="834"/>
      <c r="FL686" s="834"/>
      <c r="FM686" s="834"/>
      <c r="FN686" s="834"/>
      <c r="FO686" s="834"/>
      <c r="FP686" s="834"/>
      <c r="FQ686" s="834"/>
      <c r="FR686" s="834"/>
      <c r="FS686" s="834"/>
      <c r="FT686" s="834"/>
      <c r="FU686" s="834"/>
      <c r="FV686" s="834"/>
      <c r="FW686" s="834"/>
      <c r="FX686" s="834"/>
      <c r="FY686" s="834"/>
      <c r="FZ686" s="834"/>
      <c r="GA686" s="834"/>
      <c r="GB686" s="834"/>
      <c r="GC686" s="834"/>
      <c r="GD686" s="834"/>
      <c r="GE686" s="834"/>
      <c r="GF686" s="834"/>
      <c r="GG686" s="834"/>
      <c r="GH686" s="834"/>
      <c r="GI686" s="834"/>
      <c r="GJ686" s="834"/>
      <c r="GK686" s="834"/>
      <c r="GL686" s="834"/>
      <c r="GM686" s="834"/>
      <c r="GN686" s="834"/>
      <c r="GO686" s="834"/>
      <c r="GP686" s="834"/>
      <c r="GQ686" s="834"/>
      <c r="GR686" s="834"/>
      <c r="GS686" s="834"/>
      <c r="GT686" s="834"/>
      <c r="GU686" s="834"/>
      <c r="GV686" s="834"/>
      <c r="GW686" s="834"/>
      <c r="GX686" s="834"/>
      <c r="GY686" s="834"/>
      <c r="GZ686" s="834"/>
      <c r="HA686" s="834"/>
      <c r="HB686" s="834"/>
      <c r="HC686" s="834"/>
      <c r="HD686" s="834"/>
      <c r="HE686" s="834"/>
      <c r="HF686" s="834"/>
      <c r="HG686" s="834"/>
      <c r="HH686" s="834"/>
      <c r="HI686" s="834"/>
      <c r="HJ686" s="834"/>
      <c r="HK686" s="834"/>
      <c r="HL686" s="834"/>
      <c r="HM686" s="834"/>
    </row>
    <row r="687" spans="1:221" ht="14.45" customHeight="1">
      <c r="A687" s="835" t="s">
        <v>790</v>
      </c>
      <c r="B687" s="835" t="s">
        <v>567</v>
      </c>
      <c r="Q687" s="1627" t="str">
        <f>IF(SUM(Q690:Q734)&gt;0,"ERROR Between Rent Schedule &amp; Unit Summary:", "")</f>
        <v>ERROR Between Rent Schedule &amp; Unit Summary:</v>
      </c>
      <c r="R687" s="1117"/>
      <c r="S687" s="1117"/>
      <c r="T687" s="586" t="str">
        <f>B687</f>
        <v>UNIT SUMMARY</v>
      </c>
      <c r="U687" s="835" t="s">
        <v>567</v>
      </c>
      <c r="AH687" s="583"/>
      <c r="FY687" s="832"/>
      <c r="FZ687" s="832"/>
      <c r="GA687" s="832"/>
      <c r="GB687" s="832"/>
      <c r="GC687" s="832"/>
      <c r="GD687" s="832"/>
      <c r="GE687" s="832"/>
      <c r="GF687" s="832"/>
      <c r="GG687" s="832"/>
      <c r="GH687" s="832"/>
      <c r="GI687" s="832"/>
      <c r="GJ687" s="832"/>
      <c r="GK687" s="832"/>
      <c r="GL687" s="832"/>
      <c r="GM687" s="832"/>
      <c r="GN687" s="832"/>
      <c r="GO687" s="832"/>
      <c r="GV687" s="835"/>
      <c r="GW687" s="835"/>
      <c r="HM687" s="835"/>
    </row>
    <row r="688" spans="1:221" ht="3" customHeight="1">
      <c r="A688" s="835"/>
      <c r="B688" s="835"/>
      <c r="Q688" s="1628"/>
      <c r="R688" s="1118"/>
      <c r="S688" s="1118"/>
      <c r="T688" s="835"/>
      <c r="U688" s="835"/>
      <c r="AH688" s="583"/>
      <c r="FY688" s="832"/>
      <c r="FZ688" s="832"/>
      <c r="GA688" s="832"/>
      <c r="GB688" s="832"/>
      <c r="GC688" s="832"/>
      <c r="GD688" s="832"/>
      <c r="GE688" s="832"/>
      <c r="GF688" s="832"/>
      <c r="GG688" s="832"/>
      <c r="GH688" s="832"/>
      <c r="GI688" s="832"/>
      <c r="GJ688" s="832"/>
      <c r="GK688" s="832"/>
      <c r="GL688" s="832"/>
      <c r="GM688" s="832"/>
      <c r="GN688" s="832"/>
      <c r="GO688" s="832"/>
      <c r="GV688" s="835"/>
      <c r="GW688" s="835"/>
      <c r="HM688" s="835"/>
    </row>
    <row r="689" spans="1:221" ht="14.45" customHeight="1">
      <c r="A689" s="835"/>
      <c r="B689" s="835" t="s">
        <v>1204</v>
      </c>
      <c r="H689" s="582" t="s">
        <v>601</v>
      </c>
      <c r="I689" s="582" t="s">
        <v>568</v>
      </c>
      <c r="J689" s="582" t="s">
        <v>569</v>
      </c>
      <c r="K689" s="582" t="s">
        <v>570</v>
      </c>
      <c r="L689" s="582" t="s">
        <v>571</v>
      </c>
      <c r="M689" s="582" t="s">
        <v>572</v>
      </c>
      <c r="Q689" s="1628"/>
      <c r="R689" s="1118"/>
      <c r="S689" s="1118"/>
      <c r="T689" s="1629" t="s">
        <v>1974</v>
      </c>
      <c r="U689" s="1629"/>
      <c r="AA689" s="582"/>
      <c r="AB689" s="582"/>
      <c r="AC689" s="582"/>
      <c r="AD689" s="582"/>
      <c r="AE689" s="582"/>
      <c r="AF689" s="582"/>
      <c r="AH689" s="583"/>
      <c r="FY689" s="832"/>
      <c r="FZ689" s="832"/>
      <c r="GA689" s="832"/>
      <c r="GB689" s="832"/>
      <c r="GC689" s="832"/>
      <c r="GD689" s="832"/>
      <c r="GE689" s="832"/>
      <c r="GF689" s="832"/>
      <c r="GG689" s="832"/>
      <c r="GH689" s="832"/>
      <c r="GI689" s="832"/>
      <c r="GJ689" s="832"/>
      <c r="GK689" s="832"/>
      <c r="GL689" s="832"/>
      <c r="GM689" s="832"/>
      <c r="GN689" s="832"/>
      <c r="GO689" s="832"/>
      <c r="GV689" s="835"/>
      <c r="GW689" s="835"/>
      <c r="HM689" s="835"/>
    </row>
    <row r="690" spans="1:221" ht="12" customHeight="1">
      <c r="C690" s="583" t="s">
        <v>1206</v>
      </c>
      <c r="D690" s="583"/>
      <c r="E690" s="583"/>
      <c r="F690" s="583"/>
      <c r="G690" s="584" t="s">
        <v>1218</v>
      </c>
      <c r="H690" s="913">
        <f>V682</f>
        <v>0</v>
      </c>
      <c r="I690" s="913">
        <f>W682</f>
        <v>24</v>
      </c>
      <c r="J690" s="913">
        <f>X682</f>
        <v>37</v>
      </c>
      <c r="K690" s="913">
        <f>Y682</f>
        <v>12</v>
      </c>
      <c r="L690" s="913">
        <f>Z682</f>
        <v>2</v>
      </c>
      <c r="M690" s="913">
        <f t="shared" ref="M690:M696" si="210">SUM(H690:L690)</f>
        <v>75</v>
      </c>
      <c r="N690" s="1584" t="s">
        <v>946</v>
      </c>
      <c r="O690" s="1584"/>
      <c r="P690" s="1062"/>
      <c r="Q690" s="1060">
        <f t="shared" ref="Q690:Q696" si="211">ABS(M690-AF690)</f>
        <v>75</v>
      </c>
      <c r="R690" s="1060"/>
      <c r="S690" s="1060"/>
      <c r="T690" s="1576"/>
      <c r="U690" s="1576"/>
      <c r="V690" s="583"/>
      <c r="W690" s="583"/>
      <c r="X690" s="583"/>
      <c r="Y690" s="583"/>
      <c r="Z690" s="584"/>
      <c r="AA690" s="585"/>
      <c r="AB690" s="585"/>
      <c r="AC690" s="585"/>
      <c r="AD690" s="585"/>
      <c r="AE690" s="585"/>
      <c r="AF690" s="585"/>
      <c r="AG690" s="584"/>
      <c r="AH690" s="583"/>
      <c r="FY690" s="832"/>
      <c r="FZ690" s="832"/>
      <c r="GA690" s="832"/>
      <c r="GB690" s="832"/>
      <c r="GC690" s="832"/>
      <c r="GD690" s="832"/>
      <c r="GE690" s="832"/>
      <c r="GF690" s="832"/>
      <c r="GG690" s="832"/>
      <c r="GH690" s="832"/>
      <c r="GI690" s="832"/>
      <c r="GJ690" s="832"/>
      <c r="GK690" s="832"/>
      <c r="GL690" s="832"/>
      <c r="GM690" s="832"/>
      <c r="GN690" s="832"/>
      <c r="GO690" s="832"/>
      <c r="GV690" s="835"/>
      <c r="GW690" s="835"/>
      <c r="HM690" s="835"/>
    </row>
    <row r="691" spans="1:221" ht="12" customHeight="1">
      <c r="A691" s="1630" t="s">
        <v>464</v>
      </c>
      <c r="B691" s="1630"/>
      <c r="C691" s="586"/>
      <c r="D691" s="583"/>
      <c r="E691" s="583"/>
      <c r="F691" s="583"/>
      <c r="G691" s="584" t="s">
        <v>121</v>
      </c>
      <c r="H691" s="913">
        <f>AA682</f>
        <v>0</v>
      </c>
      <c r="I691" s="913">
        <f>AB682</f>
        <v>0</v>
      </c>
      <c r="J691" s="913">
        <f>AC682</f>
        <v>0</v>
      </c>
      <c r="K691" s="913">
        <f>AD682</f>
        <v>0</v>
      </c>
      <c r="L691" s="913">
        <f>AE682</f>
        <v>0</v>
      </c>
      <c r="M691" s="913">
        <f t="shared" si="210"/>
        <v>0</v>
      </c>
      <c r="N691" s="1584"/>
      <c r="O691" s="1584"/>
      <c r="P691" s="1062"/>
      <c r="Q691" s="1060">
        <f t="shared" si="211"/>
        <v>0</v>
      </c>
      <c r="R691" s="1060"/>
      <c r="S691" s="1060"/>
      <c r="T691" s="1576"/>
      <c r="U691" s="1576"/>
      <c r="V691" s="586"/>
      <c r="W691" s="583"/>
      <c r="X691" s="583"/>
      <c r="Y691" s="583"/>
      <c r="Z691" s="584"/>
      <c r="AA691" s="585"/>
      <c r="AB691" s="585"/>
      <c r="AC691" s="585"/>
      <c r="AD691" s="585"/>
      <c r="AE691" s="585"/>
      <c r="AF691" s="585"/>
      <c r="AG691" s="584"/>
      <c r="AH691" s="583"/>
      <c r="FY691" s="832"/>
      <c r="FZ691" s="832"/>
      <c r="GA691" s="832"/>
      <c r="GB691" s="832"/>
      <c r="GC691" s="832"/>
      <c r="GD691" s="832"/>
      <c r="GE691" s="832"/>
      <c r="GF691" s="832"/>
      <c r="GG691" s="832"/>
      <c r="GH691" s="832"/>
      <c r="GI691" s="832"/>
      <c r="GJ691" s="832"/>
      <c r="GK691" s="832"/>
      <c r="GL691" s="832"/>
      <c r="GM691" s="832"/>
      <c r="GN691" s="832"/>
      <c r="GO691" s="832"/>
      <c r="GV691" s="835"/>
      <c r="GW691" s="835"/>
      <c r="HM691" s="835"/>
    </row>
    <row r="692" spans="1:221" ht="12" customHeight="1">
      <c r="A692" s="1630"/>
      <c r="B692" s="1630"/>
      <c r="C692" s="586"/>
      <c r="D692" s="583"/>
      <c r="E692" s="583"/>
      <c r="F692" s="583"/>
      <c r="G692" s="584" t="s">
        <v>572</v>
      </c>
      <c r="H692" s="913">
        <f>SUM(H690:H691)</f>
        <v>0</v>
      </c>
      <c r="I692" s="913">
        <f>SUM(I690:I691)</f>
        <v>24</v>
      </c>
      <c r="J692" s="913">
        <f>SUM(J690:J691)</f>
        <v>37</v>
      </c>
      <c r="K692" s="913">
        <f>SUM(K690:K691)</f>
        <v>12</v>
      </c>
      <c r="L692" s="913">
        <f>SUM(L690:L691)</f>
        <v>2</v>
      </c>
      <c r="M692" s="913">
        <f t="shared" si="210"/>
        <v>75</v>
      </c>
      <c r="N692" s="1075"/>
      <c r="Q692" s="1060">
        <f t="shared" si="211"/>
        <v>75</v>
      </c>
      <c r="R692" s="1060"/>
      <c r="S692" s="1060"/>
      <c r="T692" s="1576"/>
      <c r="U692" s="1576"/>
      <c r="V692" s="586"/>
      <c r="W692" s="583"/>
      <c r="X692" s="583"/>
      <c r="Y692" s="583"/>
      <c r="Z692" s="584"/>
      <c r="AA692" s="585"/>
      <c r="AB692" s="585"/>
      <c r="AC692" s="585"/>
      <c r="AD692" s="585"/>
      <c r="AE692" s="585"/>
      <c r="AF692" s="585"/>
      <c r="AG692" s="584"/>
      <c r="AH692" s="583"/>
      <c r="FY692" s="832"/>
      <c r="FZ692" s="832"/>
      <c r="GA692" s="832"/>
      <c r="GB692" s="832"/>
      <c r="GC692" s="832"/>
      <c r="GD692" s="832"/>
      <c r="GE692" s="832"/>
      <c r="GF692" s="832"/>
      <c r="GG692" s="832"/>
      <c r="GH692" s="832"/>
      <c r="GI692" s="832"/>
      <c r="GJ692" s="832"/>
      <c r="GK692" s="832"/>
      <c r="GL692" s="832"/>
      <c r="GM692" s="832"/>
      <c r="GN692" s="832"/>
      <c r="GO692" s="832"/>
      <c r="GV692" s="835"/>
      <c r="GW692" s="835"/>
      <c r="HM692" s="835"/>
    </row>
    <row r="693" spans="1:221" ht="12" customHeight="1">
      <c r="A693" s="1630"/>
      <c r="B693" s="1630"/>
      <c r="C693" s="583" t="s">
        <v>319</v>
      </c>
      <c r="D693" s="583"/>
      <c r="E693" s="583"/>
      <c r="F693" s="583"/>
      <c r="G693" s="584"/>
      <c r="H693" s="913">
        <f>AK682</f>
        <v>0</v>
      </c>
      <c r="I693" s="913">
        <f>AL682</f>
        <v>0</v>
      </c>
      <c r="J693" s="913">
        <f>AM682</f>
        <v>0</v>
      </c>
      <c r="K693" s="913">
        <f>AN682</f>
        <v>0</v>
      </c>
      <c r="L693" s="913">
        <f>AO682</f>
        <v>0</v>
      </c>
      <c r="M693" s="913">
        <f t="shared" si="210"/>
        <v>0</v>
      </c>
      <c r="N693" s="567"/>
      <c r="Q693" s="1060">
        <f t="shared" si="211"/>
        <v>0</v>
      </c>
      <c r="R693" s="1060"/>
      <c r="S693" s="1060"/>
      <c r="T693" s="1576"/>
      <c r="U693" s="1576"/>
      <c r="V693" s="583"/>
      <c r="W693" s="583"/>
      <c r="X693" s="583"/>
      <c r="Y693" s="583"/>
      <c r="Z693" s="584"/>
      <c r="AA693" s="585"/>
      <c r="AB693" s="585"/>
      <c r="AC693" s="585"/>
      <c r="AD693" s="585"/>
      <c r="AE693" s="585"/>
      <c r="AF693" s="585"/>
      <c r="AG693" s="567"/>
      <c r="AH693" s="583"/>
      <c r="FY693" s="832"/>
      <c r="FZ693" s="832"/>
      <c r="GA693" s="832"/>
      <c r="GB693" s="832"/>
      <c r="GC693" s="832"/>
      <c r="GD693" s="832"/>
      <c r="GE693" s="832"/>
      <c r="GF693" s="832"/>
      <c r="GG693" s="832"/>
      <c r="GH693" s="832"/>
      <c r="GI693" s="832"/>
      <c r="GJ693" s="832"/>
      <c r="GK693" s="832"/>
      <c r="GL693" s="832"/>
      <c r="GM693" s="832"/>
      <c r="GN693" s="832"/>
      <c r="GO693" s="832"/>
      <c r="GV693" s="835"/>
      <c r="GW693" s="835"/>
      <c r="HM693" s="835"/>
    </row>
    <row r="694" spans="1:221" ht="12" customHeight="1">
      <c r="A694" s="1630"/>
      <c r="B694" s="1630"/>
      <c r="C694" s="583" t="s">
        <v>1207</v>
      </c>
      <c r="D694" s="583"/>
      <c r="E694" s="583"/>
      <c r="F694" s="583"/>
      <c r="G694" s="584"/>
      <c r="H694" s="913">
        <f>SUM(H692:H693)</f>
        <v>0</v>
      </c>
      <c r="I694" s="913">
        <f>SUM(I692:I693)</f>
        <v>24</v>
      </c>
      <c r="J694" s="913">
        <f>SUM(J692:J693)</f>
        <v>37</v>
      </c>
      <c r="K694" s="913">
        <f>SUM(K692:K693)</f>
        <v>12</v>
      </c>
      <c r="L694" s="913">
        <f>SUM(L692:L693)</f>
        <v>2</v>
      </c>
      <c r="M694" s="913">
        <f t="shared" si="210"/>
        <v>75</v>
      </c>
      <c r="N694" s="567"/>
      <c r="Q694" s="1060">
        <f t="shared" si="211"/>
        <v>75</v>
      </c>
      <c r="R694" s="1060"/>
      <c r="S694" s="1060"/>
      <c r="T694" s="1576"/>
      <c r="U694" s="1576"/>
      <c r="V694" s="583"/>
      <c r="W694" s="583"/>
      <c r="X694" s="583"/>
      <c r="Y694" s="583"/>
      <c r="Z694" s="584"/>
      <c r="AA694" s="585"/>
      <c r="AB694" s="585"/>
      <c r="AC694" s="585"/>
      <c r="AD694" s="585"/>
      <c r="AE694" s="585"/>
      <c r="AF694" s="585"/>
      <c r="AG694" s="567"/>
      <c r="AH694" s="583"/>
      <c r="FY694" s="832"/>
      <c r="FZ694" s="832"/>
      <c r="GA694" s="832"/>
      <c r="GB694" s="832"/>
      <c r="GC694" s="832"/>
      <c r="GD694" s="832"/>
      <c r="GE694" s="832"/>
      <c r="GF694" s="832"/>
      <c r="GG694" s="832"/>
      <c r="GH694" s="832"/>
      <c r="GI694" s="832"/>
      <c r="GJ694" s="832"/>
      <c r="GK694" s="832"/>
      <c r="GL694" s="832"/>
      <c r="GM694" s="832"/>
      <c r="GN694" s="832"/>
      <c r="GO694" s="832"/>
      <c r="GV694" s="835"/>
      <c r="GW694" s="835"/>
      <c r="HM694" s="835"/>
    </row>
    <row r="695" spans="1:221" ht="12" customHeight="1">
      <c r="A695" s="1630"/>
      <c r="B695" s="1630"/>
      <c r="C695" s="583" t="s">
        <v>2682</v>
      </c>
      <c r="D695" s="583"/>
      <c r="E695" s="583"/>
      <c r="F695" s="583"/>
      <c r="G695" s="584"/>
      <c r="H695" s="913">
        <f>BT682</f>
        <v>0</v>
      </c>
      <c r="I695" s="913">
        <f>BU682</f>
        <v>0</v>
      </c>
      <c r="J695" s="913">
        <f>BV682</f>
        <v>0</v>
      </c>
      <c r="K695" s="913">
        <f>BW682</f>
        <v>0</v>
      </c>
      <c r="L695" s="913">
        <f>BX682</f>
        <v>0</v>
      </c>
      <c r="M695" s="913">
        <f t="shared" si="210"/>
        <v>0</v>
      </c>
      <c r="N695" s="584" t="s">
        <v>2356</v>
      </c>
      <c r="Q695" s="1060">
        <f t="shared" si="211"/>
        <v>0</v>
      </c>
      <c r="R695" s="1060"/>
      <c r="S695" s="1060"/>
      <c r="T695" s="1576"/>
      <c r="U695" s="1576"/>
      <c r="V695" s="583"/>
      <c r="W695" s="583"/>
      <c r="X695" s="583"/>
      <c r="Y695" s="583"/>
      <c r="Z695" s="584"/>
      <c r="AA695" s="585"/>
      <c r="AB695" s="585"/>
      <c r="AC695" s="585"/>
      <c r="AD695" s="585"/>
      <c r="AE695" s="585"/>
      <c r="AF695" s="585"/>
      <c r="AG695" s="584"/>
      <c r="AH695" s="583"/>
      <c r="FY695" s="832"/>
      <c r="FZ695" s="832"/>
      <c r="GA695" s="832"/>
      <c r="GB695" s="832"/>
      <c r="GC695" s="832"/>
      <c r="GD695" s="832"/>
      <c r="GE695" s="832"/>
      <c r="GF695" s="832"/>
      <c r="GG695" s="832"/>
      <c r="GH695" s="832"/>
      <c r="GI695" s="832"/>
      <c r="GJ695" s="832"/>
      <c r="GK695" s="832"/>
      <c r="GL695" s="832"/>
      <c r="GM695" s="832"/>
      <c r="GN695" s="832"/>
      <c r="GO695" s="832"/>
      <c r="GV695" s="835"/>
      <c r="GW695" s="835"/>
      <c r="HM695" s="835"/>
    </row>
    <row r="696" spans="1:221" ht="12" customHeight="1">
      <c r="A696" s="1630"/>
      <c r="B696" s="1630"/>
      <c r="C696" s="583" t="s">
        <v>572</v>
      </c>
      <c r="D696" s="583"/>
      <c r="E696" s="583"/>
      <c r="F696" s="583"/>
      <c r="G696" s="584"/>
      <c r="H696" s="913">
        <f>SUM(H694:H695)</f>
        <v>0</v>
      </c>
      <c r="I696" s="913">
        <f>SUM(I694:I695)</f>
        <v>24</v>
      </c>
      <c r="J696" s="913">
        <f>SUM(J694:J695)</f>
        <v>37</v>
      </c>
      <c r="K696" s="913">
        <f>SUM(K694:K695)</f>
        <v>12</v>
      </c>
      <c r="L696" s="913">
        <f>SUM(L694:L695)</f>
        <v>2</v>
      </c>
      <c r="M696" s="913">
        <f t="shared" si="210"/>
        <v>75</v>
      </c>
      <c r="Q696" s="1060">
        <f t="shared" si="211"/>
        <v>75</v>
      </c>
      <c r="R696" s="1060"/>
      <c r="S696" s="1060"/>
      <c r="T696" s="1576"/>
      <c r="U696" s="1576"/>
      <c r="V696" s="583"/>
      <c r="W696" s="583"/>
      <c r="X696" s="583"/>
      <c r="Y696" s="583"/>
      <c r="Z696" s="584"/>
      <c r="AA696" s="585"/>
      <c r="AB696" s="585"/>
      <c r="AC696" s="585"/>
      <c r="AD696" s="585"/>
      <c r="AE696" s="585"/>
      <c r="AF696" s="585"/>
      <c r="AH696" s="583"/>
      <c r="FY696" s="832"/>
      <c r="FZ696" s="832"/>
      <c r="GA696" s="832"/>
      <c r="GB696" s="832"/>
      <c r="GC696" s="832"/>
      <c r="GD696" s="832"/>
      <c r="GE696" s="832"/>
      <c r="GF696" s="832"/>
      <c r="GG696" s="832"/>
      <c r="GH696" s="832"/>
      <c r="GI696" s="832"/>
      <c r="GJ696" s="832"/>
      <c r="GK696" s="832"/>
      <c r="GL696" s="832"/>
      <c r="GM696" s="832"/>
      <c r="GN696" s="832"/>
      <c r="GO696" s="832"/>
      <c r="GV696" s="835"/>
      <c r="GW696" s="835"/>
      <c r="HM696" s="835"/>
    </row>
    <row r="697" spans="1:221" ht="12" customHeight="1">
      <c r="A697" s="1630"/>
      <c r="B697" s="1630"/>
      <c r="C697" s="583"/>
      <c r="D697" s="583"/>
      <c r="E697" s="583"/>
      <c r="F697" s="583"/>
      <c r="G697" s="584"/>
      <c r="H697" s="912"/>
      <c r="I697" s="912"/>
      <c r="J697" s="912"/>
      <c r="K697" s="912"/>
      <c r="L697" s="912"/>
      <c r="M697" s="912"/>
      <c r="Q697" s="1060"/>
      <c r="R697" s="1060"/>
      <c r="S697" s="1060"/>
      <c r="T697" s="1097" t="str">
        <f>C698</f>
        <v>PBRA-Assisted</v>
      </c>
      <c r="V697" s="583"/>
      <c r="W697" s="583"/>
      <c r="X697" s="583"/>
      <c r="Y697" s="583"/>
      <c r="Z697" s="584"/>
      <c r="AA697" s="583"/>
      <c r="AB697" s="583"/>
      <c r="AC697" s="583"/>
      <c r="AD697" s="583"/>
      <c r="AE697" s="583"/>
      <c r="AF697" s="583"/>
      <c r="AH697" s="583"/>
      <c r="FY697" s="832"/>
      <c r="FZ697" s="832"/>
      <c r="GA697" s="832"/>
      <c r="GB697" s="832"/>
      <c r="GC697" s="832"/>
      <c r="GD697" s="832"/>
      <c r="GE697" s="832"/>
      <c r="GF697" s="832"/>
      <c r="GG697" s="832"/>
      <c r="GH697" s="832"/>
      <c r="GI697" s="832"/>
      <c r="GJ697" s="832"/>
      <c r="GK697" s="832"/>
      <c r="GL697" s="832"/>
      <c r="GM697" s="832"/>
      <c r="GN697" s="832"/>
      <c r="GO697" s="832"/>
      <c r="GV697" s="835"/>
      <c r="GW697" s="835"/>
      <c r="HM697" s="835"/>
    </row>
    <row r="698" spans="1:221" ht="12" customHeight="1">
      <c r="A698" s="1630"/>
      <c r="B698" s="1630"/>
      <c r="C698" s="583" t="s">
        <v>990</v>
      </c>
      <c r="D698" s="583"/>
      <c r="E698" s="587"/>
      <c r="F698" s="583"/>
      <c r="G698" s="584" t="s">
        <v>1218</v>
      </c>
      <c r="H698" s="913">
        <f>AZ682</f>
        <v>0</v>
      </c>
      <c r="I698" s="913">
        <f>BA682</f>
        <v>24</v>
      </c>
      <c r="J698" s="913">
        <f>BB682</f>
        <v>37</v>
      </c>
      <c r="K698" s="913">
        <f>BC682</f>
        <v>12</v>
      </c>
      <c r="L698" s="913">
        <f>BD682</f>
        <v>2</v>
      </c>
      <c r="M698" s="913">
        <f>SUM(H698:L698)</f>
        <v>75</v>
      </c>
      <c r="N698" s="584"/>
      <c r="Q698" s="1060">
        <f>ABS(M698-AF698)</f>
        <v>75</v>
      </c>
      <c r="R698" s="1060"/>
      <c r="S698" s="1060"/>
      <c r="T698" s="1576"/>
      <c r="U698" s="1576"/>
      <c r="V698" s="583"/>
      <c r="W698" s="583"/>
      <c r="X698" s="587"/>
      <c r="Y698" s="583"/>
      <c r="Z698" s="584"/>
      <c r="AA698" s="585"/>
      <c r="AB698" s="585"/>
      <c r="AC698" s="585"/>
      <c r="AD698" s="585"/>
      <c r="AE698" s="585"/>
      <c r="AF698" s="585"/>
      <c r="AG698" s="584"/>
      <c r="AH698" s="583"/>
      <c r="FY698" s="832"/>
      <c r="FZ698" s="832"/>
      <c r="GA698" s="832"/>
      <c r="GB698" s="832"/>
      <c r="GC698" s="832"/>
      <c r="GD698" s="832"/>
      <c r="GE698" s="832"/>
      <c r="GF698" s="832"/>
      <c r="GG698" s="832"/>
      <c r="GH698" s="832"/>
      <c r="GI698" s="832"/>
      <c r="GJ698" s="832"/>
      <c r="GK698" s="832"/>
      <c r="GL698" s="832"/>
      <c r="GM698" s="832"/>
      <c r="GN698" s="832"/>
      <c r="GO698" s="832"/>
      <c r="GV698" s="835"/>
      <c r="GW698" s="835"/>
      <c r="HM698" s="835"/>
    </row>
    <row r="699" spans="1:221" ht="12" customHeight="1">
      <c r="A699" s="1630"/>
      <c r="B699" s="1630"/>
      <c r="C699" s="584" t="s">
        <v>2683</v>
      </c>
      <c r="D699" s="583"/>
      <c r="E699" s="587"/>
      <c r="F699" s="583"/>
      <c r="G699" s="584" t="s">
        <v>121</v>
      </c>
      <c r="H699" s="913">
        <f>AU682</f>
        <v>0</v>
      </c>
      <c r="I699" s="913">
        <f>AV682</f>
        <v>0</v>
      </c>
      <c r="J699" s="913">
        <f>AW682</f>
        <v>0</v>
      </c>
      <c r="K699" s="913">
        <f>AX682</f>
        <v>0</v>
      </c>
      <c r="L699" s="913">
        <f>AY682</f>
        <v>0</v>
      </c>
      <c r="M699" s="913">
        <f>SUM(H699:L699)</f>
        <v>0</v>
      </c>
      <c r="N699" s="584"/>
      <c r="Q699" s="1060">
        <f>ABS(M699-AF699)</f>
        <v>0</v>
      </c>
      <c r="R699" s="1060"/>
      <c r="S699" s="1060"/>
      <c r="T699" s="1576"/>
      <c r="U699" s="1576"/>
      <c r="V699" s="584"/>
      <c r="W699" s="583"/>
      <c r="X699" s="587"/>
      <c r="Y699" s="583"/>
      <c r="Z699" s="584"/>
      <c r="AA699" s="585"/>
      <c r="AB699" s="585"/>
      <c r="AC699" s="585"/>
      <c r="AD699" s="585"/>
      <c r="AE699" s="585"/>
      <c r="AF699" s="585"/>
      <c r="AG699" s="584"/>
      <c r="AH699" s="583"/>
      <c r="FY699" s="832"/>
      <c r="FZ699" s="832"/>
      <c r="GA699" s="832"/>
      <c r="GB699" s="832"/>
      <c r="GC699" s="832"/>
      <c r="GD699" s="832"/>
      <c r="GE699" s="832"/>
      <c r="GF699" s="832"/>
      <c r="GG699" s="832"/>
      <c r="GH699" s="832"/>
      <c r="GI699" s="832"/>
      <c r="GJ699" s="832"/>
      <c r="GK699" s="832"/>
      <c r="GL699" s="832"/>
      <c r="GM699" s="832"/>
      <c r="GN699" s="832"/>
      <c r="GO699" s="832"/>
      <c r="GV699" s="835"/>
      <c r="GW699" s="835"/>
      <c r="HM699" s="835"/>
    </row>
    <row r="700" spans="1:221" ht="12" customHeight="1">
      <c r="A700" s="1630"/>
      <c r="B700" s="1630"/>
      <c r="C700" s="586"/>
      <c r="D700" s="583"/>
      <c r="E700" s="587"/>
      <c r="F700" s="583"/>
      <c r="G700" s="584" t="s">
        <v>572</v>
      </c>
      <c r="H700" s="913">
        <f>SUM(H698:H699)</f>
        <v>0</v>
      </c>
      <c r="I700" s="913">
        <f>SUM(I698:I699)</f>
        <v>24</v>
      </c>
      <c r="J700" s="913">
        <f>SUM(J698:J699)</f>
        <v>37</v>
      </c>
      <c r="K700" s="913">
        <f>SUM(K698:K699)</f>
        <v>12</v>
      </c>
      <c r="L700" s="913">
        <f>SUM(L698:L699)</f>
        <v>2</v>
      </c>
      <c r="M700" s="913">
        <f>SUM(H700:L700)</f>
        <v>75</v>
      </c>
      <c r="N700" s="584"/>
      <c r="Q700" s="1060">
        <f>ABS(M700-AF700)</f>
        <v>75</v>
      </c>
      <c r="R700" s="1060"/>
      <c r="S700" s="1060"/>
      <c r="T700" s="1576"/>
      <c r="U700" s="1576"/>
      <c r="V700" s="586"/>
      <c r="W700" s="583"/>
      <c r="X700" s="587"/>
      <c r="Y700" s="583"/>
      <c r="Z700" s="584"/>
      <c r="AA700" s="585"/>
      <c r="AB700" s="585"/>
      <c r="AC700" s="585"/>
      <c r="AD700" s="585"/>
      <c r="AE700" s="585"/>
      <c r="AF700" s="585"/>
      <c r="AG700" s="584"/>
      <c r="AH700" s="583"/>
      <c r="FY700" s="832"/>
      <c r="FZ700" s="832"/>
      <c r="GA700" s="832"/>
      <c r="GB700" s="832"/>
      <c r="GC700" s="832"/>
      <c r="GD700" s="832"/>
      <c r="GE700" s="832"/>
      <c r="GF700" s="832"/>
      <c r="GG700" s="832"/>
      <c r="GH700" s="832"/>
      <c r="GI700" s="832"/>
      <c r="GJ700" s="832"/>
      <c r="GK700" s="832"/>
      <c r="GL700" s="832"/>
      <c r="GM700" s="832"/>
      <c r="GN700" s="832"/>
      <c r="GO700" s="832"/>
      <c r="GV700" s="835"/>
      <c r="GW700" s="835"/>
      <c r="HM700" s="835"/>
    </row>
    <row r="701" spans="1:221" ht="12" customHeight="1">
      <c r="A701" s="1630"/>
      <c r="B701" s="1630"/>
      <c r="C701" s="583"/>
      <c r="D701" s="583"/>
      <c r="E701" s="583"/>
      <c r="F701" s="583"/>
      <c r="G701" s="584"/>
      <c r="H701" s="912"/>
      <c r="I701" s="912"/>
      <c r="J701" s="912"/>
      <c r="K701" s="912"/>
      <c r="L701" s="912"/>
      <c r="M701" s="912"/>
      <c r="Q701" s="1060"/>
      <c r="R701" s="1060"/>
      <c r="S701" s="1060"/>
      <c r="T701" s="1097" t="str">
        <f>C702</f>
        <v>PHA Operating Subsidy-Assisted</v>
      </c>
      <c r="V701" s="583"/>
      <c r="W701" s="583"/>
      <c r="X701" s="583"/>
      <c r="Y701" s="583"/>
      <c r="Z701" s="584"/>
      <c r="AA701" s="583"/>
      <c r="AB701" s="583"/>
      <c r="AC701" s="583"/>
      <c r="AD701" s="583"/>
      <c r="AE701" s="583"/>
      <c r="AF701" s="583"/>
      <c r="AH701" s="583"/>
      <c r="FY701" s="832"/>
      <c r="FZ701" s="832"/>
      <c r="GA701" s="832"/>
      <c r="GB701" s="832"/>
      <c r="GC701" s="832"/>
      <c r="GD701" s="832"/>
      <c r="GE701" s="832"/>
      <c r="GF701" s="832"/>
      <c r="GG701" s="832"/>
      <c r="GH701" s="832"/>
      <c r="GI701" s="832"/>
      <c r="GJ701" s="832"/>
      <c r="GK701" s="832"/>
      <c r="GL701" s="832"/>
      <c r="GM701" s="832"/>
      <c r="GN701" s="832"/>
      <c r="GO701" s="832"/>
      <c r="GV701" s="835"/>
      <c r="GW701" s="835"/>
      <c r="HM701" s="835"/>
    </row>
    <row r="702" spans="1:221" ht="12" customHeight="1">
      <c r="A702" s="1630"/>
      <c r="B702" s="1630"/>
      <c r="C702" s="583" t="s">
        <v>945</v>
      </c>
      <c r="D702" s="583"/>
      <c r="E702" s="587"/>
      <c r="F702" s="583"/>
      <c r="G702" s="584" t="s">
        <v>1218</v>
      </c>
      <c r="H702" s="913">
        <f>BO682</f>
        <v>0</v>
      </c>
      <c r="I702" s="913">
        <f>BP682</f>
        <v>0</v>
      </c>
      <c r="J702" s="913">
        <f>BQ682</f>
        <v>0</v>
      </c>
      <c r="K702" s="913">
        <f>BR682</f>
        <v>0</v>
      </c>
      <c r="L702" s="913">
        <f>BS682</f>
        <v>0</v>
      </c>
      <c r="M702" s="913">
        <f>SUM(H702:L702)</f>
        <v>0</v>
      </c>
      <c r="N702" s="584"/>
      <c r="Q702" s="1060">
        <f>ABS(M702-AF702)</f>
        <v>0</v>
      </c>
      <c r="R702" s="1060"/>
      <c r="S702" s="1060"/>
      <c r="T702" s="1576"/>
      <c r="U702" s="1576"/>
      <c r="V702" s="583"/>
      <c r="W702" s="583"/>
      <c r="X702" s="587"/>
      <c r="Y702" s="583"/>
      <c r="Z702" s="584"/>
      <c r="AA702" s="585"/>
      <c r="AB702" s="585"/>
      <c r="AC702" s="585"/>
      <c r="AD702" s="585"/>
      <c r="AE702" s="585"/>
      <c r="AF702" s="585"/>
      <c r="AG702" s="584"/>
      <c r="AH702" s="583"/>
      <c r="FY702" s="832"/>
      <c r="FZ702" s="832"/>
      <c r="GA702" s="832"/>
      <c r="GB702" s="832"/>
      <c r="GC702" s="832"/>
      <c r="GD702" s="832"/>
      <c r="GE702" s="832"/>
      <c r="GF702" s="832"/>
      <c r="GG702" s="832"/>
      <c r="GH702" s="832"/>
      <c r="GI702" s="832"/>
      <c r="GJ702" s="832"/>
      <c r="GK702" s="832"/>
      <c r="GL702" s="832"/>
      <c r="GM702" s="832"/>
      <c r="GN702" s="832"/>
      <c r="GO702" s="832"/>
      <c r="GV702" s="835"/>
      <c r="GW702" s="835"/>
      <c r="HM702" s="835"/>
    </row>
    <row r="703" spans="1:221" ht="12" customHeight="1">
      <c r="A703" s="1630"/>
      <c r="B703" s="1630"/>
      <c r="C703" s="584" t="s">
        <v>2683</v>
      </c>
      <c r="D703" s="583"/>
      <c r="E703" s="587"/>
      <c r="F703" s="583"/>
      <c r="G703" s="584" t="s">
        <v>121</v>
      </c>
      <c r="H703" s="913">
        <f>BJ682</f>
        <v>0</v>
      </c>
      <c r="I703" s="913">
        <f>BK682</f>
        <v>0</v>
      </c>
      <c r="J703" s="913">
        <f>BL682</f>
        <v>0</v>
      </c>
      <c r="K703" s="913">
        <f>BM682</f>
        <v>0</v>
      </c>
      <c r="L703" s="913">
        <f>BN682</f>
        <v>0</v>
      </c>
      <c r="M703" s="913">
        <f>SUM(H703:L703)</f>
        <v>0</v>
      </c>
      <c r="N703" s="584"/>
      <c r="Q703" s="1060">
        <f>ABS(M703-AF703)</f>
        <v>0</v>
      </c>
      <c r="R703" s="1060"/>
      <c r="S703" s="1060"/>
      <c r="T703" s="1576"/>
      <c r="U703" s="1576"/>
      <c r="V703" s="584"/>
      <c r="W703" s="583"/>
      <c r="X703" s="587"/>
      <c r="Y703" s="583"/>
      <c r="Z703" s="584"/>
      <c r="AA703" s="585"/>
      <c r="AB703" s="585"/>
      <c r="AC703" s="585"/>
      <c r="AD703" s="585"/>
      <c r="AE703" s="585"/>
      <c r="AF703" s="585"/>
      <c r="AG703" s="584"/>
      <c r="AH703" s="583"/>
      <c r="FY703" s="832"/>
      <c r="FZ703" s="832"/>
      <c r="GA703" s="832"/>
      <c r="GB703" s="832"/>
      <c r="GC703" s="832"/>
      <c r="GD703" s="832"/>
      <c r="GE703" s="832"/>
      <c r="GF703" s="832"/>
      <c r="GG703" s="832"/>
      <c r="GH703" s="832"/>
      <c r="GI703" s="832"/>
      <c r="GJ703" s="832"/>
      <c r="GK703" s="832"/>
      <c r="GL703" s="832"/>
      <c r="GM703" s="832"/>
      <c r="GN703" s="832"/>
      <c r="GO703" s="832"/>
      <c r="GV703" s="835"/>
      <c r="GW703" s="835"/>
      <c r="HM703" s="835"/>
    </row>
    <row r="704" spans="1:221" ht="12" customHeight="1">
      <c r="A704" s="1630"/>
      <c r="B704" s="1630"/>
      <c r="C704" s="586"/>
      <c r="D704" s="583"/>
      <c r="E704" s="587"/>
      <c r="F704" s="583"/>
      <c r="G704" s="584" t="s">
        <v>572</v>
      </c>
      <c r="H704" s="913">
        <f>SUM(H702:H703)</f>
        <v>0</v>
      </c>
      <c r="I704" s="913">
        <f>SUM(I702:I703)</f>
        <v>0</v>
      </c>
      <c r="J704" s="913">
        <f>SUM(J702:J703)</f>
        <v>0</v>
      </c>
      <c r="K704" s="913">
        <f>SUM(K702:K703)</f>
        <v>0</v>
      </c>
      <c r="L704" s="913">
        <f>SUM(L702:L703)</f>
        <v>0</v>
      </c>
      <c r="M704" s="913">
        <f>SUM(H704:L704)</f>
        <v>0</v>
      </c>
      <c r="N704" s="584"/>
      <c r="Q704" s="1060">
        <f>ABS(M704-AF704)</f>
        <v>0</v>
      </c>
      <c r="R704" s="1060"/>
      <c r="S704" s="1060"/>
      <c r="T704" s="1576"/>
      <c r="U704" s="1576"/>
      <c r="V704" s="586"/>
      <c r="W704" s="583"/>
      <c r="X704" s="587"/>
      <c r="Y704" s="583"/>
      <c r="Z704" s="584"/>
      <c r="AA704" s="585"/>
      <c r="AB704" s="585"/>
      <c r="AC704" s="585"/>
      <c r="AD704" s="585"/>
      <c r="AE704" s="585"/>
      <c r="AF704" s="585"/>
      <c r="AG704" s="584"/>
      <c r="AH704" s="583"/>
      <c r="FY704" s="832"/>
      <c r="FZ704" s="832"/>
      <c r="GA704" s="832"/>
      <c r="GB704" s="832"/>
      <c r="GC704" s="832"/>
      <c r="GD704" s="832"/>
      <c r="GE704" s="832"/>
      <c r="GF704" s="832"/>
      <c r="GG704" s="832"/>
      <c r="GH704" s="832"/>
      <c r="GI704" s="832"/>
      <c r="GJ704" s="832"/>
      <c r="GK704" s="832"/>
      <c r="GL704" s="832"/>
      <c r="GM704" s="832"/>
      <c r="GN704" s="832"/>
      <c r="GO704" s="832"/>
      <c r="GV704" s="835"/>
      <c r="GW704" s="835"/>
      <c r="HM704" s="835"/>
    </row>
    <row r="705" spans="1:221" ht="12" customHeight="1">
      <c r="A705" s="1630"/>
      <c r="B705" s="1630"/>
      <c r="C705" s="583" t="s">
        <v>40</v>
      </c>
      <c r="D705" s="583"/>
      <c r="E705" s="587"/>
      <c r="F705" s="583"/>
      <c r="G705" s="584"/>
      <c r="H705" s="912"/>
      <c r="I705" s="912"/>
      <c r="J705" s="912"/>
      <c r="K705" s="912"/>
      <c r="L705" s="912"/>
      <c r="M705" s="912"/>
      <c r="Q705" s="1060"/>
      <c r="R705" s="1060"/>
      <c r="S705" s="1060"/>
      <c r="T705" s="1097" t="str">
        <f>C705</f>
        <v>Type of Construction Activity</v>
      </c>
      <c r="V705" s="583"/>
      <c r="W705" s="583"/>
      <c r="X705" s="587"/>
      <c r="Y705" s="583"/>
      <c r="Z705" s="584"/>
      <c r="AA705" s="583"/>
      <c r="AB705" s="583"/>
      <c r="AC705" s="583"/>
      <c r="AD705" s="583"/>
      <c r="AE705" s="583"/>
      <c r="AF705" s="583"/>
      <c r="AH705" s="583"/>
      <c r="FY705" s="832"/>
      <c r="FZ705" s="832"/>
      <c r="GA705" s="832"/>
      <c r="GB705" s="832"/>
      <c r="GC705" s="832"/>
      <c r="GD705" s="832"/>
      <c r="GE705" s="832"/>
      <c r="GF705" s="832"/>
      <c r="GG705" s="832"/>
      <c r="GH705" s="832"/>
      <c r="GI705" s="832"/>
      <c r="GJ705" s="832"/>
      <c r="GK705" s="832"/>
      <c r="GL705" s="832"/>
      <c r="GM705" s="832"/>
      <c r="GN705" s="832"/>
      <c r="GO705" s="832"/>
      <c r="GV705" s="835"/>
      <c r="GW705" s="835"/>
      <c r="HM705" s="835"/>
    </row>
    <row r="706" spans="1:221" ht="12" customHeight="1">
      <c r="A706" s="1630"/>
      <c r="B706" s="1630"/>
      <c r="C706" s="583"/>
      <c r="D706" s="583"/>
      <c r="E706" s="587" t="s">
        <v>2444</v>
      </c>
      <c r="F706" s="583"/>
      <c r="G706" s="584" t="s">
        <v>1526</v>
      </c>
      <c r="H706" s="913">
        <f>DC682</f>
        <v>0</v>
      </c>
      <c r="I706" s="913">
        <f>DD682</f>
        <v>0</v>
      </c>
      <c r="J706" s="913">
        <f>DE682</f>
        <v>0</v>
      </c>
      <c r="K706" s="913">
        <f>DF682</f>
        <v>0</v>
      </c>
      <c r="L706" s="913">
        <f>DG682</f>
        <v>0</v>
      </c>
      <c r="M706" s="913">
        <f t="shared" ref="M706:M716" si="212">SUM(H706:L706)</f>
        <v>0</v>
      </c>
      <c r="Q706" s="1060">
        <f t="shared" ref="Q706:Q714" si="213">ABS(M706-AF706)</f>
        <v>0</v>
      </c>
      <c r="R706" s="1060"/>
      <c r="S706" s="1060"/>
      <c r="T706" s="1576"/>
      <c r="U706" s="1576"/>
      <c r="V706" s="583"/>
      <c r="W706" s="583"/>
      <c r="X706" s="587"/>
      <c r="Y706" s="583"/>
      <c r="Z706" s="584"/>
      <c r="AA706" s="585"/>
      <c r="AB706" s="585"/>
      <c r="AC706" s="585"/>
      <c r="AD706" s="585"/>
      <c r="AE706" s="585"/>
      <c r="AF706" s="585"/>
      <c r="GV706" s="835"/>
      <c r="GW706" s="835"/>
      <c r="HM706" s="835"/>
    </row>
    <row r="707" spans="1:221" ht="12" customHeight="1">
      <c r="A707" s="1630"/>
      <c r="B707" s="1630"/>
      <c r="C707" s="583"/>
      <c r="D707" s="583"/>
      <c r="E707" s="587"/>
      <c r="F707" s="583"/>
      <c r="G707" s="584" t="s">
        <v>319</v>
      </c>
      <c r="H707" s="913">
        <f>DH682</f>
        <v>0</v>
      </c>
      <c r="I707" s="913">
        <f>DI682</f>
        <v>0</v>
      </c>
      <c r="J707" s="913">
        <f>DJ682</f>
        <v>0</v>
      </c>
      <c r="K707" s="913">
        <f>DK682</f>
        <v>0</v>
      </c>
      <c r="L707" s="913">
        <f>DL682</f>
        <v>0</v>
      </c>
      <c r="M707" s="913">
        <f t="shared" si="212"/>
        <v>0</v>
      </c>
      <c r="N707" s="567"/>
      <c r="Q707" s="1060">
        <f t="shared" si="213"/>
        <v>0</v>
      </c>
      <c r="R707" s="1060"/>
      <c r="S707" s="1060"/>
      <c r="T707" s="1576"/>
      <c r="U707" s="1576"/>
      <c r="V707" s="583"/>
      <c r="W707" s="583"/>
      <c r="X707" s="587"/>
      <c r="Y707" s="583"/>
      <c r="Z707" s="584"/>
      <c r="AA707" s="585"/>
      <c r="AB707" s="585"/>
      <c r="AC707" s="585"/>
      <c r="AD707" s="585"/>
      <c r="AE707" s="585"/>
      <c r="AF707" s="585"/>
      <c r="AG707" s="567"/>
      <c r="AH707" s="583"/>
      <c r="FY707" s="832"/>
      <c r="FZ707" s="832"/>
      <c r="GA707" s="832"/>
      <c r="GB707" s="832"/>
      <c r="GC707" s="832"/>
      <c r="GD707" s="832"/>
      <c r="GE707" s="832"/>
      <c r="GF707" s="832"/>
      <c r="GG707" s="832"/>
      <c r="GH707" s="832"/>
      <c r="GI707" s="832"/>
      <c r="GJ707" s="832"/>
      <c r="GK707" s="832"/>
      <c r="GL707" s="832"/>
      <c r="GM707" s="832"/>
      <c r="GN707" s="832"/>
      <c r="GO707" s="832"/>
      <c r="GV707" s="835"/>
      <c r="GW707" s="835"/>
      <c r="HM707" s="835"/>
    </row>
    <row r="708" spans="1:221" ht="12" customHeight="1">
      <c r="A708" s="1630"/>
      <c r="B708" s="1630"/>
      <c r="C708" s="586"/>
      <c r="D708" s="583"/>
      <c r="E708" s="587"/>
      <c r="F708" s="583"/>
      <c r="G708" s="584" t="s">
        <v>33</v>
      </c>
      <c r="H708" s="913">
        <f>SUM(H706:H707)+DM682</f>
        <v>0</v>
      </c>
      <c r="I708" s="913">
        <f>SUM(I706:I707)+DN682</f>
        <v>0</v>
      </c>
      <c r="J708" s="913">
        <f>SUM(J706:J707)+DO682</f>
        <v>0</v>
      </c>
      <c r="K708" s="913">
        <f>SUM(K706:K707)+DP682</f>
        <v>0</v>
      </c>
      <c r="L708" s="913">
        <f>SUM(L706:L707)+DQ682</f>
        <v>0</v>
      </c>
      <c r="M708" s="913">
        <f t="shared" si="212"/>
        <v>0</v>
      </c>
      <c r="N708" s="584"/>
      <c r="Q708" s="1060">
        <f t="shared" si="213"/>
        <v>0</v>
      </c>
      <c r="R708" s="1060"/>
      <c r="S708" s="1060"/>
      <c r="T708" s="1576"/>
      <c r="U708" s="1576"/>
      <c r="V708" s="586"/>
      <c r="W708" s="583"/>
      <c r="X708" s="587"/>
      <c r="Y708" s="583"/>
      <c r="Z708" s="584"/>
      <c r="AA708" s="585"/>
      <c r="AB708" s="585"/>
      <c r="AC708" s="585"/>
      <c r="AD708" s="585"/>
      <c r="AE708" s="585"/>
      <c r="AF708" s="585"/>
      <c r="AG708" s="584"/>
      <c r="AH708" s="583"/>
      <c r="FY708" s="832"/>
      <c r="FZ708" s="832"/>
      <c r="GA708" s="832"/>
      <c r="GB708" s="832"/>
      <c r="GC708" s="832"/>
      <c r="GD708" s="832"/>
      <c r="GE708" s="832"/>
      <c r="GF708" s="832"/>
      <c r="GG708" s="832"/>
      <c r="GH708" s="832"/>
      <c r="GI708" s="832"/>
      <c r="GJ708" s="832"/>
      <c r="GK708" s="832"/>
      <c r="GL708" s="832"/>
      <c r="GM708" s="832"/>
      <c r="GN708" s="832"/>
      <c r="GO708" s="832"/>
      <c r="GV708" s="835"/>
      <c r="GW708" s="835"/>
      <c r="HM708" s="835"/>
    </row>
    <row r="709" spans="1:221" ht="12" customHeight="1">
      <c r="A709" s="1630"/>
      <c r="B709" s="1630"/>
      <c r="C709" s="583"/>
      <c r="D709" s="583"/>
      <c r="E709" s="587" t="s">
        <v>2275</v>
      </c>
      <c r="F709" s="583"/>
      <c r="G709" s="584" t="s">
        <v>1526</v>
      </c>
      <c r="H709" s="913">
        <f>DR682</f>
        <v>0</v>
      </c>
      <c r="I709" s="913">
        <f>DS682</f>
        <v>24</v>
      </c>
      <c r="J709" s="913">
        <f>DT682</f>
        <v>37</v>
      </c>
      <c r="K709" s="913">
        <f>DU682</f>
        <v>12</v>
      </c>
      <c r="L709" s="913">
        <f>DV682</f>
        <v>2</v>
      </c>
      <c r="M709" s="913">
        <f t="shared" si="212"/>
        <v>75</v>
      </c>
      <c r="Q709" s="1060">
        <f t="shared" si="213"/>
        <v>75</v>
      </c>
      <c r="R709" s="1060"/>
      <c r="S709" s="1060"/>
      <c r="T709" s="1576"/>
      <c r="U709" s="1576"/>
      <c r="V709" s="583"/>
      <c r="W709" s="583"/>
      <c r="X709" s="587"/>
      <c r="Y709" s="583"/>
      <c r="Z709" s="584"/>
      <c r="AA709" s="585"/>
      <c r="AB709" s="585"/>
      <c r="AC709" s="585"/>
      <c r="AD709" s="585"/>
      <c r="AE709" s="585"/>
      <c r="AF709" s="585"/>
      <c r="GV709" s="835"/>
      <c r="GW709" s="835"/>
      <c r="HM709" s="835"/>
    </row>
    <row r="710" spans="1:221" ht="12" customHeight="1">
      <c r="C710" s="583"/>
      <c r="D710" s="583"/>
      <c r="E710" s="587"/>
      <c r="F710" s="583"/>
      <c r="G710" s="584" t="s">
        <v>319</v>
      </c>
      <c r="H710" s="913">
        <f>DW682</f>
        <v>0</v>
      </c>
      <c r="I710" s="913">
        <f>DX682</f>
        <v>0</v>
      </c>
      <c r="J710" s="913">
        <f>DY682</f>
        <v>0</v>
      </c>
      <c r="K710" s="913">
        <f>DZ682</f>
        <v>0</v>
      </c>
      <c r="L710" s="913">
        <f>EA682</f>
        <v>0</v>
      </c>
      <c r="M710" s="913">
        <f t="shared" si="212"/>
        <v>0</v>
      </c>
      <c r="N710" s="567"/>
      <c r="Q710" s="1060">
        <f t="shared" si="213"/>
        <v>0</v>
      </c>
      <c r="R710" s="1060"/>
      <c r="S710" s="1060"/>
      <c r="T710" s="1576"/>
      <c r="U710" s="1576"/>
      <c r="V710" s="583"/>
      <c r="W710" s="583"/>
      <c r="X710" s="587"/>
      <c r="Y710" s="583"/>
      <c r="Z710" s="584"/>
      <c r="AA710" s="585"/>
      <c r="AB710" s="585"/>
      <c r="AC710" s="585"/>
      <c r="AD710" s="585"/>
      <c r="AE710" s="585"/>
      <c r="AF710" s="585"/>
      <c r="AG710" s="567"/>
      <c r="AH710" s="583"/>
      <c r="FY710" s="832"/>
      <c r="FZ710" s="832"/>
      <c r="GA710" s="832"/>
      <c r="GB710" s="832"/>
      <c r="GC710" s="832"/>
      <c r="GD710" s="832"/>
      <c r="GE710" s="832"/>
      <c r="GF710" s="832"/>
      <c r="GG710" s="832"/>
      <c r="GH710" s="832"/>
      <c r="GI710" s="832"/>
      <c r="GJ710" s="832"/>
      <c r="GK710" s="832"/>
      <c r="GL710" s="832"/>
      <c r="GM710" s="832"/>
      <c r="GN710" s="832"/>
      <c r="GO710" s="832"/>
      <c r="GV710" s="835"/>
      <c r="GW710" s="835"/>
      <c r="HM710" s="835"/>
    </row>
    <row r="711" spans="1:221" ht="12" customHeight="1">
      <c r="C711" s="586"/>
      <c r="D711" s="583"/>
      <c r="E711" s="587"/>
      <c r="F711" s="583"/>
      <c r="G711" s="584" t="s">
        <v>33</v>
      </c>
      <c r="H711" s="913">
        <f>SUM(H709:H710)+EB682</f>
        <v>0</v>
      </c>
      <c r="I711" s="913">
        <f>SUM(I709:I710)+EC682</f>
        <v>24</v>
      </c>
      <c r="J711" s="913">
        <f>SUM(J709:J710)+ED682</f>
        <v>37</v>
      </c>
      <c r="K711" s="913">
        <f>SUM(K709:K710)+EE682</f>
        <v>12</v>
      </c>
      <c r="L711" s="913">
        <f>SUM(L709:L710)+EF682</f>
        <v>2</v>
      </c>
      <c r="M711" s="913">
        <f t="shared" si="212"/>
        <v>75</v>
      </c>
      <c r="N711" s="584"/>
      <c r="Q711" s="1060">
        <f t="shared" si="213"/>
        <v>75</v>
      </c>
      <c r="R711" s="1060"/>
      <c r="S711" s="1060"/>
      <c r="T711" s="1576"/>
      <c r="U711" s="1576"/>
      <c r="V711" s="586"/>
      <c r="W711" s="583"/>
      <c r="X711" s="587"/>
      <c r="Y711" s="583"/>
      <c r="Z711" s="584"/>
      <c r="AA711" s="585"/>
      <c r="AB711" s="585"/>
      <c r="AC711" s="585"/>
      <c r="AD711" s="585"/>
      <c r="AE711" s="585"/>
      <c r="AF711" s="585"/>
      <c r="AG711" s="584"/>
      <c r="AH711" s="583"/>
      <c r="FY711" s="832"/>
      <c r="FZ711" s="832"/>
      <c r="GA711" s="832"/>
      <c r="GB711" s="832"/>
      <c r="GC711" s="832"/>
      <c r="GD711" s="832"/>
      <c r="GE711" s="832"/>
      <c r="GF711" s="832"/>
      <c r="GG711" s="832"/>
      <c r="GH711" s="832"/>
      <c r="GI711" s="832"/>
      <c r="GJ711" s="832"/>
      <c r="GK711" s="832"/>
      <c r="GL711" s="832"/>
      <c r="GM711" s="832"/>
      <c r="GN711" s="832"/>
      <c r="GO711" s="832"/>
      <c r="GV711" s="835"/>
      <c r="GW711" s="835"/>
      <c r="HM711" s="835"/>
    </row>
    <row r="712" spans="1:221" ht="12" customHeight="1">
      <c r="C712" s="583"/>
      <c r="D712" s="583"/>
      <c r="E712" s="1622" t="s">
        <v>1512</v>
      </c>
      <c r="F712" s="1622"/>
      <c r="G712" s="584" t="s">
        <v>1526</v>
      </c>
      <c r="H712" s="913">
        <f>EG682</f>
        <v>0</v>
      </c>
      <c r="I712" s="913">
        <f>EH682</f>
        <v>0</v>
      </c>
      <c r="J712" s="913">
        <f>EI682</f>
        <v>0</v>
      </c>
      <c r="K712" s="913">
        <f>EJ682</f>
        <v>0</v>
      </c>
      <c r="L712" s="913">
        <f>EK682</f>
        <v>0</v>
      </c>
      <c r="M712" s="913">
        <f t="shared" si="212"/>
        <v>0</v>
      </c>
      <c r="Q712" s="1060">
        <f t="shared" si="213"/>
        <v>0</v>
      </c>
      <c r="R712" s="1060"/>
      <c r="S712" s="1060"/>
      <c r="T712" s="1576"/>
      <c r="U712" s="1576"/>
      <c r="V712" s="583"/>
      <c r="W712" s="583"/>
      <c r="X712" s="587"/>
      <c r="Y712" s="583"/>
      <c r="Z712" s="584"/>
      <c r="AA712" s="585"/>
      <c r="AB712" s="585"/>
      <c r="AC712" s="585"/>
      <c r="AD712" s="585"/>
      <c r="AE712" s="585"/>
      <c r="AF712" s="585"/>
      <c r="GV712" s="835"/>
      <c r="GW712" s="835"/>
      <c r="HM712" s="835"/>
    </row>
    <row r="713" spans="1:221" ht="12" customHeight="1">
      <c r="C713" s="583"/>
      <c r="D713" s="583"/>
      <c r="E713" s="1622"/>
      <c r="F713" s="1622"/>
      <c r="G713" s="584" t="s">
        <v>319</v>
      </c>
      <c r="H713" s="913">
        <f>EL682</f>
        <v>0</v>
      </c>
      <c r="I713" s="913">
        <f>EM682</f>
        <v>0</v>
      </c>
      <c r="J713" s="913">
        <f>EN682</f>
        <v>0</v>
      </c>
      <c r="K713" s="913">
        <f>EO682</f>
        <v>0</v>
      </c>
      <c r="L713" s="913">
        <f>EP682</f>
        <v>0</v>
      </c>
      <c r="M713" s="913">
        <f t="shared" si="212"/>
        <v>0</v>
      </c>
      <c r="N713" s="567"/>
      <c r="Q713" s="1060">
        <f t="shared" si="213"/>
        <v>0</v>
      </c>
      <c r="R713" s="1060"/>
      <c r="S713" s="1060"/>
      <c r="T713" s="1576"/>
      <c r="U713" s="1576"/>
      <c r="V713" s="583"/>
      <c r="W713" s="583"/>
      <c r="X713" s="583"/>
      <c r="Y713" s="583"/>
      <c r="Z713" s="584"/>
      <c r="AA713" s="585"/>
      <c r="AB713" s="585"/>
      <c r="AC713" s="585"/>
      <c r="AD713" s="585"/>
      <c r="AE713" s="585"/>
      <c r="AF713" s="585"/>
      <c r="AG713" s="567"/>
      <c r="AH713" s="583"/>
      <c r="FY713" s="832"/>
      <c r="FZ713" s="832"/>
      <c r="GA713" s="832"/>
      <c r="GB713" s="832"/>
      <c r="GC713" s="832"/>
      <c r="GD713" s="832"/>
      <c r="GE713" s="832"/>
      <c r="GF713" s="832"/>
      <c r="GG713" s="832"/>
      <c r="GH713" s="832"/>
      <c r="GI713" s="832"/>
      <c r="GJ713" s="832"/>
      <c r="GK713" s="832"/>
      <c r="GL713" s="832"/>
      <c r="GM713" s="832"/>
      <c r="GN713" s="832"/>
      <c r="GO713" s="832"/>
      <c r="GV713" s="835"/>
      <c r="GW713" s="835"/>
      <c r="HM713" s="835"/>
    </row>
    <row r="714" spans="1:221" ht="12" customHeight="1">
      <c r="C714" s="586"/>
      <c r="D714" s="583"/>
      <c r="E714" s="587"/>
      <c r="F714" s="583"/>
      <c r="G714" s="584" t="s">
        <v>33</v>
      </c>
      <c r="H714" s="913">
        <f>SUM(H712:H713)+EQ682</f>
        <v>0</v>
      </c>
      <c r="I714" s="913">
        <f>SUM(I712:I713)+ER682</f>
        <v>0</v>
      </c>
      <c r="J714" s="913">
        <f>SUM(J712:J713)+ES682</f>
        <v>0</v>
      </c>
      <c r="K714" s="913">
        <f>SUM(K712:K713)+ET682</f>
        <v>0</v>
      </c>
      <c r="L714" s="913">
        <f>SUM(L712:L713)+EU682</f>
        <v>0</v>
      </c>
      <c r="M714" s="913">
        <f t="shared" si="212"/>
        <v>0</v>
      </c>
      <c r="N714" s="584"/>
      <c r="Q714" s="1060">
        <f t="shared" si="213"/>
        <v>0</v>
      </c>
      <c r="R714" s="1060"/>
      <c r="S714" s="1060"/>
      <c r="T714" s="1576"/>
      <c r="U714" s="1576"/>
      <c r="V714" s="586"/>
      <c r="W714" s="583"/>
      <c r="X714" s="587"/>
      <c r="Y714" s="583"/>
      <c r="Z714" s="584"/>
      <c r="AA714" s="585"/>
      <c r="AB714" s="585"/>
      <c r="AC714" s="585"/>
      <c r="AD714" s="585"/>
      <c r="AE714" s="585"/>
      <c r="AF714" s="585"/>
      <c r="AG714" s="584"/>
      <c r="AH714" s="583"/>
      <c r="FY714" s="832"/>
      <c r="FZ714" s="832"/>
      <c r="GA714" s="832"/>
      <c r="GB714" s="832"/>
      <c r="GC714" s="832"/>
      <c r="GD714" s="832"/>
      <c r="GE714" s="832"/>
      <c r="GF714" s="832"/>
      <c r="GG714" s="832"/>
      <c r="GH714" s="832"/>
      <c r="GI714" s="832"/>
      <c r="GJ714" s="832"/>
      <c r="GK714" s="832"/>
      <c r="GL714" s="832"/>
      <c r="GM714" s="832"/>
      <c r="GN714" s="832"/>
      <c r="GO714" s="832"/>
      <c r="GV714" s="835"/>
      <c r="GW714" s="835"/>
      <c r="HM714" s="835"/>
    </row>
    <row r="715" spans="1:221" ht="12" customHeight="1">
      <c r="C715" s="583"/>
      <c r="D715" s="583"/>
      <c r="E715" s="587" t="s">
        <v>384</v>
      </c>
      <c r="F715" s="583"/>
      <c r="G715" s="584"/>
      <c r="H715" s="913">
        <f>'Part VI-Revenues &amp; Expenses'!H81</f>
        <v>0</v>
      </c>
      <c r="I715" s="913">
        <f>'Part VI-Revenues &amp; Expenses'!I81</f>
        <v>0</v>
      </c>
      <c r="J715" s="913">
        <f>'Part VI-Revenues &amp; Expenses'!J81</f>
        <v>0</v>
      </c>
      <c r="K715" s="913">
        <f>'Part VI-Revenues &amp; Expenses'!K81</f>
        <v>0</v>
      </c>
      <c r="L715" s="913">
        <f>'Part VI-Revenues &amp; Expenses'!L81</f>
        <v>0</v>
      </c>
      <c r="M715" s="913">
        <f t="shared" si="212"/>
        <v>0</v>
      </c>
      <c r="T715" s="1576"/>
      <c r="U715" s="1576"/>
      <c r="V715" s="583"/>
      <c r="W715" s="583"/>
      <c r="X715" s="583"/>
      <c r="Y715" s="583"/>
      <c r="Z715" s="584"/>
      <c r="AA715" s="585"/>
      <c r="AB715" s="585"/>
      <c r="AC715" s="585"/>
      <c r="AD715" s="585"/>
      <c r="AE715" s="585"/>
      <c r="AF715" s="585"/>
      <c r="AG715" s="567"/>
      <c r="AH715" s="583"/>
      <c r="FY715" s="832"/>
      <c r="FZ715" s="832"/>
      <c r="GA715" s="832"/>
      <c r="GB715" s="832"/>
      <c r="GC715" s="832"/>
      <c r="GD715" s="832"/>
      <c r="GE715" s="832"/>
      <c r="GF715" s="832"/>
      <c r="GG715" s="832"/>
      <c r="GH715" s="832"/>
      <c r="GI715" s="832"/>
      <c r="GJ715" s="832"/>
      <c r="GK715" s="832"/>
      <c r="GL715" s="832"/>
      <c r="GM715" s="832"/>
      <c r="GN715" s="832"/>
      <c r="GO715" s="832"/>
      <c r="GV715" s="835"/>
      <c r="GW715" s="835"/>
      <c r="HM715" s="835"/>
    </row>
    <row r="716" spans="1:221" ht="12" customHeight="1">
      <c r="A716" s="1623" t="str">
        <f>IF(AND('Part IV-Uses of Funds'!$T$163="Yes",'Part IX A-Scoring Criteria'!$O$241&gt;0,M716&lt;1),"SHOW HISTORIC UNITS HERE &gt;&gt;&gt;&gt;","")</f>
        <v/>
      </c>
      <c r="B716" s="1623"/>
      <c r="C716" s="1623"/>
      <c r="D716" s="1623"/>
      <c r="E716" s="587" t="s">
        <v>385</v>
      </c>
      <c r="F716" s="583"/>
      <c r="G716" s="584"/>
      <c r="H716" s="913">
        <f>'Part VI-Revenues &amp; Expenses'!H82</f>
        <v>0</v>
      </c>
      <c r="I716" s="913">
        <f>'Part VI-Revenues &amp; Expenses'!I82</f>
        <v>0</v>
      </c>
      <c r="J716" s="913">
        <f>'Part VI-Revenues &amp; Expenses'!J82</f>
        <v>0</v>
      </c>
      <c r="K716" s="913">
        <f>'Part VI-Revenues &amp; Expenses'!K82</f>
        <v>0</v>
      </c>
      <c r="L716" s="913">
        <f>'Part VI-Revenues &amp; Expenses'!L82</f>
        <v>0</v>
      </c>
      <c r="M716" s="913">
        <f t="shared" si="212"/>
        <v>0</v>
      </c>
      <c r="N716" s="567"/>
      <c r="T716" s="1576"/>
      <c r="U716" s="1576"/>
      <c r="V716" s="583"/>
      <c r="W716" s="583"/>
      <c r="X716" s="583"/>
      <c r="Y716" s="583"/>
      <c r="Z716" s="584"/>
      <c r="AA716" s="585"/>
      <c r="AB716" s="585"/>
      <c r="AC716" s="585"/>
      <c r="AD716" s="585"/>
      <c r="AE716" s="585"/>
      <c r="AF716" s="585"/>
      <c r="AG716" s="567"/>
      <c r="AH716" s="583"/>
      <c r="FY716" s="832"/>
      <c r="FZ716" s="832"/>
      <c r="GA716" s="832"/>
      <c r="GB716" s="832"/>
      <c r="GC716" s="832"/>
      <c r="GD716" s="832"/>
      <c r="GE716" s="832"/>
      <c r="GF716" s="832"/>
      <c r="GG716" s="832"/>
      <c r="GH716" s="832"/>
      <c r="GI716" s="832"/>
      <c r="GJ716" s="832"/>
      <c r="GK716" s="832"/>
      <c r="GL716" s="832"/>
      <c r="GM716" s="832"/>
      <c r="GN716" s="832"/>
      <c r="GO716" s="832"/>
      <c r="GV716" s="835"/>
      <c r="GW716" s="835"/>
      <c r="HM716" s="835"/>
    </row>
    <row r="717" spans="1:221" ht="12" customHeight="1">
      <c r="C717" s="583" t="s">
        <v>41</v>
      </c>
      <c r="D717" s="583"/>
      <c r="E717" s="587"/>
      <c r="F717" s="583"/>
      <c r="G717" s="584"/>
      <c r="H717" s="912"/>
      <c r="I717" s="912"/>
      <c r="J717" s="912"/>
      <c r="K717" s="912"/>
      <c r="L717" s="912"/>
      <c r="M717" s="912"/>
      <c r="Q717" s="1060"/>
      <c r="R717" s="1060"/>
      <c r="S717" s="1060"/>
      <c r="T717" s="1097" t="str">
        <f>C717</f>
        <v>Building Type:</v>
      </c>
      <c r="V717" s="583"/>
      <c r="W717" s="583"/>
      <c r="X717" s="587"/>
      <c r="Y717" s="583"/>
      <c r="Z717" s="584"/>
      <c r="AA717" s="583"/>
      <c r="AB717" s="583"/>
      <c r="AC717" s="583"/>
      <c r="AD717" s="583"/>
      <c r="AE717" s="583"/>
      <c r="AF717" s="583"/>
      <c r="AH717" s="583"/>
      <c r="FY717" s="832"/>
      <c r="FZ717" s="832"/>
      <c r="GA717" s="832"/>
      <c r="GB717" s="832"/>
      <c r="GC717" s="832"/>
      <c r="GD717" s="832"/>
      <c r="GE717" s="832"/>
      <c r="GF717" s="832"/>
      <c r="GG717" s="832"/>
      <c r="GH717" s="832"/>
      <c r="GI717" s="832"/>
      <c r="GJ717" s="832"/>
      <c r="GK717" s="832"/>
      <c r="GL717" s="832"/>
      <c r="GM717" s="832"/>
      <c r="GN717" s="832"/>
      <c r="GO717" s="832"/>
      <c r="GV717" s="835"/>
      <c r="GW717" s="835"/>
      <c r="HM717" s="835"/>
    </row>
    <row r="718" spans="1:221" ht="12" customHeight="1">
      <c r="C718" s="583"/>
      <c r="D718" s="583"/>
      <c r="E718" s="587" t="s">
        <v>42</v>
      </c>
      <c r="F718" s="583"/>
      <c r="G718" s="584"/>
      <c r="H718" s="913">
        <f>SUM(H719:H722)</f>
        <v>0</v>
      </c>
      <c r="I718" s="913">
        <f>SUM(I719:I722)</f>
        <v>12</v>
      </c>
      <c r="J718" s="913">
        <f>SUM(J719:J722)</f>
        <v>0</v>
      </c>
      <c r="K718" s="913">
        <f>SUM(K719:K722)</f>
        <v>0</v>
      </c>
      <c r="L718" s="913">
        <f>SUM(L719:L722)</f>
        <v>0</v>
      </c>
      <c r="M718" s="913">
        <f t="shared" ref="M718:M726" si="214">SUM(H718:L718)</f>
        <v>12</v>
      </c>
      <c r="Q718" s="1060">
        <f>ABS(M718-AF718)</f>
        <v>12</v>
      </c>
      <c r="R718" s="1060"/>
      <c r="S718" s="1060"/>
      <c r="T718" s="1576"/>
      <c r="U718" s="1576"/>
      <c r="V718" s="583"/>
      <c r="W718" s="583"/>
      <c r="X718" s="587"/>
      <c r="Y718" s="583"/>
      <c r="Z718" s="584"/>
      <c r="AA718" s="585"/>
      <c r="AB718" s="585"/>
      <c r="AC718" s="585"/>
      <c r="AD718" s="585"/>
      <c r="AE718" s="585"/>
      <c r="AF718" s="585"/>
      <c r="GV718" s="835"/>
      <c r="GW718" s="835"/>
      <c r="HM718" s="835"/>
    </row>
    <row r="719" spans="1:221" ht="12" customHeight="1">
      <c r="C719" s="583"/>
      <c r="D719" s="583"/>
      <c r="E719" s="587"/>
      <c r="F719" s="583"/>
      <c r="G719" s="584" t="s">
        <v>2787</v>
      </c>
      <c r="H719" s="913">
        <f>FU682</f>
        <v>0</v>
      </c>
      <c r="I719" s="913">
        <f>FV682</f>
        <v>12</v>
      </c>
      <c r="J719" s="913">
        <f>FW682</f>
        <v>0</v>
      </c>
      <c r="K719" s="913">
        <f>FX682</f>
        <v>0</v>
      </c>
      <c r="L719" s="913">
        <f>FY682</f>
        <v>0</v>
      </c>
      <c r="M719" s="913">
        <f t="shared" si="214"/>
        <v>12</v>
      </c>
      <c r="Q719" s="1060"/>
      <c r="R719" s="1060"/>
      <c r="S719" s="1060"/>
      <c r="T719" s="1576"/>
      <c r="U719" s="1576"/>
      <c r="V719" s="583"/>
      <c r="W719" s="583"/>
      <c r="X719" s="587"/>
      <c r="Y719" s="583"/>
      <c r="Z719" s="584"/>
      <c r="AA719" s="585"/>
      <c r="AB719" s="585"/>
      <c r="AC719" s="585"/>
      <c r="AD719" s="585"/>
      <c r="AE719" s="585"/>
      <c r="AF719" s="585"/>
      <c r="GV719" s="835"/>
      <c r="GW719" s="835"/>
      <c r="HM719" s="835"/>
    </row>
    <row r="720" spans="1:221" ht="12" customHeight="1">
      <c r="C720" s="583"/>
      <c r="D720" s="583"/>
      <c r="E720" s="587"/>
      <c r="F720" s="583"/>
      <c r="G720" s="584" t="s">
        <v>2788</v>
      </c>
      <c r="H720" s="913">
        <f>FZ682</f>
        <v>0</v>
      </c>
      <c r="I720" s="913">
        <f>GA682</f>
        <v>0</v>
      </c>
      <c r="J720" s="913">
        <f>GB682</f>
        <v>0</v>
      </c>
      <c r="K720" s="913">
        <f>GC682</f>
        <v>0</v>
      </c>
      <c r="L720" s="913">
        <f>GD682</f>
        <v>0</v>
      </c>
      <c r="M720" s="913">
        <f t="shared" si="214"/>
        <v>0</v>
      </c>
      <c r="Q720" s="1060"/>
      <c r="R720" s="1060"/>
      <c r="S720" s="1060"/>
      <c r="T720" s="1576"/>
      <c r="U720" s="1576"/>
      <c r="V720" s="583"/>
      <c r="W720" s="583"/>
      <c r="X720" s="587"/>
      <c r="Y720" s="583"/>
      <c r="Z720" s="584"/>
      <c r="AA720" s="585"/>
      <c r="AB720" s="585"/>
      <c r="AC720" s="585"/>
      <c r="AD720" s="585"/>
      <c r="AE720" s="585"/>
      <c r="AF720" s="585"/>
      <c r="GV720" s="835"/>
      <c r="GW720" s="835"/>
      <c r="HM720" s="835"/>
    </row>
    <row r="721" spans="1:222" ht="12" customHeight="1">
      <c r="C721" s="583"/>
      <c r="D721" s="583"/>
      <c r="E721" s="587"/>
      <c r="F721" s="583"/>
      <c r="G721" s="584" t="s">
        <v>2790</v>
      </c>
      <c r="H721" s="913">
        <f>GE682</f>
        <v>0</v>
      </c>
      <c r="I721" s="913">
        <f>GF682</f>
        <v>0</v>
      </c>
      <c r="J721" s="913">
        <f>GG682</f>
        <v>0</v>
      </c>
      <c r="K721" s="913">
        <f>GH682</f>
        <v>0</v>
      </c>
      <c r="L721" s="913">
        <f>GI682</f>
        <v>0</v>
      </c>
      <c r="M721" s="913">
        <f t="shared" si="214"/>
        <v>0</v>
      </c>
      <c r="Q721" s="1060"/>
      <c r="R721" s="1060"/>
      <c r="S721" s="1060"/>
      <c r="T721" s="1576"/>
      <c r="U721" s="1576"/>
      <c r="V721" s="583"/>
      <c r="W721" s="583"/>
      <c r="X721" s="587"/>
      <c r="Y721" s="583"/>
      <c r="Z721" s="584"/>
      <c r="AA721" s="585"/>
      <c r="AB721" s="585"/>
      <c r="AC721" s="585"/>
      <c r="AD721" s="585"/>
      <c r="AE721" s="585"/>
      <c r="AF721" s="585"/>
      <c r="GV721" s="835"/>
      <c r="GW721" s="835"/>
      <c r="HM721" s="835"/>
    </row>
    <row r="722" spans="1:222" ht="12" customHeight="1">
      <c r="C722" s="583"/>
      <c r="D722" s="583"/>
      <c r="E722" s="587"/>
      <c r="F722" s="583"/>
      <c r="G722" s="584" t="s">
        <v>2789</v>
      </c>
      <c r="H722" s="913">
        <f>GJ682</f>
        <v>0</v>
      </c>
      <c r="I722" s="913">
        <f>GK682</f>
        <v>0</v>
      </c>
      <c r="J722" s="913">
        <f>GL682</f>
        <v>0</v>
      </c>
      <c r="K722" s="913">
        <f>GM682</f>
        <v>0</v>
      </c>
      <c r="L722" s="913">
        <f>GN682</f>
        <v>0</v>
      </c>
      <c r="M722" s="913">
        <f t="shared" si="214"/>
        <v>0</v>
      </c>
      <c r="Q722" s="1060"/>
      <c r="R722" s="1060"/>
      <c r="S722" s="1060"/>
      <c r="T722" s="1576"/>
      <c r="U722" s="1576"/>
      <c r="V722" s="583"/>
      <c r="W722" s="583"/>
      <c r="X722" s="587"/>
      <c r="Y722" s="583"/>
      <c r="Z722" s="584"/>
      <c r="AA722" s="585"/>
      <c r="AB722" s="585"/>
      <c r="AC722" s="585"/>
      <c r="AD722" s="585"/>
      <c r="AE722" s="585"/>
      <c r="AF722" s="585"/>
      <c r="GV722" s="835"/>
      <c r="GW722" s="835"/>
      <c r="HM722" s="835"/>
    </row>
    <row r="723" spans="1:222" ht="12" customHeight="1">
      <c r="C723" s="583"/>
      <c r="D723" s="583"/>
      <c r="E723" s="587" t="s">
        <v>43</v>
      </c>
      <c r="F723" s="583"/>
      <c r="G723" s="584"/>
      <c r="H723" s="913">
        <f>FA682</f>
        <v>0</v>
      </c>
      <c r="I723" s="913">
        <f>FB682</f>
        <v>0</v>
      </c>
      <c r="J723" s="913">
        <f>FC682</f>
        <v>0</v>
      </c>
      <c r="K723" s="913">
        <f>FD682</f>
        <v>5</v>
      </c>
      <c r="L723" s="913">
        <f>FE682</f>
        <v>2</v>
      </c>
      <c r="M723" s="913">
        <f t="shared" si="214"/>
        <v>7</v>
      </c>
      <c r="N723" s="567"/>
      <c r="Q723" s="1060">
        <f>ABS(M723-AF723)</f>
        <v>7</v>
      </c>
      <c r="R723" s="1060"/>
      <c r="S723" s="1060"/>
      <c r="T723" s="1576"/>
      <c r="U723" s="1576"/>
      <c r="V723" s="583"/>
      <c r="W723" s="583"/>
      <c r="X723" s="587"/>
      <c r="Y723" s="583"/>
      <c r="Z723" s="584"/>
      <c r="AA723" s="585"/>
      <c r="AB723" s="585"/>
      <c r="AC723" s="585"/>
      <c r="AD723" s="585"/>
      <c r="AE723" s="585"/>
      <c r="AF723" s="585"/>
      <c r="AG723" s="567"/>
      <c r="AH723" s="583"/>
      <c r="FY723" s="832"/>
      <c r="FZ723" s="832"/>
      <c r="GA723" s="832"/>
      <c r="GB723" s="832"/>
      <c r="GC723" s="832"/>
      <c r="GD723" s="832"/>
      <c r="GE723" s="832"/>
      <c r="GF723" s="832"/>
      <c r="GG723" s="832"/>
      <c r="GH723" s="832"/>
      <c r="GI723" s="832"/>
      <c r="GJ723" s="832"/>
      <c r="GK723" s="832"/>
      <c r="GL723" s="832"/>
      <c r="GM723" s="832"/>
      <c r="GN723" s="832"/>
      <c r="GO723" s="832"/>
      <c r="GV723" s="835"/>
      <c r="GW723" s="835"/>
      <c r="HM723" s="835"/>
    </row>
    <row r="724" spans="1:222" ht="12" customHeight="1">
      <c r="C724" s="583"/>
      <c r="D724" s="583"/>
      <c r="E724" s="587" t="s">
        <v>44</v>
      </c>
      <c r="F724" s="583"/>
      <c r="G724" s="584"/>
      <c r="H724" s="913">
        <f>FP682</f>
        <v>0</v>
      </c>
      <c r="I724" s="913">
        <f>FQ682</f>
        <v>0</v>
      </c>
      <c r="J724" s="913">
        <f>FR682</f>
        <v>0</v>
      </c>
      <c r="K724" s="913">
        <f>FS682</f>
        <v>0</v>
      </c>
      <c r="L724" s="913">
        <f>FT682</f>
        <v>0</v>
      </c>
      <c r="M724" s="913">
        <f t="shared" si="214"/>
        <v>0</v>
      </c>
      <c r="Q724" s="1060">
        <f>ABS(M724-AF724)</f>
        <v>0</v>
      </c>
      <c r="R724" s="1060"/>
      <c r="S724" s="1060"/>
      <c r="T724" s="1576"/>
      <c r="U724" s="1576"/>
      <c r="V724" s="583"/>
      <c r="W724" s="583"/>
      <c r="X724" s="587"/>
      <c r="Y724" s="583"/>
      <c r="Z724" s="584"/>
      <c r="AA724" s="585"/>
      <c r="AB724" s="585"/>
      <c r="AC724" s="585"/>
      <c r="AD724" s="585"/>
      <c r="AE724" s="585"/>
      <c r="AF724" s="585"/>
      <c r="GV724" s="835"/>
      <c r="GW724" s="835"/>
      <c r="HM724" s="835"/>
    </row>
    <row r="725" spans="1:222" ht="12" customHeight="1">
      <c r="C725" s="583"/>
      <c r="D725" s="583"/>
      <c r="E725" s="587" t="s">
        <v>598</v>
      </c>
      <c r="F725" s="583"/>
      <c r="G725" s="584"/>
      <c r="H725" s="913">
        <f>FK682</f>
        <v>0</v>
      </c>
      <c r="I725" s="913">
        <f>FL682</f>
        <v>12</v>
      </c>
      <c r="J725" s="913">
        <f>FM682</f>
        <v>37</v>
      </c>
      <c r="K725" s="913">
        <f>FN682</f>
        <v>7</v>
      </c>
      <c r="L725" s="913">
        <f>FO682</f>
        <v>0</v>
      </c>
      <c r="M725" s="913">
        <f t="shared" si="214"/>
        <v>56</v>
      </c>
      <c r="N725" s="567"/>
      <c r="Q725" s="1060">
        <f>ABS(M725-AF725)</f>
        <v>56</v>
      </c>
      <c r="R725" s="1060"/>
      <c r="S725" s="1060"/>
      <c r="T725" s="1576"/>
      <c r="U725" s="1576"/>
      <c r="V725" s="583"/>
      <c r="W725" s="583"/>
      <c r="X725" s="587"/>
      <c r="Y725" s="583"/>
      <c r="Z725" s="584"/>
      <c r="AA725" s="585"/>
      <c r="AB725" s="585"/>
      <c r="AC725" s="585"/>
      <c r="AD725" s="585"/>
      <c r="AE725" s="585"/>
      <c r="AF725" s="585"/>
      <c r="AG725" s="567"/>
      <c r="AH725" s="583"/>
      <c r="FY725" s="832"/>
      <c r="FZ725" s="832"/>
      <c r="GA725" s="832"/>
      <c r="GB725" s="832"/>
      <c r="GC725" s="832"/>
      <c r="GD725" s="832"/>
      <c r="GE725" s="832"/>
      <c r="GF725" s="832"/>
      <c r="GG725" s="832"/>
      <c r="GH725" s="832"/>
      <c r="GI725" s="832"/>
      <c r="GJ725" s="832"/>
      <c r="GK725" s="832"/>
      <c r="GL725" s="832"/>
      <c r="GM725" s="832"/>
      <c r="GN725" s="832"/>
      <c r="GO725" s="832"/>
      <c r="GV725" s="835"/>
      <c r="GW725" s="835"/>
      <c r="HM725" s="835"/>
    </row>
    <row r="726" spans="1:222" ht="12" customHeight="1">
      <c r="C726" s="583"/>
      <c r="D726" s="583"/>
      <c r="E726" s="829" t="s">
        <v>599</v>
      </c>
      <c r="F726" s="583"/>
      <c r="G726" s="584"/>
      <c r="H726" s="913">
        <f>FF682</f>
        <v>0</v>
      </c>
      <c r="I726" s="913">
        <f>FG682</f>
        <v>0</v>
      </c>
      <c r="J726" s="913">
        <f>FH682</f>
        <v>0</v>
      </c>
      <c r="K726" s="913">
        <f>FI682</f>
        <v>0</v>
      </c>
      <c r="L726" s="913">
        <f>FJ682</f>
        <v>0</v>
      </c>
      <c r="M726" s="913">
        <f t="shared" si="214"/>
        <v>0</v>
      </c>
      <c r="Q726" s="1060">
        <f>ABS(M726-AF726)</f>
        <v>0</v>
      </c>
      <c r="R726" s="1060"/>
      <c r="S726" s="1060"/>
      <c r="T726" s="1576"/>
      <c r="U726" s="1576"/>
      <c r="V726" s="583"/>
      <c r="W726" s="583"/>
      <c r="X726" s="829"/>
      <c r="Y726" s="583"/>
      <c r="Z726" s="584"/>
      <c r="AA726" s="585"/>
      <c r="AB726" s="585"/>
      <c r="AC726" s="585"/>
      <c r="AD726" s="585"/>
      <c r="AE726" s="585"/>
      <c r="AF726" s="585"/>
      <c r="GV726" s="835"/>
      <c r="GW726" s="835"/>
      <c r="HM726" s="835"/>
    </row>
    <row r="727" spans="1:222" ht="12" customHeight="1">
      <c r="A727" s="835"/>
      <c r="B727" s="835" t="s">
        <v>2304</v>
      </c>
      <c r="C727" s="583"/>
      <c r="D727" s="583"/>
      <c r="E727" s="583"/>
      <c r="F727" s="583"/>
      <c r="G727" s="584"/>
      <c r="H727" s="583"/>
      <c r="I727" s="583"/>
      <c r="J727" s="583"/>
      <c r="K727" s="583"/>
      <c r="L727" s="583"/>
      <c r="M727" s="583"/>
      <c r="Q727" s="1060"/>
      <c r="R727" s="1060"/>
      <c r="S727" s="1060"/>
      <c r="T727" s="1097" t="str">
        <f>B727</f>
        <v>Unit Square Footage:</v>
      </c>
      <c r="U727" s="835" t="s">
        <v>1205</v>
      </c>
      <c r="V727" s="583"/>
      <c r="W727" s="583"/>
      <c r="X727" s="583"/>
      <c r="Y727" s="583"/>
      <c r="Z727" s="584"/>
      <c r="AA727" s="583"/>
      <c r="AB727" s="583"/>
      <c r="AC727" s="583"/>
      <c r="AD727" s="583"/>
      <c r="AE727" s="583"/>
      <c r="AF727" s="583"/>
      <c r="AH727" s="583"/>
      <c r="FY727" s="832"/>
      <c r="FZ727" s="832"/>
      <c r="GA727" s="832"/>
      <c r="GB727" s="832"/>
      <c r="GC727" s="832"/>
      <c r="GD727" s="832"/>
      <c r="GE727" s="832"/>
      <c r="GF727" s="832"/>
      <c r="GG727" s="832"/>
      <c r="GH727" s="832"/>
      <c r="GI727" s="832"/>
      <c r="GJ727" s="832"/>
      <c r="GK727" s="832"/>
      <c r="GL727" s="832"/>
      <c r="GM727" s="832"/>
      <c r="GN727" s="832"/>
      <c r="GO727" s="832"/>
      <c r="GV727" s="835"/>
      <c r="GW727" s="835"/>
      <c r="HM727" s="835"/>
    </row>
    <row r="728" spans="1:222" ht="12" customHeight="1">
      <c r="C728" s="583" t="s">
        <v>2274</v>
      </c>
      <c r="D728" s="583"/>
      <c r="E728" s="583"/>
      <c r="F728" s="583"/>
      <c r="G728" s="584" t="s">
        <v>1218</v>
      </c>
      <c r="H728" s="585">
        <f>BY682</f>
        <v>0</v>
      </c>
      <c r="I728" s="585">
        <f>BZ682</f>
        <v>19824</v>
      </c>
      <c r="J728" s="585">
        <f>CA682</f>
        <v>37518</v>
      </c>
      <c r="K728" s="585">
        <f>CB682</f>
        <v>15000</v>
      </c>
      <c r="L728" s="585">
        <f>CC682</f>
        <v>2952</v>
      </c>
      <c r="M728" s="585">
        <f t="shared" ref="M728:M734" si="215">SUM(H728:L728)</f>
        <v>75294</v>
      </c>
      <c r="Q728" s="1060">
        <f t="shared" ref="Q728:Q734" si="216">ABS(M728-AF728)</f>
        <v>75294</v>
      </c>
      <c r="R728" s="1060"/>
      <c r="S728" s="1060"/>
      <c r="T728" s="1576"/>
      <c r="U728" s="1576"/>
      <c r="V728" s="583"/>
      <c r="W728" s="583"/>
      <c r="X728" s="583"/>
      <c r="Y728" s="583"/>
      <c r="Z728" s="584"/>
      <c r="AA728" s="585"/>
      <c r="AB728" s="585"/>
      <c r="AC728" s="585"/>
      <c r="AD728" s="585"/>
      <c r="AE728" s="585"/>
      <c r="AF728" s="585"/>
      <c r="AH728" s="583"/>
      <c r="FY728" s="832"/>
      <c r="FZ728" s="832"/>
      <c r="GA728" s="832"/>
      <c r="GB728" s="832"/>
      <c r="GC728" s="832"/>
      <c r="GD728" s="832"/>
      <c r="GE728" s="832"/>
      <c r="GF728" s="832"/>
      <c r="GG728" s="832"/>
      <c r="GH728" s="832"/>
      <c r="GI728" s="832"/>
      <c r="GJ728" s="832"/>
      <c r="GK728" s="832"/>
      <c r="GL728" s="832"/>
      <c r="GM728" s="832"/>
      <c r="GN728" s="832"/>
      <c r="GO728" s="832"/>
      <c r="GV728" s="835"/>
      <c r="GW728" s="835"/>
      <c r="HM728" s="835"/>
    </row>
    <row r="729" spans="1:222" ht="12" customHeight="1">
      <c r="C729" s="586"/>
      <c r="D729" s="583"/>
      <c r="E729" s="583"/>
      <c r="F729" s="583"/>
      <c r="G729" s="584" t="s">
        <v>121</v>
      </c>
      <c r="H729" s="585">
        <f>CD682</f>
        <v>0</v>
      </c>
      <c r="I729" s="585">
        <f>CE682</f>
        <v>0</v>
      </c>
      <c r="J729" s="585">
        <f>CF682</f>
        <v>0</v>
      </c>
      <c r="K729" s="585">
        <f>CG682</f>
        <v>0</v>
      </c>
      <c r="L729" s="585">
        <f>CH682</f>
        <v>0</v>
      </c>
      <c r="M729" s="585">
        <f t="shared" si="215"/>
        <v>0</v>
      </c>
      <c r="N729" s="583"/>
      <c r="Q729" s="1060">
        <f t="shared" si="216"/>
        <v>0</v>
      </c>
      <c r="R729" s="1060"/>
      <c r="S729" s="1060"/>
      <c r="T729" s="1576"/>
      <c r="U729" s="1576"/>
      <c r="V729" s="586"/>
      <c r="W729" s="583"/>
      <c r="X729" s="583"/>
      <c r="Y729" s="583"/>
      <c r="Z729" s="584"/>
      <c r="AA729" s="585"/>
      <c r="AB729" s="585"/>
      <c r="AC729" s="585"/>
      <c r="AD729" s="585"/>
      <c r="AE729" s="585"/>
      <c r="AF729" s="585"/>
      <c r="AG729" s="583"/>
      <c r="AH729" s="583"/>
      <c r="FY729" s="832"/>
      <c r="FZ729" s="832"/>
      <c r="GA729" s="832"/>
      <c r="GB729" s="832"/>
      <c r="GC729" s="832"/>
      <c r="GD729" s="832"/>
      <c r="GE729" s="832"/>
      <c r="GF729" s="832"/>
      <c r="GG729" s="832"/>
      <c r="GH729" s="832"/>
      <c r="GI729" s="832"/>
      <c r="GJ729" s="832"/>
      <c r="GK729" s="832"/>
      <c r="GL729" s="832"/>
      <c r="GM729" s="832"/>
      <c r="GN729" s="832"/>
      <c r="GO729" s="832"/>
      <c r="GV729" s="835"/>
      <c r="GW729" s="835"/>
      <c r="HM729" s="835"/>
    </row>
    <row r="730" spans="1:222" ht="12" customHeight="1">
      <c r="C730" s="586"/>
      <c r="D730" s="583"/>
      <c r="E730" s="583"/>
      <c r="F730" s="583"/>
      <c r="G730" s="584" t="s">
        <v>572</v>
      </c>
      <c r="H730" s="585">
        <f>SUM(H728:H729)</f>
        <v>0</v>
      </c>
      <c r="I730" s="585">
        <f>SUM(I728:I729)</f>
        <v>19824</v>
      </c>
      <c r="J730" s="585">
        <f>SUM(J728:J729)</f>
        <v>37518</v>
      </c>
      <c r="K730" s="585">
        <f>SUM(K728:K729)</f>
        <v>15000</v>
      </c>
      <c r="L730" s="585">
        <f>SUM(L728:L729)</f>
        <v>2952</v>
      </c>
      <c r="M730" s="585">
        <f t="shared" si="215"/>
        <v>75294</v>
      </c>
      <c r="N730" s="583"/>
      <c r="Q730" s="1060">
        <f t="shared" si="216"/>
        <v>75294</v>
      </c>
      <c r="R730" s="1060"/>
      <c r="S730" s="1060"/>
      <c r="T730" s="1576"/>
      <c r="U730" s="1576"/>
      <c r="V730" s="586"/>
      <c r="W730" s="583"/>
      <c r="X730" s="583"/>
      <c r="Y730" s="583"/>
      <c r="Z730" s="584"/>
      <c r="AA730" s="585"/>
      <c r="AB730" s="585"/>
      <c r="AC730" s="585"/>
      <c r="AD730" s="585"/>
      <c r="AE730" s="585"/>
      <c r="AF730" s="585"/>
      <c r="AG730" s="583"/>
      <c r="AH730" s="583"/>
      <c r="FY730" s="832"/>
      <c r="FZ730" s="832"/>
      <c r="GA730" s="832"/>
      <c r="GB730" s="832"/>
      <c r="GC730" s="832"/>
      <c r="GD730" s="832"/>
      <c r="GE730" s="832"/>
      <c r="GF730" s="832"/>
      <c r="GG730" s="832"/>
      <c r="GH730" s="832"/>
      <c r="GI730" s="832"/>
      <c r="GJ730" s="832"/>
      <c r="GK730" s="832"/>
      <c r="GL730" s="832"/>
      <c r="GM730" s="832"/>
      <c r="GN730" s="832"/>
      <c r="GO730" s="832"/>
      <c r="GV730" s="835"/>
      <c r="GW730" s="835"/>
      <c r="HM730" s="835"/>
    </row>
    <row r="731" spans="1:222" ht="12" customHeight="1">
      <c r="C731" s="583" t="s">
        <v>319</v>
      </c>
      <c r="D731" s="583"/>
      <c r="E731" s="583"/>
      <c r="F731" s="583"/>
      <c r="G731" s="583"/>
      <c r="H731" s="585">
        <f>CN682</f>
        <v>0</v>
      </c>
      <c r="I731" s="585">
        <f>CO682</f>
        <v>0</v>
      </c>
      <c r="J731" s="585">
        <f>CP682</f>
        <v>0</v>
      </c>
      <c r="K731" s="585">
        <f>CQ682</f>
        <v>0</v>
      </c>
      <c r="L731" s="585">
        <f>CR682</f>
        <v>0</v>
      </c>
      <c r="M731" s="585">
        <f t="shared" si="215"/>
        <v>0</v>
      </c>
      <c r="Q731" s="1060">
        <f t="shared" si="216"/>
        <v>0</v>
      </c>
      <c r="R731" s="1060"/>
      <c r="S731" s="1060"/>
      <c r="T731" s="1576"/>
      <c r="U731" s="1576"/>
      <c r="V731" s="583"/>
      <c r="W731" s="583"/>
      <c r="X731" s="583"/>
      <c r="Y731" s="583"/>
      <c r="Z731" s="583"/>
      <c r="AA731" s="585"/>
      <c r="AB731" s="585"/>
      <c r="AC731" s="585"/>
      <c r="AD731" s="585"/>
      <c r="AE731" s="585"/>
      <c r="AF731" s="585"/>
      <c r="AH731" s="583"/>
      <c r="FY731" s="832"/>
      <c r="FZ731" s="832"/>
      <c r="GA731" s="832"/>
      <c r="GB731" s="832"/>
      <c r="GC731" s="832"/>
      <c r="GD731" s="832"/>
      <c r="GE731" s="832"/>
      <c r="GF731" s="832"/>
      <c r="GG731" s="832"/>
      <c r="GH731" s="832"/>
      <c r="GI731" s="832"/>
      <c r="GJ731" s="832"/>
      <c r="GK731" s="832"/>
      <c r="GL731" s="832"/>
      <c r="GM731" s="832"/>
      <c r="GN731" s="832"/>
      <c r="GO731" s="832"/>
      <c r="GV731" s="835"/>
      <c r="GW731" s="835"/>
      <c r="HM731" s="835"/>
    </row>
    <row r="732" spans="1:222" ht="12" customHeight="1">
      <c r="C732" s="583" t="s">
        <v>1207</v>
      </c>
      <c r="D732" s="583"/>
      <c r="E732" s="583"/>
      <c r="F732" s="583"/>
      <c r="G732" s="583"/>
      <c r="H732" s="585">
        <f>SUM(H730:H731)</f>
        <v>0</v>
      </c>
      <c r="I732" s="585">
        <f>SUM(I730:I731)</f>
        <v>19824</v>
      </c>
      <c r="J732" s="585">
        <f>SUM(J730:J731)</f>
        <v>37518</v>
      </c>
      <c r="K732" s="585">
        <f>SUM(K730:K731)</f>
        <v>15000</v>
      </c>
      <c r="L732" s="585">
        <f>SUM(L730:L731)</f>
        <v>2952</v>
      </c>
      <c r="M732" s="585">
        <f t="shared" si="215"/>
        <v>75294</v>
      </c>
      <c r="Q732" s="1060">
        <f t="shared" si="216"/>
        <v>75294</v>
      </c>
      <c r="R732" s="1060"/>
      <c r="S732" s="1060"/>
      <c r="T732" s="1576"/>
      <c r="U732" s="1576"/>
      <c r="V732" s="583"/>
      <c r="W732" s="583"/>
      <c r="X732" s="583"/>
      <c r="Y732" s="583"/>
      <c r="Z732" s="583"/>
      <c r="AA732" s="585"/>
      <c r="AB732" s="585"/>
      <c r="AC732" s="585"/>
      <c r="AD732" s="585"/>
      <c r="AE732" s="585"/>
      <c r="AF732" s="585"/>
      <c r="AH732" s="583"/>
      <c r="FY732" s="832"/>
      <c r="FZ732" s="832"/>
      <c r="GA732" s="832"/>
      <c r="GB732" s="832"/>
      <c r="GC732" s="832"/>
      <c r="GD732" s="832"/>
      <c r="GE732" s="832"/>
      <c r="GF732" s="832"/>
      <c r="GG732" s="832"/>
      <c r="GH732" s="832"/>
      <c r="GI732" s="832"/>
      <c r="GJ732" s="832"/>
      <c r="GK732" s="832"/>
      <c r="GL732" s="832"/>
      <c r="GM732" s="832"/>
      <c r="GN732" s="832"/>
      <c r="GO732" s="832"/>
      <c r="GV732" s="835"/>
      <c r="GW732" s="835"/>
      <c r="HM732" s="835"/>
    </row>
    <row r="733" spans="1:222" ht="12" customHeight="1">
      <c r="C733" s="583" t="s">
        <v>2682</v>
      </c>
      <c r="D733" s="583"/>
      <c r="E733" s="583"/>
      <c r="F733" s="583"/>
      <c r="G733" s="583"/>
      <c r="H733" s="585">
        <f>CX682</f>
        <v>0</v>
      </c>
      <c r="I733" s="585">
        <f>CY682</f>
        <v>0</v>
      </c>
      <c r="J733" s="585">
        <f>CZ682</f>
        <v>0</v>
      </c>
      <c r="K733" s="585">
        <f>DA682</f>
        <v>0</v>
      </c>
      <c r="L733" s="585">
        <f>DB682</f>
        <v>0</v>
      </c>
      <c r="M733" s="585">
        <f t="shared" si="215"/>
        <v>0</v>
      </c>
      <c r="Q733" s="1060">
        <f t="shared" si="216"/>
        <v>0</v>
      </c>
      <c r="R733" s="1060"/>
      <c r="S733" s="1060"/>
      <c r="T733" s="1576"/>
      <c r="U733" s="1576"/>
      <c r="V733" s="583"/>
      <c r="W733" s="583"/>
      <c r="X733" s="583"/>
      <c r="Y733" s="583"/>
      <c r="Z733" s="583"/>
      <c r="AA733" s="585"/>
      <c r="AB733" s="585"/>
      <c r="AC733" s="585"/>
      <c r="AD733" s="585"/>
      <c r="AE733" s="585"/>
      <c r="AF733" s="585"/>
      <c r="AH733" s="583"/>
      <c r="FY733" s="832"/>
      <c r="FZ733" s="832"/>
      <c r="GA733" s="832"/>
      <c r="GB733" s="832"/>
      <c r="GC733" s="832"/>
      <c r="GD733" s="832"/>
      <c r="GE733" s="832"/>
      <c r="GF733" s="832"/>
      <c r="GG733" s="832"/>
      <c r="GH733" s="832"/>
      <c r="GI733" s="832"/>
      <c r="GJ733" s="832"/>
      <c r="GK733" s="832"/>
      <c r="GL733" s="832"/>
      <c r="GM733" s="832"/>
      <c r="GN733" s="832"/>
      <c r="GO733" s="832"/>
      <c r="GV733" s="835"/>
      <c r="GW733" s="835"/>
      <c r="HM733" s="835"/>
    </row>
    <row r="734" spans="1:222" ht="12" customHeight="1">
      <c r="C734" s="583" t="s">
        <v>572</v>
      </c>
      <c r="D734" s="583"/>
      <c r="E734" s="583"/>
      <c r="F734" s="583"/>
      <c r="G734" s="583"/>
      <c r="H734" s="585">
        <f>SUM(H732:H733)</f>
        <v>0</v>
      </c>
      <c r="I734" s="585">
        <f>SUM(I732:I733)</f>
        <v>19824</v>
      </c>
      <c r="J734" s="585">
        <f>SUM(J732:J733)</f>
        <v>37518</v>
      </c>
      <c r="K734" s="585">
        <f>SUM(K732:K733)</f>
        <v>15000</v>
      </c>
      <c r="L734" s="585">
        <f>SUM(L732:L733)</f>
        <v>2952</v>
      </c>
      <c r="M734" s="585">
        <f t="shared" si="215"/>
        <v>75294</v>
      </c>
      <c r="Q734" s="1060">
        <f t="shared" si="216"/>
        <v>75294</v>
      </c>
      <c r="R734" s="1060"/>
      <c r="S734" s="1060"/>
      <c r="T734" s="1576"/>
      <c r="U734" s="1576"/>
      <c r="V734" s="583"/>
      <c r="W734" s="583"/>
      <c r="X734" s="583"/>
      <c r="Y734" s="583"/>
      <c r="Z734" s="583"/>
      <c r="AA734" s="585"/>
      <c r="AB734" s="585"/>
      <c r="AC734" s="585"/>
      <c r="AD734" s="585"/>
      <c r="AE734" s="585"/>
      <c r="AF734" s="585"/>
      <c r="AH734" s="583"/>
      <c r="FY734" s="832"/>
      <c r="FZ734" s="832"/>
      <c r="GA734" s="832"/>
      <c r="GB734" s="832"/>
      <c r="GC734" s="832"/>
      <c r="GD734" s="832"/>
      <c r="GE734" s="832"/>
      <c r="GF734" s="832"/>
      <c r="GG734" s="832"/>
      <c r="GH734" s="832"/>
      <c r="GI734" s="832"/>
      <c r="GJ734" s="832"/>
      <c r="GK734" s="832"/>
      <c r="GL734" s="832"/>
      <c r="GM734" s="832"/>
      <c r="GN734" s="832"/>
      <c r="GO734" s="832"/>
      <c r="GV734" s="835"/>
      <c r="GW734" s="835"/>
      <c r="HM734" s="835"/>
    </row>
    <row r="735" spans="1:222" ht="4.9000000000000004" customHeight="1">
      <c r="B735" s="835"/>
      <c r="O735" s="583"/>
      <c r="P735" s="583"/>
      <c r="FY735" s="832"/>
      <c r="FZ735" s="832"/>
      <c r="GA735" s="832"/>
      <c r="GB735" s="832"/>
      <c r="GC735" s="832"/>
      <c r="GD735" s="832"/>
      <c r="GE735" s="832"/>
      <c r="GF735" s="832"/>
      <c r="GG735" s="832"/>
      <c r="GH735" s="832"/>
      <c r="GI735" s="832"/>
      <c r="GJ735" s="832"/>
      <c r="GK735" s="832"/>
      <c r="GL735" s="832"/>
      <c r="GM735" s="832"/>
      <c r="GN735" s="832"/>
      <c r="GO735" s="832"/>
      <c r="GV735" s="835"/>
      <c r="GW735" s="835"/>
      <c r="HM735" s="835"/>
    </row>
    <row r="736" spans="1:222" ht="13.9" customHeight="1">
      <c r="A736" s="835" t="s">
        <v>792</v>
      </c>
      <c r="B736" s="835" t="s">
        <v>3673</v>
      </c>
      <c r="Q736" s="583"/>
      <c r="R736" s="583"/>
      <c r="S736" s="583"/>
      <c r="T736" s="835" t="s">
        <v>1974</v>
      </c>
      <c r="FZ736" s="832"/>
      <c r="GA736" s="832"/>
      <c r="GB736" s="832"/>
      <c r="GC736" s="832"/>
      <c r="GD736" s="832"/>
      <c r="GE736" s="832"/>
      <c r="GF736" s="832"/>
      <c r="GG736" s="832"/>
      <c r="GH736" s="832"/>
      <c r="GI736" s="832"/>
      <c r="GJ736" s="832"/>
      <c r="GK736" s="832"/>
      <c r="GL736" s="832"/>
      <c r="GM736" s="832"/>
      <c r="GN736" s="832"/>
      <c r="GO736" s="832"/>
      <c r="GP736" s="832"/>
      <c r="GW736" s="835"/>
      <c r="HM736" s="835"/>
      <c r="HN736" s="835"/>
    </row>
    <row r="737" spans="2:221" ht="9" customHeight="1">
      <c r="P737" s="583"/>
      <c r="FY737" s="832"/>
      <c r="FZ737" s="832"/>
      <c r="GA737" s="832"/>
      <c r="GB737" s="832"/>
      <c r="GC737" s="832"/>
      <c r="GD737" s="832"/>
      <c r="GE737" s="832"/>
      <c r="GF737" s="832"/>
      <c r="GG737" s="832"/>
      <c r="GH737" s="832"/>
      <c r="GI737" s="832"/>
      <c r="GJ737" s="832"/>
      <c r="GK737" s="832"/>
      <c r="GL737" s="832"/>
      <c r="GM737" s="832"/>
      <c r="GN737" s="832"/>
      <c r="GO737" s="832"/>
      <c r="GV737" s="835"/>
      <c r="HL737" s="835"/>
      <c r="HM737" s="835"/>
    </row>
    <row r="738" spans="2:221" ht="12.6" customHeight="1">
      <c r="B738" s="835" t="s">
        <v>1078</v>
      </c>
      <c r="D738" s="587"/>
      <c r="H738" s="1624">
        <f>'Part VI-Revenues &amp; Expenses'!H104</f>
        <v>3734</v>
      </c>
      <c r="I738" s="1624"/>
      <c r="K738" s="1128" t="s">
        <v>3674</v>
      </c>
      <c r="O738" s="914">
        <f>H738/L683</f>
        <v>7.4138492451136899E-3</v>
      </c>
      <c r="P738" s="587"/>
      <c r="T738" s="586" t="str">
        <f>B738</f>
        <v>Ancillary Income</v>
      </c>
      <c r="FY738" s="832"/>
      <c r="FZ738" s="832"/>
      <c r="GA738" s="832"/>
      <c r="GB738" s="832"/>
      <c r="GC738" s="832"/>
      <c r="GD738" s="832"/>
      <c r="GE738" s="832"/>
      <c r="GF738" s="832"/>
      <c r="GG738" s="832"/>
      <c r="GH738" s="832"/>
      <c r="GI738" s="832"/>
      <c r="GJ738" s="832"/>
      <c r="GK738" s="832"/>
      <c r="GL738" s="832"/>
      <c r="GM738" s="832"/>
      <c r="GN738" s="832"/>
      <c r="GO738" s="832"/>
      <c r="GV738" s="835"/>
      <c r="HL738" s="835"/>
      <c r="HM738" s="835"/>
    </row>
    <row r="739" spans="2:221" ht="15" customHeight="1">
      <c r="B739" s="835"/>
      <c r="D739" s="587"/>
      <c r="E739" s="915"/>
      <c r="I739" s="916"/>
      <c r="P739" s="587"/>
      <c r="FY739" s="832"/>
      <c r="FZ739" s="832"/>
      <c r="GA739" s="832"/>
      <c r="GB739" s="832"/>
      <c r="GC739" s="832"/>
      <c r="GD739" s="832"/>
      <c r="GE739" s="832"/>
      <c r="GF739" s="832"/>
      <c r="GG739" s="832"/>
      <c r="GH739" s="832"/>
      <c r="GI739" s="832"/>
      <c r="GJ739" s="832"/>
      <c r="GK739" s="832"/>
      <c r="GL739" s="832"/>
      <c r="GM739" s="832"/>
      <c r="GN739" s="832"/>
      <c r="GO739" s="832"/>
      <c r="GV739" s="835"/>
      <c r="HL739" s="835"/>
      <c r="HM739" s="835"/>
    </row>
    <row r="740" spans="2:221" ht="13.9" customHeight="1">
      <c r="B740" s="835" t="s">
        <v>1541</v>
      </c>
      <c r="I740" s="835"/>
      <c r="K740" s="917"/>
      <c r="T740" s="586" t="str">
        <f>B740</f>
        <v>Other Income (OI) by Year:</v>
      </c>
      <c r="FY740" s="832"/>
      <c r="FZ740" s="832"/>
      <c r="GA740" s="832"/>
      <c r="GB740" s="832"/>
      <c r="GC740" s="832"/>
      <c r="GD740" s="832"/>
      <c r="GE740" s="832"/>
      <c r="GF740" s="832"/>
      <c r="GG740" s="832"/>
      <c r="GH740" s="832"/>
      <c r="GI740" s="832"/>
      <c r="GJ740" s="832"/>
      <c r="GK740" s="832"/>
      <c r="GL740" s="832"/>
      <c r="GM740" s="832"/>
      <c r="GN740" s="832"/>
      <c r="GO740" s="832"/>
      <c r="GV740" s="835"/>
      <c r="HL740" s="835"/>
      <c r="HM740" s="835"/>
    </row>
    <row r="741" spans="2:221" ht="15" customHeight="1">
      <c r="B741" s="835"/>
      <c r="I741" s="835"/>
      <c r="K741" s="917"/>
      <c r="FY741" s="832"/>
      <c r="FZ741" s="832"/>
      <c r="GA741" s="832"/>
      <c r="GB741" s="832"/>
      <c r="GC741" s="832"/>
      <c r="GD741" s="832"/>
      <c r="GE741" s="832"/>
      <c r="GF741" s="832"/>
      <c r="GG741" s="832"/>
      <c r="GH741" s="832"/>
      <c r="GI741" s="832"/>
      <c r="GJ741" s="832"/>
      <c r="GK741" s="832"/>
      <c r="GL741" s="832"/>
      <c r="GM741" s="832"/>
      <c r="GN741" s="832"/>
      <c r="GO741" s="832"/>
      <c r="GV741" s="835"/>
      <c r="HL741" s="835"/>
      <c r="HM741" s="835"/>
    </row>
    <row r="742" spans="2:221" ht="13.9" customHeight="1">
      <c r="B742" s="918" t="s">
        <v>2434</v>
      </c>
      <c r="G742" s="919">
        <v>1</v>
      </c>
      <c r="H742" s="919">
        <v>2</v>
      </c>
      <c r="I742" s="919">
        <v>3</v>
      </c>
      <c r="J742" s="919">
        <v>4</v>
      </c>
      <c r="K742" s="919">
        <v>5</v>
      </c>
      <c r="L742" s="919">
        <v>6</v>
      </c>
      <c r="M742" s="919">
        <v>7</v>
      </c>
      <c r="N742" s="919">
        <v>8</v>
      </c>
      <c r="O742" s="919">
        <v>9</v>
      </c>
      <c r="P742" s="919">
        <v>10</v>
      </c>
      <c r="T742" s="583" t="str">
        <f>B742</f>
        <v>Included in Mgt Fee:</v>
      </c>
      <c r="FY742" s="832"/>
      <c r="FZ742" s="832"/>
      <c r="GA742" s="832"/>
      <c r="GB742" s="832"/>
      <c r="GC742" s="832"/>
      <c r="GD742" s="832"/>
      <c r="GE742" s="832"/>
      <c r="GF742" s="832"/>
      <c r="GG742" s="832"/>
      <c r="GH742" s="832"/>
      <c r="GI742" s="832"/>
      <c r="GJ742" s="832"/>
      <c r="GK742" s="832"/>
      <c r="GL742" s="832"/>
      <c r="GM742" s="832"/>
      <c r="GN742" s="832"/>
      <c r="GO742" s="832"/>
      <c r="GV742" s="835"/>
      <c r="HL742" s="835"/>
      <c r="HM742" s="835"/>
    </row>
    <row r="743" spans="2:221" ht="15" customHeight="1">
      <c r="B743" s="1072" t="s">
        <v>1079</v>
      </c>
      <c r="G743" s="1041">
        <f>'Part VI-Revenues &amp; Expenses'!G109</f>
        <v>0</v>
      </c>
      <c r="H743" s="1041">
        <f>'Part VI-Revenues &amp; Expenses'!H109</f>
        <v>0</v>
      </c>
      <c r="I743" s="1041">
        <f>'Part VI-Revenues &amp; Expenses'!I109</f>
        <v>0</v>
      </c>
      <c r="J743" s="1041">
        <f>'Part VI-Revenues &amp; Expenses'!J109</f>
        <v>0</v>
      </c>
      <c r="K743" s="1041">
        <f>'Part VI-Revenues &amp; Expenses'!K109</f>
        <v>0</v>
      </c>
      <c r="L743" s="1041">
        <f>'Part VI-Revenues &amp; Expenses'!L109</f>
        <v>0</v>
      </c>
      <c r="M743" s="1041">
        <f>'Part VI-Revenues &amp; Expenses'!M109</f>
        <v>0</v>
      </c>
      <c r="N743" s="1041">
        <f>'Part VI-Revenues &amp; Expenses'!N109</f>
        <v>0</v>
      </c>
      <c r="O743" s="1041">
        <f>'Part VI-Revenues &amp; Expenses'!O109</f>
        <v>0</v>
      </c>
      <c r="P743" s="1041">
        <f>'Part VI-Revenues &amp; Expenses'!P109</f>
        <v>0</v>
      </c>
      <c r="T743" s="1576"/>
      <c r="U743" s="1576"/>
      <c r="FY743" s="832"/>
      <c r="FZ743" s="832"/>
      <c r="GA743" s="832"/>
      <c r="GB743" s="832"/>
      <c r="GC743" s="832"/>
      <c r="GD743" s="832"/>
      <c r="GE743" s="832"/>
      <c r="GF743" s="832"/>
      <c r="GG743" s="832"/>
      <c r="GH743" s="832"/>
      <c r="GI743" s="832"/>
      <c r="GJ743" s="832"/>
      <c r="GK743" s="832"/>
      <c r="GL743" s="832"/>
      <c r="GM743" s="832"/>
      <c r="GN743" s="832"/>
      <c r="GO743" s="832"/>
      <c r="GV743" s="835"/>
      <c r="HL743" s="835"/>
      <c r="HM743" s="835"/>
    </row>
    <row r="744" spans="2:221" ht="15" customHeight="1">
      <c r="B744" s="1072" t="s">
        <v>791</v>
      </c>
      <c r="C744" s="1621">
        <f>'Part VI-Revenues &amp; Expenses'!C110</f>
        <v>0</v>
      </c>
      <c r="D744" s="1621"/>
      <c r="E744" s="1621"/>
      <c r="F744" s="1621"/>
      <c r="G744" s="1041">
        <f>'Part VI-Revenues &amp; Expenses'!G110</f>
        <v>0</v>
      </c>
      <c r="H744" s="1041">
        <f>'Part VI-Revenues &amp; Expenses'!H110</f>
        <v>0</v>
      </c>
      <c r="I744" s="1041">
        <f>'Part VI-Revenues &amp; Expenses'!I110</f>
        <v>0</v>
      </c>
      <c r="J744" s="1041">
        <f>'Part VI-Revenues &amp; Expenses'!J110</f>
        <v>0</v>
      </c>
      <c r="K744" s="1041">
        <f>'Part VI-Revenues &amp; Expenses'!K110</f>
        <v>0</v>
      </c>
      <c r="L744" s="1041">
        <f>'Part VI-Revenues &amp; Expenses'!L110</f>
        <v>0</v>
      </c>
      <c r="M744" s="1041">
        <f>'Part VI-Revenues &amp; Expenses'!M110</f>
        <v>0</v>
      </c>
      <c r="N744" s="1041">
        <f>'Part VI-Revenues &amp; Expenses'!N110</f>
        <v>0</v>
      </c>
      <c r="O744" s="1041">
        <f>'Part VI-Revenues &amp; Expenses'!O110</f>
        <v>0</v>
      </c>
      <c r="P744" s="1041">
        <f>'Part VI-Revenues &amp; Expenses'!P110</f>
        <v>0</v>
      </c>
      <c r="T744" s="1576"/>
      <c r="U744" s="1576"/>
      <c r="FY744" s="832"/>
      <c r="FZ744" s="832"/>
      <c r="GA744" s="832"/>
      <c r="GB744" s="832"/>
      <c r="GC744" s="832"/>
      <c r="GD744" s="832"/>
      <c r="GE744" s="832"/>
      <c r="GF744" s="832"/>
      <c r="GG744" s="832"/>
      <c r="GH744" s="832"/>
      <c r="GI744" s="832"/>
      <c r="GJ744" s="832"/>
      <c r="GK744" s="832"/>
      <c r="GL744" s="832"/>
      <c r="GM744" s="832"/>
      <c r="GN744" s="832"/>
      <c r="GO744" s="832"/>
      <c r="GV744" s="835"/>
      <c r="HL744" s="835"/>
      <c r="HM744" s="835"/>
    </row>
    <row r="745" spans="2:221" ht="15" customHeight="1">
      <c r="C745" s="829" t="s">
        <v>984</v>
      </c>
      <c r="G745" s="920">
        <f t="shared" ref="G745:P745" si="217">SUM(G743:G744)</f>
        <v>0</v>
      </c>
      <c r="H745" s="920">
        <f t="shared" si="217"/>
        <v>0</v>
      </c>
      <c r="I745" s="920">
        <f t="shared" si="217"/>
        <v>0</v>
      </c>
      <c r="J745" s="920">
        <f t="shared" si="217"/>
        <v>0</v>
      </c>
      <c r="K745" s="920">
        <f t="shared" si="217"/>
        <v>0</v>
      </c>
      <c r="L745" s="920">
        <f t="shared" si="217"/>
        <v>0</v>
      </c>
      <c r="M745" s="920">
        <f t="shared" si="217"/>
        <v>0</v>
      </c>
      <c r="N745" s="920">
        <f t="shared" si="217"/>
        <v>0</v>
      </c>
      <c r="O745" s="920">
        <f t="shared" si="217"/>
        <v>0</v>
      </c>
      <c r="P745" s="920">
        <f t="shared" si="217"/>
        <v>0</v>
      </c>
      <c r="T745" s="1576"/>
      <c r="U745" s="1576"/>
      <c r="FY745" s="832"/>
      <c r="FZ745" s="832"/>
      <c r="GA745" s="832"/>
      <c r="GB745" s="832"/>
      <c r="GC745" s="832"/>
      <c r="GD745" s="832"/>
      <c r="GE745" s="832"/>
      <c r="GF745" s="832"/>
      <c r="GG745" s="832"/>
      <c r="GH745" s="832"/>
      <c r="GI745" s="832"/>
      <c r="GJ745" s="832"/>
      <c r="GK745" s="832"/>
      <c r="GL745" s="832"/>
      <c r="GM745" s="832"/>
      <c r="GN745" s="832"/>
      <c r="GO745" s="832"/>
      <c r="GV745" s="835"/>
      <c r="HL745" s="835"/>
      <c r="HM745" s="835"/>
    </row>
    <row r="746" spans="2:221" ht="6.6" customHeight="1">
      <c r="C746" s="829"/>
      <c r="G746" s="920"/>
      <c r="H746" s="920"/>
      <c r="I746" s="920"/>
      <c r="J746" s="920"/>
      <c r="K746" s="920"/>
      <c r="L746" s="920"/>
      <c r="M746" s="920"/>
      <c r="N746" s="920"/>
      <c r="O746" s="920"/>
      <c r="P746" s="920"/>
      <c r="FY746" s="832"/>
      <c r="FZ746" s="832"/>
      <c r="GA746" s="832"/>
      <c r="GB746" s="832"/>
      <c r="GC746" s="832"/>
      <c r="GD746" s="832"/>
      <c r="GE746" s="832"/>
      <c r="GF746" s="832"/>
      <c r="GG746" s="832"/>
      <c r="GH746" s="832"/>
      <c r="GI746" s="832"/>
      <c r="GJ746" s="832"/>
      <c r="GK746" s="832"/>
      <c r="GL746" s="832"/>
      <c r="GM746" s="832"/>
      <c r="GN746" s="832"/>
      <c r="GO746" s="832"/>
      <c r="GV746" s="835"/>
      <c r="HL746" s="835"/>
      <c r="HM746" s="835"/>
    </row>
    <row r="747" spans="2:221" ht="15.6" customHeight="1">
      <c r="B747" s="918" t="s">
        <v>3675</v>
      </c>
      <c r="G747" s="921"/>
      <c r="T747" s="583" t="str">
        <f>B747</f>
        <v>NOT Included in Mgt Fee:</v>
      </c>
      <c r="FY747" s="832"/>
      <c r="FZ747" s="832"/>
      <c r="GA747" s="832"/>
      <c r="GB747" s="832"/>
      <c r="GC747" s="832"/>
      <c r="GD747" s="832"/>
      <c r="GE747" s="832"/>
      <c r="GF747" s="832"/>
      <c r="GG747" s="832"/>
      <c r="GH747" s="832"/>
      <c r="GI747" s="832"/>
      <c r="GJ747" s="832"/>
      <c r="GK747" s="832"/>
      <c r="GL747" s="832"/>
      <c r="GM747" s="832"/>
      <c r="GN747" s="832"/>
      <c r="GO747" s="832"/>
      <c r="GV747" s="835"/>
      <c r="HL747" s="835"/>
      <c r="HM747" s="835"/>
    </row>
    <row r="748" spans="2:221" ht="15" customHeight="1">
      <c r="B748" s="1072" t="s">
        <v>566</v>
      </c>
      <c r="G748" s="1041">
        <f>'Part VI-Revenues &amp; Expenses'!G114</f>
        <v>0</v>
      </c>
      <c r="H748" s="1041">
        <f>'Part VI-Revenues &amp; Expenses'!H114</f>
        <v>0</v>
      </c>
      <c r="I748" s="1041">
        <f>'Part VI-Revenues &amp; Expenses'!I114</f>
        <v>0</v>
      </c>
      <c r="J748" s="1041">
        <f>'Part VI-Revenues &amp; Expenses'!J114</f>
        <v>0</v>
      </c>
      <c r="K748" s="1041">
        <f>'Part VI-Revenues &amp; Expenses'!K114</f>
        <v>0</v>
      </c>
      <c r="L748" s="1041">
        <f>'Part VI-Revenues &amp; Expenses'!L114</f>
        <v>0</v>
      </c>
      <c r="M748" s="1041">
        <f>'Part VI-Revenues &amp; Expenses'!M114</f>
        <v>0</v>
      </c>
      <c r="N748" s="1041">
        <f>'Part VI-Revenues &amp; Expenses'!N114</f>
        <v>0</v>
      </c>
      <c r="O748" s="1041">
        <f>'Part VI-Revenues &amp; Expenses'!O114</f>
        <v>0</v>
      </c>
      <c r="P748" s="1041">
        <f>'Part VI-Revenues &amp; Expenses'!P114</f>
        <v>0</v>
      </c>
      <c r="T748" s="1576"/>
      <c r="U748" s="1576"/>
      <c r="FY748" s="832"/>
      <c r="FZ748" s="832"/>
      <c r="GA748" s="832"/>
      <c r="GB748" s="832"/>
      <c r="GC748" s="832"/>
      <c r="GD748" s="832"/>
      <c r="GE748" s="832"/>
      <c r="GF748" s="832"/>
      <c r="GG748" s="832"/>
      <c r="GH748" s="832"/>
      <c r="GI748" s="832"/>
      <c r="GJ748" s="832"/>
      <c r="GK748" s="832"/>
      <c r="GL748" s="832"/>
      <c r="GM748" s="832"/>
      <c r="GN748" s="832"/>
      <c r="GO748" s="832"/>
      <c r="GV748" s="835"/>
      <c r="HL748" s="835"/>
      <c r="HM748" s="835"/>
    </row>
    <row r="749" spans="2:221" ht="15" customHeight="1">
      <c r="B749" s="1072" t="s">
        <v>791</v>
      </c>
      <c r="C749" s="1621">
        <f>'Part VI-Revenues &amp; Expenses'!C115</f>
        <v>0</v>
      </c>
      <c r="D749" s="1621"/>
      <c r="E749" s="1621"/>
      <c r="F749" s="1621"/>
      <c r="G749" s="1041">
        <f>'Part VI-Revenues &amp; Expenses'!G115</f>
        <v>0</v>
      </c>
      <c r="H749" s="1041">
        <f>'Part VI-Revenues &amp; Expenses'!H115</f>
        <v>0</v>
      </c>
      <c r="I749" s="1041">
        <f>'Part VI-Revenues &amp; Expenses'!I115</f>
        <v>0</v>
      </c>
      <c r="J749" s="1041">
        <f>'Part VI-Revenues &amp; Expenses'!J115</f>
        <v>0</v>
      </c>
      <c r="K749" s="1041">
        <f>'Part VI-Revenues &amp; Expenses'!K115</f>
        <v>0</v>
      </c>
      <c r="L749" s="1041">
        <f>'Part VI-Revenues &amp; Expenses'!L115</f>
        <v>0</v>
      </c>
      <c r="M749" s="1041">
        <f>'Part VI-Revenues &amp; Expenses'!M115</f>
        <v>0</v>
      </c>
      <c r="N749" s="1041">
        <f>'Part VI-Revenues &amp; Expenses'!N115</f>
        <v>0</v>
      </c>
      <c r="O749" s="1041">
        <f>'Part VI-Revenues &amp; Expenses'!O115</f>
        <v>0</v>
      </c>
      <c r="P749" s="1041">
        <f>'Part VI-Revenues &amp; Expenses'!P115</f>
        <v>0</v>
      </c>
      <c r="T749" s="1576"/>
      <c r="U749" s="1576"/>
      <c r="FY749" s="832"/>
      <c r="FZ749" s="832"/>
      <c r="GA749" s="832"/>
      <c r="GB749" s="832"/>
      <c r="GC749" s="832"/>
      <c r="GD749" s="832"/>
      <c r="GE749" s="832"/>
      <c r="GF749" s="832"/>
      <c r="GG749" s="832"/>
      <c r="GH749" s="832"/>
      <c r="GI749" s="832"/>
      <c r="GJ749" s="832"/>
      <c r="GK749" s="832"/>
      <c r="GL749" s="832"/>
      <c r="GM749" s="832"/>
      <c r="GN749" s="832"/>
      <c r="GO749" s="832"/>
      <c r="GV749" s="835"/>
      <c r="HL749" s="835"/>
      <c r="HM749" s="835"/>
    </row>
    <row r="750" spans="2:221" ht="15" customHeight="1">
      <c r="C750" s="829" t="s">
        <v>3676</v>
      </c>
      <c r="G750" s="920">
        <f t="shared" ref="G750:P750" si="218">SUM(G748:G749)</f>
        <v>0</v>
      </c>
      <c r="H750" s="920">
        <f t="shared" si="218"/>
        <v>0</v>
      </c>
      <c r="I750" s="920">
        <f t="shared" si="218"/>
        <v>0</v>
      </c>
      <c r="J750" s="920">
        <f t="shared" si="218"/>
        <v>0</v>
      </c>
      <c r="K750" s="920">
        <f t="shared" si="218"/>
        <v>0</v>
      </c>
      <c r="L750" s="920">
        <f t="shared" si="218"/>
        <v>0</v>
      </c>
      <c r="M750" s="920">
        <f t="shared" si="218"/>
        <v>0</v>
      </c>
      <c r="N750" s="920">
        <f t="shared" si="218"/>
        <v>0</v>
      </c>
      <c r="O750" s="920">
        <f t="shared" si="218"/>
        <v>0</v>
      </c>
      <c r="P750" s="920">
        <f t="shared" si="218"/>
        <v>0</v>
      </c>
      <c r="T750" s="1576"/>
      <c r="U750" s="1576"/>
      <c r="FY750" s="832"/>
      <c r="FZ750" s="832"/>
      <c r="GA750" s="832"/>
      <c r="GB750" s="832"/>
      <c r="GC750" s="832"/>
      <c r="GD750" s="832"/>
      <c r="GE750" s="832"/>
      <c r="GF750" s="832"/>
      <c r="GG750" s="832"/>
      <c r="GH750" s="832"/>
      <c r="GI750" s="832"/>
      <c r="GJ750" s="832"/>
      <c r="GK750" s="832"/>
      <c r="GL750" s="832"/>
      <c r="GM750" s="832"/>
      <c r="GN750" s="832"/>
      <c r="GO750" s="832"/>
      <c r="GV750" s="835"/>
      <c r="HL750" s="835"/>
      <c r="HM750" s="835"/>
    </row>
    <row r="751" spans="2:221" ht="42.6" customHeight="1">
      <c r="B751" s="835"/>
      <c r="G751" s="921"/>
      <c r="T751" s="905" t="s">
        <v>2805</v>
      </c>
      <c r="FY751" s="832"/>
      <c r="FZ751" s="832"/>
      <c r="GA751" s="832"/>
      <c r="GB751" s="832"/>
      <c r="GC751" s="832"/>
      <c r="GD751" s="832"/>
      <c r="GE751" s="832"/>
      <c r="GF751" s="832"/>
      <c r="GG751" s="832"/>
      <c r="GH751" s="832"/>
      <c r="GI751" s="832"/>
      <c r="GJ751" s="832"/>
      <c r="GK751" s="832"/>
      <c r="GL751" s="832"/>
      <c r="GM751" s="832"/>
      <c r="GN751" s="832"/>
      <c r="GO751" s="832"/>
      <c r="GV751" s="835"/>
      <c r="HL751" s="835"/>
      <c r="HM751" s="835"/>
    </row>
    <row r="752" spans="2:221" ht="13.9" customHeight="1">
      <c r="B752" s="918" t="s">
        <v>2434</v>
      </c>
      <c r="G752" s="919">
        <v>11</v>
      </c>
      <c r="H752" s="919">
        <v>12</v>
      </c>
      <c r="I752" s="919">
        <v>13</v>
      </c>
      <c r="J752" s="919">
        <v>14</v>
      </c>
      <c r="K752" s="919">
        <v>15</v>
      </c>
      <c r="L752" s="919">
        <v>16</v>
      </c>
      <c r="M752" s="919">
        <v>17</v>
      </c>
      <c r="N752" s="919">
        <v>18</v>
      </c>
      <c r="O752" s="919">
        <v>19</v>
      </c>
      <c r="P752" s="919">
        <v>20</v>
      </c>
      <c r="T752" s="583" t="str">
        <f>B752</f>
        <v>Included in Mgt Fee:</v>
      </c>
      <c r="FY752" s="832"/>
      <c r="FZ752" s="832"/>
      <c r="GA752" s="832"/>
      <c r="GB752" s="832"/>
      <c r="GC752" s="832"/>
      <c r="GD752" s="832"/>
      <c r="GE752" s="832"/>
      <c r="GF752" s="832"/>
      <c r="GG752" s="832"/>
      <c r="GH752" s="832"/>
      <c r="GI752" s="832"/>
      <c r="GJ752" s="832"/>
      <c r="GK752" s="832"/>
      <c r="GL752" s="832"/>
      <c r="GM752" s="832"/>
      <c r="GN752" s="832"/>
      <c r="GO752" s="832"/>
      <c r="GV752" s="835"/>
      <c r="HL752" s="835"/>
      <c r="HM752" s="835"/>
    </row>
    <row r="753" spans="2:221" ht="15" customHeight="1">
      <c r="B753" s="1072" t="s">
        <v>1079</v>
      </c>
      <c r="G753" s="1041">
        <f>'Part VI-Revenues &amp; Expenses'!G119</f>
        <v>0</v>
      </c>
      <c r="H753" s="1041">
        <f>'Part VI-Revenues &amp; Expenses'!H119</f>
        <v>0</v>
      </c>
      <c r="I753" s="1041">
        <f>'Part VI-Revenues &amp; Expenses'!I119</f>
        <v>0</v>
      </c>
      <c r="J753" s="1041">
        <f>'Part VI-Revenues &amp; Expenses'!J119</f>
        <v>0</v>
      </c>
      <c r="K753" s="1041">
        <f>'Part VI-Revenues &amp; Expenses'!K119</f>
        <v>0</v>
      </c>
      <c r="L753" s="1041">
        <f>'Part VI-Revenues &amp; Expenses'!L119</f>
        <v>0</v>
      </c>
      <c r="M753" s="1041">
        <f>'Part VI-Revenues &amp; Expenses'!M119</f>
        <v>0</v>
      </c>
      <c r="N753" s="1041">
        <f>'Part VI-Revenues &amp; Expenses'!N119</f>
        <v>0</v>
      </c>
      <c r="O753" s="1041">
        <f>'Part VI-Revenues &amp; Expenses'!O119</f>
        <v>0</v>
      </c>
      <c r="P753" s="1041">
        <f>'Part VI-Revenues &amp; Expenses'!P119</f>
        <v>0</v>
      </c>
      <c r="T753" s="1576"/>
      <c r="U753" s="1576"/>
      <c r="FY753" s="832"/>
      <c r="FZ753" s="832"/>
      <c r="GA753" s="832"/>
      <c r="GB753" s="832"/>
      <c r="GC753" s="832"/>
      <c r="GD753" s="832"/>
      <c r="GE753" s="832"/>
      <c r="GF753" s="832"/>
      <c r="GG753" s="832"/>
      <c r="GH753" s="832"/>
      <c r="GI753" s="832"/>
      <c r="GJ753" s="832"/>
      <c r="GK753" s="832"/>
      <c r="GL753" s="832"/>
      <c r="GM753" s="832"/>
      <c r="GN753" s="832"/>
      <c r="GO753" s="832"/>
      <c r="GV753" s="835"/>
      <c r="HL753" s="835"/>
      <c r="HM753" s="835"/>
    </row>
    <row r="754" spans="2:221" ht="15" customHeight="1">
      <c r="B754" s="1072" t="s">
        <v>791</v>
      </c>
      <c r="C754" s="1621">
        <f>'Part VI-Revenues &amp; Expenses'!C120</f>
        <v>0</v>
      </c>
      <c r="D754" s="1621"/>
      <c r="E754" s="1621"/>
      <c r="F754" s="1621"/>
      <c r="G754" s="1041">
        <f>'Part VI-Revenues &amp; Expenses'!G120</f>
        <v>0</v>
      </c>
      <c r="H754" s="1041">
        <f>'Part VI-Revenues &amp; Expenses'!H120</f>
        <v>0</v>
      </c>
      <c r="I754" s="1041">
        <f>'Part VI-Revenues &amp; Expenses'!I120</f>
        <v>0</v>
      </c>
      <c r="J754" s="1041">
        <f>'Part VI-Revenues &amp; Expenses'!J120</f>
        <v>0</v>
      </c>
      <c r="K754" s="1041">
        <f>'Part VI-Revenues &amp; Expenses'!K120</f>
        <v>0</v>
      </c>
      <c r="L754" s="1041">
        <f>'Part VI-Revenues &amp; Expenses'!L120</f>
        <v>0</v>
      </c>
      <c r="M754" s="1041">
        <f>'Part VI-Revenues &amp; Expenses'!M120</f>
        <v>0</v>
      </c>
      <c r="N754" s="1041">
        <f>'Part VI-Revenues &amp; Expenses'!N120</f>
        <v>0</v>
      </c>
      <c r="O754" s="1041">
        <f>'Part VI-Revenues &amp; Expenses'!O120</f>
        <v>0</v>
      </c>
      <c r="P754" s="1041">
        <f>'Part VI-Revenues &amp; Expenses'!P120</f>
        <v>0</v>
      </c>
      <c r="T754" s="1576"/>
      <c r="U754" s="1576"/>
      <c r="FY754" s="832"/>
      <c r="FZ754" s="832"/>
      <c r="GA754" s="832"/>
      <c r="GB754" s="832"/>
      <c r="GC754" s="832"/>
      <c r="GD754" s="832"/>
      <c r="GE754" s="832"/>
      <c r="GF754" s="832"/>
      <c r="GG754" s="832"/>
      <c r="GH754" s="832"/>
      <c r="GI754" s="832"/>
      <c r="GJ754" s="832"/>
      <c r="GK754" s="832"/>
      <c r="GL754" s="832"/>
      <c r="GM754" s="832"/>
      <c r="GN754" s="832"/>
      <c r="GO754" s="832"/>
      <c r="GV754" s="835"/>
      <c r="HL754" s="835"/>
      <c r="HM754" s="835"/>
    </row>
    <row r="755" spans="2:221" ht="15" customHeight="1">
      <c r="C755" s="829" t="s">
        <v>984</v>
      </c>
      <c r="G755" s="920">
        <f t="shared" ref="G755:P755" si="219">SUM(G753:G754)</f>
        <v>0</v>
      </c>
      <c r="H755" s="920">
        <f t="shared" si="219"/>
        <v>0</v>
      </c>
      <c r="I755" s="920">
        <f t="shared" si="219"/>
        <v>0</v>
      </c>
      <c r="J755" s="920">
        <f t="shared" si="219"/>
        <v>0</v>
      </c>
      <c r="K755" s="920">
        <f t="shared" si="219"/>
        <v>0</v>
      </c>
      <c r="L755" s="920">
        <f t="shared" si="219"/>
        <v>0</v>
      </c>
      <c r="M755" s="920">
        <f t="shared" si="219"/>
        <v>0</v>
      </c>
      <c r="N755" s="920">
        <f t="shared" si="219"/>
        <v>0</v>
      </c>
      <c r="O755" s="920">
        <f t="shared" si="219"/>
        <v>0</v>
      </c>
      <c r="P755" s="920">
        <f t="shared" si="219"/>
        <v>0</v>
      </c>
      <c r="T755" s="1576"/>
      <c r="U755" s="1576"/>
      <c r="FY755" s="832"/>
      <c r="FZ755" s="832"/>
      <c r="GA755" s="832"/>
      <c r="GB755" s="832"/>
      <c r="GC755" s="832"/>
      <c r="GD755" s="832"/>
      <c r="GE755" s="832"/>
      <c r="GF755" s="832"/>
      <c r="GG755" s="832"/>
      <c r="GH755" s="832"/>
      <c r="GI755" s="832"/>
      <c r="GJ755" s="832"/>
      <c r="GK755" s="832"/>
      <c r="GL755" s="832"/>
      <c r="GM755" s="832"/>
      <c r="GN755" s="832"/>
      <c r="GO755" s="832"/>
      <c r="GV755" s="835"/>
      <c r="HL755" s="835"/>
      <c r="HM755" s="835"/>
    </row>
    <row r="756" spans="2:221" ht="6.6" customHeight="1">
      <c r="C756" s="829"/>
      <c r="G756" s="920"/>
      <c r="H756" s="920"/>
      <c r="I756" s="920"/>
      <c r="J756" s="920"/>
      <c r="K756" s="920"/>
      <c r="L756" s="920"/>
      <c r="M756" s="920"/>
      <c r="N756" s="920"/>
      <c r="O756" s="920"/>
      <c r="P756" s="920"/>
      <c r="FY756" s="832"/>
      <c r="FZ756" s="832"/>
      <c r="GA756" s="832"/>
      <c r="GB756" s="832"/>
      <c r="GC756" s="832"/>
      <c r="GD756" s="832"/>
      <c r="GE756" s="832"/>
      <c r="GF756" s="832"/>
      <c r="GG756" s="832"/>
      <c r="GH756" s="832"/>
      <c r="GI756" s="832"/>
      <c r="GJ756" s="832"/>
      <c r="GK756" s="832"/>
      <c r="GL756" s="832"/>
      <c r="GM756" s="832"/>
      <c r="GN756" s="832"/>
      <c r="GO756" s="832"/>
      <c r="GV756" s="835"/>
      <c r="HL756" s="835"/>
      <c r="HM756" s="835"/>
    </row>
    <row r="757" spans="2:221" ht="15.6" customHeight="1">
      <c r="B757" s="918" t="s">
        <v>3675</v>
      </c>
      <c r="G757" s="921"/>
      <c r="T757" s="583" t="str">
        <f>B757</f>
        <v>NOT Included in Mgt Fee:</v>
      </c>
      <c r="FY757" s="832"/>
      <c r="FZ757" s="832"/>
      <c r="GA757" s="832"/>
      <c r="GB757" s="832"/>
      <c r="GC757" s="832"/>
      <c r="GD757" s="832"/>
      <c r="GE757" s="832"/>
      <c r="GF757" s="832"/>
      <c r="GG757" s="832"/>
      <c r="GH757" s="832"/>
      <c r="GI757" s="832"/>
      <c r="GJ757" s="832"/>
      <c r="GK757" s="832"/>
      <c r="GL757" s="832"/>
      <c r="GM757" s="832"/>
      <c r="GN757" s="832"/>
      <c r="GO757" s="832"/>
      <c r="GV757" s="835"/>
      <c r="HL757" s="835"/>
      <c r="HM757" s="835"/>
    </row>
    <row r="758" spans="2:221" ht="15" customHeight="1">
      <c r="B758" s="1072" t="s">
        <v>566</v>
      </c>
      <c r="G758" s="1041">
        <f>'Part VI-Revenues &amp; Expenses'!G124</f>
        <v>0</v>
      </c>
      <c r="H758" s="1041">
        <f>'Part VI-Revenues &amp; Expenses'!H124</f>
        <v>0</v>
      </c>
      <c r="I758" s="1041">
        <f>'Part VI-Revenues &amp; Expenses'!I124</f>
        <v>0</v>
      </c>
      <c r="J758" s="1041">
        <f>'Part VI-Revenues &amp; Expenses'!J124</f>
        <v>0</v>
      </c>
      <c r="K758" s="1041">
        <f>'Part VI-Revenues &amp; Expenses'!K124</f>
        <v>0</v>
      </c>
      <c r="L758" s="1041">
        <f>'Part VI-Revenues &amp; Expenses'!L124</f>
        <v>0</v>
      </c>
      <c r="M758" s="1041">
        <f>'Part VI-Revenues &amp; Expenses'!M124</f>
        <v>0</v>
      </c>
      <c r="N758" s="1041">
        <f>'Part VI-Revenues &amp; Expenses'!N124</f>
        <v>0</v>
      </c>
      <c r="O758" s="1041">
        <f>'Part VI-Revenues &amp; Expenses'!O124</f>
        <v>0</v>
      </c>
      <c r="P758" s="1041">
        <f>'Part VI-Revenues &amp; Expenses'!P124</f>
        <v>0</v>
      </c>
      <c r="T758" s="1576"/>
      <c r="U758" s="1576"/>
      <c r="FY758" s="832"/>
      <c r="FZ758" s="832"/>
      <c r="GA758" s="832"/>
      <c r="GB758" s="832"/>
      <c r="GC758" s="832"/>
      <c r="GD758" s="832"/>
      <c r="GE758" s="832"/>
      <c r="GF758" s="832"/>
      <c r="GG758" s="832"/>
      <c r="GH758" s="832"/>
      <c r="GI758" s="832"/>
      <c r="GJ758" s="832"/>
      <c r="GK758" s="832"/>
      <c r="GL758" s="832"/>
      <c r="GM758" s="832"/>
      <c r="GN758" s="832"/>
      <c r="GO758" s="832"/>
      <c r="GV758" s="835"/>
      <c r="HL758" s="835"/>
      <c r="HM758" s="835"/>
    </row>
    <row r="759" spans="2:221" ht="15" customHeight="1">
      <c r="B759" s="1072" t="s">
        <v>791</v>
      </c>
      <c r="C759" s="1621">
        <f>'Part VI-Revenues &amp; Expenses'!C125</f>
        <v>0</v>
      </c>
      <c r="D759" s="1621"/>
      <c r="E759" s="1621"/>
      <c r="F759" s="1621"/>
      <c r="G759" s="1041">
        <f>'Part VI-Revenues &amp; Expenses'!G125</f>
        <v>0</v>
      </c>
      <c r="H759" s="1041">
        <f>'Part VI-Revenues &amp; Expenses'!H125</f>
        <v>0</v>
      </c>
      <c r="I759" s="1041">
        <f>'Part VI-Revenues &amp; Expenses'!I125</f>
        <v>0</v>
      </c>
      <c r="J759" s="1041">
        <f>'Part VI-Revenues &amp; Expenses'!J125</f>
        <v>0</v>
      </c>
      <c r="K759" s="1041">
        <f>'Part VI-Revenues &amp; Expenses'!K125</f>
        <v>0</v>
      </c>
      <c r="L759" s="1041">
        <f>'Part VI-Revenues &amp; Expenses'!L125</f>
        <v>0</v>
      </c>
      <c r="M759" s="1041">
        <f>'Part VI-Revenues &amp; Expenses'!M125</f>
        <v>0</v>
      </c>
      <c r="N759" s="1041">
        <f>'Part VI-Revenues &amp; Expenses'!N125</f>
        <v>0</v>
      </c>
      <c r="O759" s="1041">
        <f>'Part VI-Revenues &amp; Expenses'!O125</f>
        <v>0</v>
      </c>
      <c r="P759" s="1041">
        <f>'Part VI-Revenues &amp; Expenses'!P125</f>
        <v>0</v>
      </c>
      <c r="T759" s="1576"/>
      <c r="U759" s="1576"/>
      <c r="FY759" s="832"/>
      <c r="FZ759" s="832"/>
      <c r="GA759" s="832"/>
      <c r="GB759" s="832"/>
      <c r="GC759" s="832"/>
      <c r="GD759" s="832"/>
      <c r="GE759" s="832"/>
      <c r="GF759" s="832"/>
      <c r="GG759" s="832"/>
      <c r="GH759" s="832"/>
      <c r="GI759" s="832"/>
      <c r="GJ759" s="832"/>
      <c r="GK759" s="832"/>
      <c r="GL759" s="832"/>
      <c r="GM759" s="832"/>
      <c r="GN759" s="832"/>
      <c r="GO759" s="832"/>
      <c r="GV759" s="835"/>
      <c r="HL759" s="835"/>
      <c r="HM759" s="835"/>
    </row>
    <row r="760" spans="2:221" ht="15" customHeight="1">
      <c r="C760" s="829" t="s">
        <v>3676</v>
      </c>
      <c r="G760" s="920">
        <f t="shared" ref="G760:P760" si="220">SUM(G758:G759)</f>
        <v>0</v>
      </c>
      <c r="H760" s="920">
        <f t="shared" si="220"/>
        <v>0</v>
      </c>
      <c r="I760" s="920">
        <f t="shared" si="220"/>
        <v>0</v>
      </c>
      <c r="J760" s="920">
        <f t="shared" si="220"/>
        <v>0</v>
      </c>
      <c r="K760" s="920">
        <f t="shared" si="220"/>
        <v>0</v>
      </c>
      <c r="L760" s="920">
        <f t="shared" si="220"/>
        <v>0</v>
      </c>
      <c r="M760" s="920">
        <f t="shared" si="220"/>
        <v>0</v>
      </c>
      <c r="N760" s="920">
        <f t="shared" si="220"/>
        <v>0</v>
      </c>
      <c r="O760" s="920">
        <f t="shared" si="220"/>
        <v>0</v>
      </c>
      <c r="P760" s="920">
        <f t="shared" si="220"/>
        <v>0</v>
      </c>
      <c r="T760" s="1576"/>
      <c r="U760" s="1576"/>
      <c r="FY760" s="832"/>
      <c r="FZ760" s="832"/>
      <c r="GA760" s="832"/>
      <c r="GB760" s="832"/>
      <c r="GC760" s="832"/>
      <c r="GD760" s="832"/>
      <c r="GE760" s="832"/>
      <c r="GF760" s="832"/>
      <c r="GG760" s="832"/>
      <c r="GH760" s="832"/>
      <c r="GI760" s="832"/>
      <c r="GJ760" s="832"/>
      <c r="GK760" s="832"/>
      <c r="GL760" s="832"/>
      <c r="GM760" s="832"/>
      <c r="GN760" s="832"/>
      <c r="GO760" s="832"/>
      <c r="GV760" s="835"/>
      <c r="HL760" s="835"/>
      <c r="HM760" s="835"/>
    </row>
    <row r="761" spans="2:221" ht="42.6" customHeight="1">
      <c r="B761" s="835"/>
      <c r="G761" s="921"/>
      <c r="T761" s="905" t="s">
        <v>2806</v>
      </c>
      <c r="FY761" s="832"/>
      <c r="FZ761" s="832"/>
      <c r="GA761" s="832"/>
      <c r="GB761" s="832"/>
      <c r="GC761" s="832"/>
      <c r="GD761" s="832"/>
      <c r="GE761" s="832"/>
      <c r="GF761" s="832"/>
      <c r="GG761" s="832"/>
      <c r="GH761" s="832"/>
      <c r="GI761" s="832"/>
      <c r="GJ761" s="832"/>
      <c r="GK761" s="832"/>
      <c r="GL761" s="832"/>
      <c r="GM761" s="832"/>
      <c r="GN761" s="832"/>
      <c r="GO761" s="832"/>
      <c r="GV761" s="835"/>
      <c r="HL761" s="835"/>
      <c r="HM761" s="835"/>
    </row>
    <row r="762" spans="2:221" ht="13.9" customHeight="1">
      <c r="B762" s="918" t="s">
        <v>2434</v>
      </c>
      <c r="G762" s="919">
        <v>21</v>
      </c>
      <c r="H762" s="919">
        <v>22</v>
      </c>
      <c r="I762" s="919">
        <v>23</v>
      </c>
      <c r="J762" s="919">
        <v>24</v>
      </c>
      <c r="K762" s="919">
        <v>25</v>
      </c>
      <c r="L762" s="919">
        <v>26</v>
      </c>
      <c r="M762" s="919">
        <v>27</v>
      </c>
      <c r="N762" s="919">
        <v>28</v>
      </c>
      <c r="O762" s="919">
        <v>29</v>
      </c>
      <c r="P762" s="919">
        <v>30</v>
      </c>
      <c r="T762" s="583" t="str">
        <f>B762</f>
        <v>Included in Mgt Fee:</v>
      </c>
      <c r="FY762" s="832"/>
      <c r="FZ762" s="832"/>
      <c r="GA762" s="832"/>
      <c r="GB762" s="832"/>
      <c r="GC762" s="832"/>
      <c r="GD762" s="832"/>
      <c r="GE762" s="832"/>
      <c r="GF762" s="832"/>
      <c r="GG762" s="832"/>
      <c r="GH762" s="832"/>
      <c r="GI762" s="832"/>
      <c r="GJ762" s="832"/>
      <c r="GK762" s="832"/>
      <c r="GL762" s="832"/>
      <c r="GM762" s="832"/>
      <c r="GN762" s="832"/>
      <c r="GO762" s="832"/>
      <c r="GV762" s="835"/>
      <c r="HL762" s="835"/>
      <c r="HM762" s="835"/>
    </row>
    <row r="763" spans="2:221" ht="15" customHeight="1">
      <c r="B763" s="1072" t="s">
        <v>1079</v>
      </c>
      <c r="G763" s="1041">
        <f>'Part VI-Revenues &amp; Expenses'!G129</f>
        <v>0</v>
      </c>
      <c r="H763" s="1041">
        <f>'Part VI-Revenues &amp; Expenses'!H129</f>
        <v>0</v>
      </c>
      <c r="I763" s="1041">
        <f>'Part VI-Revenues &amp; Expenses'!I129</f>
        <v>0</v>
      </c>
      <c r="J763" s="1041">
        <f>'Part VI-Revenues &amp; Expenses'!J129</f>
        <v>0</v>
      </c>
      <c r="K763" s="1041">
        <f>'Part VI-Revenues &amp; Expenses'!K129</f>
        <v>0</v>
      </c>
      <c r="L763" s="1041">
        <f>'Part VI-Revenues &amp; Expenses'!L129</f>
        <v>0</v>
      </c>
      <c r="M763" s="1041">
        <f>'Part VI-Revenues &amp; Expenses'!M129</f>
        <v>0</v>
      </c>
      <c r="N763" s="1041">
        <f>'Part VI-Revenues &amp; Expenses'!N129</f>
        <v>0</v>
      </c>
      <c r="O763" s="1041">
        <f>'Part VI-Revenues &amp; Expenses'!O129</f>
        <v>0</v>
      </c>
      <c r="P763" s="1041">
        <f>'Part VI-Revenues &amp; Expenses'!P129</f>
        <v>0</v>
      </c>
      <c r="T763" s="1576"/>
      <c r="U763" s="1576"/>
      <c r="FY763" s="832"/>
      <c r="FZ763" s="832"/>
      <c r="GA763" s="832"/>
      <c r="GB763" s="832"/>
      <c r="GC763" s="832"/>
      <c r="GD763" s="832"/>
      <c r="GE763" s="832"/>
      <c r="GF763" s="832"/>
      <c r="GG763" s="832"/>
      <c r="GH763" s="832"/>
      <c r="GI763" s="832"/>
      <c r="GJ763" s="832"/>
      <c r="GK763" s="832"/>
      <c r="GL763" s="832"/>
      <c r="GM763" s="832"/>
      <c r="GN763" s="832"/>
      <c r="GO763" s="832"/>
      <c r="GV763" s="835"/>
      <c r="HL763" s="835"/>
      <c r="HM763" s="835"/>
    </row>
    <row r="764" spans="2:221" ht="15" customHeight="1">
      <c r="B764" s="1072" t="s">
        <v>791</v>
      </c>
      <c r="C764" s="1621">
        <f>'Part VI-Revenues &amp; Expenses'!C130</f>
        <v>0</v>
      </c>
      <c r="D764" s="1621"/>
      <c r="E764" s="1621"/>
      <c r="F764" s="1621"/>
      <c r="G764" s="1041">
        <f>'Part VI-Revenues &amp; Expenses'!G130</f>
        <v>0</v>
      </c>
      <c r="H764" s="1041">
        <f>'Part VI-Revenues &amp; Expenses'!H130</f>
        <v>0</v>
      </c>
      <c r="I764" s="1041">
        <f>'Part VI-Revenues &amp; Expenses'!I130</f>
        <v>0</v>
      </c>
      <c r="J764" s="1041">
        <f>'Part VI-Revenues &amp; Expenses'!J130</f>
        <v>0</v>
      </c>
      <c r="K764" s="1041">
        <f>'Part VI-Revenues &amp; Expenses'!K130</f>
        <v>0</v>
      </c>
      <c r="L764" s="1041">
        <f>'Part VI-Revenues &amp; Expenses'!L130</f>
        <v>0</v>
      </c>
      <c r="M764" s="1041">
        <f>'Part VI-Revenues &amp; Expenses'!M130</f>
        <v>0</v>
      </c>
      <c r="N764" s="1041">
        <f>'Part VI-Revenues &amp; Expenses'!N130</f>
        <v>0</v>
      </c>
      <c r="O764" s="1041">
        <f>'Part VI-Revenues &amp; Expenses'!O130</f>
        <v>0</v>
      </c>
      <c r="P764" s="1041">
        <f>'Part VI-Revenues &amp; Expenses'!P130</f>
        <v>0</v>
      </c>
      <c r="T764" s="1576"/>
      <c r="U764" s="1576"/>
      <c r="FY764" s="832"/>
      <c r="FZ764" s="832"/>
      <c r="GA764" s="832"/>
      <c r="GB764" s="832"/>
      <c r="GC764" s="832"/>
      <c r="GD764" s="832"/>
      <c r="GE764" s="832"/>
      <c r="GF764" s="832"/>
      <c r="GG764" s="832"/>
      <c r="GH764" s="832"/>
      <c r="GI764" s="832"/>
      <c r="GJ764" s="832"/>
      <c r="GK764" s="832"/>
      <c r="GL764" s="832"/>
      <c r="GM764" s="832"/>
      <c r="GN764" s="832"/>
      <c r="GO764" s="832"/>
      <c r="GV764" s="835"/>
      <c r="HL764" s="835"/>
      <c r="HM764" s="835"/>
    </row>
    <row r="765" spans="2:221" ht="15" customHeight="1">
      <c r="C765" s="829" t="s">
        <v>984</v>
      </c>
      <c r="G765" s="920">
        <f t="shared" ref="G765:P765" si="221">SUM(G763:G764)</f>
        <v>0</v>
      </c>
      <c r="H765" s="920">
        <f t="shared" si="221"/>
        <v>0</v>
      </c>
      <c r="I765" s="920">
        <f t="shared" si="221"/>
        <v>0</v>
      </c>
      <c r="J765" s="920">
        <f t="shared" si="221"/>
        <v>0</v>
      </c>
      <c r="K765" s="920">
        <f t="shared" si="221"/>
        <v>0</v>
      </c>
      <c r="L765" s="920">
        <f t="shared" si="221"/>
        <v>0</v>
      </c>
      <c r="M765" s="920">
        <f t="shared" si="221"/>
        <v>0</v>
      </c>
      <c r="N765" s="920">
        <f t="shared" si="221"/>
        <v>0</v>
      </c>
      <c r="O765" s="920">
        <f t="shared" si="221"/>
        <v>0</v>
      </c>
      <c r="P765" s="920">
        <f t="shared" si="221"/>
        <v>0</v>
      </c>
      <c r="T765" s="1576"/>
      <c r="U765" s="1576"/>
      <c r="FY765" s="832"/>
      <c r="FZ765" s="832"/>
      <c r="GA765" s="832"/>
      <c r="GB765" s="832"/>
      <c r="GC765" s="832"/>
      <c r="GD765" s="832"/>
      <c r="GE765" s="832"/>
      <c r="GF765" s="832"/>
      <c r="GG765" s="832"/>
      <c r="GH765" s="832"/>
      <c r="GI765" s="832"/>
      <c r="GJ765" s="832"/>
      <c r="GK765" s="832"/>
      <c r="GL765" s="832"/>
      <c r="GM765" s="832"/>
      <c r="GN765" s="832"/>
      <c r="GO765" s="832"/>
      <c r="GV765" s="835"/>
      <c r="HL765" s="835"/>
      <c r="HM765" s="835"/>
    </row>
    <row r="766" spans="2:221" ht="6.6" customHeight="1">
      <c r="C766" s="829"/>
      <c r="G766" s="920"/>
      <c r="H766" s="920"/>
      <c r="I766" s="920"/>
      <c r="J766" s="920"/>
      <c r="K766" s="920"/>
      <c r="L766" s="920"/>
      <c r="M766" s="920"/>
      <c r="N766" s="920"/>
      <c r="O766" s="920"/>
      <c r="P766" s="920"/>
      <c r="FY766" s="832"/>
      <c r="FZ766" s="832"/>
      <c r="GA766" s="832"/>
      <c r="GB766" s="832"/>
      <c r="GC766" s="832"/>
      <c r="GD766" s="832"/>
      <c r="GE766" s="832"/>
      <c r="GF766" s="832"/>
      <c r="GG766" s="832"/>
      <c r="GH766" s="832"/>
      <c r="GI766" s="832"/>
      <c r="GJ766" s="832"/>
      <c r="GK766" s="832"/>
      <c r="GL766" s="832"/>
      <c r="GM766" s="832"/>
      <c r="GN766" s="832"/>
      <c r="GO766" s="832"/>
      <c r="GV766" s="835"/>
      <c r="HL766" s="835"/>
      <c r="HM766" s="835"/>
    </row>
    <row r="767" spans="2:221" ht="15" customHeight="1">
      <c r="B767" s="918" t="s">
        <v>3675</v>
      </c>
      <c r="G767" s="921"/>
      <c r="T767" s="583" t="str">
        <f>B767</f>
        <v>NOT Included in Mgt Fee:</v>
      </c>
      <c r="FY767" s="832"/>
      <c r="FZ767" s="832"/>
      <c r="GA767" s="832"/>
      <c r="GB767" s="832"/>
      <c r="GC767" s="832"/>
      <c r="GD767" s="832"/>
      <c r="GE767" s="832"/>
      <c r="GF767" s="832"/>
      <c r="GG767" s="832"/>
      <c r="GH767" s="832"/>
      <c r="GI767" s="832"/>
      <c r="GJ767" s="832"/>
      <c r="GK767" s="832"/>
      <c r="GL767" s="832"/>
      <c r="GM767" s="832"/>
      <c r="GN767" s="832"/>
      <c r="GO767" s="832"/>
      <c r="GV767" s="835"/>
      <c r="HL767" s="835"/>
      <c r="HM767" s="835"/>
    </row>
    <row r="768" spans="2:221" ht="15" customHeight="1">
      <c r="B768" s="1072" t="s">
        <v>566</v>
      </c>
      <c r="G768" s="1041">
        <f>'Part VI-Revenues &amp; Expenses'!G134</f>
        <v>0</v>
      </c>
      <c r="H768" s="1041">
        <f>'Part VI-Revenues &amp; Expenses'!H134</f>
        <v>0</v>
      </c>
      <c r="I768" s="1041">
        <f>'Part VI-Revenues &amp; Expenses'!I134</f>
        <v>0</v>
      </c>
      <c r="J768" s="1041">
        <f>'Part VI-Revenues &amp; Expenses'!J134</f>
        <v>0</v>
      </c>
      <c r="K768" s="1041">
        <f>'Part VI-Revenues &amp; Expenses'!K134</f>
        <v>0</v>
      </c>
      <c r="L768" s="1041">
        <f>'Part VI-Revenues &amp; Expenses'!L134</f>
        <v>0</v>
      </c>
      <c r="M768" s="1041">
        <f>'Part VI-Revenues &amp; Expenses'!M134</f>
        <v>0</v>
      </c>
      <c r="N768" s="1041">
        <f>'Part VI-Revenues &amp; Expenses'!N134</f>
        <v>0</v>
      </c>
      <c r="O768" s="1041">
        <f>'Part VI-Revenues &amp; Expenses'!O134</f>
        <v>0</v>
      </c>
      <c r="P768" s="1041">
        <f>'Part VI-Revenues &amp; Expenses'!P134</f>
        <v>0</v>
      </c>
      <c r="T768" s="1576"/>
      <c r="U768" s="1576"/>
      <c r="FY768" s="832"/>
      <c r="FZ768" s="832"/>
      <c r="GA768" s="832"/>
      <c r="GB768" s="832"/>
      <c r="GC768" s="832"/>
      <c r="GD768" s="832"/>
      <c r="GE768" s="832"/>
      <c r="GF768" s="832"/>
      <c r="GG768" s="832"/>
      <c r="GH768" s="832"/>
      <c r="GI768" s="832"/>
      <c r="GJ768" s="832"/>
      <c r="GK768" s="832"/>
      <c r="GL768" s="832"/>
      <c r="GM768" s="832"/>
      <c r="GN768" s="832"/>
      <c r="GO768" s="832"/>
      <c r="GV768" s="835"/>
      <c r="HL768" s="835"/>
      <c r="HM768" s="835"/>
    </row>
    <row r="769" spans="1:221" ht="15" customHeight="1">
      <c r="B769" s="1072" t="s">
        <v>791</v>
      </c>
      <c r="C769" s="1621">
        <f>'Part VI-Revenues &amp; Expenses'!C135</f>
        <v>0</v>
      </c>
      <c r="D769" s="1621"/>
      <c r="E769" s="1621"/>
      <c r="F769" s="1621"/>
      <c r="G769" s="1041">
        <f>'Part VI-Revenues &amp; Expenses'!G135</f>
        <v>0</v>
      </c>
      <c r="H769" s="1041">
        <f>'Part VI-Revenues &amp; Expenses'!H135</f>
        <v>0</v>
      </c>
      <c r="I769" s="1041">
        <f>'Part VI-Revenues &amp; Expenses'!I135</f>
        <v>0</v>
      </c>
      <c r="J769" s="1041">
        <f>'Part VI-Revenues &amp; Expenses'!J135</f>
        <v>0</v>
      </c>
      <c r="K769" s="1041">
        <f>'Part VI-Revenues &amp; Expenses'!K135</f>
        <v>0</v>
      </c>
      <c r="L769" s="1041">
        <f>'Part VI-Revenues &amp; Expenses'!L135</f>
        <v>0</v>
      </c>
      <c r="M769" s="1041">
        <f>'Part VI-Revenues &amp; Expenses'!M135</f>
        <v>0</v>
      </c>
      <c r="N769" s="1041">
        <f>'Part VI-Revenues &amp; Expenses'!N135</f>
        <v>0</v>
      </c>
      <c r="O769" s="1041">
        <f>'Part VI-Revenues &amp; Expenses'!O135</f>
        <v>0</v>
      </c>
      <c r="P769" s="1041">
        <f>'Part VI-Revenues &amp; Expenses'!P135</f>
        <v>0</v>
      </c>
      <c r="T769" s="1576"/>
      <c r="U769" s="1576"/>
      <c r="FY769" s="832"/>
      <c r="FZ769" s="832"/>
      <c r="GA769" s="832"/>
      <c r="GB769" s="832"/>
      <c r="GC769" s="832"/>
      <c r="GD769" s="832"/>
      <c r="GE769" s="832"/>
      <c r="GF769" s="832"/>
      <c r="GG769" s="832"/>
      <c r="GH769" s="832"/>
      <c r="GI769" s="832"/>
      <c r="GJ769" s="832"/>
      <c r="GK769" s="832"/>
      <c r="GL769" s="832"/>
      <c r="GM769" s="832"/>
      <c r="GN769" s="832"/>
      <c r="GO769" s="832"/>
      <c r="GV769" s="835"/>
      <c r="HL769" s="835"/>
      <c r="HM769" s="835"/>
    </row>
    <row r="770" spans="1:221" ht="15" customHeight="1">
      <c r="C770" s="829" t="s">
        <v>3676</v>
      </c>
      <c r="G770" s="920">
        <f t="shared" ref="G770:P770" si="222">SUM(G768:G769)</f>
        <v>0</v>
      </c>
      <c r="H770" s="920">
        <f t="shared" si="222"/>
        <v>0</v>
      </c>
      <c r="I770" s="920">
        <f t="shared" si="222"/>
        <v>0</v>
      </c>
      <c r="J770" s="920">
        <f t="shared" si="222"/>
        <v>0</v>
      </c>
      <c r="K770" s="920">
        <f t="shared" si="222"/>
        <v>0</v>
      </c>
      <c r="L770" s="920">
        <f t="shared" si="222"/>
        <v>0</v>
      </c>
      <c r="M770" s="920">
        <f t="shared" si="222"/>
        <v>0</v>
      </c>
      <c r="N770" s="920">
        <f t="shared" si="222"/>
        <v>0</v>
      </c>
      <c r="O770" s="920">
        <f t="shared" si="222"/>
        <v>0</v>
      </c>
      <c r="P770" s="920">
        <f t="shared" si="222"/>
        <v>0</v>
      </c>
      <c r="T770" s="1576"/>
      <c r="U770" s="1576"/>
      <c r="FY770" s="832"/>
      <c r="FZ770" s="832"/>
      <c r="GA770" s="832"/>
      <c r="GB770" s="832"/>
      <c r="GC770" s="832"/>
      <c r="GD770" s="832"/>
      <c r="GE770" s="832"/>
      <c r="GF770" s="832"/>
      <c r="GG770" s="832"/>
      <c r="GH770" s="832"/>
      <c r="GI770" s="832"/>
      <c r="GJ770" s="832"/>
      <c r="GK770" s="832"/>
      <c r="GL770" s="832"/>
      <c r="GM770" s="832"/>
      <c r="GN770" s="832"/>
      <c r="GO770" s="832"/>
      <c r="GV770" s="835"/>
      <c r="HL770" s="835"/>
      <c r="HM770" s="835"/>
    </row>
    <row r="771" spans="1:221" ht="9.6" customHeight="1">
      <c r="B771" s="835"/>
      <c r="F771" s="921"/>
      <c r="G771" s="921"/>
      <c r="FY771" s="832"/>
      <c r="FZ771" s="832"/>
      <c r="GA771" s="832"/>
      <c r="GB771" s="832"/>
      <c r="GC771" s="832"/>
      <c r="GD771" s="832"/>
      <c r="GE771" s="832"/>
      <c r="GF771" s="832"/>
      <c r="GG771" s="832"/>
      <c r="GH771" s="832"/>
      <c r="GI771" s="832"/>
      <c r="GJ771" s="832"/>
      <c r="GK771" s="832"/>
      <c r="GL771" s="832"/>
      <c r="GM771" s="832"/>
      <c r="GN771" s="832"/>
      <c r="GO771" s="832"/>
      <c r="GV771" s="835"/>
      <c r="HL771" s="835"/>
      <c r="HM771" s="835"/>
    </row>
    <row r="772" spans="1:221" s="583" customFormat="1" ht="11.25" customHeight="1">
      <c r="A772" s="586" t="s">
        <v>1916</v>
      </c>
      <c r="B772" s="1127" t="s">
        <v>1081</v>
      </c>
      <c r="C772" s="1127"/>
      <c r="D772" s="1127"/>
      <c r="E772" s="1127"/>
      <c r="F772" s="1127"/>
      <c r="G772" s="1127"/>
      <c r="H772" s="1127"/>
      <c r="I772" s="1127"/>
      <c r="J772" s="1127"/>
      <c r="K772" s="1127"/>
      <c r="M772" s="911"/>
      <c r="N772" s="828"/>
      <c r="O772" s="828"/>
      <c r="T772" s="586" t="str">
        <f>B772</f>
        <v>ANNUAL OPERATING EXPENSE BUDGET</v>
      </c>
      <c r="U772" s="1072"/>
      <c r="V772" s="1072"/>
      <c r="W772" s="1072"/>
      <c r="X772" s="1072"/>
      <c r="FY772" s="828"/>
      <c r="FZ772" s="828"/>
      <c r="GA772" s="828"/>
      <c r="GB772" s="828"/>
      <c r="GC772" s="828"/>
      <c r="GD772" s="828"/>
      <c r="GE772" s="828"/>
      <c r="GF772" s="828"/>
      <c r="GG772" s="828"/>
      <c r="GH772" s="828"/>
      <c r="GI772" s="828"/>
      <c r="GJ772" s="828"/>
      <c r="GK772" s="828"/>
      <c r="GL772" s="828"/>
      <c r="GM772" s="828"/>
      <c r="GN772" s="828"/>
      <c r="GO772" s="828"/>
      <c r="GV772" s="586"/>
      <c r="HL772" s="586"/>
      <c r="HM772" s="586"/>
    </row>
    <row r="773" spans="1:221" s="583" customFormat="1" ht="9" customHeight="1">
      <c r="B773" s="1127"/>
      <c r="C773" s="1127"/>
      <c r="D773" s="1127"/>
      <c r="E773" s="1127"/>
      <c r="F773" s="1127"/>
      <c r="G773" s="1127"/>
      <c r="H773" s="1127"/>
      <c r="I773" s="1127"/>
      <c r="J773" s="1127"/>
      <c r="T773" s="1594" t="s">
        <v>1974</v>
      </c>
      <c r="U773" s="1594"/>
      <c r="FY773" s="828"/>
      <c r="FZ773" s="828"/>
      <c r="GA773" s="828"/>
      <c r="GB773" s="828"/>
      <c r="GC773" s="828"/>
      <c r="GD773" s="828"/>
      <c r="GE773" s="828"/>
      <c r="GF773" s="828"/>
      <c r="GG773" s="828"/>
      <c r="GH773" s="828"/>
      <c r="GI773" s="828"/>
      <c r="GJ773" s="828"/>
      <c r="GK773" s="828"/>
      <c r="GL773" s="828"/>
      <c r="GM773" s="828"/>
      <c r="GN773" s="828"/>
      <c r="GO773" s="828"/>
      <c r="GV773" s="586"/>
      <c r="HL773" s="586"/>
      <c r="HM773" s="586"/>
    </row>
    <row r="774" spans="1:221" s="583" customFormat="1" ht="13.15" customHeight="1">
      <c r="B774" s="586" t="s">
        <v>1376</v>
      </c>
      <c r="F774" s="1072"/>
      <c r="G774" s="1072"/>
      <c r="I774" s="586" t="s">
        <v>1464</v>
      </c>
      <c r="N774" s="586" t="s">
        <v>1463</v>
      </c>
      <c r="T774" s="1576"/>
      <c r="U774" s="1576"/>
      <c r="V774" s="1072"/>
      <c r="W774" s="1072"/>
      <c r="X774" s="1072"/>
      <c r="FY774" s="828"/>
      <c r="FZ774" s="828"/>
      <c r="GA774" s="828"/>
      <c r="GB774" s="828"/>
      <c r="GC774" s="828"/>
      <c r="GD774" s="828"/>
      <c r="GE774" s="828"/>
      <c r="GF774" s="828"/>
      <c r="GG774" s="828"/>
      <c r="GH774" s="828"/>
      <c r="GI774" s="828"/>
      <c r="GJ774" s="828"/>
      <c r="GK774" s="828"/>
      <c r="GL774" s="828"/>
      <c r="GM774" s="828"/>
      <c r="GN774" s="828"/>
      <c r="GO774" s="828"/>
      <c r="GV774" s="586"/>
      <c r="HL774" s="586"/>
      <c r="HM774" s="586"/>
    </row>
    <row r="775" spans="1:221" s="583" customFormat="1" ht="15.6" customHeight="1">
      <c r="B775" s="583" t="s">
        <v>2336</v>
      </c>
      <c r="F775" s="1614">
        <f>'Part VI-Revenues &amp; Expenses'!F141</f>
        <v>39661</v>
      </c>
      <c r="G775" s="1614"/>
      <c r="I775" s="583" t="s">
        <v>1465</v>
      </c>
      <c r="K775" s="1614">
        <f>'Part VI-Revenues &amp; Expenses'!K141</f>
        <v>7090</v>
      </c>
      <c r="L775" s="1614"/>
      <c r="N775" s="583" t="s">
        <v>985</v>
      </c>
      <c r="P775" s="923">
        <f>'Part VI-Revenues &amp; Expenses'!P141</f>
        <v>1817</v>
      </c>
      <c r="T775" s="1576"/>
      <c r="U775" s="1576"/>
      <c r="V775" s="1072"/>
      <c r="W775" s="1072"/>
      <c r="X775" s="1072"/>
      <c r="FY775" s="828"/>
      <c r="FZ775" s="828"/>
      <c r="GA775" s="828"/>
      <c r="GB775" s="828"/>
      <c r="GC775" s="828"/>
      <c r="GD775" s="828"/>
      <c r="GE775" s="828"/>
      <c r="GF775" s="828"/>
      <c r="GG775" s="828"/>
      <c r="GH775" s="828"/>
      <c r="GI775" s="828"/>
      <c r="GJ775" s="828"/>
      <c r="GK775" s="828"/>
      <c r="GL775" s="828"/>
      <c r="GM775" s="828"/>
      <c r="GN775" s="828"/>
      <c r="GO775" s="828"/>
      <c r="GV775" s="586"/>
      <c r="HL775" s="586"/>
      <c r="HM775" s="586"/>
    </row>
    <row r="776" spans="1:221" s="583" customFormat="1" ht="15.6" customHeight="1">
      <c r="B776" s="583" t="s">
        <v>1454</v>
      </c>
      <c r="F776" s="1614">
        <f>'Part VI-Revenues &amp; Expenses'!F142</f>
        <v>47628</v>
      </c>
      <c r="G776" s="1614"/>
      <c r="I776" s="583" t="s">
        <v>1466</v>
      </c>
      <c r="K776" s="1614">
        <f>'Part VI-Revenues &amp; Expenses'!K142</f>
        <v>105</v>
      </c>
      <c r="L776" s="1614"/>
      <c r="N776" s="583" t="s">
        <v>153</v>
      </c>
      <c r="P776" s="923">
        <f>'Part VI-Revenues &amp; Expenses'!P142</f>
        <v>21300</v>
      </c>
      <c r="T776" s="1576"/>
      <c r="U776" s="1576"/>
      <c r="V776" s="1072"/>
      <c r="W776" s="1072"/>
      <c r="X776" s="1072"/>
      <c r="FY776" s="828"/>
      <c r="FZ776" s="828"/>
      <c r="GA776" s="828"/>
      <c r="GB776" s="828"/>
      <c r="GC776" s="828"/>
      <c r="GD776" s="828"/>
      <c r="GE776" s="828"/>
      <c r="GF776" s="828"/>
      <c r="GG776" s="828"/>
      <c r="GH776" s="828"/>
      <c r="GI776" s="828"/>
      <c r="GJ776" s="828"/>
      <c r="GK776" s="828"/>
      <c r="GL776" s="828"/>
      <c r="GM776" s="828"/>
      <c r="GN776" s="828"/>
      <c r="GO776" s="828"/>
      <c r="GV776" s="586"/>
      <c r="HL776" s="586"/>
      <c r="HM776" s="586"/>
    </row>
    <row r="777" spans="1:221" s="583" customFormat="1" ht="15.6" customHeight="1">
      <c r="B777" s="583" t="s">
        <v>1317</v>
      </c>
      <c r="F777" s="1614">
        <f>'Part VI-Revenues &amp; Expenses'!F143</f>
        <v>0</v>
      </c>
      <c r="G777" s="1614"/>
      <c r="J777" s="922" t="s">
        <v>199</v>
      </c>
      <c r="K777" s="1614">
        <f>SUM(K775:L776)</f>
        <v>7195</v>
      </c>
      <c r="L777" s="1614"/>
      <c r="N777" s="1619" t="str">
        <f>'Part VI-Revenues &amp; Expenses'!N143</f>
        <v>Other (describe here)</v>
      </c>
      <c r="O777" s="1619"/>
      <c r="P777" s="923">
        <f>'Part VI-Revenues &amp; Expenses'!P143</f>
        <v>0</v>
      </c>
      <c r="T777" s="1576"/>
      <c r="U777" s="1576"/>
      <c r="V777" s="1072"/>
      <c r="W777" s="1072"/>
      <c r="X777" s="1072"/>
      <c r="FY777" s="828"/>
      <c r="FZ777" s="828"/>
      <c r="GA777" s="828"/>
      <c r="GB777" s="828"/>
      <c r="GC777" s="828"/>
      <c r="GD777" s="828"/>
      <c r="GE777" s="828"/>
      <c r="GF777" s="828"/>
      <c r="GG777" s="828"/>
      <c r="GH777" s="828"/>
      <c r="GI777" s="828"/>
      <c r="GJ777" s="828"/>
      <c r="GK777" s="828"/>
      <c r="GL777" s="828"/>
      <c r="GM777" s="828"/>
      <c r="GN777" s="828"/>
      <c r="GO777" s="828"/>
      <c r="GV777" s="586"/>
      <c r="HL777" s="586"/>
      <c r="HM777" s="586"/>
    </row>
    <row r="778" spans="1:221" s="583" customFormat="1" ht="15.6" customHeight="1">
      <c r="B778" s="1618" t="str">
        <f>'Part VI-Revenues &amp; Expenses'!B144</f>
        <v>Other (describe here)</v>
      </c>
      <c r="C778" s="1618"/>
      <c r="D778" s="1618"/>
      <c r="E778" s="1618"/>
      <c r="F778" s="1614">
        <f>'Part VI-Revenues &amp; Expenses'!F144</f>
        <v>0</v>
      </c>
      <c r="G778" s="1614"/>
      <c r="N778" s="922" t="s">
        <v>199</v>
      </c>
      <c r="P778" s="923">
        <f>SUM(P775:P777)</f>
        <v>23117</v>
      </c>
      <c r="T778" s="1576"/>
      <c r="U778" s="1576"/>
      <c r="V778" s="1072"/>
      <c r="W778" s="1072"/>
      <c r="X778" s="1072"/>
      <c r="FY778" s="828"/>
      <c r="FZ778" s="828"/>
      <c r="GA778" s="828"/>
      <c r="GB778" s="828"/>
      <c r="GC778" s="828"/>
      <c r="GD778" s="828"/>
      <c r="GE778" s="828"/>
      <c r="GF778" s="828"/>
      <c r="GG778" s="828"/>
      <c r="GH778" s="828"/>
      <c r="GI778" s="828"/>
      <c r="GJ778" s="828"/>
      <c r="GK778" s="828"/>
      <c r="GL778" s="828"/>
      <c r="GM778" s="828"/>
      <c r="GN778" s="828"/>
      <c r="GO778" s="828"/>
      <c r="GV778" s="586"/>
      <c r="HL778" s="586"/>
      <c r="HM778" s="586"/>
    </row>
    <row r="779" spans="1:221" s="583" customFormat="1" ht="15.6" customHeight="1">
      <c r="C779" s="922" t="s">
        <v>199</v>
      </c>
      <c r="F779" s="1614">
        <f>SUM(F775:G778)</f>
        <v>87289</v>
      </c>
      <c r="G779" s="1614"/>
      <c r="J779" s="1121"/>
      <c r="T779" s="1576"/>
      <c r="U779" s="1576"/>
      <c r="V779" s="1072"/>
      <c r="W779" s="1072"/>
      <c r="X779" s="1072"/>
      <c r="FY779" s="828"/>
      <c r="FZ779" s="828"/>
      <c r="GA779" s="828"/>
      <c r="GB779" s="828"/>
      <c r="GC779" s="828"/>
      <c r="GD779" s="828"/>
      <c r="GE779" s="828"/>
      <c r="GF779" s="828"/>
      <c r="GG779" s="828"/>
      <c r="GH779" s="828"/>
      <c r="GI779" s="828"/>
      <c r="GJ779" s="828"/>
      <c r="GK779" s="828"/>
      <c r="GL779" s="828"/>
      <c r="GM779" s="828"/>
      <c r="GN779" s="828"/>
      <c r="GO779" s="828"/>
      <c r="GV779" s="586"/>
      <c r="HL779" s="586"/>
      <c r="HM779" s="586"/>
    </row>
    <row r="780" spans="1:221" s="583" customFormat="1" ht="6" customHeight="1">
      <c r="C780" s="586"/>
      <c r="D780" s="922"/>
      <c r="F780" s="1121"/>
      <c r="G780" s="1121"/>
      <c r="J780" s="1121"/>
      <c r="M780" s="586"/>
      <c r="O780" s="922"/>
      <c r="T780" s="1576"/>
      <c r="U780" s="1576"/>
      <c r="FY780" s="828"/>
      <c r="FZ780" s="828"/>
      <c r="GA780" s="828"/>
      <c r="GB780" s="828"/>
      <c r="GC780" s="828"/>
      <c r="GD780" s="828"/>
      <c r="GE780" s="828"/>
      <c r="GF780" s="828"/>
      <c r="GG780" s="828"/>
      <c r="GH780" s="828"/>
      <c r="GI780" s="828"/>
      <c r="GJ780" s="828"/>
      <c r="GK780" s="828"/>
      <c r="GL780" s="828"/>
      <c r="GM780" s="828"/>
      <c r="GN780" s="828"/>
      <c r="GO780" s="828"/>
      <c r="GV780" s="586"/>
      <c r="HL780" s="586"/>
      <c r="HM780" s="586"/>
    </row>
    <row r="781" spans="1:221" s="583" customFormat="1" ht="13.15" customHeight="1">
      <c r="B781" s="586" t="s">
        <v>1377</v>
      </c>
      <c r="D781" s="924"/>
      <c r="I781" s="586" t="s">
        <v>1378</v>
      </c>
      <c r="N781" s="586" t="s">
        <v>1467</v>
      </c>
      <c r="P781" s="925">
        <f>IF(OR('Part VII-Pro Forma'!$B$20 = "Choose Mgt Fee",'Part VII-Pro Forma'!$B$20 = "Choose One!"), 0,- 'Part VII-Pro Forma'!$B$20)</f>
        <v>42468</v>
      </c>
      <c r="T781" s="1576"/>
      <c r="U781" s="1576"/>
      <c r="V781" s="1072"/>
      <c r="W781" s="1072"/>
      <c r="X781" s="1072"/>
      <c r="FY781" s="828"/>
      <c r="FZ781" s="828"/>
      <c r="GA781" s="828"/>
      <c r="GB781" s="828"/>
      <c r="GC781" s="828"/>
      <c r="GD781" s="828"/>
      <c r="GE781" s="828"/>
      <c r="GF781" s="828"/>
      <c r="GG781" s="828"/>
      <c r="GH781" s="828"/>
      <c r="GI781" s="828"/>
      <c r="GJ781" s="828"/>
      <c r="GK781" s="828"/>
      <c r="GL781" s="828"/>
      <c r="GM781" s="828"/>
      <c r="GN781" s="828"/>
      <c r="GO781" s="828"/>
      <c r="GV781" s="586"/>
      <c r="HL781" s="586"/>
      <c r="HM781" s="586"/>
    </row>
    <row r="782" spans="1:221" s="583" customFormat="1" ht="15.6" customHeight="1">
      <c r="B782" s="583" t="s">
        <v>1459</v>
      </c>
      <c r="D782" s="924"/>
      <c r="F782" s="1614">
        <f>'Part VI-Revenues &amp; Expenses'!F148</f>
        <v>4500</v>
      </c>
      <c r="G782" s="1614"/>
      <c r="I782" s="583" t="s">
        <v>1711</v>
      </c>
      <c r="K782" s="1614">
        <f>'Part VI-Revenues &amp; Expenses'!K148</f>
        <v>1080</v>
      </c>
      <c r="L782" s="1614"/>
      <c r="N782" s="926">
        <f>+P781/(M696*0.93)</f>
        <v>608.86021505376345</v>
      </c>
      <c r="O782" s="927" t="s">
        <v>3138</v>
      </c>
      <c r="T782" s="1576"/>
      <c r="U782" s="1576"/>
      <c r="V782" s="1072"/>
      <c r="W782" s="1072"/>
      <c r="X782" s="1072"/>
      <c r="FY782" s="828"/>
      <c r="FZ782" s="828"/>
      <c r="GA782" s="828"/>
      <c r="GB782" s="828"/>
      <c r="GC782" s="828"/>
      <c r="GD782" s="828"/>
      <c r="GE782" s="828"/>
      <c r="GF782" s="828"/>
      <c r="GG782" s="828"/>
      <c r="GH782" s="828"/>
      <c r="GI782" s="828"/>
      <c r="GJ782" s="828"/>
      <c r="GK782" s="828"/>
      <c r="GL782" s="828"/>
      <c r="GM782" s="828"/>
      <c r="GN782" s="828"/>
      <c r="GO782" s="828"/>
      <c r="GV782" s="586"/>
      <c r="HL782" s="586"/>
      <c r="HM782" s="586"/>
    </row>
    <row r="783" spans="1:221" s="583" customFormat="1" ht="15.6" customHeight="1">
      <c r="B783" s="583" t="s">
        <v>1460</v>
      </c>
      <c r="D783" s="924"/>
      <c r="F783" s="1614">
        <f>'Part VI-Revenues &amp; Expenses'!F149</f>
        <v>1570</v>
      </c>
      <c r="G783" s="1614"/>
      <c r="I783" s="583" t="s">
        <v>2187</v>
      </c>
      <c r="K783" s="1614">
        <f>'Part VI-Revenues &amp; Expenses'!K149</f>
        <v>4081</v>
      </c>
      <c r="L783" s="1614"/>
      <c r="N783" s="926">
        <f>+P781/(M696*0.93)/12</f>
        <v>50.738351254480285</v>
      </c>
      <c r="O783" s="927" t="s">
        <v>3140</v>
      </c>
      <c r="T783" s="1576"/>
      <c r="U783" s="1576"/>
      <c r="V783" s="1072"/>
      <c r="W783" s="1072"/>
      <c r="X783" s="1072"/>
      <c r="FY783" s="828"/>
      <c r="FZ783" s="828"/>
      <c r="GA783" s="828"/>
      <c r="GB783" s="828"/>
      <c r="GC783" s="828"/>
      <c r="GD783" s="828"/>
      <c r="GE783" s="828"/>
      <c r="GF783" s="828"/>
      <c r="GG783" s="828"/>
      <c r="GH783" s="828"/>
      <c r="GI783" s="828"/>
      <c r="GJ783" s="828"/>
      <c r="GK783" s="828"/>
      <c r="GL783" s="828"/>
      <c r="GM783" s="828"/>
      <c r="GN783" s="828"/>
      <c r="GO783" s="828"/>
      <c r="GV783" s="586"/>
      <c r="HL783" s="586"/>
      <c r="HM783" s="586"/>
    </row>
    <row r="784" spans="1:221" s="583" customFormat="1" ht="15.6" customHeight="1">
      <c r="B784" s="583" t="s">
        <v>1461</v>
      </c>
      <c r="D784" s="924"/>
      <c r="F784" s="1614">
        <f>'Part VI-Revenues &amp; Expenses'!F150</f>
        <v>1308</v>
      </c>
      <c r="G784" s="1614"/>
      <c r="I784" s="583" t="s">
        <v>1712</v>
      </c>
      <c r="K784" s="1614">
        <f>'Part VI-Revenues &amp; Expenses'!K150</f>
        <v>1047</v>
      </c>
      <c r="L784" s="1614"/>
      <c r="T784" s="1576"/>
      <c r="U784" s="1576"/>
      <c r="V784" s="1072"/>
      <c r="W784" s="1072"/>
      <c r="X784" s="1072"/>
      <c r="FY784" s="828"/>
      <c r="FZ784" s="828"/>
      <c r="GA784" s="828"/>
      <c r="GB784" s="828"/>
      <c r="GC784" s="828"/>
      <c r="GD784" s="828"/>
      <c r="GE784" s="828"/>
      <c r="GF784" s="828"/>
      <c r="GG784" s="828"/>
      <c r="GH784" s="828"/>
      <c r="GI784" s="828"/>
      <c r="GJ784" s="828"/>
      <c r="GK784" s="828"/>
      <c r="GL784" s="828"/>
      <c r="GM784" s="828"/>
      <c r="GN784" s="828"/>
      <c r="GO784" s="828"/>
      <c r="GV784" s="586"/>
      <c r="HL784" s="586"/>
      <c r="HM784" s="586"/>
    </row>
    <row r="785" spans="2:221" s="583" customFormat="1" ht="15.6" customHeight="1">
      <c r="B785" s="583" t="s">
        <v>2491</v>
      </c>
      <c r="D785" s="924"/>
      <c r="F785" s="1614">
        <f>'Part VI-Revenues &amp; Expenses'!F151</f>
        <v>1177</v>
      </c>
      <c r="G785" s="1614"/>
      <c r="I785" s="1619" t="str">
        <f>'Part VI-Revenues &amp; Expenses'!I151</f>
        <v>Other (describe here)</v>
      </c>
      <c r="J785" s="1619"/>
      <c r="K785" s="1614">
        <f>'Part VI-Revenues &amp; Expenses'!K151</f>
        <v>1823</v>
      </c>
      <c r="L785" s="1614"/>
      <c r="N785" s="1596" t="s">
        <v>2628</v>
      </c>
      <c r="O785" s="1596"/>
      <c r="P785" s="1596"/>
      <c r="T785" s="1576"/>
      <c r="U785" s="1576"/>
      <c r="V785" s="1072"/>
      <c r="W785" s="1072"/>
      <c r="X785" s="1072"/>
      <c r="FY785" s="828"/>
      <c r="FZ785" s="828"/>
      <c r="GA785" s="828"/>
      <c r="GB785" s="828"/>
      <c r="GC785" s="828"/>
      <c r="GD785" s="828"/>
      <c r="GE785" s="828"/>
      <c r="GF785" s="828"/>
      <c r="GG785" s="828"/>
      <c r="GH785" s="828"/>
      <c r="GI785" s="828"/>
      <c r="GJ785" s="828"/>
      <c r="GK785" s="828"/>
      <c r="GL785" s="828"/>
      <c r="GM785" s="828"/>
      <c r="GN785" s="828"/>
      <c r="GO785" s="828"/>
      <c r="GV785" s="586"/>
      <c r="HL785" s="586"/>
      <c r="HM785" s="586"/>
    </row>
    <row r="786" spans="2:221" s="583" customFormat="1" ht="15.6" customHeight="1">
      <c r="B786" s="583" t="s">
        <v>1709</v>
      </c>
      <c r="D786" s="924"/>
      <c r="F786" s="1614">
        <f>'Part VI-Revenues &amp; Expenses'!F152</f>
        <v>1757</v>
      </c>
      <c r="G786" s="1614"/>
      <c r="I786" s="586"/>
      <c r="J786" s="922" t="s">
        <v>199</v>
      </c>
      <c r="K786" s="1620">
        <f>SUM(K782:K785)</f>
        <v>8031</v>
      </c>
      <c r="L786" s="1620"/>
      <c r="N786" s="1596"/>
      <c r="O786" s="1596"/>
      <c r="P786" s="1596"/>
      <c r="T786" s="1576"/>
      <c r="U786" s="1576"/>
      <c r="V786" s="1072"/>
      <c r="W786" s="1072"/>
      <c r="X786" s="1072"/>
      <c r="FY786" s="828"/>
      <c r="FZ786" s="828"/>
      <c r="GA786" s="828"/>
      <c r="GB786" s="828"/>
      <c r="GC786" s="828"/>
      <c r="GD786" s="828"/>
      <c r="GE786" s="828"/>
      <c r="GF786" s="828"/>
      <c r="GG786" s="828"/>
      <c r="GH786" s="828"/>
      <c r="GI786" s="828"/>
      <c r="GJ786" s="828"/>
      <c r="GK786" s="828"/>
      <c r="GL786" s="828"/>
      <c r="GM786" s="828"/>
      <c r="GN786" s="828"/>
      <c r="GO786" s="828"/>
      <c r="GV786" s="586"/>
      <c r="HL786" s="586"/>
      <c r="HM786" s="586"/>
    </row>
    <row r="787" spans="2:221" s="583" customFormat="1" ht="15.6" customHeight="1">
      <c r="B787" s="1618" t="str">
        <f>'Part VI-Revenues &amp; Expenses'!B153</f>
        <v>Other (describe here)</v>
      </c>
      <c r="C787" s="1618"/>
      <c r="D787" s="1618"/>
      <c r="E787" s="1618"/>
      <c r="F787" s="1614">
        <f>'Part VI-Revenues &amp; Expenses'!F153</f>
        <v>5465</v>
      </c>
      <c r="G787" s="1614"/>
      <c r="J787" s="1121"/>
      <c r="T787" s="1576"/>
      <c r="U787" s="1576"/>
      <c r="V787" s="1072"/>
      <c r="W787" s="1072"/>
      <c r="X787" s="1072"/>
      <c r="FY787" s="828"/>
      <c r="FZ787" s="828"/>
      <c r="GA787" s="828"/>
      <c r="GB787" s="828"/>
      <c r="GC787" s="828"/>
      <c r="GD787" s="828"/>
      <c r="GE787" s="828"/>
      <c r="GF787" s="828"/>
      <c r="GG787" s="828"/>
      <c r="GH787" s="828"/>
      <c r="GI787" s="828"/>
      <c r="GJ787" s="828"/>
      <c r="GK787" s="828"/>
      <c r="GL787" s="828"/>
      <c r="GM787" s="828"/>
      <c r="GN787" s="828"/>
      <c r="GO787" s="828"/>
      <c r="GV787" s="586"/>
      <c r="HL787" s="586"/>
      <c r="HM787" s="586"/>
    </row>
    <row r="788" spans="2:221" s="583" customFormat="1" ht="15.6" customHeight="1">
      <c r="C788" s="922" t="s">
        <v>199</v>
      </c>
      <c r="F788" s="1614">
        <f>SUM(F782:G787)</f>
        <v>15777</v>
      </c>
      <c r="G788" s="1614"/>
      <c r="J788" s="1121"/>
      <c r="T788" s="1576"/>
      <c r="U788" s="1576"/>
      <c r="V788" s="1072"/>
      <c r="W788" s="1072"/>
      <c r="X788" s="1072"/>
      <c r="FY788" s="828"/>
      <c r="FZ788" s="828"/>
      <c r="GA788" s="828"/>
      <c r="GB788" s="828"/>
      <c r="GC788" s="828"/>
      <c r="GD788" s="828"/>
      <c r="GE788" s="828"/>
      <c r="GF788" s="828"/>
      <c r="GG788" s="828"/>
      <c r="GH788" s="828"/>
      <c r="GI788" s="828"/>
      <c r="GJ788" s="828"/>
      <c r="GK788" s="828"/>
      <c r="GL788" s="828"/>
      <c r="GM788" s="828"/>
      <c r="GN788" s="828"/>
      <c r="GO788" s="828"/>
      <c r="GV788" s="586"/>
      <c r="HL788" s="586"/>
      <c r="HM788" s="586"/>
    </row>
    <row r="789" spans="2:221" s="583" customFormat="1" ht="6" customHeight="1">
      <c r="D789" s="922"/>
      <c r="F789" s="1121"/>
      <c r="G789" s="1121"/>
      <c r="J789" s="1121"/>
      <c r="T789" s="1576"/>
      <c r="U789" s="1576"/>
      <c r="FY789" s="828"/>
      <c r="FZ789" s="828"/>
      <c r="GA789" s="828"/>
      <c r="GB789" s="828"/>
      <c r="GC789" s="828"/>
      <c r="GD789" s="828"/>
      <c r="GE789" s="828"/>
      <c r="GF789" s="828"/>
      <c r="GG789" s="828"/>
      <c r="GH789" s="828"/>
      <c r="GI789" s="828"/>
      <c r="GJ789" s="828"/>
      <c r="GK789" s="828"/>
      <c r="GL789" s="828"/>
      <c r="GM789" s="828"/>
      <c r="GN789" s="828"/>
      <c r="GO789" s="828"/>
      <c r="GV789" s="586"/>
      <c r="HL789" s="586"/>
      <c r="HM789" s="586"/>
    </row>
    <row r="790" spans="2:221" s="583" customFormat="1" ht="13.15" customHeight="1">
      <c r="B790" s="586" t="s">
        <v>1379</v>
      </c>
      <c r="D790" s="924"/>
      <c r="I790" s="586" t="s">
        <v>1462</v>
      </c>
      <c r="J790" s="1089" t="s">
        <v>3137</v>
      </c>
      <c r="N790" s="586" t="s">
        <v>2326</v>
      </c>
      <c r="T790" s="1576"/>
      <c r="U790" s="1576"/>
      <c r="V790" s="1072"/>
      <c r="W790" s="1072"/>
      <c r="X790" s="1072"/>
      <c r="FY790" s="828"/>
      <c r="FZ790" s="828"/>
      <c r="GA790" s="828"/>
      <c r="GB790" s="828"/>
      <c r="GC790" s="828"/>
      <c r="GD790" s="828"/>
      <c r="GE790" s="828"/>
      <c r="GF790" s="828"/>
      <c r="GG790" s="828"/>
      <c r="GH790" s="828"/>
      <c r="GI790" s="828"/>
      <c r="GJ790" s="828"/>
      <c r="GK790" s="828"/>
      <c r="GL790" s="828"/>
      <c r="GM790" s="828"/>
      <c r="GN790" s="828"/>
      <c r="GO790" s="828"/>
      <c r="GV790" s="586"/>
      <c r="HL790" s="586"/>
      <c r="HM790" s="586"/>
    </row>
    <row r="791" spans="2:221" s="583" customFormat="1" ht="15.6" customHeight="1">
      <c r="B791" s="583" t="s">
        <v>1713</v>
      </c>
      <c r="D791" s="924"/>
      <c r="F791" s="1614">
        <f>'Part VI-Revenues &amp; Expenses'!F157</f>
        <v>11250</v>
      </c>
      <c r="G791" s="1614"/>
      <c r="I791" s="583" t="s">
        <v>1455</v>
      </c>
      <c r="J791" s="1099">
        <f>K791/12/M696</f>
        <v>21.264444444444443</v>
      </c>
      <c r="K791" s="1614">
        <f>'Part VI-Revenues &amp; Expenses'!K157</f>
        <v>19138</v>
      </c>
      <c r="L791" s="1614"/>
      <c r="N791" s="926">
        <f>+P791/M696</f>
        <v>4253.5733333333337</v>
      </c>
      <c r="O791" s="927" t="s">
        <v>3141</v>
      </c>
      <c r="P791" s="923">
        <f>F779+F788+F799+K777+K786+K796+P778+P781</f>
        <v>319018</v>
      </c>
      <c r="T791" s="1576"/>
      <c r="U791" s="1576"/>
      <c r="V791" s="1072"/>
      <c r="W791" s="1072"/>
      <c r="X791" s="1072"/>
      <c r="FY791" s="828"/>
      <c r="FZ791" s="828"/>
      <c r="GA791" s="828"/>
      <c r="GB791" s="828"/>
      <c r="GC791" s="828"/>
      <c r="GD791" s="828"/>
      <c r="GE791" s="828"/>
      <c r="GF791" s="828"/>
      <c r="GG791" s="828"/>
      <c r="GH791" s="828"/>
      <c r="GI791" s="828"/>
      <c r="GJ791" s="828"/>
      <c r="GK791" s="828"/>
      <c r="GL791" s="828"/>
      <c r="GM791" s="828"/>
      <c r="GN791" s="828"/>
      <c r="GO791" s="828"/>
      <c r="GV791" s="586"/>
      <c r="HL791" s="586"/>
      <c r="HM791" s="586"/>
    </row>
    <row r="792" spans="2:221" s="583" customFormat="1" ht="15.6" customHeight="1">
      <c r="B792" s="583" t="s">
        <v>1714</v>
      </c>
      <c r="D792" s="924"/>
      <c r="F792" s="1614">
        <f>'Part VI-Revenues &amp; Expenses'!F158</f>
        <v>11250</v>
      </c>
      <c r="G792" s="1614"/>
      <c r="I792" s="583" t="s">
        <v>1456</v>
      </c>
      <c r="J792" s="1099">
        <f>K792/12/M696</f>
        <v>0</v>
      </c>
      <c r="K792" s="1614">
        <f>'Part VI-Revenues &amp; Expenses'!K158</f>
        <v>0</v>
      </c>
      <c r="L792" s="1614"/>
      <c r="T792" s="1576"/>
      <c r="U792" s="1576"/>
      <c r="V792" s="1072"/>
      <c r="W792" s="1072"/>
      <c r="X792" s="1072"/>
      <c r="FY792" s="828"/>
      <c r="FZ792" s="828"/>
      <c r="GA792" s="828"/>
      <c r="GB792" s="828"/>
      <c r="GC792" s="828"/>
      <c r="GD792" s="828"/>
      <c r="GE792" s="828"/>
      <c r="GF792" s="828"/>
      <c r="GG792" s="828"/>
      <c r="GH792" s="828"/>
      <c r="GI792" s="828"/>
      <c r="GJ792" s="828"/>
      <c r="GK792" s="828"/>
      <c r="GL792" s="828"/>
      <c r="GM792" s="828"/>
      <c r="GN792" s="828"/>
      <c r="GO792" s="828"/>
      <c r="GV792" s="586"/>
      <c r="HL792" s="586"/>
      <c r="HM792" s="586"/>
    </row>
    <row r="793" spans="2:221" s="583" customFormat="1" ht="15.6" customHeight="1">
      <c r="B793" s="583" t="s">
        <v>1715</v>
      </c>
      <c r="D793" s="924"/>
      <c r="F793" s="1614">
        <f>'Part VI-Revenues &amp; Expenses'!F159</f>
        <v>33488</v>
      </c>
      <c r="G793" s="1614"/>
      <c r="I793" s="583" t="s">
        <v>2505</v>
      </c>
      <c r="J793" s="1099">
        <f>K793/12/M696</f>
        <v>47.636666666666663</v>
      </c>
      <c r="K793" s="1614">
        <f>'Part VI-Revenues &amp; Expenses'!K159</f>
        <v>42873</v>
      </c>
      <c r="L793" s="1614"/>
      <c r="T793" s="1576"/>
      <c r="U793" s="1576"/>
      <c r="V793" s="1072"/>
      <c r="W793" s="1072"/>
      <c r="X793" s="1072"/>
      <c r="FY793" s="828"/>
      <c r="FZ793" s="828"/>
      <c r="GA793" s="828"/>
      <c r="GB793" s="828"/>
      <c r="GC793" s="828"/>
      <c r="GD793" s="828"/>
      <c r="GE793" s="828"/>
      <c r="GF793" s="828"/>
      <c r="GG793" s="828"/>
      <c r="GH793" s="828"/>
      <c r="GI793" s="828"/>
      <c r="GJ793" s="828"/>
      <c r="GK793" s="828"/>
      <c r="GL793" s="828"/>
      <c r="GM793" s="828"/>
      <c r="GN793" s="828"/>
      <c r="GO793" s="828"/>
      <c r="GV793" s="586"/>
      <c r="HL793" s="586"/>
      <c r="HM793" s="586"/>
    </row>
    <row r="794" spans="2:221" s="583" customFormat="1" ht="15.6" customHeight="1">
      <c r="B794" s="583" t="s">
        <v>1063</v>
      </c>
      <c r="D794" s="924"/>
      <c r="F794" s="1614">
        <f>'Part VI-Revenues &amp; Expenses'!F160</f>
        <v>10526</v>
      </c>
      <c r="G794" s="1614"/>
      <c r="I794" s="583" t="s">
        <v>1458</v>
      </c>
      <c r="K794" s="1614">
        <f>'Part VI-Revenues &amp; Expenses'!K160</f>
        <v>0</v>
      </c>
      <c r="L794" s="1614"/>
      <c r="N794" s="586" t="s">
        <v>1322</v>
      </c>
      <c r="O794" s="586"/>
      <c r="P794" s="925">
        <f>P795*M696</f>
        <v>31500</v>
      </c>
      <c r="T794" s="1576"/>
      <c r="U794" s="1576"/>
      <c r="V794" s="1072"/>
      <c r="W794" s="1072"/>
      <c r="X794" s="1072"/>
      <c r="FY794" s="828"/>
      <c r="FZ794" s="828"/>
      <c r="GA794" s="828"/>
      <c r="GB794" s="828"/>
      <c r="GC794" s="828"/>
      <c r="GD794" s="828"/>
      <c r="GE794" s="828"/>
      <c r="GF794" s="828"/>
      <c r="GG794" s="828"/>
      <c r="GH794" s="828"/>
      <c r="GI794" s="828"/>
      <c r="GJ794" s="828"/>
      <c r="GK794" s="828"/>
      <c r="GL794" s="828"/>
      <c r="GM794" s="828"/>
      <c r="GN794" s="828"/>
      <c r="GO794" s="828"/>
      <c r="GV794" s="586"/>
      <c r="HL794" s="586"/>
      <c r="HM794" s="586"/>
    </row>
    <row r="795" spans="2:221" s="583" customFormat="1" ht="15.6" customHeight="1">
      <c r="B795" s="583" t="s">
        <v>1064</v>
      </c>
      <c r="D795" s="924"/>
      <c r="F795" s="1614">
        <f>'Part VI-Revenues &amp; Expenses'!F161</f>
        <v>0</v>
      </c>
      <c r="G795" s="1614"/>
      <c r="I795" s="1619" t="str">
        <f>'Part VI-Revenues &amp; Expenses'!I161</f>
        <v>Other (describe here)</v>
      </c>
      <c r="J795" s="1619"/>
      <c r="K795" s="1614">
        <f>'Part VI-Revenues &amp; Expenses'!K161</f>
        <v>0</v>
      </c>
      <c r="L795" s="1614"/>
      <c r="N795" s="927" t="s">
        <v>489</v>
      </c>
      <c r="P795" s="925">
        <f>'Part VI-Revenues &amp; Expenses'!P161</f>
        <v>420</v>
      </c>
      <c r="T795" s="1576"/>
      <c r="U795" s="1576"/>
      <c r="V795" s="1072"/>
      <c r="W795" s="1072"/>
      <c r="X795" s="1072"/>
      <c r="FY795" s="828"/>
      <c r="FZ795" s="828"/>
      <c r="GA795" s="828"/>
      <c r="GB795" s="828"/>
      <c r="GC795" s="828"/>
      <c r="GD795" s="828"/>
      <c r="GE795" s="828"/>
      <c r="GF795" s="828"/>
      <c r="GG795" s="828"/>
      <c r="GH795" s="828"/>
      <c r="GI795" s="828"/>
      <c r="GJ795" s="828"/>
      <c r="GK795" s="828"/>
      <c r="GL795" s="828"/>
      <c r="GM795" s="828"/>
      <c r="GN795" s="828"/>
      <c r="GO795" s="828"/>
      <c r="GV795" s="586"/>
      <c r="HL795" s="586"/>
      <c r="HM795" s="586"/>
    </row>
    <row r="796" spans="2:221" s="583" customFormat="1" ht="15.6" customHeight="1">
      <c r="B796" s="583" t="s">
        <v>1065</v>
      </c>
      <c r="D796" s="924"/>
      <c r="F796" s="1614">
        <f>'Part VI-Revenues &amp; Expenses'!F162</f>
        <v>0</v>
      </c>
      <c r="G796" s="1614"/>
      <c r="J796" s="922" t="s">
        <v>199</v>
      </c>
      <c r="K796" s="1620">
        <f>SUM(K791:K795)</f>
        <v>62011</v>
      </c>
      <c r="L796" s="1620"/>
      <c r="T796" s="1576"/>
      <c r="U796" s="1576"/>
      <c r="V796" s="1072"/>
      <c r="W796" s="1072"/>
      <c r="X796" s="1072"/>
      <c r="FY796" s="828"/>
      <c r="FZ796" s="828"/>
      <c r="GA796" s="828"/>
      <c r="GB796" s="828"/>
      <c r="GC796" s="828"/>
      <c r="GD796" s="828"/>
      <c r="GE796" s="828"/>
      <c r="GF796" s="828"/>
      <c r="GG796" s="828"/>
      <c r="GH796" s="828"/>
      <c r="GI796" s="828"/>
      <c r="GJ796" s="828"/>
      <c r="GK796" s="828"/>
      <c r="GL796" s="828"/>
      <c r="GM796" s="828"/>
      <c r="GN796" s="828"/>
      <c r="GO796" s="828"/>
      <c r="GV796" s="586"/>
      <c r="HL796" s="586"/>
      <c r="HM796" s="586"/>
    </row>
    <row r="797" spans="2:221" s="583" customFormat="1" ht="15.6" customHeight="1">
      <c r="B797" s="583" t="s">
        <v>922</v>
      </c>
      <c r="D797" s="924"/>
      <c r="F797" s="1614">
        <f>'Part VI-Revenues &amp; Expenses'!F163</f>
        <v>6616</v>
      </c>
      <c r="G797" s="1614"/>
      <c r="J797" s="1121"/>
      <c r="T797" s="1576"/>
      <c r="U797" s="1576"/>
      <c r="V797" s="1072"/>
      <c r="W797" s="1072"/>
      <c r="X797" s="1072"/>
      <c r="FY797" s="828"/>
      <c r="FZ797" s="828"/>
      <c r="GA797" s="828"/>
      <c r="GB797" s="828"/>
      <c r="GC797" s="828"/>
      <c r="GD797" s="828"/>
      <c r="GE797" s="828"/>
      <c r="GF797" s="828"/>
      <c r="GG797" s="828"/>
      <c r="GH797" s="828"/>
      <c r="GI797" s="828"/>
      <c r="GJ797" s="828"/>
      <c r="GK797" s="828"/>
      <c r="GL797" s="828"/>
      <c r="GM797" s="828"/>
      <c r="GN797" s="828"/>
      <c r="GO797" s="828"/>
      <c r="GV797" s="586"/>
      <c r="HL797" s="586"/>
      <c r="HM797" s="586"/>
    </row>
    <row r="798" spans="2:221" s="583" customFormat="1" ht="15.6" customHeight="1">
      <c r="B798" s="1618" t="str">
        <f>'Part VI-Revenues &amp; Expenses'!B164</f>
        <v>Other (describe here)</v>
      </c>
      <c r="C798" s="1618"/>
      <c r="D798" s="1618"/>
      <c r="E798" s="1618"/>
      <c r="F798" s="1614">
        <f>'Part VI-Revenues &amp; Expenses'!F164</f>
        <v>0</v>
      </c>
      <c r="G798" s="1614"/>
      <c r="J798" s="1121"/>
      <c r="N798" s="586" t="s">
        <v>2327</v>
      </c>
      <c r="O798" s="586"/>
      <c r="P798" s="586"/>
      <c r="T798" s="1576"/>
      <c r="U798" s="1576"/>
      <c r="V798" s="1072"/>
      <c r="W798" s="1072"/>
      <c r="X798" s="1072"/>
      <c r="FY798" s="828"/>
      <c r="FZ798" s="828"/>
      <c r="GA798" s="828"/>
      <c r="GB798" s="828"/>
      <c r="GC798" s="828"/>
      <c r="GD798" s="828"/>
      <c r="GE798" s="828"/>
      <c r="GF798" s="828"/>
      <c r="GG798" s="828"/>
      <c r="GH798" s="828"/>
      <c r="GI798" s="828"/>
      <c r="GJ798" s="828"/>
      <c r="GK798" s="828"/>
      <c r="GL798" s="828"/>
      <c r="GM798" s="828"/>
      <c r="GN798" s="828"/>
      <c r="GO798" s="828"/>
      <c r="GV798" s="586"/>
      <c r="HL798" s="586"/>
      <c r="HM798" s="586"/>
    </row>
    <row r="799" spans="2:221" s="583" customFormat="1" ht="15.6" customHeight="1">
      <c r="B799" s="586"/>
      <c r="C799" s="922" t="s">
        <v>199</v>
      </c>
      <c r="F799" s="1614">
        <f>SUM(F791:G798)</f>
        <v>73130</v>
      </c>
      <c r="G799" s="1614"/>
      <c r="J799" s="1121"/>
      <c r="P799" s="923">
        <f>P791+P794</f>
        <v>350518</v>
      </c>
      <c r="T799" s="1576"/>
      <c r="U799" s="1576"/>
      <c r="V799" s="1072"/>
      <c r="W799" s="1072"/>
      <c r="X799" s="1072"/>
      <c r="FY799" s="828"/>
      <c r="FZ799" s="828"/>
      <c r="GA799" s="828"/>
      <c r="GB799" s="828"/>
      <c r="GC799" s="828"/>
      <c r="GD799" s="828"/>
      <c r="GE799" s="828"/>
      <c r="GF799" s="828"/>
      <c r="GG799" s="828"/>
      <c r="GH799" s="828"/>
      <c r="GI799" s="828"/>
      <c r="GJ799" s="828"/>
      <c r="GK799" s="828"/>
      <c r="GL799" s="828"/>
      <c r="GM799" s="828"/>
      <c r="GN799" s="828"/>
      <c r="GO799" s="828"/>
      <c r="GV799" s="586"/>
      <c r="HL799" s="586"/>
      <c r="HM799" s="586"/>
    </row>
    <row r="800" spans="2:221" s="583" customFormat="1" ht="10.9" customHeight="1">
      <c r="B800" s="586"/>
      <c r="D800" s="922"/>
      <c r="F800" s="1121"/>
      <c r="G800" s="1121"/>
      <c r="FY800" s="828"/>
      <c r="FZ800" s="828"/>
      <c r="GA800" s="828"/>
      <c r="GB800" s="828"/>
      <c r="GC800" s="828"/>
      <c r="GD800" s="828"/>
      <c r="GE800" s="828"/>
      <c r="GF800" s="828"/>
      <c r="GG800" s="828"/>
      <c r="GH800" s="828"/>
      <c r="GI800" s="828"/>
      <c r="GJ800" s="828"/>
      <c r="GK800" s="828"/>
      <c r="GL800" s="828"/>
      <c r="GM800" s="828"/>
      <c r="GN800" s="828"/>
      <c r="GO800" s="828"/>
      <c r="GV800" s="586"/>
      <c r="HL800" s="586"/>
      <c r="HM800" s="586"/>
    </row>
    <row r="801" spans="1:221" ht="12" customHeight="1">
      <c r="A801" s="835" t="s">
        <v>1918</v>
      </c>
      <c r="B801" s="835" t="s">
        <v>608</v>
      </c>
      <c r="K801" s="835" t="s">
        <v>563</v>
      </c>
      <c r="L801" s="835" t="s">
        <v>1974</v>
      </c>
      <c r="FY801" s="832"/>
      <c r="FZ801" s="832"/>
      <c r="GA801" s="832"/>
      <c r="GB801" s="832"/>
      <c r="GC801" s="832"/>
      <c r="GD801" s="832"/>
      <c r="GE801" s="832"/>
      <c r="GF801" s="832"/>
      <c r="GG801" s="832"/>
      <c r="GH801" s="832"/>
      <c r="GI801" s="832"/>
      <c r="GJ801" s="832"/>
      <c r="GK801" s="832"/>
      <c r="GL801" s="832"/>
      <c r="GM801" s="832"/>
      <c r="GN801" s="832"/>
      <c r="GO801" s="832"/>
      <c r="GV801" s="835"/>
      <c r="HL801" s="835"/>
      <c r="HM801" s="835"/>
    </row>
    <row r="802" spans="1:221" ht="145.5" customHeight="1">
      <c r="A802" s="1617" t="str">
        <f>'Part VI-Revenues &amp; Expenses'!A168</f>
        <v>*Wiilingham Village currently has a Payment in Lieu of Taxes (PILOT) which will remain with the development since NWGHA is a partner in the transaction and is Ground Leasing the land. This is a tax exemption and therefore the expenses are forecasted in accordance with those guidelines.
*Please see insurance backup documentation in Tab 1. Feasibility.</v>
      </c>
      <c r="B802" s="1617"/>
      <c r="C802" s="1617"/>
      <c r="D802" s="1617"/>
      <c r="E802" s="1617"/>
      <c r="F802" s="1617"/>
      <c r="G802" s="1617"/>
      <c r="H802" s="1617"/>
      <c r="I802" s="1617"/>
      <c r="J802" s="1617"/>
      <c r="K802" s="1617">
        <f>'Part VI-Revenues &amp; Expenses'!K168</f>
        <v>0</v>
      </c>
      <c r="L802" s="1617"/>
      <c r="M802" s="1617"/>
      <c r="N802" s="1617"/>
      <c r="O802" s="1617"/>
      <c r="P802" s="1617"/>
      <c r="T802" s="1615" t="s">
        <v>2924</v>
      </c>
      <c r="U802" s="1615"/>
      <c r="FY802" s="832"/>
      <c r="FZ802" s="832"/>
      <c r="GA802" s="832"/>
      <c r="GB802" s="832"/>
      <c r="GC802" s="832"/>
      <c r="GD802" s="832"/>
      <c r="GE802" s="832"/>
      <c r="GF802" s="832"/>
      <c r="GG802" s="832"/>
      <c r="GH802" s="832"/>
      <c r="GI802" s="832"/>
      <c r="GJ802" s="832"/>
      <c r="GK802" s="832"/>
      <c r="GL802" s="832"/>
      <c r="GM802" s="832"/>
      <c r="GN802" s="832"/>
      <c r="GO802" s="832"/>
      <c r="GV802" s="835"/>
      <c r="HL802" s="835"/>
      <c r="HM802" s="835"/>
    </row>
    <row r="805" spans="1:221">
      <c r="A805" s="1599" t="str">
        <f>CONCATENATE("PART SEVEN - OPERATING PRO FORMA","  -  ",'Part I-Project Information'!$O$4," ",'Part I-Project Information'!$F$23,", ",'Part I-Project Information'!F831,", ",'Part I-Project Information'!J832," County")</f>
        <v>PART SEVEN - OPERATING PRO FORMA  -  2014-039 Willingham Village II, ,  County</v>
      </c>
      <c r="B805" s="1616"/>
      <c r="C805" s="1616"/>
      <c r="D805" s="1616"/>
      <c r="E805" s="1616"/>
      <c r="F805" s="1616"/>
      <c r="G805" s="1616"/>
      <c r="H805" s="1616"/>
      <c r="I805" s="1616"/>
      <c r="J805" s="1616"/>
      <c r="K805" s="1616"/>
    </row>
    <row r="806" spans="1:221">
      <c r="A806" s="928"/>
      <c r="B806" s="928"/>
      <c r="C806" s="928"/>
      <c r="D806" s="928"/>
      <c r="E806" s="928"/>
      <c r="F806" s="928"/>
      <c r="G806" s="928"/>
      <c r="H806" s="928"/>
      <c r="I806" s="928"/>
      <c r="J806" s="928"/>
      <c r="K806" s="928"/>
    </row>
    <row r="807" spans="1:221" ht="13.5">
      <c r="A807" s="835" t="s">
        <v>93</v>
      </c>
      <c r="D807" s="835" t="s">
        <v>83</v>
      </c>
      <c r="E807" s="1084"/>
      <c r="F807" s="1088" t="s">
        <v>3677</v>
      </c>
    </row>
    <row r="809" spans="1:221">
      <c r="A809" s="1072" t="s">
        <v>2328</v>
      </c>
      <c r="B809" s="929">
        <v>0.02</v>
      </c>
      <c r="D809" s="1072" t="s">
        <v>838</v>
      </c>
      <c r="G809" s="1042">
        <f>'Part VII-Pro Forma'!G5</f>
        <v>6000</v>
      </c>
      <c r="H809" s="1116" t="s">
        <v>2041</v>
      </c>
      <c r="K809" s="930" t="str">
        <f>IF(($B$14+$B$15+$B$16+$B$17)=0,"",B832/($B$14+$B$15+$B$16+$B$17))</f>
        <v/>
      </c>
    </row>
    <row r="810" spans="1:221">
      <c r="A810" s="1072" t="s">
        <v>2329</v>
      </c>
      <c r="B810" s="929">
        <v>0.03</v>
      </c>
    </row>
    <row r="811" spans="1:221">
      <c r="A811" s="1072" t="s">
        <v>2331</v>
      </c>
      <c r="B811" s="929">
        <v>0.03</v>
      </c>
      <c r="D811" s="583" t="s">
        <v>284</v>
      </c>
      <c r="G811" s="931"/>
      <c r="H811" s="1116" t="s">
        <v>2530</v>
      </c>
      <c r="K811" s="930" t="str">
        <f>IF(($B$14+$B$15+$B$16+$B$17)=0,"",-B824/($B$14+$B$15+$B$16+$B$17))</f>
        <v/>
      </c>
    </row>
    <row r="812" spans="1:221">
      <c r="A812" s="1072" t="s">
        <v>2330</v>
      </c>
      <c r="B812" s="929">
        <f>'Part VII-Pro Forma'!B8</f>
        <v>7.0000000000000007E-2</v>
      </c>
      <c r="D812" s="583" t="s">
        <v>2677</v>
      </c>
      <c r="G812" s="1043" t="str">
        <f>'Part VII-Pro Forma'!G8</f>
        <v>No</v>
      </c>
      <c r="H812" s="932" t="s">
        <v>1540</v>
      </c>
      <c r="K812" s="1044">
        <f>'Part VII-Pro Forma'!K8</f>
        <v>0</v>
      </c>
    </row>
    <row r="813" spans="1:221">
      <c r="A813" s="1072" t="s">
        <v>1510</v>
      </c>
      <c r="B813" s="929">
        <v>0.02</v>
      </c>
      <c r="D813" s="583" t="s">
        <v>1839</v>
      </c>
      <c r="G813" s="1043" t="str">
        <f>'Part VII-Pro Forma'!G9</f>
        <v>Yes</v>
      </c>
      <c r="H813" s="932" t="s">
        <v>2510</v>
      </c>
      <c r="K813" s="1045">
        <f>'Part VII-Pro Forma'!K9</f>
        <v>0.09</v>
      </c>
    </row>
    <row r="815" spans="1:221">
      <c r="A815" s="835" t="s">
        <v>94</v>
      </c>
    </row>
    <row r="817" spans="1:11">
      <c r="A817" s="835" t="s">
        <v>2648</v>
      </c>
      <c r="B817" s="835">
        <v>1</v>
      </c>
      <c r="C817" s="835">
        <f t="shared" ref="C817:K817" si="223">B817+1</f>
        <v>2</v>
      </c>
      <c r="D817" s="835">
        <f t="shared" si="223"/>
        <v>3</v>
      </c>
      <c r="E817" s="835">
        <f t="shared" si="223"/>
        <v>4</v>
      </c>
      <c r="F817" s="835">
        <f t="shared" si="223"/>
        <v>5</v>
      </c>
      <c r="G817" s="835">
        <f t="shared" si="223"/>
        <v>6</v>
      </c>
      <c r="H817" s="835">
        <f t="shared" si="223"/>
        <v>7</v>
      </c>
      <c r="I817" s="835">
        <f t="shared" si="223"/>
        <v>8</v>
      </c>
      <c r="J817" s="835">
        <f t="shared" si="223"/>
        <v>9</v>
      </c>
      <c r="K817" s="835">
        <f t="shared" si="223"/>
        <v>10</v>
      </c>
    </row>
    <row r="818" spans="1:11">
      <c r="A818" s="1072" t="s">
        <v>2565</v>
      </c>
      <c r="B818" s="920">
        <f>'Part VI-Revenues &amp; Expenses'!L853</f>
        <v>0</v>
      </c>
      <c r="C818" s="920">
        <f t="shared" ref="C818:K818" si="224">$B$14*(1+$B$5)^(C817-1)</f>
        <v>0</v>
      </c>
      <c r="D818" s="920">
        <f t="shared" si="224"/>
        <v>0</v>
      </c>
      <c r="E818" s="920">
        <f t="shared" si="224"/>
        <v>0</v>
      </c>
      <c r="F818" s="920">
        <f t="shared" si="224"/>
        <v>0</v>
      </c>
      <c r="G818" s="920">
        <f t="shared" si="224"/>
        <v>0</v>
      </c>
      <c r="H818" s="920">
        <f t="shared" si="224"/>
        <v>0</v>
      </c>
      <c r="I818" s="920">
        <f t="shared" si="224"/>
        <v>0</v>
      </c>
      <c r="J818" s="920">
        <f t="shared" si="224"/>
        <v>0</v>
      </c>
      <c r="K818" s="920">
        <f t="shared" si="224"/>
        <v>0</v>
      </c>
    </row>
    <row r="819" spans="1:11">
      <c r="A819" s="1072" t="s">
        <v>1078</v>
      </c>
      <c r="B819" s="920">
        <f>MIN(B818*B813,'Part VI-Revenues &amp; Expenses'!H908)</f>
        <v>0</v>
      </c>
      <c r="C819" s="920">
        <f t="shared" ref="C819:K819" si="225">$B$15*(1+$B$5)^(C817-1)</f>
        <v>0</v>
      </c>
      <c r="D819" s="920">
        <f t="shared" si="225"/>
        <v>0</v>
      </c>
      <c r="E819" s="920">
        <f t="shared" si="225"/>
        <v>0</v>
      </c>
      <c r="F819" s="920">
        <f t="shared" si="225"/>
        <v>0</v>
      </c>
      <c r="G819" s="920">
        <f t="shared" si="225"/>
        <v>0</v>
      </c>
      <c r="H819" s="920">
        <f t="shared" si="225"/>
        <v>0</v>
      </c>
      <c r="I819" s="920">
        <f t="shared" si="225"/>
        <v>0</v>
      </c>
      <c r="J819" s="920">
        <f t="shared" si="225"/>
        <v>0</v>
      </c>
      <c r="K819" s="920">
        <f t="shared" si="225"/>
        <v>0</v>
      </c>
    </row>
    <row r="820" spans="1:11">
      <c r="A820" s="1072" t="s">
        <v>2566</v>
      </c>
      <c r="B820" s="920">
        <f t="shared" ref="B820:K820" si="226">-(B818+B819)*$B$8</f>
        <v>0</v>
      </c>
      <c r="C820" s="920">
        <f t="shared" si="226"/>
        <v>0</v>
      </c>
      <c r="D820" s="920">
        <f t="shared" si="226"/>
        <v>0</v>
      </c>
      <c r="E820" s="920">
        <f t="shared" si="226"/>
        <v>0</v>
      </c>
      <c r="F820" s="920">
        <f t="shared" si="226"/>
        <v>0</v>
      </c>
      <c r="G820" s="920">
        <f t="shared" si="226"/>
        <v>0</v>
      </c>
      <c r="H820" s="920">
        <f t="shared" si="226"/>
        <v>0</v>
      </c>
      <c r="I820" s="920">
        <f t="shared" si="226"/>
        <v>0</v>
      </c>
      <c r="J820" s="920">
        <f t="shared" si="226"/>
        <v>0</v>
      </c>
      <c r="K820" s="920">
        <f t="shared" si="226"/>
        <v>0</v>
      </c>
    </row>
    <row r="821" spans="1:11">
      <c r="A821" s="1072" t="s">
        <v>55</v>
      </c>
      <c r="B821" s="920">
        <f>+'Part VI-Revenues &amp; Expenses'!G915</f>
        <v>0</v>
      </c>
      <c r="C821" s="920">
        <f>+'Part VI-Revenues &amp; Expenses'!H915</f>
        <v>0</v>
      </c>
      <c r="D821" s="920">
        <f>+'Part VI-Revenues &amp; Expenses'!I915</f>
        <v>0</v>
      </c>
      <c r="E821" s="920">
        <f>+'Part VI-Revenues &amp; Expenses'!J915</f>
        <v>0</v>
      </c>
      <c r="F821" s="920">
        <f>+'Part VI-Revenues &amp; Expenses'!K915</f>
        <v>0</v>
      </c>
      <c r="G821" s="920">
        <f>+'Part VI-Revenues &amp; Expenses'!L915</f>
        <v>0</v>
      </c>
      <c r="H821" s="920">
        <f>+'Part VI-Revenues &amp; Expenses'!M915</f>
        <v>0</v>
      </c>
      <c r="I821" s="920">
        <f>+'Part VI-Revenues &amp; Expenses'!N915</f>
        <v>0</v>
      </c>
      <c r="J821" s="920">
        <f>+'Part VI-Revenues &amp; Expenses'!O915</f>
        <v>0</v>
      </c>
      <c r="K821" s="920">
        <f>+'Part VI-Revenues &amp; Expenses'!P915</f>
        <v>0</v>
      </c>
    </row>
    <row r="822" spans="1:11">
      <c r="A822" s="1072" t="s">
        <v>56</v>
      </c>
      <c r="B822" s="920">
        <f>'Part VI-Revenues &amp; Expenses'!G920</f>
        <v>0</v>
      </c>
      <c r="C822" s="920">
        <f>'Part VI-Revenues &amp; Expenses'!H920</f>
        <v>0</v>
      </c>
      <c r="D822" s="920">
        <f>'Part VI-Revenues &amp; Expenses'!I920</f>
        <v>0</v>
      </c>
      <c r="E822" s="920">
        <f>'Part VI-Revenues &amp; Expenses'!J920</f>
        <v>0</v>
      </c>
      <c r="F822" s="920">
        <f>'Part VI-Revenues &amp; Expenses'!K920</f>
        <v>0</v>
      </c>
      <c r="G822" s="920">
        <f>'Part VI-Revenues &amp; Expenses'!L920</f>
        <v>0</v>
      </c>
      <c r="H822" s="920">
        <f>'Part VI-Revenues &amp; Expenses'!M920</f>
        <v>0</v>
      </c>
      <c r="I822" s="920">
        <f>'Part VI-Revenues &amp; Expenses'!N920</f>
        <v>0</v>
      </c>
      <c r="J822" s="920">
        <f>'Part VI-Revenues &amp; Expenses'!O920</f>
        <v>0</v>
      </c>
      <c r="K822" s="920">
        <f>'Part VI-Revenues &amp; Expenses'!P920</f>
        <v>0</v>
      </c>
    </row>
    <row r="823" spans="1:11">
      <c r="A823" s="1072" t="s">
        <v>655</v>
      </c>
      <c r="B823" s="920">
        <f>-('Part VI-Revenues &amp; Expenses'!P961-'Part VI-Revenues &amp; Expenses'!P951)</f>
        <v>0</v>
      </c>
      <c r="C823" s="920">
        <f t="shared" ref="C823:K823" si="227">$B$19*(1+$B$6)^(C817-1)</f>
        <v>0</v>
      </c>
      <c r="D823" s="920">
        <f t="shared" si="227"/>
        <v>0</v>
      </c>
      <c r="E823" s="920">
        <f t="shared" si="227"/>
        <v>0</v>
      </c>
      <c r="F823" s="920">
        <f t="shared" si="227"/>
        <v>0</v>
      </c>
      <c r="G823" s="920">
        <f t="shared" si="227"/>
        <v>0</v>
      </c>
      <c r="H823" s="920">
        <f t="shared" si="227"/>
        <v>0</v>
      </c>
      <c r="I823" s="920">
        <f t="shared" si="227"/>
        <v>0</v>
      </c>
      <c r="J823" s="920">
        <f t="shared" si="227"/>
        <v>0</v>
      </c>
      <c r="K823" s="920">
        <f t="shared" si="227"/>
        <v>0</v>
      </c>
    </row>
    <row r="824" spans="1:11">
      <c r="A824" s="1072" t="s">
        <v>1180</v>
      </c>
      <c r="B824" s="920">
        <f>IF(AND('Part VII-Pro Forma'!$G$8="Yes",'Part VII-Pro Forma'!$G$9="Yes"),"Choose One!",IF('Part VII-Pro Forma'!$G$8="Yes",ROUND((-$K$8*(1+'Part VII-Pro Forma'!$B$6)^('Part VII-Pro Forma'!B817-1)),),IF('Part VII-Pro Forma'!$G$9="Yes",ROUND((-(SUM(B818:B821)*'Part VII-Pro Forma'!$K$9)),),"Choose mgt fee")))</f>
        <v>0</v>
      </c>
      <c r="C824" s="920">
        <f>IF(AND('Part VII-Pro Forma'!$G$8="Yes",'Part VII-Pro Forma'!$G$9="Yes"),"Choose One!",IF('Part VII-Pro Forma'!$G$8="Yes",ROUND((-$K$8*(1+'Part VII-Pro Forma'!$B$6)^('Part VII-Pro Forma'!C817-1)),),IF('Part VII-Pro Forma'!$G$9="Yes",ROUND((-(SUM(C818:C821)*'Part VII-Pro Forma'!$K$9)),),"Choose mgt fee")))</f>
        <v>0</v>
      </c>
      <c r="D824" s="920">
        <f>IF(AND('Part VII-Pro Forma'!$G$8="Yes",'Part VII-Pro Forma'!$G$9="Yes"),"Choose One!",IF('Part VII-Pro Forma'!$G$8="Yes",ROUND((-$K$8*(1+'Part VII-Pro Forma'!$B$6)^('Part VII-Pro Forma'!D817-1)),),IF('Part VII-Pro Forma'!$G$9="Yes",ROUND((-(SUM(D818:D821)*'Part VII-Pro Forma'!$K$9)),),"Choose mgt fee")))</f>
        <v>0</v>
      </c>
      <c r="E824" s="920">
        <f>IF(AND('Part VII-Pro Forma'!$G$8="Yes",'Part VII-Pro Forma'!$G$9="Yes"),"Choose One!",IF('Part VII-Pro Forma'!$G$8="Yes",ROUND((-$K$8*(1+'Part VII-Pro Forma'!$B$6)^('Part VII-Pro Forma'!E817-1)),),IF('Part VII-Pro Forma'!$G$9="Yes",ROUND((-(SUM(E818:E821)*'Part VII-Pro Forma'!$K$9)),),"Choose mgt fee")))</f>
        <v>0</v>
      </c>
      <c r="F824" s="920">
        <f>IF(AND('Part VII-Pro Forma'!$G$8="Yes",'Part VII-Pro Forma'!$G$9="Yes"),"Choose One!",IF('Part VII-Pro Forma'!$G$8="Yes",ROUND((-$K$8*(1+'Part VII-Pro Forma'!$B$6)^('Part VII-Pro Forma'!F817-1)),),IF('Part VII-Pro Forma'!$G$9="Yes",ROUND((-(SUM(F818:F821)*'Part VII-Pro Forma'!$K$9)),),"Choose mgt fee")))</f>
        <v>0</v>
      </c>
      <c r="G824" s="920">
        <f>IF(AND('Part VII-Pro Forma'!$G$8="Yes",'Part VII-Pro Forma'!$G$9="Yes"),"Choose One!",IF('Part VII-Pro Forma'!$G$8="Yes",ROUND((-$K$8*(1+'Part VII-Pro Forma'!$B$6)^('Part VII-Pro Forma'!G817-1)),),IF('Part VII-Pro Forma'!$G$9="Yes",ROUND((-(SUM(G818:G821)*'Part VII-Pro Forma'!$K$9)),),"Choose mgt fee")))</f>
        <v>0</v>
      </c>
      <c r="H824" s="920">
        <f>IF(AND('Part VII-Pro Forma'!$G$8="Yes",'Part VII-Pro Forma'!$G$9="Yes"),"Choose One!",IF('Part VII-Pro Forma'!$G$8="Yes",ROUND((-$K$8*(1+'Part VII-Pro Forma'!$B$6)^('Part VII-Pro Forma'!H817-1)),),IF('Part VII-Pro Forma'!$G$9="Yes",ROUND((-(SUM(H818:H821)*'Part VII-Pro Forma'!$K$9)),),"Choose mgt fee")))</f>
        <v>0</v>
      </c>
      <c r="I824" s="920">
        <f>IF(AND('Part VII-Pro Forma'!$G$8="Yes",'Part VII-Pro Forma'!$G$9="Yes"),"Choose One!",IF('Part VII-Pro Forma'!$G$8="Yes",ROUND((-$K$8*(1+'Part VII-Pro Forma'!$B$6)^('Part VII-Pro Forma'!I817-1)),),IF('Part VII-Pro Forma'!$G$9="Yes",ROUND((-(SUM(I818:I821)*'Part VII-Pro Forma'!$K$9)),),"Choose mgt fee")))</f>
        <v>0</v>
      </c>
      <c r="J824" s="920">
        <f>IF(AND('Part VII-Pro Forma'!$G$8="Yes",'Part VII-Pro Forma'!$G$9="Yes"),"Choose One!",IF('Part VII-Pro Forma'!$G$8="Yes",ROUND((-$K$8*(1+'Part VII-Pro Forma'!$B$6)^('Part VII-Pro Forma'!J817-1)),),IF('Part VII-Pro Forma'!$G$9="Yes",ROUND((-(SUM(J818:J821)*'Part VII-Pro Forma'!$K$9)),),"Choose mgt fee")))</f>
        <v>0</v>
      </c>
      <c r="K824" s="920">
        <f>IF(AND('Part VII-Pro Forma'!$G$8="Yes",'Part VII-Pro Forma'!$G$9="Yes"),"Choose One!",IF('Part VII-Pro Forma'!$G$8="Yes",ROUND((-$K$8*(1+'Part VII-Pro Forma'!$B$6)^('Part VII-Pro Forma'!K817-1)),),IF('Part VII-Pro Forma'!$G$9="Yes",ROUND((-(SUM(K818:K821)*'Part VII-Pro Forma'!$K$9)),),"Choose mgt fee")))</f>
        <v>0</v>
      </c>
    </row>
    <row r="825" spans="1:11">
      <c r="A825" s="1072" t="s">
        <v>1278</v>
      </c>
      <c r="B825" s="920">
        <f>-('Part VI-Revenues &amp; Expenses'!P964)</f>
        <v>0</v>
      </c>
      <c r="C825" s="920">
        <f t="shared" ref="C825:K825" si="228">$B$21*(1+$B$7)^(C817-1)</f>
        <v>0</v>
      </c>
      <c r="D825" s="920">
        <f t="shared" si="228"/>
        <v>0</v>
      </c>
      <c r="E825" s="920">
        <f t="shared" si="228"/>
        <v>0</v>
      </c>
      <c r="F825" s="920">
        <f t="shared" si="228"/>
        <v>0</v>
      </c>
      <c r="G825" s="920">
        <f t="shared" si="228"/>
        <v>0</v>
      </c>
      <c r="H825" s="920">
        <f t="shared" si="228"/>
        <v>0</v>
      </c>
      <c r="I825" s="920">
        <f t="shared" si="228"/>
        <v>0</v>
      </c>
      <c r="J825" s="920">
        <f t="shared" si="228"/>
        <v>0</v>
      </c>
      <c r="K825" s="920">
        <f t="shared" si="228"/>
        <v>0</v>
      </c>
    </row>
    <row r="826" spans="1:11">
      <c r="A826" s="1072" t="s">
        <v>1279</v>
      </c>
      <c r="B826" s="920">
        <f t="shared" ref="B826:K826" si="229">SUM(B818:B825)</f>
        <v>0</v>
      </c>
      <c r="C826" s="920">
        <f t="shared" si="229"/>
        <v>0</v>
      </c>
      <c r="D826" s="920">
        <f t="shared" si="229"/>
        <v>0</v>
      </c>
      <c r="E826" s="920">
        <f t="shared" si="229"/>
        <v>0</v>
      </c>
      <c r="F826" s="920">
        <f t="shared" si="229"/>
        <v>0</v>
      </c>
      <c r="G826" s="920">
        <f t="shared" si="229"/>
        <v>0</v>
      </c>
      <c r="H826" s="920">
        <f t="shared" si="229"/>
        <v>0</v>
      </c>
      <c r="I826" s="920">
        <f t="shared" si="229"/>
        <v>0</v>
      </c>
      <c r="J826" s="920">
        <f t="shared" si="229"/>
        <v>0</v>
      </c>
      <c r="K826" s="920">
        <f t="shared" si="229"/>
        <v>0</v>
      </c>
    </row>
    <row r="827" spans="1:11">
      <c r="A827" s="1072" t="s">
        <v>1699</v>
      </c>
      <c r="B827" s="920">
        <f>'Part VII-Pro Forma'!B23</f>
        <v>-69273.961968822725</v>
      </c>
      <c r="C827" s="920">
        <f>'Part VII-Pro Forma'!C23</f>
        <v>-69273.961968822725</v>
      </c>
      <c r="D827" s="920">
        <f>'Part VII-Pro Forma'!D23</f>
        <v>-69273.961968822725</v>
      </c>
      <c r="E827" s="920">
        <f>'Part VII-Pro Forma'!E23</f>
        <v>-69273.961968822725</v>
      </c>
      <c r="F827" s="920">
        <f>'Part VII-Pro Forma'!F23</f>
        <v>-69273.961968822725</v>
      </c>
      <c r="G827" s="920">
        <f>'Part VII-Pro Forma'!G23</f>
        <v>-69273.961968822725</v>
      </c>
      <c r="H827" s="920">
        <f>'Part VII-Pro Forma'!H23</f>
        <v>-69273.961968822725</v>
      </c>
      <c r="I827" s="920">
        <f>'Part VII-Pro Forma'!I23</f>
        <v>-69273.961968822725</v>
      </c>
      <c r="J827" s="920">
        <f>'Part VII-Pro Forma'!J23</f>
        <v>-69273.961968822725</v>
      </c>
      <c r="K827" s="920">
        <f>'Part VII-Pro Forma'!K23</f>
        <v>-69273.961968822725</v>
      </c>
    </row>
    <row r="828" spans="1:11">
      <c r="A828" s="1072" t="s">
        <v>1700</v>
      </c>
      <c r="B828" s="920">
        <f>'Part VII-Pro Forma'!B24</f>
        <v>0</v>
      </c>
      <c r="C828" s="920">
        <f>'Part VII-Pro Forma'!C24</f>
        <v>0</v>
      </c>
      <c r="D828" s="920">
        <f>'Part VII-Pro Forma'!D24</f>
        <v>0</v>
      </c>
      <c r="E828" s="920">
        <f>'Part VII-Pro Forma'!E24</f>
        <v>0</v>
      </c>
      <c r="F828" s="920">
        <f>'Part VII-Pro Forma'!F24</f>
        <v>0</v>
      </c>
      <c r="G828" s="920">
        <f>'Part VII-Pro Forma'!G24</f>
        <v>0</v>
      </c>
      <c r="H828" s="920">
        <f>'Part VII-Pro Forma'!H24</f>
        <v>0</v>
      </c>
      <c r="I828" s="920">
        <f>'Part VII-Pro Forma'!I24</f>
        <v>0</v>
      </c>
      <c r="J828" s="920">
        <f>'Part VII-Pro Forma'!J24</f>
        <v>0</v>
      </c>
      <c r="K828" s="920">
        <f>'Part VII-Pro Forma'!K24</f>
        <v>0</v>
      </c>
    </row>
    <row r="829" spans="1:11">
      <c r="A829" s="1072" t="s">
        <v>1701</v>
      </c>
      <c r="B829" s="920">
        <f>'Part VII-Pro Forma'!B25</f>
        <v>0</v>
      </c>
      <c r="C829" s="920">
        <f>'Part VII-Pro Forma'!C25</f>
        <v>0</v>
      </c>
      <c r="D829" s="920">
        <f>'Part VII-Pro Forma'!D25</f>
        <v>0</v>
      </c>
      <c r="E829" s="920">
        <f>'Part VII-Pro Forma'!E25</f>
        <v>0</v>
      </c>
      <c r="F829" s="920">
        <f>'Part VII-Pro Forma'!F25</f>
        <v>0</v>
      </c>
      <c r="G829" s="920">
        <f>'Part VII-Pro Forma'!G25</f>
        <v>0</v>
      </c>
      <c r="H829" s="920">
        <f>'Part VII-Pro Forma'!H25</f>
        <v>0</v>
      </c>
      <c r="I829" s="920">
        <f>'Part VII-Pro Forma'!I25</f>
        <v>0</v>
      </c>
      <c r="J829" s="920">
        <f>'Part VII-Pro Forma'!J25</f>
        <v>0</v>
      </c>
      <c r="K829" s="920">
        <f>'Part VII-Pro Forma'!K25</f>
        <v>0</v>
      </c>
    </row>
    <row r="830" spans="1:11">
      <c r="A830" s="1072" t="s">
        <v>835</v>
      </c>
      <c r="B830" s="920">
        <f>'Part VII-Pro Forma'!B26</f>
        <v>0</v>
      </c>
      <c r="C830" s="920">
        <f>'Part VII-Pro Forma'!C26</f>
        <v>0</v>
      </c>
      <c r="D830" s="920">
        <f>'Part VII-Pro Forma'!D26</f>
        <v>0</v>
      </c>
      <c r="E830" s="920">
        <f>'Part VII-Pro Forma'!E26</f>
        <v>0</v>
      </c>
      <c r="F830" s="920">
        <f>'Part VII-Pro Forma'!F26</f>
        <v>0</v>
      </c>
      <c r="G830" s="920">
        <f>'Part VII-Pro Forma'!G26</f>
        <v>0</v>
      </c>
      <c r="H830" s="920">
        <f>'Part VII-Pro Forma'!H26</f>
        <v>0</v>
      </c>
      <c r="I830" s="920">
        <f>'Part VII-Pro Forma'!I26</f>
        <v>0</v>
      </c>
      <c r="J830" s="920">
        <f>'Part VII-Pro Forma'!J26</f>
        <v>0</v>
      </c>
      <c r="K830" s="920">
        <f>'Part VII-Pro Forma'!K26</f>
        <v>0</v>
      </c>
    </row>
    <row r="831" spans="1:11">
      <c r="A831" s="1072" t="s">
        <v>814</v>
      </c>
      <c r="B831" s="920">
        <f>'Part VII-Pro Forma'!B27</f>
        <v>0</v>
      </c>
      <c r="C831" s="920">
        <f>'Part VII-Pro Forma'!C27</f>
        <v>0</v>
      </c>
      <c r="D831" s="920">
        <f>'Part VII-Pro Forma'!D27</f>
        <v>0</v>
      </c>
      <c r="E831" s="920">
        <f>'Part VII-Pro Forma'!E27</f>
        <v>0</v>
      </c>
      <c r="F831" s="920">
        <f>'Part VII-Pro Forma'!F27</f>
        <v>0</v>
      </c>
      <c r="G831" s="920">
        <f>'Part VII-Pro Forma'!G27</f>
        <v>0</v>
      </c>
      <c r="H831" s="920">
        <f>'Part VII-Pro Forma'!H27</f>
        <v>0</v>
      </c>
      <c r="I831" s="920">
        <f>'Part VII-Pro Forma'!I27</f>
        <v>0</v>
      </c>
      <c r="J831" s="920">
        <f>'Part VII-Pro Forma'!J27</f>
        <v>0</v>
      </c>
      <c r="K831" s="920">
        <f>'Part VII-Pro Forma'!K27</f>
        <v>0</v>
      </c>
    </row>
    <row r="832" spans="1:11">
      <c r="A832" s="1072" t="s">
        <v>1234</v>
      </c>
      <c r="B832" s="920">
        <f>'Part VII-Pro Forma'!B28</f>
        <v>-6000</v>
      </c>
      <c r="C832" s="920">
        <f>'Part VII-Pro Forma'!C28</f>
        <v>-6180</v>
      </c>
      <c r="D832" s="920">
        <f>'Part VII-Pro Forma'!D28</f>
        <v>-6365.4000000000005</v>
      </c>
      <c r="E832" s="920">
        <f>'Part VII-Pro Forma'!E28</f>
        <v>-6556.362000000001</v>
      </c>
      <c r="F832" s="920">
        <f>'Part VII-Pro Forma'!F28</f>
        <v>-6753.0528600000016</v>
      </c>
      <c r="G832" s="920">
        <f>'Part VII-Pro Forma'!G28</f>
        <v>-6955.6444458000014</v>
      </c>
      <c r="H832" s="920">
        <f>'Part VII-Pro Forma'!H28</f>
        <v>-7164.3137791740019</v>
      </c>
      <c r="I832" s="920">
        <f>'Part VII-Pro Forma'!I28</f>
        <v>-7379.2431925492219</v>
      </c>
      <c r="J832" s="920">
        <f>'Part VII-Pro Forma'!J28</f>
        <v>-7600.6204883256987</v>
      </c>
      <c r="K832" s="920">
        <f>'Part VII-Pro Forma'!K28</f>
        <v>-7828.6391029754695</v>
      </c>
    </row>
    <row r="833" spans="1:11">
      <c r="A833" s="1072" t="s">
        <v>1280</v>
      </c>
      <c r="B833" s="920">
        <f>'Part VII-Pro Forma'!B29</f>
        <v>0</v>
      </c>
      <c r="C833" s="920">
        <f>'Part VII-Pro Forma'!C29</f>
        <v>0</v>
      </c>
      <c r="D833" s="920">
        <f>'Part VII-Pro Forma'!D29</f>
        <v>0</v>
      </c>
      <c r="E833" s="920">
        <f>'Part VII-Pro Forma'!E29</f>
        <v>0</v>
      </c>
      <c r="F833" s="920">
        <f>'Part VII-Pro Forma'!F29</f>
        <v>0</v>
      </c>
      <c r="G833" s="920">
        <f>'Part VII-Pro Forma'!G29</f>
        <v>0</v>
      </c>
      <c r="H833" s="920">
        <f>'Part VII-Pro Forma'!H29</f>
        <v>0</v>
      </c>
      <c r="I833" s="920">
        <f>'Part VII-Pro Forma'!I29</f>
        <v>0</v>
      </c>
      <c r="J833" s="920">
        <f>'Part VII-Pro Forma'!J29</f>
        <v>0</v>
      </c>
      <c r="K833" s="920">
        <f>'Part VII-Pro Forma'!K29</f>
        <v>0</v>
      </c>
    </row>
    <row r="834" spans="1:11">
      <c r="A834" s="1072" t="s">
        <v>1235</v>
      </c>
      <c r="B834" s="920">
        <f t="shared" ref="B834:K834" si="230">SUM(B826:B833)</f>
        <v>-75273.961968822725</v>
      </c>
      <c r="C834" s="920">
        <f t="shared" si="230"/>
        <v>-75453.961968822725</v>
      </c>
      <c r="D834" s="920">
        <f t="shared" si="230"/>
        <v>-75639.361968822719</v>
      </c>
      <c r="E834" s="920">
        <f t="shared" si="230"/>
        <v>-75830.323968822719</v>
      </c>
      <c r="F834" s="920">
        <f t="shared" si="230"/>
        <v>-76027.014828822721</v>
      </c>
      <c r="G834" s="920">
        <f t="shared" si="230"/>
        <v>-76229.606414622729</v>
      </c>
      <c r="H834" s="920">
        <f t="shared" si="230"/>
        <v>-76438.275747996726</v>
      </c>
      <c r="I834" s="920">
        <f t="shared" si="230"/>
        <v>-76653.205161371952</v>
      </c>
      <c r="J834" s="920">
        <f t="shared" si="230"/>
        <v>-76874.582457148426</v>
      </c>
      <c r="K834" s="920">
        <f t="shared" si="230"/>
        <v>-77102.601071798199</v>
      </c>
    </row>
    <row r="835" spans="1:11">
      <c r="A835" s="1072" t="str">
        <f>IF('Part III-Sources of Funds'!$E$32 = "Neither", "", "DCR Mortgage A")</f>
        <v>DCR Mortgage A</v>
      </c>
      <c r="B835" s="933">
        <f>IF(B827=0,"",-B826/B827)</f>
        <v>0</v>
      </c>
      <c r="C835" s="933">
        <f t="shared" ref="C835:K835" si="231">IF(C827=0,"",-C826/C827)</f>
        <v>0</v>
      </c>
      <c r="D835" s="933">
        <f t="shared" si="231"/>
        <v>0</v>
      </c>
      <c r="E835" s="933">
        <f t="shared" si="231"/>
        <v>0</v>
      </c>
      <c r="F835" s="933">
        <f t="shared" si="231"/>
        <v>0</v>
      </c>
      <c r="G835" s="933">
        <f t="shared" si="231"/>
        <v>0</v>
      </c>
      <c r="H835" s="933">
        <f t="shared" si="231"/>
        <v>0</v>
      </c>
      <c r="I835" s="933">
        <f t="shared" si="231"/>
        <v>0</v>
      </c>
      <c r="J835" s="933">
        <f t="shared" si="231"/>
        <v>0</v>
      </c>
      <c r="K835" s="933">
        <f t="shared" si="231"/>
        <v>0</v>
      </c>
    </row>
    <row r="836" spans="1:11">
      <c r="A836" s="1072" t="str">
        <f>IF('Part III-Sources of Funds'!$E$32 = "Neither", "", "DCR Mortgage B")</f>
        <v>DCR Mortgage B</v>
      </c>
      <c r="B836" s="933" t="str">
        <f t="shared" ref="B836:K836" si="232">IF(OR(B828=0,AND(B828=0,B827=0)),"",-B826/(B827+B828))</f>
        <v/>
      </c>
      <c r="C836" s="933" t="str">
        <f t="shared" si="232"/>
        <v/>
      </c>
      <c r="D836" s="933" t="str">
        <f t="shared" si="232"/>
        <v/>
      </c>
      <c r="E836" s="933" t="str">
        <f t="shared" si="232"/>
        <v/>
      </c>
      <c r="F836" s="933" t="str">
        <f t="shared" si="232"/>
        <v/>
      </c>
      <c r="G836" s="933" t="str">
        <f t="shared" si="232"/>
        <v/>
      </c>
      <c r="H836" s="933" t="str">
        <f t="shared" si="232"/>
        <v/>
      </c>
      <c r="I836" s="933" t="str">
        <f t="shared" si="232"/>
        <v/>
      </c>
      <c r="J836" s="933" t="str">
        <f t="shared" si="232"/>
        <v/>
      </c>
      <c r="K836" s="933" t="str">
        <f t="shared" si="232"/>
        <v/>
      </c>
    </row>
    <row r="837" spans="1:11">
      <c r="A837" s="1072" t="str">
        <f>IF('Part III-Sources of Funds'!$E$32 = "Neither", "DCR First Mortgage", "DCR Mortgage C")</f>
        <v>DCR Mortgage C</v>
      </c>
      <c r="B837" s="933" t="str">
        <f t="shared" ref="B837:K837" si="233">IF(OR(B829=0,AND(B829=0,B828=0,B827=0)),"",-B826/(B827+B828+B829))</f>
        <v/>
      </c>
      <c r="C837" s="933" t="str">
        <f t="shared" si="233"/>
        <v/>
      </c>
      <c r="D837" s="933" t="str">
        <f t="shared" si="233"/>
        <v/>
      </c>
      <c r="E837" s="933" t="str">
        <f t="shared" si="233"/>
        <v/>
      </c>
      <c r="F837" s="933" t="str">
        <f t="shared" si="233"/>
        <v/>
      </c>
      <c r="G837" s="933" t="str">
        <f t="shared" si="233"/>
        <v/>
      </c>
      <c r="H837" s="933" t="str">
        <f t="shared" si="233"/>
        <v/>
      </c>
      <c r="I837" s="933" t="str">
        <f t="shared" si="233"/>
        <v/>
      </c>
      <c r="J837" s="933" t="str">
        <f t="shared" si="233"/>
        <v/>
      </c>
      <c r="K837" s="933" t="str">
        <f t="shared" si="233"/>
        <v/>
      </c>
    </row>
    <row r="838" spans="1:11">
      <c r="A838" s="1072" t="s">
        <v>836</v>
      </c>
      <c r="B838" s="933" t="str">
        <f t="shared" ref="B838:K838" si="234">IF(OR(B830=0,AND(B827=0,B828=0,B829=0,B830=0)),"",-B826/(B827+B828+B829+B830))</f>
        <v/>
      </c>
      <c r="C838" s="933" t="str">
        <f t="shared" si="234"/>
        <v/>
      </c>
      <c r="D838" s="933" t="str">
        <f t="shared" si="234"/>
        <v/>
      </c>
      <c r="E838" s="933" t="str">
        <f t="shared" si="234"/>
        <v/>
      </c>
      <c r="F838" s="933" t="str">
        <f t="shared" si="234"/>
        <v/>
      </c>
      <c r="G838" s="933" t="str">
        <f t="shared" si="234"/>
        <v/>
      </c>
      <c r="H838" s="933" t="str">
        <f t="shared" si="234"/>
        <v/>
      </c>
      <c r="I838" s="933" t="str">
        <f t="shared" si="234"/>
        <v/>
      </c>
      <c r="J838" s="933" t="str">
        <f t="shared" si="234"/>
        <v/>
      </c>
      <c r="K838" s="933" t="str">
        <f t="shared" si="234"/>
        <v/>
      </c>
    </row>
    <row r="839" spans="1:11">
      <c r="A839" s="1072" t="s">
        <v>821</v>
      </c>
      <c r="B839" s="934" t="e">
        <f>IF(OR(B824="Choose mgt fee",B824="Choose One!"),"",(B818+B819+B820+B821+B822) / -(B823+B824+B825))</f>
        <v>#DIV/0!</v>
      </c>
      <c r="C839" s="934" t="e">
        <f t="shared" ref="C839:K839" si="235">IF(OR(C824="Choose mgt fee",C824="Choose One!"),"",(C818+C819+C820+C821+C822) / -(C823+C824+C825))</f>
        <v>#DIV/0!</v>
      </c>
      <c r="D839" s="934" t="e">
        <f t="shared" si="235"/>
        <v>#DIV/0!</v>
      </c>
      <c r="E839" s="934" t="e">
        <f t="shared" si="235"/>
        <v>#DIV/0!</v>
      </c>
      <c r="F839" s="934" t="e">
        <f t="shared" si="235"/>
        <v>#DIV/0!</v>
      </c>
      <c r="G839" s="934" t="e">
        <f t="shared" si="235"/>
        <v>#DIV/0!</v>
      </c>
      <c r="H839" s="934" t="e">
        <f t="shared" si="235"/>
        <v>#DIV/0!</v>
      </c>
      <c r="I839" s="934" t="e">
        <f t="shared" si="235"/>
        <v>#DIV/0!</v>
      </c>
      <c r="J839" s="934" t="e">
        <f t="shared" si="235"/>
        <v>#DIV/0!</v>
      </c>
      <c r="K839" s="934" t="e">
        <f t="shared" si="235"/>
        <v>#DIV/0!</v>
      </c>
    </row>
    <row r="840" spans="1:11">
      <c r="A840" s="1072" t="s">
        <v>2800</v>
      </c>
      <c r="B840" s="920">
        <f>'Part VII-Pro Forma'!B36</f>
        <v>541096.65478817362</v>
      </c>
      <c r="C840" s="920">
        <f>'Part VII-Pro Forma'!C36</f>
        <v>488368.90764601342</v>
      </c>
      <c r="D840" s="920">
        <f>'Part VII-Pro Forma'!D36</f>
        <v>433928.90440814622</v>
      </c>
      <c r="E840" s="920">
        <f>'Part VII-Pro Forma'!E36</f>
        <v>377721.04207432666</v>
      </c>
      <c r="F840" s="920">
        <f>'Part VII-Pro Forma'!F36</f>
        <v>319687.9120185948</v>
      </c>
      <c r="G840" s="920">
        <f>'Part VII-Pro Forma'!G36</f>
        <v>259770.24135423469</v>
      </c>
      <c r="H840" s="920">
        <f>'Part VII-Pro Forma'!H36</f>
        <v>197906.83239464631</v>
      </c>
      <c r="I840" s="920">
        <f>'Part VII-Pro Forma'!I36</f>
        <v>134034.50014829816</v>
      </c>
      <c r="J840" s="920">
        <f>'Part VII-Pro Forma'!J36</f>
        <v>68088.007783920184</v>
      </c>
      <c r="K840" s="920">
        <f>'Part VII-Pro Forma'!K36</f>
        <v>2.3894244804978371E-8</v>
      </c>
    </row>
    <row r="841" spans="1:11">
      <c r="A841" s="1072" t="s">
        <v>2801</v>
      </c>
      <c r="B841" s="920" t="str">
        <f>'Part VII-Pro Forma'!B37</f>
        <v/>
      </c>
      <c r="C841" s="920" t="str">
        <f>'Part VII-Pro Forma'!C37</f>
        <v/>
      </c>
      <c r="D841" s="920" t="str">
        <f>'Part VII-Pro Forma'!D37</f>
        <v/>
      </c>
      <c r="E841" s="920" t="str">
        <f>'Part VII-Pro Forma'!E37</f>
        <v/>
      </c>
      <c r="F841" s="920" t="str">
        <f>'Part VII-Pro Forma'!F37</f>
        <v/>
      </c>
      <c r="G841" s="920" t="str">
        <f>'Part VII-Pro Forma'!G37</f>
        <v/>
      </c>
      <c r="H841" s="920" t="str">
        <f>'Part VII-Pro Forma'!H37</f>
        <v/>
      </c>
      <c r="I841" s="920" t="str">
        <f>'Part VII-Pro Forma'!I37</f>
        <v/>
      </c>
      <c r="J841" s="920" t="str">
        <f>'Part VII-Pro Forma'!J37</f>
        <v/>
      </c>
      <c r="K841" s="920" t="str">
        <f>'Part VII-Pro Forma'!K37</f>
        <v/>
      </c>
    </row>
    <row r="842" spans="1:11">
      <c r="A842" s="1072" t="s">
        <v>2802</v>
      </c>
      <c r="B842" s="920" t="str">
        <f>'Part VII-Pro Forma'!B38</f>
        <v/>
      </c>
      <c r="C842" s="920" t="str">
        <f>'Part VII-Pro Forma'!C38</f>
        <v/>
      </c>
      <c r="D842" s="920" t="str">
        <f>'Part VII-Pro Forma'!D38</f>
        <v/>
      </c>
      <c r="E842" s="920" t="str">
        <f>'Part VII-Pro Forma'!E38</f>
        <v/>
      </c>
      <c r="F842" s="920" t="str">
        <f>'Part VII-Pro Forma'!F38</f>
        <v/>
      </c>
      <c r="G842" s="920" t="str">
        <f>'Part VII-Pro Forma'!G38</f>
        <v/>
      </c>
      <c r="H842" s="920" t="str">
        <f>'Part VII-Pro Forma'!H38</f>
        <v/>
      </c>
      <c r="I842" s="920" t="str">
        <f>'Part VII-Pro Forma'!I38</f>
        <v/>
      </c>
      <c r="J842" s="920" t="str">
        <f>'Part VII-Pro Forma'!J38</f>
        <v/>
      </c>
      <c r="K842" s="920" t="str">
        <f>'Part VII-Pro Forma'!K38</f>
        <v/>
      </c>
    </row>
    <row r="843" spans="1:11">
      <c r="A843" s="1072" t="s">
        <v>837</v>
      </c>
      <c r="B843" s="920" t="str">
        <f>'Part VII-Pro Forma'!B39</f>
        <v/>
      </c>
      <c r="C843" s="920" t="str">
        <f>'Part VII-Pro Forma'!C39</f>
        <v/>
      </c>
      <c r="D843" s="920" t="str">
        <f>'Part VII-Pro Forma'!D39</f>
        <v/>
      </c>
      <c r="E843" s="920" t="str">
        <f>'Part VII-Pro Forma'!E39</f>
        <v/>
      </c>
      <c r="F843" s="920" t="str">
        <f>'Part VII-Pro Forma'!F39</f>
        <v/>
      </c>
      <c r="G843" s="920" t="str">
        <f>'Part VII-Pro Forma'!G39</f>
        <v/>
      </c>
      <c r="H843" s="920" t="str">
        <f>'Part VII-Pro Forma'!H39</f>
        <v/>
      </c>
      <c r="I843" s="920" t="str">
        <f>'Part VII-Pro Forma'!I39</f>
        <v/>
      </c>
      <c r="J843" s="920" t="str">
        <f>'Part VII-Pro Forma'!J39</f>
        <v/>
      </c>
      <c r="K843" s="920" t="str">
        <f>'Part VII-Pro Forma'!K39</f>
        <v/>
      </c>
    </row>
    <row r="844" spans="1:11">
      <c r="A844" s="1072" t="s">
        <v>1315</v>
      </c>
      <c r="B844" s="920" t="str">
        <f>'Part VII-Pro Forma'!B40</f>
        <v/>
      </c>
      <c r="C844" s="920" t="str">
        <f>'Part VII-Pro Forma'!C40</f>
        <v/>
      </c>
      <c r="D844" s="920" t="str">
        <f>'Part VII-Pro Forma'!D40</f>
        <v/>
      </c>
      <c r="E844" s="920" t="str">
        <f>'Part VII-Pro Forma'!E40</f>
        <v/>
      </c>
      <c r="F844" s="920" t="str">
        <f>'Part VII-Pro Forma'!F40</f>
        <v/>
      </c>
      <c r="G844" s="920" t="str">
        <f>'Part VII-Pro Forma'!G40</f>
        <v/>
      </c>
      <c r="H844" s="920" t="str">
        <f>'Part VII-Pro Forma'!H40</f>
        <v/>
      </c>
      <c r="I844" s="920" t="str">
        <f>'Part VII-Pro Forma'!I40</f>
        <v/>
      </c>
      <c r="J844" s="920" t="str">
        <f>'Part VII-Pro Forma'!J40</f>
        <v/>
      </c>
      <c r="K844" s="920" t="str">
        <f>'Part VII-Pro Forma'!K40</f>
        <v/>
      </c>
    </row>
    <row r="845" spans="1:11">
      <c r="B845" s="920"/>
      <c r="C845" s="920"/>
      <c r="D845" s="920"/>
      <c r="E845" s="920"/>
      <c r="F845" s="920"/>
      <c r="G845" s="920"/>
      <c r="H845" s="920"/>
      <c r="I845" s="920"/>
      <c r="J845" s="920"/>
      <c r="K845" s="920"/>
    </row>
    <row r="846" spans="1:11">
      <c r="A846" s="835" t="s">
        <v>2648</v>
      </c>
      <c r="B846" s="935">
        <f>K817+1</f>
        <v>11</v>
      </c>
      <c r="C846" s="935">
        <f t="shared" ref="C846:K846" si="236">B846+1</f>
        <v>12</v>
      </c>
      <c r="D846" s="935">
        <f t="shared" si="236"/>
        <v>13</v>
      </c>
      <c r="E846" s="935">
        <f t="shared" si="236"/>
        <v>14</v>
      </c>
      <c r="F846" s="935">
        <f t="shared" si="236"/>
        <v>15</v>
      </c>
      <c r="G846" s="935">
        <f t="shared" si="236"/>
        <v>16</v>
      </c>
      <c r="H846" s="935">
        <f t="shared" si="236"/>
        <v>17</v>
      </c>
      <c r="I846" s="935">
        <f t="shared" si="236"/>
        <v>18</v>
      </c>
      <c r="J846" s="935">
        <f t="shared" si="236"/>
        <v>19</v>
      </c>
      <c r="K846" s="935">
        <f t="shared" si="236"/>
        <v>20</v>
      </c>
    </row>
    <row r="847" spans="1:11">
      <c r="A847" s="1072" t="s">
        <v>2565</v>
      </c>
      <c r="B847" s="920">
        <f t="shared" ref="B847:K847" si="237">$B$14*(1+$B$5)^(B846-1)</f>
        <v>0</v>
      </c>
      <c r="C847" s="920">
        <f t="shared" si="237"/>
        <v>0</v>
      </c>
      <c r="D847" s="920">
        <f t="shared" si="237"/>
        <v>0</v>
      </c>
      <c r="E847" s="920">
        <f t="shared" si="237"/>
        <v>0</v>
      </c>
      <c r="F847" s="920">
        <f t="shared" si="237"/>
        <v>0</v>
      </c>
      <c r="G847" s="920">
        <f t="shared" si="237"/>
        <v>0</v>
      </c>
      <c r="H847" s="920">
        <f t="shared" si="237"/>
        <v>0</v>
      </c>
      <c r="I847" s="920">
        <f t="shared" si="237"/>
        <v>0</v>
      </c>
      <c r="J847" s="920">
        <f t="shared" si="237"/>
        <v>0</v>
      </c>
      <c r="K847" s="920">
        <f t="shared" si="237"/>
        <v>0</v>
      </c>
    </row>
    <row r="848" spans="1:11">
      <c r="A848" s="1072" t="s">
        <v>1078</v>
      </c>
      <c r="B848" s="920">
        <f t="shared" ref="B848:K848" si="238">$B$15*(1+$B$5)^(B846-1)</f>
        <v>0</v>
      </c>
      <c r="C848" s="920">
        <f t="shared" si="238"/>
        <v>0</v>
      </c>
      <c r="D848" s="920">
        <f t="shared" si="238"/>
        <v>0</v>
      </c>
      <c r="E848" s="920">
        <f t="shared" si="238"/>
        <v>0</v>
      </c>
      <c r="F848" s="920">
        <f t="shared" si="238"/>
        <v>0</v>
      </c>
      <c r="G848" s="920">
        <f t="shared" si="238"/>
        <v>0</v>
      </c>
      <c r="H848" s="920">
        <f t="shared" si="238"/>
        <v>0</v>
      </c>
      <c r="I848" s="920">
        <f t="shared" si="238"/>
        <v>0</v>
      </c>
      <c r="J848" s="920">
        <f t="shared" si="238"/>
        <v>0</v>
      </c>
      <c r="K848" s="920">
        <f t="shared" si="238"/>
        <v>0</v>
      </c>
    </row>
    <row r="849" spans="1:11">
      <c r="A849" s="1072" t="s">
        <v>2566</v>
      </c>
      <c r="B849" s="920">
        <f t="shared" ref="B849:K849" si="239">-(B847+B848)*$B$8</f>
        <v>0</v>
      </c>
      <c r="C849" s="920">
        <f t="shared" si="239"/>
        <v>0</v>
      </c>
      <c r="D849" s="920">
        <f t="shared" si="239"/>
        <v>0</v>
      </c>
      <c r="E849" s="920">
        <f t="shared" si="239"/>
        <v>0</v>
      </c>
      <c r="F849" s="920">
        <f t="shared" si="239"/>
        <v>0</v>
      </c>
      <c r="G849" s="920">
        <f t="shared" si="239"/>
        <v>0</v>
      </c>
      <c r="H849" s="920">
        <f t="shared" si="239"/>
        <v>0</v>
      </c>
      <c r="I849" s="920">
        <f t="shared" si="239"/>
        <v>0</v>
      </c>
      <c r="J849" s="920">
        <f t="shared" si="239"/>
        <v>0</v>
      </c>
      <c r="K849" s="920">
        <f t="shared" si="239"/>
        <v>0</v>
      </c>
    </row>
    <row r="850" spans="1:11">
      <c r="A850" s="1072" t="s">
        <v>55</v>
      </c>
      <c r="B850" s="920">
        <f>+'Part VI-Revenues &amp; Expenses'!G925</f>
        <v>0</v>
      </c>
      <c r="C850" s="920">
        <f>+'Part VI-Revenues &amp; Expenses'!H925</f>
        <v>0</v>
      </c>
      <c r="D850" s="920">
        <f>+'Part VI-Revenues &amp; Expenses'!I925</f>
        <v>0</v>
      </c>
      <c r="E850" s="920">
        <f>+'Part VI-Revenues &amp; Expenses'!J925</f>
        <v>0</v>
      </c>
      <c r="F850" s="920">
        <f>+'Part VI-Revenues &amp; Expenses'!K925</f>
        <v>0</v>
      </c>
      <c r="G850" s="920">
        <f>+'Part VI-Revenues &amp; Expenses'!L925</f>
        <v>0</v>
      </c>
      <c r="H850" s="920">
        <f>+'Part VI-Revenues &amp; Expenses'!M925</f>
        <v>0</v>
      </c>
      <c r="I850" s="920">
        <f>+'Part VI-Revenues &amp; Expenses'!N925</f>
        <v>0</v>
      </c>
      <c r="J850" s="920">
        <f>+'Part VI-Revenues &amp; Expenses'!O925</f>
        <v>0</v>
      </c>
      <c r="K850" s="920">
        <f>+'Part VI-Revenues &amp; Expenses'!P925</f>
        <v>0</v>
      </c>
    </row>
    <row r="851" spans="1:11">
      <c r="A851" s="1072" t="s">
        <v>56</v>
      </c>
      <c r="B851" s="920">
        <f>'Part VI-Revenues &amp; Expenses'!G930</f>
        <v>0</v>
      </c>
      <c r="C851" s="920">
        <f>'Part VI-Revenues &amp; Expenses'!H930</f>
        <v>0</v>
      </c>
      <c r="D851" s="920">
        <f>'Part VI-Revenues &amp; Expenses'!I930</f>
        <v>0</v>
      </c>
      <c r="E851" s="920">
        <f>'Part VI-Revenues &amp; Expenses'!J930</f>
        <v>0</v>
      </c>
      <c r="F851" s="920">
        <f>'Part VI-Revenues &amp; Expenses'!K930</f>
        <v>0</v>
      </c>
      <c r="G851" s="920">
        <f>'Part VI-Revenues &amp; Expenses'!L930</f>
        <v>0</v>
      </c>
      <c r="H851" s="920">
        <f>'Part VI-Revenues &amp; Expenses'!M930</f>
        <v>0</v>
      </c>
      <c r="I851" s="920">
        <f>'Part VI-Revenues &amp; Expenses'!N930</f>
        <v>0</v>
      </c>
      <c r="J851" s="920">
        <f>'Part VI-Revenues &amp; Expenses'!O930</f>
        <v>0</v>
      </c>
      <c r="K851" s="920">
        <f>'Part VI-Revenues &amp; Expenses'!P930</f>
        <v>0</v>
      </c>
    </row>
    <row r="852" spans="1:11">
      <c r="A852" s="1072" t="s">
        <v>655</v>
      </c>
      <c r="B852" s="920">
        <f t="shared" ref="B852:K852" si="240">$B$19*(1+$B$6)^(B846-1)</f>
        <v>0</v>
      </c>
      <c r="C852" s="920">
        <f t="shared" si="240"/>
        <v>0</v>
      </c>
      <c r="D852" s="920">
        <f t="shared" si="240"/>
        <v>0</v>
      </c>
      <c r="E852" s="920">
        <f t="shared" si="240"/>
        <v>0</v>
      </c>
      <c r="F852" s="920">
        <f t="shared" si="240"/>
        <v>0</v>
      </c>
      <c r="G852" s="920">
        <f t="shared" si="240"/>
        <v>0</v>
      </c>
      <c r="H852" s="920">
        <f t="shared" si="240"/>
        <v>0</v>
      </c>
      <c r="I852" s="920">
        <f t="shared" si="240"/>
        <v>0</v>
      </c>
      <c r="J852" s="920">
        <f t="shared" si="240"/>
        <v>0</v>
      </c>
      <c r="K852" s="920">
        <f t="shared" si="240"/>
        <v>0</v>
      </c>
    </row>
    <row r="853" spans="1:11">
      <c r="A853" s="1072" t="s">
        <v>1180</v>
      </c>
      <c r="B853" s="920">
        <f>IF(AND('Part VII-Pro Forma'!$G$8="Yes",'Part VII-Pro Forma'!$G$9="Yes"),"Choose One!",IF('Part VII-Pro Forma'!$G$8="Yes",ROUND((-$K$8*(1+'Part VII-Pro Forma'!$B$6)^('Part VII-Pro Forma'!B846-1)),),IF('Part VII-Pro Forma'!$G$9="Yes",ROUND((-(SUM(B847:B850)*'Part VII-Pro Forma'!$K$9)),),"Choose mgt fee")))</f>
        <v>0</v>
      </c>
      <c r="C853" s="920">
        <f>IF(AND('Part VII-Pro Forma'!$G$8="Yes",'Part VII-Pro Forma'!$G$9="Yes"),"Choose One!",IF('Part VII-Pro Forma'!$G$8="Yes",ROUND((-$K$8*(1+'Part VII-Pro Forma'!$B$6)^('Part VII-Pro Forma'!C846-1)),),IF('Part VII-Pro Forma'!$G$9="Yes",ROUND((-(SUM(C847:C850)*'Part VII-Pro Forma'!$K$9)),),"Choose mgt fee")))</f>
        <v>0</v>
      </c>
      <c r="D853" s="920">
        <f>IF(AND('Part VII-Pro Forma'!$G$8="Yes",'Part VII-Pro Forma'!$G$9="Yes"),"Choose One!",IF('Part VII-Pro Forma'!$G$8="Yes",ROUND((-$K$8*(1+'Part VII-Pro Forma'!$B$6)^('Part VII-Pro Forma'!D846-1)),),IF('Part VII-Pro Forma'!$G$9="Yes",ROUND((-(SUM(D847:D850)*'Part VII-Pro Forma'!$K$9)),),"Choose mgt fee")))</f>
        <v>0</v>
      </c>
      <c r="E853" s="920">
        <f>IF(AND('Part VII-Pro Forma'!$G$8="Yes",'Part VII-Pro Forma'!$G$9="Yes"),"Choose One!",IF('Part VII-Pro Forma'!$G$8="Yes",ROUND((-$K$8*(1+'Part VII-Pro Forma'!$B$6)^('Part VII-Pro Forma'!E846-1)),),IF('Part VII-Pro Forma'!$G$9="Yes",ROUND((-(SUM(E847:E850)*'Part VII-Pro Forma'!$K$9)),),"Choose mgt fee")))</f>
        <v>0</v>
      </c>
      <c r="F853" s="920">
        <f>IF(AND('Part VII-Pro Forma'!$G$8="Yes",'Part VII-Pro Forma'!$G$9="Yes"),"Choose One!",IF('Part VII-Pro Forma'!$G$8="Yes",ROUND((-$K$8*(1+'Part VII-Pro Forma'!$B$6)^('Part VII-Pro Forma'!F846-1)),),IF('Part VII-Pro Forma'!$G$9="Yes",ROUND((-(SUM(F847:F850)*'Part VII-Pro Forma'!$K$9)),),"Choose mgt fee")))</f>
        <v>0</v>
      </c>
      <c r="G853" s="920">
        <f>IF(AND('Part VII-Pro Forma'!$G$8="Yes",'Part VII-Pro Forma'!$G$9="Yes"),"Choose One!",IF('Part VII-Pro Forma'!$G$8="Yes",ROUND((-$K$8*(1+'Part VII-Pro Forma'!$B$6)^('Part VII-Pro Forma'!G846-1)),),IF('Part VII-Pro Forma'!$G$9="Yes",ROUND((-(SUM(G847:G850)*'Part VII-Pro Forma'!$K$9)),),"Choose mgt fee")))</f>
        <v>0</v>
      </c>
      <c r="H853" s="920">
        <f>IF(AND('Part VII-Pro Forma'!$G$8="Yes",'Part VII-Pro Forma'!$G$9="Yes"),"Choose One!",IF('Part VII-Pro Forma'!$G$8="Yes",ROUND((-$K$8*(1+'Part VII-Pro Forma'!$B$6)^('Part VII-Pro Forma'!H846-1)),),IF('Part VII-Pro Forma'!$G$9="Yes",ROUND((-(SUM(H847:H850)*'Part VII-Pro Forma'!$K$9)),),"Choose mgt fee")))</f>
        <v>0</v>
      </c>
      <c r="I853" s="920">
        <f>IF(AND('Part VII-Pro Forma'!$G$8="Yes",'Part VII-Pro Forma'!$G$9="Yes"),"Choose One!",IF('Part VII-Pro Forma'!$G$8="Yes",ROUND((-$K$8*(1+'Part VII-Pro Forma'!$B$6)^('Part VII-Pro Forma'!I846-1)),),IF('Part VII-Pro Forma'!$G$9="Yes",ROUND((-(SUM(I847:I850)*'Part VII-Pro Forma'!$K$9)),),"Choose mgt fee")))</f>
        <v>0</v>
      </c>
      <c r="J853" s="920">
        <f>IF(AND('Part VII-Pro Forma'!$G$8="Yes",'Part VII-Pro Forma'!$G$9="Yes"),"Choose One!",IF('Part VII-Pro Forma'!$G$8="Yes",ROUND((-$K$8*(1+'Part VII-Pro Forma'!$B$6)^('Part VII-Pro Forma'!J846-1)),),IF('Part VII-Pro Forma'!$G$9="Yes",ROUND((-(SUM(J847:J850)*'Part VII-Pro Forma'!$K$9)),),"Choose mgt fee")))</f>
        <v>0</v>
      </c>
      <c r="K853" s="920">
        <f>IF(AND('Part VII-Pro Forma'!$G$8="Yes",'Part VII-Pro Forma'!$G$9="Yes"),"Choose One!",IF('Part VII-Pro Forma'!$G$8="Yes",ROUND((-$K$8*(1+'Part VII-Pro Forma'!$B$6)^('Part VII-Pro Forma'!K846-1)),),IF('Part VII-Pro Forma'!$G$9="Yes",ROUND((-(SUM(K847:K850)*'Part VII-Pro Forma'!$K$9)),),"Choose mgt fee")))</f>
        <v>0</v>
      </c>
    </row>
    <row r="854" spans="1:11">
      <c r="A854" s="1072" t="s">
        <v>1278</v>
      </c>
      <c r="B854" s="920">
        <f t="shared" ref="B854:K854" si="241">$B$21*(1+$B$7)^(B846-1)</f>
        <v>0</v>
      </c>
      <c r="C854" s="920">
        <f t="shared" si="241"/>
        <v>0</v>
      </c>
      <c r="D854" s="920">
        <f t="shared" si="241"/>
        <v>0</v>
      </c>
      <c r="E854" s="920">
        <f t="shared" si="241"/>
        <v>0</v>
      </c>
      <c r="F854" s="920">
        <f t="shared" si="241"/>
        <v>0</v>
      </c>
      <c r="G854" s="920">
        <f t="shared" si="241"/>
        <v>0</v>
      </c>
      <c r="H854" s="920">
        <f t="shared" si="241"/>
        <v>0</v>
      </c>
      <c r="I854" s="920">
        <f t="shared" si="241"/>
        <v>0</v>
      </c>
      <c r="J854" s="920">
        <f t="shared" si="241"/>
        <v>0</v>
      </c>
      <c r="K854" s="920">
        <f t="shared" si="241"/>
        <v>0</v>
      </c>
    </row>
    <row r="855" spans="1:11">
      <c r="A855" s="1072" t="s">
        <v>1279</v>
      </c>
      <c r="B855" s="920">
        <f t="shared" ref="B855:K855" si="242">SUM(B847:B854)</f>
        <v>0</v>
      </c>
      <c r="C855" s="920">
        <f t="shared" si="242"/>
        <v>0</v>
      </c>
      <c r="D855" s="920">
        <f t="shared" si="242"/>
        <v>0</v>
      </c>
      <c r="E855" s="920">
        <f t="shared" si="242"/>
        <v>0</v>
      </c>
      <c r="F855" s="920">
        <f t="shared" si="242"/>
        <v>0</v>
      </c>
      <c r="G855" s="920">
        <f t="shared" si="242"/>
        <v>0</v>
      </c>
      <c r="H855" s="920">
        <f t="shared" si="242"/>
        <v>0</v>
      </c>
      <c r="I855" s="920">
        <f t="shared" si="242"/>
        <v>0</v>
      </c>
      <c r="J855" s="920">
        <f t="shared" si="242"/>
        <v>0</v>
      </c>
      <c r="K855" s="920">
        <f t="shared" si="242"/>
        <v>0</v>
      </c>
    </row>
    <row r="856" spans="1:11">
      <c r="A856" s="1072" t="str">
        <f>$A827</f>
        <v>Mortgage A</v>
      </c>
      <c r="B856" s="920">
        <f>'Part VII-Pro Forma'!B52</f>
        <v>0</v>
      </c>
      <c r="C856" s="920">
        <f>'Part VII-Pro Forma'!C52</f>
        <v>0</v>
      </c>
      <c r="D856" s="920">
        <f>'Part VII-Pro Forma'!D52</f>
        <v>0</v>
      </c>
      <c r="E856" s="920">
        <f>'Part VII-Pro Forma'!E52</f>
        <v>0</v>
      </c>
      <c r="F856" s="920">
        <f>'Part VII-Pro Forma'!F52</f>
        <v>0</v>
      </c>
      <c r="G856" s="920">
        <f>'Part VII-Pro Forma'!G52</f>
        <v>0</v>
      </c>
      <c r="H856" s="920">
        <f>'Part VII-Pro Forma'!H52</f>
        <v>0</v>
      </c>
      <c r="I856" s="920">
        <f>'Part VII-Pro Forma'!I52</f>
        <v>0</v>
      </c>
      <c r="J856" s="920">
        <f>'Part VII-Pro Forma'!J52</f>
        <v>0</v>
      </c>
      <c r="K856" s="920">
        <f>'Part VII-Pro Forma'!K52</f>
        <v>0</v>
      </c>
    </row>
    <row r="857" spans="1:11">
      <c r="A857" s="1072" t="str">
        <f>$A828</f>
        <v>Mortgage B</v>
      </c>
      <c r="B857" s="920">
        <f>'Part VII-Pro Forma'!B53</f>
        <v>0</v>
      </c>
      <c r="C857" s="920">
        <f>'Part VII-Pro Forma'!C53</f>
        <v>0</v>
      </c>
      <c r="D857" s="920">
        <f>'Part VII-Pro Forma'!D53</f>
        <v>0</v>
      </c>
      <c r="E857" s="920">
        <f>'Part VII-Pro Forma'!E53</f>
        <v>0</v>
      </c>
      <c r="F857" s="920">
        <f>'Part VII-Pro Forma'!F53</f>
        <v>0</v>
      </c>
      <c r="G857" s="920">
        <f>'Part VII-Pro Forma'!G53</f>
        <v>0</v>
      </c>
      <c r="H857" s="920">
        <f>'Part VII-Pro Forma'!H53</f>
        <v>0</v>
      </c>
      <c r="I857" s="920">
        <f>'Part VII-Pro Forma'!I53</f>
        <v>0</v>
      </c>
      <c r="J857" s="920">
        <f>'Part VII-Pro Forma'!J53</f>
        <v>0</v>
      </c>
      <c r="K857" s="920">
        <f>'Part VII-Pro Forma'!K53</f>
        <v>0</v>
      </c>
    </row>
    <row r="858" spans="1:11">
      <c r="A858" s="1072" t="str">
        <f>$A829</f>
        <v>Mortgage C</v>
      </c>
      <c r="B858" s="920">
        <f>'Part VII-Pro Forma'!B54</f>
        <v>0</v>
      </c>
      <c r="C858" s="920">
        <f>'Part VII-Pro Forma'!C54</f>
        <v>0</v>
      </c>
      <c r="D858" s="920">
        <f>'Part VII-Pro Forma'!D54</f>
        <v>0</v>
      </c>
      <c r="E858" s="920">
        <f>'Part VII-Pro Forma'!E54</f>
        <v>0</v>
      </c>
      <c r="F858" s="920">
        <f>'Part VII-Pro Forma'!F54</f>
        <v>0</v>
      </c>
      <c r="G858" s="920">
        <f>'Part VII-Pro Forma'!G54</f>
        <v>0</v>
      </c>
      <c r="H858" s="920">
        <f>'Part VII-Pro Forma'!H54</f>
        <v>0</v>
      </c>
      <c r="I858" s="920">
        <f>'Part VII-Pro Forma'!I54</f>
        <v>0</v>
      </c>
      <c r="J858" s="920">
        <f>'Part VII-Pro Forma'!J54</f>
        <v>0</v>
      </c>
      <c r="K858" s="920">
        <f>'Part VII-Pro Forma'!K54</f>
        <v>0</v>
      </c>
    </row>
    <row r="859" spans="1:11">
      <c r="A859" s="1072" t="str">
        <f>$A830</f>
        <v>D/S Other Source</v>
      </c>
      <c r="B859" s="920">
        <f>'Part VII-Pro Forma'!B55</f>
        <v>0</v>
      </c>
      <c r="C859" s="920">
        <f>'Part VII-Pro Forma'!C55</f>
        <v>0</v>
      </c>
      <c r="D859" s="920">
        <f>'Part VII-Pro Forma'!D55</f>
        <v>0</v>
      </c>
      <c r="E859" s="920">
        <f>'Part VII-Pro Forma'!E55</f>
        <v>0</v>
      </c>
      <c r="F859" s="920">
        <f>'Part VII-Pro Forma'!F55</f>
        <v>0</v>
      </c>
      <c r="G859" s="920">
        <f>'Part VII-Pro Forma'!G55</f>
        <v>0</v>
      </c>
      <c r="H859" s="920">
        <f>'Part VII-Pro Forma'!H55</f>
        <v>0</v>
      </c>
      <c r="I859" s="920">
        <f>'Part VII-Pro Forma'!I55</f>
        <v>0</v>
      </c>
      <c r="J859" s="920">
        <f>'Part VII-Pro Forma'!J55</f>
        <v>0</v>
      </c>
      <c r="K859" s="920">
        <f>'Part VII-Pro Forma'!K55</f>
        <v>0</v>
      </c>
    </row>
    <row r="860" spans="1:11">
      <c r="A860" s="1072" t="s">
        <v>814</v>
      </c>
      <c r="B860" s="920">
        <f>'Part VII-Pro Forma'!B56</f>
        <v>0</v>
      </c>
      <c r="C860" s="920">
        <f>'Part VII-Pro Forma'!C56</f>
        <v>0</v>
      </c>
      <c r="D860" s="920">
        <f>'Part VII-Pro Forma'!D56</f>
        <v>0</v>
      </c>
      <c r="E860" s="920">
        <f>'Part VII-Pro Forma'!E56</f>
        <v>0</v>
      </c>
      <c r="F860" s="920">
        <f>'Part VII-Pro Forma'!F56</f>
        <v>0</v>
      </c>
      <c r="G860" s="920">
        <f>'Part VII-Pro Forma'!G56</f>
        <v>0</v>
      </c>
      <c r="H860" s="920">
        <f>'Part VII-Pro Forma'!H56</f>
        <v>0</v>
      </c>
      <c r="I860" s="920">
        <f>'Part VII-Pro Forma'!I56</f>
        <v>0</v>
      </c>
      <c r="J860" s="920">
        <f>'Part VII-Pro Forma'!J56</f>
        <v>0</v>
      </c>
      <c r="K860" s="920">
        <f>'Part VII-Pro Forma'!K56</f>
        <v>0</v>
      </c>
    </row>
    <row r="861" spans="1:11">
      <c r="A861" s="1072" t="s">
        <v>1234</v>
      </c>
      <c r="B861" s="920">
        <f>'Part VII-Pro Forma'!B57</f>
        <v>-8063.4982760647335</v>
      </c>
      <c r="C861" s="920">
        <f>'Part VII-Pro Forma'!C57</f>
        <v>-8305.4032243466754</v>
      </c>
      <c r="D861" s="920">
        <f>'Part VII-Pro Forma'!D57</f>
        <v>-8554.5653210770761</v>
      </c>
      <c r="E861" s="920">
        <f>'Part VII-Pro Forma'!E57</f>
        <v>-8811.202280709389</v>
      </c>
      <c r="F861" s="920">
        <f>'Part VII-Pro Forma'!F57</f>
        <v>-9075.5383491306711</v>
      </c>
      <c r="G861" s="920">
        <f>'Part VII-Pro Forma'!G57</f>
        <v>-9347.8044996045919</v>
      </c>
      <c r="H861" s="920">
        <f>'Part VII-Pro Forma'!H57</f>
        <v>-9628.2386345927298</v>
      </c>
      <c r="I861" s="920">
        <f>'Part VII-Pro Forma'!I57</f>
        <v>-9917.0857936305129</v>
      </c>
      <c r="J861" s="920">
        <f>'Part VII-Pro Forma'!J57</f>
        <v>-10214.598367439428</v>
      </c>
      <c r="K861" s="920">
        <f>'Part VII-Pro Forma'!K57</f>
        <v>-10521.036318462611</v>
      </c>
    </row>
    <row r="862" spans="1:11">
      <c r="A862" s="1072" t="s">
        <v>1280</v>
      </c>
      <c r="B862" s="920">
        <f>'Part VII-Pro Forma'!B58</f>
        <v>0</v>
      </c>
      <c r="C862" s="920">
        <f>'Part VII-Pro Forma'!C58</f>
        <v>0</v>
      </c>
      <c r="D862" s="920">
        <f>'Part VII-Pro Forma'!D58</f>
        <v>0</v>
      </c>
      <c r="E862" s="920">
        <f>'Part VII-Pro Forma'!E58</f>
        <v>0</v>
      </c>
      <c r="F862" s="920">
        <f>'Part VII-Pro Forma'!F58</f>
        <v>0</v>
      </c>
      <c r="G862" s="920">
        <f>'Part VII-Pro Forma'!G58</f>
        <v>0</v>
      </c>
      <c r="H862" s="920">
        <f>'Part VII-Pro Forma'!H58</f>
        <v>0</v>
      </c>
      <c r="I862" s="920">
        <f>'Part VII-Pro Forma'!I58</f>
        <v>0</v>
      </c>
      <c r="J862" s="920">
        <f>'Part VII-Pro Forma'!J58</f>
        <v>0</v>
      </c>
      <c r="K862" s="920">
        <f>'Part VII-Pro Forma'!K58</f>
        <v>0</v>
      </c>
    </row>
    <row r="863" spans="1:11">
      <c r="A863" s="1072" t="s">
        <v>1235</v>
      </c>
      <c r="B863" s="920">
        <f t="shared" ref="B863:K863" si="243">SUM(B855:B862)</f>
        <v>-8063.4982760647335</v>
      </c>
      <c r="C863" s="920">
        <f t="shared" si="243"/>
        <v>-8305.4032243466754</v>
      </c>
      <c r="D863" s="920">
        <f t="shared" si="243"/>
        <v>-8554.5653210770761</v>
      </c>
      <c r="E863" s="920">
        <f t="shared" si="243"/>
        <v>-8811.202280709389</v>
      </c>
      <c r="F863" s="920">
        <f t="shared" si="243"/>
        <v>-9075.5383491306711</v>
      </c>
      <c r="G863" s="920">
        <f t="shared" si="243"/>
        <v>-9347.8044996045919</v>
      </c>
      <c r="H863" s="920">
        <f t="shared" si="243"/>
        <v>-9628.2386345927298</v>
      </c>
      <c r="I863" s="920">
        <f t="shared" si="243"/>
        <v>-9917.0857936305129</v>
      </c>
      <c r="J863" s="920">
        <f t="shared" si="243"/>
        <v>-10214.598367439428</v>
      </c>
      <c r="K863" s="920">
        <f t="shared" si="243"/>
        <v>-10521.036318462611</v>
      </c>
    </row>
    <row r="864" spans="1:11">
      <c r="A864" s="1072" t="str">
        <f>$A835</f>
        <v>DCR Mortgage A</v>
      </c>
      <c r="B864" s="933" t="str">
        <f>IF(B856=0,"",-B855/B856)</f>
        <v/>
      </c>
      <c r="C864" s="933" t="str">
        <f t="shared" ref="C864:K864" si="244">IF(C856=0,"",-C855/C856)</f>
        <v/>
      </c>
      <c r="D864" s="933" t="str">
        <f t="shared" si="244"/>
        <v/>
      </c>
      <c r="E864" s="933" t="str">
        <f t="shared" si="244"/>
        <v/>
      </c>
      <c r="F864" s="933" t="str">
        <f t="shared" si="244"/>
        <v/>
      </c>
      <c r="G864" s="933" t="str">
        <f t="shared" si="244"/>
        <v/>
      </c>
      <c r="H864" s="933" t="str">
        <f t="shared" si="244"/>
        <v/>
      </c>
      <c r="I864" s="933" t="str">
        <f t="shared" si="244"/>
        <v/>
      </c>
      <c r="J864" s="933" t="str">
        <f t="shared" si="244"/>
        <v/>
      </c>
      <c r="K864" s="933" t="str">
        <f t="shared" si="244"/>
        <v/>
      </c>
    </row>
    <row r="865" spans="1:11">
      <c r="A865" s="1072" t="str">
        <f>$A836</f>
        <v>DCR Mortgage B</v>
      </c>
      <c r="B865" s="933" t="str">
        <f>IF(OR(B857=0,AND(B857=0,B856=0)),"",-B855/(B856+B857))</f>
        <v/>
      </c>
      <c r="C865" s="933" t="str">
        <f t="shared" ref="C865:K865" si="245">IF(OR(C857=0,AND(C857=0,C856=0)),"",-C855/(C856+C857))</f>
        <v/>
      </c>
      <c r="D865" s="933" t="str">
        <f t="shared" si="245"/>
        <v/>
      </c>
      <c r="E865" s="933" t="str">
        <f t="shared" si="245"/>
        <v/>
      </c>
      <c r="F865" s="933" t="str">
        <f t="shared" si="245"/>
        <v/>
      </c>
      <c r="G865" s="933" t="str">
        <f t="shared" si="245"/>
        <v/>
      </c>
      <c r="H865" s="933" t="str">
        <f t="shared" si="245"/>
        <v/>
      </c>
      <c r="I865" s="933" t="str">
        <f t="shared" si="245"/>
        <v/>
      </c>
      <c r="J865" s="933" t="str">
        <f t="shared" si="245"/>
        <v/>
      </c>
      <c r="K865" s="933" t="str">
        <f t="shared" si="245"/>
        <v/>
      </c>
    </row>
    <row r="866" spans="1:11">
      <c r="A866" s="1072" t="str">
        <f>$A837</f>
        <v>DCR Mortgage C</v>
      </c>
      <c r="B866" s="933" t="str">
        <f>IF(OR(B858=0,AND(B858=0,B857=0,B856=0)),"",-B855/(B856+B857+B858))</f>
        <v/>
      </c>
      <c r="C866" s="933" t="str">
        <f t="shared" ref="C866:K866" si="246">IF(OR(C858=0,AND(C858=0,C857=0,C856=0)),"",-C855/(C856+C857+C858))</f>
        <v/>
      </c>
      <c r="D866" s="933" t="str">
        <f t="shared" si="246"/>
        <v/>
      </c>
      <c r="E866" s="933" t="str">
        <f t="shared" si="246"/>
        <v/>
      </c>
      <c r="F866" s="933" t="str">
        <f t="shared" si="246"/>
        <v/>
      </c>
      <c r="G866" s="933" t="str">
        <f t="shared" si="246"/>
        <v/>
      </c>
      <c r="H866" s="933" t="str">
        <f t="shared" si="246"/>
        <v/>
      </c>
      <c r="I866" s="933" t="str">
        <f t="shared" si="246"/>
        <v/>
      </c>
      <c r="J866" s="933" t="str">
        <f t="shared" si="246"/>
        <v/>
      </c>
      <c r="K866" s="933" t="str">
        <f t="shared" si="246"/>
        <v/>
      </c>
    </row>
    <row r="867" spans="1:11">
      <c r="A867" s="1072" t="str">
        <f>$A838</f>
        <v>DCR Other Source</v>
      </c>
      <c r="B867" s="933" t="str">
        <f>IF(OR(B859=0,AND(B856=0,B857=0,B858=0,B859=0)),"",-B855/(B856+B857+B858+B859))</f>
        <v/>
      </c>
      <c r="C867" s="933" t="str">
        <f t="shared" ref="C867:K867" si="247">IF(OR(C859=0,AND(C856=0,C857=0,C858=0,C859=0)),"",-C855/(C856+C857+C858+C859))</f>
        <v/>
      </c>
      <c r="D867" s="933" t="str">
        <f t="shared" si="247"/>
        <v/>
      </c>
      <c r="E867" s="933" t="str">
        <f t="shared" si="247"/>
        <v/>
      </c>
      <c r="F867" s="933" t="str">
        <f t="shared" si="247"/>
        <v/>
      </c>
      <c r="G867" s="933" t="str">
        <f t="shared" si="247"/>
        <v/>
      </c>
      <c r="H867" s="933" t="str">
        <f t="shared" si="247"/>
        <v/>
      </c>
      <c r="I867" s="933" t="str">
        <f t="shared" si="247"/>
        <v/>
      </c>
      <c r="J867" s="933" t="str">
        <f t="shared" si="247"/>
        <v/>
      </c>
      <c r="K867" s="933" t="str">
        <f t="shared" si="247"/>
        <v/>
      </c>
    </row>
    <row r="868" spans="1:11">
      <c r="A868" s="1072" t="s">
        <v>821</v>
      </c>
      <c r="B868" s="934" t="e">
        <f>IF(OR(B853="Choose mgt fee",B853="Choose One!"),"",(B847+B848+B849+B850+B851) / -(B852+B853+B854))</f>
        <v>#DIV/0!</v>
      </c>
      <c r="C868" s="934" t="e">
        <f t="shared" ref="C868:K868" si="248">IF(OR(C853="Choose mgt fee",C853="Choose One!"),"",(C847+C848+C849+C850+C851) / -(C852+C853+C854))</f>
        <v>#DIV/0!</v>
      </c>
      <c r="D868" s="934" t="e">
        <f t="shared" si="248"/>
        <v>#DIV/0!</v>
      </c>
      <c r="E868" s="934" t="e">
        <f t="shared" si="248"/>
        <v>#DIV/0!</v>
      </c>
      <c r="F868" s="934" t="e">
        <f t="shared" si="248"/>
        <v>#DIV/0!</v>
      </c>
      <c r="G868" s="934" t="e">
        <f t="shared" si="248"/>
        <v>#DIV/0!</v>
      </c>
      <c r="H868" s="934" t="e">
        <f t="shared" si="248"/>
        <v>#DIV/0!</v>
      </c>
      <c r="I868" s="934" t="e">
        <f t="shared" si="248"/>
        <v>#DIV/0!</v>
      </c>
      <c r="J868" s="934" t="e">
        <f t="shared" si="248"/>
        <v>#DIV/0!</v>
      </c>
      <c r="K868" s="934" t="e">
        <f t="shared" si="248"/>
        <v>#DIV/0!</v>
      </c>
    </row>
    <row r="869" spans="1:11">
      <c r="A869" s="1072" t="s">
        <v>2800</v>
      </c>
      <c r="B869" s="920">
        <f>'Part VII-Pro Forma'!B65</f>
        <v>2.4670175288208239E-8</v>
      </c>
      <c r="C869" s="920">
        <f>'Part VII-Pro Forma'!C65</f>
        <v>2.5471302973514144E-8</v>
      </c>
      <c r="D869" s="920">
        <f>'Part VII-Pro Forma'!D65</f>
        <v>2.6298446103001766E-8</v>
      </c>
      <c r="E869" s="920">
        <f>'Part VII-Pro Forma'!E65</f>
        <v>2.7152449489986618E-8</v>
      </c>
      <c r="F869" s="920">
        <f>'Part VII-Pro Forma'!F65</f>
        <v>2.8034185381855033E-8</v>
      </c>
      <c r="G869" s="920">
        <f>'Part VII-Pro Forma'!G65</f>
        <v>2.8944554350945294E-8</v>
      </c>
      <c r="H869" s="920">
        <f>'Part VII-Pro Forma'!H65</f>
        <v>2.9884486214358814E-8</v>
      </c>
      <c r="I869" s="920">
        <f>'Part VII-Pro Forma'!I65</f>
        <v>3.0854940983640847E-8</v>
      </c>
      <c r="J869" s="920">
        <f>'Part VII-Pro Forma'!J65</f>
        <v>3.1856909845300678E-8</v>
      </c>
      <c r="K869" s="920">
        <f>'Part VII-Pro Forma'!K65</f>
        <v>3.289141617317275E-8</v>
      </c>
    </row>
    <row r="870" spans="1:11">
      <c r="A870" s="1072" t="s">
        <v>2801</v>
      </c>
      <c r="B870" s="920" t="str">
        <f>'Part VII-Pro Forma'!B66</f>
        <v/>
      </c>
      <c r="C870" s="920" t="str">
        <f>'Part VII-Pro Forma'!C66</f>
        <v/>
      </c>
      <c r="D870" s="920" t="str">
        <f>'Part VII-Pro Forma'!D66</f>
        <v/>
      </c>
      <c r="E870" s="920" t="str">
        <f>'Part VII-Pro Forma'!E66</f>
        <v/>
      </c>
      <c r="F870" s="920" t="str">
        <f>'Part VII-Pro Forma'!F66</f>
        <v/>
      </c>
      <c r="G870" s="920" t="str">
        <f>'Part VII-Pro Forma'!G66</f>
        <v/>
      </c>
      <c r="H870" s="920" t="str">
        <f>'Part VII-Pro Forma'!H66</f>
        <v/>
      </c>
      <c r="I870" s="920" t="str">
        <f>'Part VII-Pro Forma'!I66</f>
        <v/>
      </c>
      <c r="J870" s="920" t="str">
        <f>'Part VII-Pro Forma'!J66</f>
        <v/>
      </c>
      <c r="K870" s="920" t="str">
        <f>'Part VII-Pro Forma'!K66</f>
        <v/>
      </c>
    </row>
    <row r="871" spans="1:11">
      <c r="A871" s="1072" t="s">
        <v>2802</v>
      </c>
      <c r="B871" s="920" t="str">
        <f>'Part VII-Pro Forma'!B67</f>
        <v/>
      </c>
      <c r="C871" s="920" t="str">
        <f>'Part VII-Pro Forma'!C67</f>
        <v/>
      </c>
      <c r="D871" s="920" t="str">
        <f>'Part VII-Pro Forma'!D67</f>
        <v/>
      </c>
      <c r="E871" s="920" t="str">
        <f>'Part VII-Pro Forma'!E67</f>
        <v/>
      </c>
      <c r="F871" s="920" t="str">
        <f>'Part VII-Pro Forma'!F67</f>
        <v/>
      </c>
      <c r="G871" s="920" t="str">
        <f>'Part VII-Pro Forma'!G67</f>
        <v/>
      </c>
      <c r="H871" s="920" t="str">
        <f>'Part VII-Pro Forma'!H67</f>
        <v/>
      </c>
      <c r="I871" s="920" t="str">
        <f>'Part VII-Pro Forma'!I67</f>
        <v/>
      </c>
      <c r="J871" s="920" t="str">
        <f>'Part VII-Pro Forma'!J67</f>
        <v/>
      </c>
      <c r="K871" s="920" t="str">
        <f>'Part VII-Pro Forma'!K67</f>
        <v/>
      </c>
    </row>
    <row r="872" spans="1:11">
      <c r="A872" s="1072" t="s">
        <v>837</v>
      </c>
      <c r="B872" s="920" t="str">
        <f>'Part VII-Pro Forma'!B68</f>
        <v/>
      </c>
      <c r="C872" s="920" t="str">
        <f>'Part VII-Pro Forma'!C68</f>
        <v/>
      </c>
      <c r="D872" s="920" t="str">
        <f>'Part VII-Pro Forma'!D68</f>
        <v/>
      </c>
      <c r="E872" s="920" t="str">
        <f>'Part VII-Pro Forma'!E68</f>
        <v/>
      </c>
      <c r="F872" s="920" t="str">
        <f>'Part VII-Pro Forma'!F68</f>
        <v/>
      </c>
      <c r="G872" s="920" t="str">
        <f>'Part VII-Pro Forma'!G68</f>
        <v/>
      </c>
      <c r="H872" s="920" t="str">
        <f>'Part VII-Pro Forma'!H68</f>
        <v/>
      </c>
      <c r="I872" s="920" t="str">
        <f>'Part VII-Pro Forma'!I68</f>
        <v/>
      </c>
      <c r="J872" s="920" t="str">
        <f>'Part VII-Pro Forma'!J68</f>
        <v/>
      </c>
      <c r="K872" s="920" t="str">
        <f>'Part VII-Pro Forma'!K68</f>
        <v/>
      </c>
    </row>
    <row r="873" spans="1:11">
      <c r="A873" s="1072" t="s">
        <v>1315</v>
      </c>
      <c r="B873" s="920" t="str">
        <f>'Part VII-Pro Forma'!B69</f>
        <v/>
      </c>
      <c r="C873" s="920" t="str">
        <f>'Part VII-Pro Forma'!C69</f>
        <v/>
      </c>
      <c r="D873" s="920" t="str">
        <f>'Part VII-Pro Forma'!D69</f>
        <v/>
      </c>
      <c r="E873" s="920" t="str">
        <f>'Part VII-Pro Forma'!E69</f>
        <v/>
      </c>
      <c r="F873" s="920" t="str">
        <f>'Part VII-Pro Forma'!F69</f>
        <v/>
      </c>
      <c r="G873" s="920" t="str">
        <f>'Part VII-Pro Forma'!G69</f>
        <v/>
      </c>
      <c r="H873" s="920" t="str">
        <f>'Part VII-Pro Forma'!H69</f>
        <v/>
      </c>
      <c r="I873" s="920" t="str">
        <f>'Part VII-Pro Forma'!I69</f>
        <v/>
      </c>
      <c r="J873" s="920" t="str">
        <f>'Part VII-Pro Forma'!J69</f>
        <v/>
      </c>
      <c r="K873" s="920" t="str">
        <f>'Part VII-Pro Forma'!K69</f>
        <v/>
      </c>
    </row>
    <row r="874" spans="1:11">
      <c r="B874" s="920"/>
      <c r="C874" s="920"/>
      <c r="D874" s="920"/>
      <c r="E874" s="920"/>
      <c r="F874" s="920"/>
      <c r="G874" s="920"/>
      <c r="H874" s="920"/>
      <c r="I874" s="920"/>
      <c r="J874" s="920"/>
      <c r="K874" s="920"/>
    </row>
    <row r="875" spans="1:11">
      <c r="A875" s="835" t="s">
        <v>2648</v>
      </c>
      <c r="B875" s="935">
        <f>K846+1</f>
        <v>21</v>
      </c>
      <c r="C875" s="935">
        <f t="shared" ref="C875:K875" si="249">B875+1</f>
        <v>22</v>
      </c>
      <c r="D875" s="935">
        <f t="shared" si="249"/>
        <v>23</v>
      </c>
      <c r="E875" s="935">
        <f t="shared" si="249"/>
        <v>24</v>
      </c>
      <c r="F875" s="935">
        <f t="shared" si="249"/>
        <v>25</v>
      </c>
      <c r="G875" s="935">
        <f t="shared" si="249"/>
        <v>26</v>
      </c>
      <c r="H875" s="935">
        <f t="shared" si="249"/>
        <v>27</v>
      </c>
      <c r="I875" s="935">
        <f t="shared" si="249"/>
        <v>28</v>
      </c>
      <c r="J875" s="935">
        <f t="shared" si="249"/>
        <v>29</v>
      </c>
      <c r="K875" s="935">
        <f t="shared" si="249"/>
        <v>30</v>
      </c>
    </row>
    <row r="876" spans="1:11">
      <c r="A876" s="1072" t="s">
        <v>2565</v>
      </c>
      <c r="B876" s="920">
        <f t="shared" ref="B876:K876" si="250">$B$14*(1+$B$5)^(B875-1)</f>
        <v>0</v>
      </c>
      <c r="C876" s="920">
        <f t="shared" si="250"/>
        <v>0</v>
      </c>
      <c r="D876" s="920">
        <f t="shared" si="250"/>
        <v>0</v>
      </c>
      <c r="E876" s="920">
        <f t="shared" si="250"/>
        <v>0</v>
      </c>
      <c r="F876" s="920">
        <f t="shared" si="250"/>
        <v>0</v>
      </c>
      <c r="G876" s="920">
        <f t="shared" si="250"/>
        <v>0</v>
      </c>
      <c r="H876" s="920">
        <f t="shared" si="250"/>
        <v>0</v>
      </c>
      <c r="I876" s="920">
        <f t="shared" si="250"/>
        <v>0</v>
      </c>
      <c r="J876" s="920">
        <f t="shared" si="250"/>
        <v>0</v>
      </c>
      <c r="K876" s="920">
        <f t="shared" si="250"/>
        <v>0</v>
      </c>
    </row>
    <row r="877" spans="1:11">
      <c r="A877" s="1072" t="s">
        <v>1078</v>
      </c>
      <c r="B877" s="920">
        <f t="shared" ref="B877:K877" si="251">$B$15*(1+$B$5)^(B875-1)</f>
        <v>0</v>
      </c>
      <c r="C877" s="920">
        <f t="shared" si="251"/>
        <v>0</v>
      </c>
      <c r="D877" s="920">
        <f t="shared" si="251"/>
        <v>0</v>
      </c>
      <c r="E877" s="920">
        <f t="shared" si="251"/>
        <v>0</v>
      </c>
      <c r="F877" s="920">
        <f t="shared" si="251"/>
        <v>0</v>
      </c>
      <c r="G877" s="920">
        <f t="shared" si="251"/>
        <v>0</v>
      </c>
      <c r="H877" s="920">
        <f t="shared" si="251"/>
        <v>0</v>
      </c>
      <c r="I877" s="920">
        <f t="shared" si="251"/>
        <v>0</v>
      </c>
      <c r="J877" s="920">
        <f t="shared" si="251"/>
        <v>0</v>
      </c>
      <c r="K877" s="920">
        <f t="shared" si="251"/>
        <v>0</v>
      </c>
    </row>
    <row r="878" spans="1:11">
      <c r="A878" s="1072" t="s">
        <v>2566</v>
      </c>
      <c r="B878" s="920">
        <f t="shared" ref="B878:K878" si="252">-(B876+B877)*$B$8</f>
        <v>0</v>
      </c>
      <c r="C878" s="920">
        <f t="shared" si="252"/>
        <v>0</v>
      </c>
      <c r="D878" s="920">
        <f t="shared" si="252"/>
        <v>0</v>
      </c>
      <c r="E878" s="920">
        <f t="shared" si="252"/>
        <v>0</v>
      </c>
      <c r="F878" s="920">
        <f t="shared" si="252"/>
        <v>0</v>
      </c>
      <c r="G878" s="920">
        <f t="shared" si="252"/>
        <v>0</v>
      </c>
      <c r="H878" s="920">
        <f t="shared" si="252"/>
        <v>0</v>
      </c>
      <c r="I878" s="920">
        <f t="shared" si="252"/>
        <v>0</v>
      </c>
      <c r="J878" s="920">
        <f t="shared" si="252"/>
        <v>0</v>
      </c>
      <c r="K878" s="920">
        <f t="shared" si="252"/>
        <v>0</v>
      </c>
    </row>
    <row r="879" spans="1:11">
      <c r="A879" s="1072" t="s">
        <v>55</v>
      </c>
      <c r="B879" s="920">
        <f>'Part VI-Revenues &amp; Expenses'!G935</f>
        <v>0</v>
      </c>
      <c r="C879" s="920">
        <f>'Part VI-Revenues &amp; Expenses'!H935</f>
        <v>0</v>
      </c>
      <c r="D879" s="920">
        <f>'Part VI-Revenues &amp; Expenses'!I935</f>
        <v>0</v>
      </c>
      <c r="E879" s="920">
        <f>'Part VI-Revenues &amp; Expenses'!J935</f>
        <v>0</v>
      </c>
      <c r="F879" s="920">
        <f>'Part VI-Revenues &amp; Expenses'!K935</f>
        <v>0</v>
      </c>
      <c r="G879" s="920">
        <f>'Part VI-Revenues &amp; Expenses'!L935</f>
        <v>0</v>
      </c>
      <c r="H879" s="920">
        <f>'Part VI-Revenues &amp; Expenses'!M935</f>
        <v>0</v>
      </c>
      <c r="I879" s="920">
        <f>'Part VI-Revenues &amp; Expenses'!N935</f>
        <v>0</v>
      </c>
      <c r="J879" s="920">
        <f>'Part VI-Revenues &amp; Expenses'!O935</f>
        <v>0</v>
      </c>
      <c r="K879" s="920">
        <f>'Part VI-Revenues &amp; Expenses'!P935</f>
        <v>0</v>
      </c>
    </row>
    <row r="880" spans="1:11">
      <c r="A880" s="1072" t="s">
        <v>56</v>
      </c>
      <c r="B880" s="920">
        <f>'Part VI-Revenues &amp; Expenses'!G940</f>
        <v>0</v>
      </c>
      <c r="C880" s="920">
        <f>'Part VI-Revenues &amp; Expenses'!H940</f>
        <v>0</v>
      </c>
      <c r="D880" s="920">
        <f>'Part VI-Revenues &amp; Expenses'!I940</f>
        <v>0</v>
      </c>
      <c r="E880" s="920">
        <f>'Part VI-Revenues &amp; Expenses'!J940</f>
        <v>0</v>
      </c>
      <c r="F880" s="920">
        <f>'Part VI-Revenues &amp; Expenses'!K940</f>
        <v>0</v>
      </c>
      <c r="G880" s="920">
        <f>'Part VI-Revenues &amp; Expenses'!L940</f>
        <v>0</v>
      </c>
      <c r="H880" s="920">
        <f>'Part VI-Revenues &amp; Expenses'!M940</f>
        <v>0</v>
      </c>
      <c r="I880" s="920">
        <f>'Part VI-Revenues &amp; Expenses'!N940</f>
        <v>0</v>
      </c>
      <c r="J880" s="920">
        <f>'Part VI-Revenues &amp; Expenses'!O940</f>
        <v>0</v>
      </c>
      <c r="K880" s="920">
        <f>'Part VI-Revenues &amp; Expenses'!P940</f>
        <v>0</v>
      </c>
    </row>
    <row r="881" spans="1:11">
      <c r="A881" s="1072" t="s">
        <v>655</v>
      </c>
      <c r="B881" s="920">
        <f t="shared" ref="B881:K881" si="253">$B$19*(1+$B$6)^(B875-1)</f>
        <v>0</v>
      </c>
      <c r="C881" s="920">
        <f t="shared" si="253"/>
        <v>0</v>
      </c>
      <c r="D881" s="920">
        <f t="shared" si="253"/>
        <v>0</v>
      </c>
      <c r="E881" s="920">
        <f t="shared" si="253"/>
        <v>0</v>
      </c>
      <c r="F881" s="920">
        <f t="shared" si="253"/>
        <v>0</v>
      </c>
      <c r="G881" s="920">
        <f t="shared" si="253"/>
        <v>0</v>
      </c>
      <c r="H881" s="920">
        <f t="shared" si="253"/>
        <v>0</v>
      </c>
      <c r="I881" s="920">
        <f t="shared" si="253"/>
        <v>0</v>
      </c>
      <c r="J881" s="920">
        <f t="shared" si="253"/>
        <v>0</v>
      </c>
      <c r="K881" s="920">
        <f t="shared" si="253"/>
        <v>0</v>
      </c>
    </row>
    <row r="882" spans="1:11">
      <c r="A882" s="1072" t="s">
        <v>1180</v>
      </c>
      <c r="B882" s="920">
        <f>IF(AND('Part VII-Pro Forma'!$G$8="Yes",'Part VII-Pro Forma'!$G$9="Yes"),"Choose One!",IF('Part VII-Pro Forma'!$G$8="Yes",ROUND((-$K$8*(1+'Part VII-Pro Forma'!$B$6)^('Part VII-Pro Forma'!B875-1)),),IF('Part VII-Pro Forma'!$G$9="Yes",ROUND((-(SUM(B876:B879)*'Part VII-Pro Forma'!$K$9)),),"Choose mgt fee")))</f>
        <v>0</v>
      </c>
      <c r="C882" s="920">
        <f>IF(AND('Part VII-Pro Forma'!$G$8="Yes",'Part VII-Pro Forma'!$G$9="Yes"),"Choose One!",IF('Part VII-Pro Forma'!$G$8="Yes",ROUND((-$K$8*(1+'Part VII-Pro Forma'!$B$6)^('Part VII-Pro Forma'!C875-1)),),IF('Part VII-Pro Forma'!$G$9="Yes",ROUND((-(SUM(C876:C879)*'Part VII-Pro Forma'!$K$9)),),"Choose mgt fee")))</f>
        <v>0</v>
      </c>
      <c r="D882" s="920">
        <f>IF(AND('Part VII-Pro Forma'!$G$8="Yes",'Part VII-Pro Forma'!$G$9="Yes"),"Choose One!",IF('Part VII-Pro Forma'!$G$8="Yes",ROUND((-$K$8*(1+'Part VII-Pro Forma'!$B$6)^('Part VII-Pro Forma'!D875-1)),),IF('Part VII-Pro Forma'!$G$9="Yes",ROUND((-(SUM(D876:D879)*'Part VII-Pro Forma'!$K$9)),),"Choose mgt fee")))</f>
        <v>0</v>
      </c>
      <c r="E882" s="920">
        <f>IF(AND('Part VII-Pro Forma'!$G$8="Yes",'Part VII-Pro Forma'!$G$9="Yes"),"Choose One!",IF('Part VII-Pro Forma'!$G$8="Yes",ROUND((-$K$8*(1+'Part VII-Pro Forma'!$B$6)^('Part VII-Pro Forma'!E875-1)),),IF('Part VII-Pro Forma'!$G$9="Yes",ROUND((-(SUM(E876:E879)*'Part VII-Pro Forma'!$K$9)),),"Choose mgt fee")))</f>
        <v>0</v>
      </c>
      <c r="F882" s="920">
        <f>IF(AND('Part VII-Pro Forma'!$G$8="Yes",'Part VII-Pro Forma'!$G$9="Yes"),"Choose One!",IF('Part VII-Pro Forma'!$G$8="Yes",ROUND((-$K$8*(1+'Part VII-Pro Forma'!$B$6)^('Part VII-Pro Forma'!F875-1)),),IF('Part VII-Pro Forma'!$G$9="Yes",ROUND((-(SUM(F876:F879)*'Part VII-Pro Forma'!$K$9)),),"Choose mgt fee")))</f>
        <v>0</v>
      </c>
      <c r="G882" s="920">
        <f>IF(AND('Part VII-Pro Forma'!$G$8="Yes",'Part VII-Pro Forma'!$G$9="Yes"),"Choose One!",IF('Part VII-Pro Forma'!$G$8="Yes",ROUND((-$K$8*(1+'Part VII-Pro Forma'!$B$6)^('Part VII-Pro Forma'!G875-1)),),IF('Part VII-Pro Forma'!$G$9="Yes",ROUND((-(SUM(G876:G879)*'Part VII-Pro Forma'!$K$9)),),"Choose mgt fee")))</f>
        <v>0</v>
      </c>
      <c r="H882" s="920">
        <f>IF(AND('Part VII-Pro Forma'!$G$8="Yes",'Part VII-Pro Forma'!$G$9="Yes"),"Choose One!",IF('Part VII-Pro Forma'!$G$8="Yes",ROUND((-$K$8*(1+'Part VII-Pro Forma'!$B$6)^('Part VII-Pro Forma'!H875-1)),),IF('Part VII-Pro Forma'!$G$9="Yes",ROUND((-(SUM(H876:H879)*'Part VII-Pro Forma'!$K$9)),),"Choose mgt fee")))</f>
        <v>0</v>
      </c>
      <c r="I882" s="920">
        <f>IF(AND('Part VII-Pro Forma'!$G$8="Yes",'Part VII-Pro Forma'!$G$9="Yes"),"Choose One!",IF('Part VII-Pro Forma'!$G$8="Yes",ROUND((-$K$8*(1+'Part VII-Pro Forma'!$B$6)^('Part VII-Pro Forma'!I875-1)),),IF('Part VII-Pro Forma'!$G$9="Yes",ROUND((-(SUM(I876:I879)*'Part VII-Pro Forma'!$K$9)),),"Choose mgt fee")))</f>
        <v>0</v>
      </c>
      <c r="J882" s="920">
        <f>IF(AND('Part VII-Pro Forma'!$G$8="Yes",'Part VII-Pro Forma'!$G$9="Yes"),"Choose One!",IF('Part VII-Pro Forma'!$G$8="Yes",ROUND((-$K$8*(1+'Part VII-Pro Forma'!$B$6)^('Part VII-Pro Forma'!J875-1)),),IF('Part VII-Pro Forma'!$G$9="Yes",ROUND((-(SUM(J876:J879)*'Part VII-Pro Forma'!$K$9)),),"Choose mgt fee")))</f>
        <v>0</v>
      </c>
      <c r="K882" s="920">
        <f>IF(AND('Part VII-Pro Forma'!$G$8="Yes",'Part VII-Pro Forma'!$G$9="Yes"),"Choose One!",IF('Part VII-Pro Forma'!$G$8="Yes",ROUND((-$K$8*(1+'Part VII-Pro Forma'!$B$6)^('Part VII-Pro Forma'!K875-1)),),IF('Part VII-Pro Forma'!$G$9="Yes",ROUND((-(SUM(K876:K879)*'Part VII-Pro Forma'!$K$9)),),"Choose mgt fee")))</f>
        <v>0</v>
      </c>
    </row>
    <row r="883" spans="1:11">
      <c r="A883" s="1072" t="s">
        <v>1278</v>
      </c>
      <c r="B883" s="920">
        <f t="shared" ref="B883:K883" si="254">$B$21*(1+$B$7)^(B875-1)</f>
        <v>0</v>
      </c>
      <c r="C883" s="920">
        <f t="shared" si="254"/>
        <v>0</v>
      </c>
      <c r="D883" s="920">
        <f t="shared" si="254"/>
        <v>0</v>
      </c>
      <c r="E883" s="920">
        <f t="shared" si="254"/>
        <v>0</v>
      </c>
      <c r="F883" s="920">
        <f t="shared" si="254"/>
        <v>0</v>
      </c>
      <c r="G883" s="920">
        <f t="shared" si="254"/>
        <v>0</v>
      </c>
      <c r="H883" s="920">
        <f t="shared" si="254"/>
        <v>0</v>
      </c>
      <c r="I883" s="920">
        <f t="shared" si="254"/>
        <v>0</v>
      </c>
      <c r="J883" s="920">
        <f t="shared" si="254"/>
        <v>0</v>
      </c>
      <c r="K883" s="920">
        <f t="shared" si="254"/>
        <v>0</v>
      </c>
    </row>
    <row r="884" spans="1:11">
      <c r="A884" s="1072" t="s">
        <v>1279</v>
      </c>
      <c r="B884" s="920">
        <f t="shared" ref="B884:K884" si="255">SUM(B876:B883)</f>
        <v>0</v>
      </c>
      <c r="C884" s="920">
        <f t="shared" si="255"/>
        <v>0</v>
      </c>
      <c r="D884" s="920">
        <f t="shared" si="255"/>
        <v>0</v>
      </c>
      <c r="E884" s="920">
        <f t="shared" si="255"/>
        <v>0</v>
      </c>
      <c r="F884" s="920">
        <f t="shared" si="255"/>
        <v>0</v>
      </c>
      <c r="G884" s="920">
        <f t="shared" si="255"/>
        <v>0</v>
      </c>
      <c r="H884" s="920">
        <f t="shared" si="255"/>
        <v>0</v>
      </c>
      <c r="I884" s="920">
        <f t="shared" si="255"/>
        <v>0</v>
      </c>
      <c r="J884" s="920">
        <f t="shared" si="255"/>
        <v>0</v>
      </c>
      <c r="K884" s="920">
        <f t="shared" si="255"/>
        <v>0</v>
      </c>
    </row>
    <row r="885" spans="1:11">
      <c r="A885" s="1072" t="str">
        <f>$A856</f>
        <v>Mortgage A</v>
      </c>
      <c r="B885" s="920">
        <f>'Part VII-Pro Forma'!B81</f>
        <v>0</v>
      </c>
      <c r="C885" s="920">
        <f>'Part VII-Pro Forma'!C81</f>
        <v>0</v>
      </c>
      <c r="D885" s="920">
        <f>'Part VII-Pro Forma'!D81</f>
        <v>0</v>
      </c>
      <c r="E885" s="920">
        <f>'Part VII-Pro Forma'!E81</f>
        <v>0</v>
      </c>
      <c r="F885" s="920">
        <f>'Part VII-Pro Forma'!F81</f>
        <v>0</v>
      </c>
      <c r="G885" s="920">
        <f>'Part VII-Pro Forma'!G81</f>
        <v>0</v>
      </c>
      <c r="H885" s="920">
        <f>'Part VII-Pro Forma'!H81</f>
        <v>0</v>
      </c>
      <c r="I885" s="920">
        <f>'Part VII-Pro Forma'!I81</f>
        <v>0</v>
      </c>
      <c r="J885" s="920">
        <f>'Part VII-Pro Forma'!J81</f>
        <v>0</v>
      </c>
      <c r="K885" s="920">
        <f>'Part VII-Pro Forma'!K81</f>
        <v>0</v>
      </c>
    </row>
    <row r="886" spans="1:11">
      <c r="A886" s="1072" t="str">
        <f>$A857</f>
        <v>Mortgage B</v>
      </c>
      <c r="B886" s="920">
        <f>'Part VII-Pro Forma'!B82</f>
        <v>0</v>
      </c>
      <c r="C886" s="920">
        <f>'Part VII-Pro Forma'!C82</f>
        <v>0</v>
      </c>
      <c r="D886" s="920">
        <f>'Part VII-Pro Forma'!D82</f>
        <v>0</v>
      </c>
      <c r="E886" s="920">
        <f>'Part VII-Pro Forma'!E82</f>
        <v>0</v>
      </c>
      <c r="F886" s="920">
        <f>'Part VII-Pro Forma'!F82</f>
        <v>0</v>
      </c>
      <c r="G886" s="920">
        <f>'Part VII-Pro Forma'!G82</f>
        <v>0</v>
      </c>
      <c r="H886" s="920">
        <f>'Part VII-Pro Forma'!H82</f>
        <v>0</v>
      </c>
      <c r="I886" s="920">
        <f>'Part VII-Pro Forma'!I82</f>
        <v>0</v>
      </c>
      <c r="J886" s="920">
        <f>'Part VII-Pro Forma'!J82</f>
        <v>0</v>
      </c>
      <c r="K886" s="920">
        <f>'Part VII-Pro Forma'!K82</f>
        <v>0</v>
      </c>
    </row>
    <row r="887" spans="1:11">
      <c r="A887" s="1072" t="str">
        <f>$A858</f>
        <v>Mortgage C</v>
      </c>
      <c r="B887" s="920">
        <f>'Part VII-Pro Forma'!B83</f>
        <v>0</v>
      </c>
      <c r="C887" s="920">
        <f>'Part VII-Pro Forma'!C83</f>
        <v>0</v>
      </c>
      <c r="D887" s="920">
        <f>'Part VII-Pro Forma'!D83</f>
        <v>0</v>
      </c>
      <c r="E887" s="920">
        <f>'Part VII-Pro Forma'!E83</f>
        <v>0</v>
      </c>
      <c r="F887" s="920">
        <f>'Part VII-Pro Forma'!F83</f>
        <v>0</v>
      </c>
      <c r="G887" s="920">
        <f>'Part VII-Pro Forma'!G83</f>
        <v>0</v>
      </c>
      <c r="H887" s="920">
        <f>'Part VII-Pro Forma'!H83</f>
        <v>0</v>
      </c>
      <c r="I887" s="920">
        <f>'Part VII-Pro Forma'!I83</f>
        <v>0</v>
      </c>
      <c r="J887" s="920">
        <f>'Part VII-Pro Forma'!J83</f>
        <v>0</v>
      </c>
      <c r="K887" s="920">
        <f>'Part VII-Pro Forma'!K83</f>
        <v>0</v>
      </c>
    </row>
    <row r="888" spans="1:11">
      <c r="A888" s="1072" t="str">
        <f>$A859</f>
        <v>D/S Other Source</v>
      </c>
      <c r="B888" s="920">
        <f>'Part VII-Pro Forma'!B84</f>
        <v>0</v>
      </c>
      <c r="C888" s="920">
        <f>'Part VII-Pro Forma'!C84</f>
        <v>0</v>
      </c>
      <c r="D888" s="920">
        <f>'Part VII-Pro Forma'!D84</f>
        <v>0</v>
      </c>
      <c r="E888" s="920">
        <f>'Part VII-Pro Forma'!E84</f>
        <v>0</v>
      </c>
      <c r="F888" s="920">
        <f>'Part VII-Pro Forma'!F84</f>
        <v>0</v>
      </c>
      <c r="G888" s="920">
        <f>'Part VII-Pro Forma'!G84</f>
        <v>0</v>
      </c>
      <c r="H888" s="920">
        <f>'Part VII-Pro Forma'!H84</f>
        <v>0</v>
      </c>
      <c r="I888" s="920">
        <f>'Part VII-Pro Forma'!I84</f>
        <v>0</v>
      </c>
      <c r="J888" s="920">
        <f>'Part VII-Pro Forma'!J84</f>
        <v>0</v>
      </c>
      <c r="K888" s="920">
        <f>'Part VII-Pro Forma'!K84</f>
        <v>0</v>
      </c>
    </row>
    <row r="889" spans="1:11">
      <c r="A889" s="1072" t="s">
        <v>814</v>
      </c>
      <c r="B889" s="920">
        <f>'Part VII-Pro Forma'!B85</f>
        <v>0</v>
      </c>
      <c r="C889" s="920">
        <f>'Part VII-Pro Forma'!C85</f>
        <v>0</v>
      </c>
      <c r="D889" s="920">
        <f>'Part VII-Pro Forma'!D85</f>
        <v>0</v>
      </c>
      <c r="E889" s="920">
        <f>'Part VII-Pro Forma'!E85</f>
        <v>0</v>
      </c>
      <c r="F889" s="920">
        <f>'Part VII-Pro Forma'!F85</f>
        <v>0</v>
      </c>
      <c r="G889" s="920">
        <f>'Part VII-Pro Forma'!G85</f>
        <v>0</v>
      </c>
      <c r="H889" s="920">
        <f>'Part VII-Pro Forma'!H85</f>
        <v>0</v>
      </c>
      <c r="I889" s="920">
        <f>'Part VII-Pro Forma'!I85</f>
        <v>0</v>
      </c>
      <c r="J889" s="920">
        <f>'Part VII-Pro Forma'!J85</f>
        <v>0</v>
      </c>
      <c r="K889" s="920">
        <f>'Part VII-Pro Forma'!K85</f>
        <v>0</v>
      </c>
    </row>
    <row r="890" spans="1:11">
      <c r="A890" s="1072" t="s">
        <v>1234</v>
      </c>
      <c r="B890" s="920">
        <f>'Part VII-Pro Forma'!B86</f>
        <v>-10836.66740801649</v>
      </c>
      <c r="C890" s="920">
        <f>'Part VII-Pro Forma'!C86</f>
        <v>-11161.767430256985</v>
      </c>
      <c r="D890" s="920">
        <f>'Part VII-Pro Forma'!D86</f>
        <v>-11496.620453164694</v>
      </c>
      <c r="E890" s="920">
        <f>'Part VII-Pro Forma'!E86</f>
        <v>-11841.519066759636</v>
      </c>
      <c r="F890" s="920">
        <f>'Part VII-Pro Forma'!F86</f>
        <v>-12196.764638762426</v>
      </c>
      <c r="G890" s="920">
        <f>'Part VII-Pro Forma'!G86</f>
        <v>-12562.6675779253</v>
      </c>
      <c r="H890" s="920">
        <f>'Part VII-Pro Forma'!H86</f>
        <v>-12939.54760526306</v>
      </c>
      <c r="I890" s="920">
        <f>'Part VII-Pro Forma'!I86</f>
        <v>-13327.734033420953</v>
      </c>
      <c r="J890" s="920">
        <f>'Part VII-Pro Forma'!J86</f>
        <v>-13727.566054423582</v>
      </c>
      <c r="K890" s="920">
        <f>'Part VII-Pro Forma'!K86</f>
        <v>-14139.39303605629</v>
      </c>
    </row>
    <row r="891" spans="1:11">
      <c r="A891" s="1072" t="s">
        <v>1280</v>
      </c>
      <c r="B891" s="920">
        <f>'Part VII-Pro Forma'!B87</f>
        <v>0</v>
      </c>
      <c r="C891" s="920">
        <f>'Part VII-Pro Forma'!C87</f>
        <v>0</v>
      </c>
      <c r="D891" s="920">
        <f>'Part VII-Pro Forma'!D87</f>
        <v>0</v>
      </c>
      <c r="E891" s="920">
        <f>'Part VII-Pro Forma'!E87</f>
        <v>0</v>
      </c>
      <c r="F891" s="920">
        <f>'Part VII-Pro Forma'!F87</f>
        <v>0</v>
      </c>
      <c r="G891" s="920">
        <f>'Part VII-Pro Forma'!G87</f>
        <v>0</v>
      </c>
      <c r="H891" s="920">
        <f>'Part VII-Pro Forma'!H87</f>
        <v>0</v>
      </c>
      <c r="I891" s="920">
        <f>'Part VII-Pro Forma'!I87</f>
        <v>0</v>
      </c>
      <c r="J891" s="920">
        <f>'Part VII-Pro Forma'!J87</f>
        <v>0</v>
      </c>
      <c r="K891" s="920">
        <f>'Part VII-Pro Forma'!K87</f>
        <v>0</v>
      </c>
    </row>
    <row r="892" spans="1:11">
      <c r="A892" s="1072" t="s">
        <v>1235</v>
      </c>
      <c r="B892" s="920">
        <f t="shared" ref="B892:K892" si="256">SUM(B884:B891)</f>
        <v>-10836.66740801649</v>
      </c>
      <c r="C892" s="920">
        <f t="shared" si="256"/>
        <v>-11161.767430256985</v>
      </c>
      <c r="D892" s="920">
        <f t="shared" si="256"/>
        <v>-11496.620453164694</v>
      </c>
      <c r="E892" s="920">
        <f t="shared" si="256"/>
        <v>-11841.519066759636</v>
      </c>
      <c r="F892" s="920">
        <f t="shared" si="256"/>
        <v>-12196.764638762426</v>
      </c>
      <c r="G892" s="920">
        <f t="shared" si="256"/>
        <v>-12562.6675779253</v>
      </c>
      <c r="H892" s="920">
        <f t="shared" si="256"/>
        <v>-12939.54760526306</v>
      </c>
      <c r="I892" s="920">
        <f t="shared" si="256"/>
        <v>-13327.734033420953</v>
      </c>
      <c r="J892" s="920">
        <f t="shared" si="256"/>
        <v>-13727.566054423582</v>
      </c>
      <c r="K892" s="920">
        <f t="shared" si="256"/>
        <v>-14139.39303605629</v>
      </c>
    </row>
    <row r="893" spans="1:11">
      <c r="A893" s="1072" t="str">
        <f>$A864</f>
        <v>DCR Mortgage A</v>
      </c>
      <c r="B893" s="933" t="str">
        <f>IF(B885=0,"",-B884/B885)</f>
        <v/>
      </c>
      <c r="C893" s="933" t="str">
        <f t="shared" ref="C893:K893" si="257">IF(C885=0,"",-C884/C885)</f>
        <v/>
      </c>
      <c r="D893" s="933" t="str">
        <f t="shared" si="257"/>
        <v/>
      </c>
      <c r="E893" s="933" t="str">
        <f t="shared" si="257"/>
        <v/>
      </c>
      <c r="F893" s="933" t="str">
        <f t="shared" si="257"/>
        <v/>
      </c>
      <c r="G893" s="933" t="str">
        <f t="shared" si="257"/>
        <v/>
      </c>
      <c r="H893" s="933" t="str">
        <f t="shared" si="257"/>
        <v/>
      </c>
      <c r="I893" s="933" t="str">
        <f t="shared" si="257"/>
        <v/>
      </c>
      <c r="J893" s="933" t="str">
        <f t="shared" si="257"/>
        <v/>
      </c>
      <c r="K893" s="933" t="str">
        <f t="shared" si="257"/>
        <v/>
      </c>
    </row>
    <row r="894" spans="1:11">
      <c r="A894" s="1072" t="str">
        <f>$A865</f>
        <v>DCR Mortgage B</v>
      </c>
      <c r="B894" s="933" t="str">
        <f>IF(OR(B886=0,AND(B886=0,B885=0)),"",-B884/(B885+B886))</f>
        <v/>
      </c>
      <c r="C894" s="933" t="str">
        <f t="shared" ref="C894:K894" si="258">IF(OR(C886=0,AND(C886=0,C885=0)),"",-C884/(C885+C886))</f>
        <v/>
      </c>
      <c r="D894" s="933" t="str">
        <f t="shared" si="258"/>
        <v/>
      </c>
      <c r="E894" s="933" t="str">
        <f t="shared" si="258"/>
        <v/>
      </c>
      <c r="F894" s="933" t="str">
        <f t="shared" si="258"/>
        <v/>
      </c>
      <c r="G894" s="933" t="str">
        <f t="shared" si="258"/>
        <v/>
      </c>
      <c r="H894" s="933" t="str">
        <f t="shared" si="258"/>
        <v/>
      </c>
      <c r="I894" s="933" t="str">
        <f t="shared" si="258"/>
        <v/>
      </c>
      <c r="J894" s="933" t="str">
        <f t="shared" si="258"/>
        <v/>
      </c>
      <c r="K894" s="933" t="str">
        <f t="shared" si="258"/>
        <v/>
      </c>
    </row>
    <row r="895" spans="1:11">
      <c r="A895" s="1072" t="str">
        <f>$A866</f>
        <v>DCR Mortgage C</v>
      </c>
      <c r="B895" s="933" t="str">
        <f>IF(OR(B887=0,AND(B887=0,B886=0,B885=0)),"",-B884/(B885+B886+B887))</f>
        <v/>
      </c>
      <c r="C895" s="933" t="str">
        <f t="shared" ref="C895:K895" si="259">IF(OR(C887=0,AND(C887=0,C886=0,C885=0)),"",-C884/(C885+C886+C887))</f>
        <v/>
      </c>
      <c r="D895" s="933" t="str">
        <f t="shared" si="259"/>
        <v/>
      </c>
      <c r="E895" s="933" t="str">
        <f t="shared" si="259"/>
        <v/>
      </c>
      <c r="F895" s="933" t="str">
        <f t="shared" si="259"/>
        <v/>
      </c>
      <c r="G895" s="933" t="str">
        <f t="shared" si="259"/>
        <v/>
      </c>
      <c r="H895" s="933" t="str">
        <f t="shared" si="259"/>
        <v/>
      </c>
      <c r="I895" s="933" t="str">
        <f t="shared" si="259"/>
        <v/>
      </c>
      <c r="J895" s="933" t="str">
        <f t="shared" si="259"/>
        <v/>
      </c>
      <c r="K895" s="933" t="str">
        <f t="shared" si="259"/>
        <v/>
      </c>
    </row>
    <row r="896" spans="1:11">
      <c r="A896" s="1072" t="str">
        <f>$A867</f>
        <v>DCR Other Source</v>
      </c>
      <c r="B896" s="933" t="str">
        <f>IF(OR(B888=0,AND(B885=0,B886=0,B887=0,B888=0)),"",-B884/(B885+B886+B887+B888))</f>
        <v/>
      </c>
      <c r="C896" s="933" t="str">
        <f t="shared" ref="C896:K896" si="260">IF(OR(C888=0,AND(C885=0,C886=0,C887=0,C888=0)),"",-C884/(C885+C886+C887+C888))</f>
        <v/>
      </c>
      <c r="D896" s="933" t="str">
        <f t="shared" si="260"/>
        <v/>
      </c>
      <c r="E896" s="933" t="str">
        <f t="shared" si="260"/>
        <v/>
      </c>
      <c r="F896" s="933" t="str">
        <f t="shared" si="260"/>
        <v/>
      </c>
      <c r="G896" s="933" t="str">
        <f t="shared" si="260"/>
        <v/>
      </c>
      <c r="H896" s="933" t="str">
        <f t="shared" si="260"/>
        <v/>
      </c>
      <c r="I896" s="933" t="str">
        <f t="shared" si="260"/>
        <v/>
      </c>
      <c r="J896" s="933" t="str">
        <f t="shared" si="260"/>
        <v/>
      </c>
      <c r="K896" s="933" t="str">
        <f t="shared" si="260"/>
        <v/>
      </c>
    </row>
    <row r="897" spans="1:17">
      <c r="A897" s="1072" t="s">
        <v>821</v>
      </c>
      <c r="B897" s="934" t="e">
        <f>IF(OR(B882="Choose mgt fee",B882="Choose One!"),"",(B876+B877+B878+B879+B880) / -(B881+B882+B883))</f>
        <v>#DIV/0!</v>
      </c>
      <c r="C897" s="934" t="e">
        <f t="shared" ref="C897:K897" si="261">IF(OR(C882="Choose mgt fee",C882="Choose One!"),"",(C876+C877+C878+C879+C880) / -(C881+C882+C883))</f>
        <v>#DIV/0!</v>
      </c>
      <c r="D897" s="934" t="e">
        <f t="shared" si="261"/>
        <v>#DIV/0!</v>
      </c>
      <c r="E897" s="934" t="e">
        <f t="shared" si="261"/>
        <v>#DIV/0!</v>
      </c>
      <c r="F897" s="934" t="e">
        <f t="shared" si="261"/>
        <v>#DIV/0!</v>
      </c>
      <c r="G897" s="934" t="e">
        <f t="shared" si="261"/>
        <v>#DIV/0!</v>
      </c>
      <c r="H897" s="934" t="e">
        <f t="shared" si="261"/>
        <v>#DIV/0!</v>
      </c>
      <c r="I897" s="934" t="e">
        <f t="shared" si="261"/>
        <v>#DIV/0!</v>
      </c>
      <c r="J897" s="934" t="e">
        <f t="shared" si="261"/>
        <v>#DIV/0!</v>
      </c>
      <c r="K897" s="934" t="e">
        <f t="shared" si="261"/>
        <v>#DIV/0!</v>
      </c>
    </row>
    <row r="898" spans="1:17">
      <c r="A898" s="1072" t="s">
        <v>2800</v>
      </c>
      <c r="B898" s="920">
        <f>'Part VII-Pro Forma'!B94</f>
        <v>3.3959516573652751E-8</v>
      </c>
      <c r="C898" s="920">
        <f>'Part VII-Pro Forma'!C94</f>
        <v>3.5062301964876207E-8</v>
      </c>
      <c r="D898" s="920">
        <f>'Part VII-Pro Forma'!D94</f>
        <v>3.620089869094179E-8</v>
      </c>
      <c r="E898" s="920">
        <f>'Part VII-Pro Forma'!E94</f>
        <v>3.7376469672317417E-8</v>
      </c>
      <c r="F898" s="920">
        <f>'Part VII-Pro Forma'!F94</f>
        <v>3.8590215593604087E-8</v>
      </c>
      <c r="G898" s="920">
        <f>'Part VII-Pro Forma'!G94</f>
        <v>3.9843376129870594E-8</v>
      </c>
      <c r="H898" s="920">
        <f>'Part VII-Pro Forma'!H94</f>
        <v>4.1137231212811678E-8</v>
      </c>
      <c r="I898" s="920">
        <f>'Part VII-Pro Forma'!I94</f>
        <v>4.247310233802277E-8</v>
      </c>
      <c r="J898" s="920">
        <f>'Part VII-Pro Forma'!J94</f>
        <v>4.3852353914726594E-8</v>
      </c>
      <c r="K898" s="920">
        <f>'Part VII-Pro Forma'!K94</f>
        <v>4.5276394659330149E-8</v>
      </c>
    </row>
    <row r="899" spans="1:17">
      <c r="A899" s="1072" t="s">
        <v>2801</v>
      </c>
      <c r="B899" s="920" t="str">
        <f>'Part VII-Pro Forma'!B95</f>
        <v/>
      </c>
      <c r="C899" s="920" t="str">
        <f>'Part VII-Pro Forma'!C95</f>
        <v/>
      </c>
      <c r="D899" s="920" t="str">
        <f>'Part VII-Pro Forma'!D95</f>
        <v/>
      </c>
      <c r="E899" s="920" t="str">
        <f>'Part VII-Pro Forma'!E95</f>
        <v/>
      </c>
      <c r="F899" s="920" t="str">
        <f>'Part VII-Pro Forma'!F95</f>
        <v/>
      </c>
      <c r="G899" s="920" t="str">
        <f>'Part VII-Pro Forma'!G95</f>
        <v/>
      </c>
      <c r="H899" s="920" t="str">
        <f>'Part VII-Pro Forma'!H95</f>
        <v/>
      </c>
      <c r="I899" s="920" t="str">
        <f>'Part VII-Pro Forma'!I95</f>
        <v/>
      </c>
      <c r="J899" s="920" t="str">
        <f>'Part VII-Pro Forma'!J95</f>
        <v/>
      </c>
      <c r="K899" s="920" t="str">
        <f>'Part VII-Pro Forma'!K95</f>
        <v/>
      </c>
    </row>
    <row r="900" spans="1:17">
      <c r="A900" s="1072" t="s">
        <v>2802</v>
      </c>
      <c r="B900" s="920" t="str">
        <f>'Part VII-Pro Forma'!B96</f>
        <v/>
      </c>
      <c r="C900" s="920" t="str">
        <f>'Part VII-Pro Forma'!C96</f>
        <v/>
      </c>
      <c r="D900" s="920" t="str">
        <f>'Part VII-Pro Forma'!D96</f>
        <v/>
      </c>
      <c r="E900" s="920" t="str">
        <f>'Part VII-Pro Forma'!E96</f>
        <v/>
      </c>
      <c r="F900" s="920" t="str">
        <f>'Part VII-Pro Forma'!F96</f>
        <v/>
      </c>
      <c r="G900" s="920" t="str">
        <f>'Part VII-Pro Forma'!G96</f>
        <v/>
      </c>
      <c r="H900" s="920" t="str">
        <f>'Part VII-Pro Forma'!H96</f>
        <v/>
      </c>
      <c r="I900" s="920" t="str">
        <f>'Part VII-Pro Forma'!I96</f>
        <v/>
      </c>
      <c r="J900" s="920" t="str">
        <f>'Part VII-Pro Forma'!J96</f>
        <v/>
      </c>
      <c r="K900" s="920" t="str">
        <f>'Part VII-Pro Forma'!K96</f>
        <v/>
      </c>
    </row>
    <row r="901" spans="1:17">
      <c r="A901" s="1072" t="s">
        <v>837</v>
      </c>
      <c r="B901" s="920" t="str">
        <f>'Part VII-Pro Forma'!B97</f>
        <v/>
      </c>
      <c r="C901" s="920" t="str">
        <f>'Part VII-Pro Forma'!C97</f>
        <v/>
      </c>
      <c r="D901" s="920" t="str">
        <f>'Part VII-Pro Forma'!D97</f>
        <v/>
      </c>
      <c r="E901" s="920" t="str">
        <f>'Part VII-Pro Forma'!E97</f>
        <v/>
      </c>
      <c r="F901" s="920" t="str">
        <f>'Part VII-Pro Forma'!F97</f>
        <v/>
      </c>
      <c r="G901" s="920" t="str">
        <f>'Part VII-Pro Forma'!G97</f>
        <v/>
      </c>
      <c r="H901" s="920" t="str">
        <f>'Part VII-Pro Forma'!H97</f>
        <v/>
      </c>
      <c r="I901" s="920" t="str">
        <f>'Part VII-Pro Forma'!I97</f>
        <v/>
      </c>
      <c r="J901" s="920" t="str">
        <f>'Part VII-Pro Forma'!J97</f>
        <v/>
      </c>
      <c r="K901" s="920" t="str">
        <f>'Part VII-Pro Forma'!K97</f>
        <v/>
      </c>
    </row>
    <row r="902" spans="1:17">
      <c r="A902" s="1072" t="s">
        <v>1315</v>
      </c>
      <c r="B902" s="920" t="str">
        <f>'Part VII-Pro Forma'!B98</f>
        <v/>
      </c>
      <c r="C902" s="920" t="str">
        <f>'Part VII-Pro Forma'!C98</f>
        <v/>
      </c>
      <c r="D902" s="920" t="str">
        <f>'Part VII-Pro Forma'!D98</f>
        <v/>
      </c>
      <c r="E902" s="920" t="str">
        <f>'Part VII-Pro Forma'!E98</f>
        <v/>
      </c>
      <c r="F902" s="920" t="str">
        <f>'Part VII-Pro Forma'!F98</f>
        <v/>
      </c>
      <c r="G902" s="920" t="str">
        <f>'Part VII-Pro Forma'!G98</f>
        <v/>
      </c>
      <c r="H902" s="920" t="str">
        <f>'Part VII-Pro Forma'!H98</f>
        <v/>
      </c>
      <c r="I902" s="920" t="str">
        <f>'Part VII-Pro Forma'!I98</f>
        <v/>
      </c>
      <c r="J902" s="920" t="str">
        <f>'Part VII-Pro Forma'!J98</f>
        <v/>
      </c>
      <c r="K902" s="920" t="str">
        <f>'Part VII-Pro Forma'!K98</f>
        <v/>
      </c>
    </row>
    <row r="903" spans="1:17">
      <c r="B903" s="920"/>
      <c r="C903" s="920"/>
      <c r="D903" s="920"/>
      <c r="E903" s="920"/>
      <c r="F903" s="920"/>
      <c r="G903" s="920"/>
      <c r="H903" s="920"/>
      <c r="I903" s="920"/>
      <c r="J903" s="920"/>
      <c r="K903" s="920"/>
    </row>
    <row r="905" spans="1:17">
      <c r="A905" s="835" t="s">
        <v>607</v>
      </c>
      <c r="B905" s="835"/>
      <c r="G905" s="835" t="s">
        <v>1093</v>
      </c>
    </row>
    <row r="906" spans="1:17">
      <c r="B906" s="928"/>
    </row>
    <row r="907" spans="1:17" ht="13.5">
      <c r="A907" s="1617">
        <f>'Part VII-Pro Forma'!A103</f>
        <v>0</v>
      </c>
      <c r="B907" s="1617"/>
      <c r="C907" s="1617"/>
      <c r="D907" s="1617"/>
      <c r="E907" s="1617"/>
      <c r="F907" s="1617"/>
      <c r="G907" s="1617">
        <f>'Part VII-Pro Forma'!G103</f>
        <v>0</v>
      </c>
      <c r="H907" s="1617"/>
      <c r="I907" s="1617"/>
      <c r="J907" s="1617"/>
      <c r="K907" s="1617"/>
    </row>
    <row r="910" spans="1:17">
      <c r="A910" s="1599" t="str">
        <f>CONCATENATE("PART EIGHT - THRESHOLD CRITERIA","  -  ",'Part I-Project Information'!$O$4," ",'Part I-Project Information'!$F$23,", ",'Part I-Project Information'!F936,", ",'Part I-Project Information'!J937," County")</f>
        <v>PART EIGHT - THRESHOLD CRITERIA  -  2014-039 Willingham Village II, ,  County</v>
      </c>
      <c r="B910" s="1599"/>
      <c r="C910" s="1599"/>
      <c r="D910" s="1599"/>
      <c r="E910" s="1599"/>
      <c r="F910" s="1599"/>
      <c r="G910" s="1599"/>
      <c r="H910" s="1599"/>
      <c r="I910" s="1599"/>
      <c r="J910" s="1599"/>
      <c r="K910" s="1599"/>
      <c r="L910" s="1599"/>
      <c r="M910" s="1599"/>
      <c r="N910" s="1599"/>
      <c r="O910" s="1599"/>
      <c r="P910" s="1599"/>
      <c r="Q910" s="1599"/>
    </row>
    <row r="912" spans="1:17" ht="20.25">
      <c r="A912" s="1600" t="str">
        <f>'Part VIII-Threshold Criteria'!A3</f>
        <v>Preliminary Rating: Incomplete</v>
      </c>
      <c r="B912" s="1600"/>
      <c r="C912" s="1600"/>
      <c r="D912" s="1600"/>
      <c r="E912" s="1600"/>
      <c r="F912" s="1600"/>
      <c r="G912" s="1600"/>
      <c r="H912" s="1600" t="str">
        <f>'Part VIII-Threshold Criteria'!H3</f>
        <v/>
      </c>
      <c r="I912" s="1600"/>
      <c r="J912" s="1600"/>
      <c r="K912" s="1600"/>
      <c r="L912" s="1600"/>
      <c r="M912" s="1600"/>
      <c r="N912" s="1600"/>
      <c r="O912" s="1601" t="s">
        <v>991</v>
      </c>
      <c r="P912" s="1601"/>
      <c r="Q912" s="1126" t="s">
        <v>1971</v>
      </c>
    </row>
    <row r="913" spans="1:17">
      <c r="A913" s="1070"/>
      <c r="B913" s="1602"/>
      <c r="C913" s="1602"/>
      <c r="D913" s="1602"/>
      <c r="E913" s="1070"/>
      <c r="F913" s="1070"/>
      <c r="G913" s="1070"/>
      <c r="H913" s="1070"/>
      <c r="I913" s="1070"/>
      <c r="J913" s="1070"/>
      <c r="K913" s="1070"/>
      <c r="L913" s="1070"/>
      <c r="M913" s="1070"/>
      <c r="N913" s="1070"/>
      <c r="P913" s="1070"/>
      <c r="Q913" s="1070"/>
    </row>
    <row r="914" spans="1:17">
      <c r="A914" s="1070"/>
      <c r="B914" s="1070"/>
      <c r="C914" s="1070"/>
      <c r="D914" s="1070"/>
      <c r="E914" s="1070"/>
      <c r="F914" s="1070"/>
      <c r="G914" s="1070"/>
      <c r="H914" s="1070"/>
      <c r="I914" s="1070"/>
      <c r="J914" s="1070"/>
      <c r="K914" s="1070"/>
      <c r="L914" s="1070"/>
      <c r="M914" s="1070"/>
      <c r="N914" s="1070"/>
      <c r="P914" s="1070"/>
      <c r="Q914" s="1070"/>
    </row>
    <row r="915" spans="1:17" ht="18">
      <c r="A915" s="936" t="s">
        <v>600</v>
      </c>
      <c r="J915" s="1070"/>
      <c r="K915" s="1070"/>
      <c r="L915" s="1070"/>
      <c r="M915" s="1070"/>
      <c r="N915" s="1070"/>
      <c r="P915" s="1603">
        <f>'Part VIII-Threshold Criteria'!P6</f>
        <v>0</v>
      </c>
      <c r="Q915" s="1603"/>
    </row>
    <row r="916" spans="1:17">
      <c r="A916" s="937" t="s">
        <v>290</v>
      </c>
      <c r="J916" s="1070"/>
      <c r="K916" s="1070"/>
      <c r="L916" s="1070"/>
      <c r="M916" s="1070"/>
      <c r="N916" s="1070"/>
    </row>
    <row r="917" spans="1:17">
      <c r="A917" s="1582" t="str">
        <f>'Part VIII-Threshold Criteria'!A8</f>
        <v xml:space="preserve">1.) </v>
      </c>
      <c r="B917" s="1582"/>
      <c r="C917" s="1582"/>
      <c r="D917" s="1582"/>
      <c r="E917" s="1582"/>
      <c r="F917" s="1582"/>
      <c r="G917" s="1582"/>
      <c r="H917" s="1582"/>
      <c r="I917" s="1582"/>
      <c r="J917" s="1582"/>
      <c r="K917" s="1582"/>
      <c r="L917" s="1582"/>
      <c r="M917" s="1582"/>
      <c r="N917" s="1582"/>
      <c r="O917" s="1582"/>
      <c r="P917" s="1582"/>
      <c r="Q917" s="1582"/>
    </row>
    <row r="918" spans="1:17">
      <c r="A918" s="1582" t="str">
        <f>'Part VIII-Threshold Criteria'!A9</f>
        <v>2.)</v>
      </c>
      <c r="B918" s="1582"/>
      <c r="C918" s="1582"/>
      <c r="D918" s="1582"/>
      <c r="E918" s="1582"/>
      <c r="F918" s="1582"/>
      <c r="G918" s="1582"/>
      <c r="H918" s="1582"/>
      <c r="I918" s="1582"/>
      <c r="J918" s="1582"/>
      <c r="K918" s="1582"/>
      <c r="L918" s="1582"/>
      <c r="M918" s="1582"/>
      <c r="N918" s="1582"/>
      <c r="O918" s="1582"/>
      <c r="P918" s="1582"/>
      <c r="Q918" s="1582"/>
    </row>
    <row r="919" spans="1:17">
      <c r="A919" s="1582" t="str">
        <f>'Part VIII-Threshold Criteria'!A10</f>
        <v>3.)</v>
      </c>
      <c r="B919" s="1582"/>
      <c r="C919" s="1582"/>
      <c r="D919" s="1582"/>
      <c r="E919" s="1582"/>
      <c r="F919" s="1582"/>
      <c r="G919" s="1582"/>
      <c r="H919" s="1582"/>
      <c r="I919" s="1582"/>
      <c r="J919" s="1582"/>
      <c r="K919" s="1582"/>
      <c r="L919" s="1582"/>
      <c r="M919" s="1582"/>
      <c r="N919" s="1582"/>
      <c r="O919" s="1582"/>
      <c r="P919" s="1582"/>
      <c r="Q919" s="1582"/>
    </row>
    <row r="920" spans="1:17">
      <c r="A920" s="1582" t="str">
        <f>'Part VIII-Threshold Criteria'!A11</f>
        <v>4.)</v>
      </c>
      <c r="B920" s="1582"/>
      <c r="C920" s="1582"/>
      <c r="D920" s="1582"/>
      <c r="E920" s="1582"/>
      <c r="F920" s="1582"/>
      <c r="G920" s="1582"/>
      <c r="H920" s="1582"/>
      <c r="I920" s="1582"/>
      <c r="J920" s="1582"/>
      <c r="K920" s="1582"/>
      <c r="L920" s="1582"/>
      <c r="M920" s="1582"/>
      <c r="N920" s="1582"/>
      <c r="O920" s="1582"/>
      <c r="P920" s="1582"/>
      <c r="Q920" s="1582"/>
    </row>
    <row r="921" spans="1:17">
      <c r="A921" s="1582" t="str">
        <f>'Part VIII-Threshold Criteria'!A12</f>
        <v>5.)</v>
      </c>
      <c r="B921" s="1582"/>
      <c r="C921" s="1582"/>
      <c r="D921" s="1582"/>
      <c r="E921" s="1582"/>
      <c r="F921" s="1582"/>
      <c r="G921" s="1582"/>
      <c r="H921" s="1582"/>
      <c r="I921" s="1582"/>
      <c r="J921" s="1582"/>
      <c r="K921" s="1582"/>
      <c r="L921" s="1582"/>
      <c r="M921" s="1582"/>
      <c r="N921" s="1582"/>
      <c r="O921" s="1582"/>
      <c r="P921" s="1582"/>
      <c r="Q921" s="1582"/>
    </row>
    <row r="922" spans="1:17">
      <c r="A922" s="1582" t="str">
        <f>'Part VIII-Threshold Criteria'!A13</f>
        <v>6.)</v>
      </c>
      <c r="B922" s="1582"/>
      <c r="C922" s="1582"/>
      <c r="D922" s="1582"/>
      <c r="E922" s="1582"/>
      <c r="F922" s="1582"/>
      <c r="G922" s="1582"/>
      <c r="H922" s="1582"/>
      <c r="I922" s="1582"/>
      <c r="J922" s="1582"/>
      <c r="K922" s="1582"/>
      <c r="L922" s="1582"/>
      <c r="M922" s="1582"/>
      <c r="N922" s="1582"/>
      <c r="O922" s="1582"/>
      <c r="P922" s="1582"/>
      <c r="Q922" s="1582"/>
    </row>
    <row r="923" spans="1:17">
      <c r="A923" s="1582" t="str">
        <f>'Part VIII-Threshold Criteria'!A14</f>
        <v>7.)</v>
      </c>
      <c r="B923" s="1582"/>
      <c r="C923" s="1582"/>
      <c r="D923" s="1582"/>
      <c r="E923" s="1582"/>
      <c r="F923" s="1582"/>
      <c r="G923" s="1582"/>
      <c r="H923" s="1582"/>
      <c r="I923" s="1582"/>
      <c r="J923" s="1582"/>
      <c r="K923" s="1582"/>
      <c r="L923" s="1582"/>
      <c r="M923" s="1582"/>
      <c r="N923" s="1582"/>
      <c r="O923" s="1582"/>
      <c r="P923" s="1582"/>
      <c r="Q923" s="1582"/>
    </row>
    <row r="924" spans="1:17">
      <c r="A924" s="1582" t="str">
        <f>'Part VIII-Threshold Criteria'!A15</f>
        <v xml:space="preserve">8.) </v>
      </c>
      <c r="B924" s="1582"/>
      <c r="C924" s="1582"/>
      <c r="D924" s="1582"/>
      <c r="E924" s="1582"/>
      <c r="F924" s="1582"/>
      <c r="G924" s="1582"/>
      <c r="H924" s="1582"/>
      <c r="I924" s="1582"/>
      <c r="J924" s="1582"/>
      <c r="K924" s="1582"/>
      <c r="L924" s="1582"/>
      <c r="M924" s="1582"/>
      <c r="N924" s="1582"/>
      <c r="O924" s="1582"/>
      <c r="P924" s="1582"/>
      <c r="Q924" s="1582"/>
    </row>
    <row r="925" spans="1:17">
      <c r="A925" s="1582" t="str">
        <f>'Part VIII-Threshold Criteria'!A16</f>
        <v>9.)</v>
      </c>
      <c r="B925" s="1582"/>
      <c r="C925" s="1582"/>
      <c r="D925" s="1582"/>
      <c r="E925" s="1582"/>
      <c r="F925" s="1582"/>
      <c r="G925" s="1582"/>
      <c r="H925" s="1582"/>
      <c r="I925" s="1582"/>
      <c r="J925" s="1582"/>
      <c r="K925" s="1582"/>
      <c r="L925" s="1582"/>
      <c r="M925" s="1582"/>
      <c r="N925" s="1582"/>
      <c r="O925" s="1582"/>
      <c r="P925" s="1582"/>
      <c r="Q925" s="1582"/>
    </row>
    <row r="926" spans="1:17">
      <c r="A926" s="1582" t="str">
        <f>'Part VIII-Threshold Criteria'!A17</f>
        <v>10.)</v>
      </c>
      <c r="B926" s="1582"/>
      <c r="C926" s="1582"/>
      <c r="D926" s="1582"/>
      <c r="E926" s="1582"/>
      <c r="F926" s="1582"/>
      <c r="G926" s="1582"/>
      <c r="H926" s="1582"/>
      <c r="I926" s="1582"/>
      <c r="J926" s="1582"/>
      <c r="K926" s="1582"/>
      <c r="L926" s="1582"/>
      <c r="M926" s="1582"/>
      <c r="N926" s="1582"/>
      <c r="O926" s="1582"/>
      <c r="P926" s="1582"/>
      <c r="Q926" s="1582"/>
    </row>
    <row r="927" spans="1:17">
      <c r="A927" s="1582" t="str">
        <f>'Part VIII-Threshold Criteria'!A18</f>
        <v>11.)</v>
      </c>
      <c r="B927" s="1582"/>
      <c r="C927" s="1582"/>
      <c r="D927" s="1582"/>
      <c r="E927" s="1582"/>
      <c r="F927" s="1582"/>
      <c r="G927" s="1582"/>
      <c r="H927" s="1582"/>
      <c r="I927" s="1582"/>
      <c r="J927" s="1582"/>
      <c r="K927" s="1582"/>
      <c r="L927" s="1582"/>
      <c r="M927" s="1582"/>
      <c r="N927" s="1582"/>
      <c r="O927" s="1582"/>
      <c r="P927" s="1582"/>
      <c r="Q927" s="1582"/>
    </row>
    <row r="928" spans="1:17">
      <c r="A928" s="1582" t="str">
        <f>'Part VIII-Threshold Criteria'!A19</f>
        <v>12.)</v>
      </c>
      <c r="B928" s="1582"/>
      <c r="C928" s="1582"/>
      <c r="D928" s="1582"/>
      <c r="E928" s="1582"/>
      <c r="F928" s="1582"/>
      <c r="G928" s="1582"/>
      <c r="H928" s="1582"/>
      <c r="I928" s="1582"/>
      <c r="J928" s="1582"/>
      <c r="K928" s="1582"/>
      <c r="L928" s="1582"/>
      <c r="M928" s="1582"/>
      <c r="N928" s="1582"/>
      <c r="O928" s="1582"/>
      <c r="P928" s="1582"/>
      <c r="Q928" s="1582"/>
    </row>
    <row r="929" spans="1:17">
      <c r="A929" s="1582" t="str">
        <f>'Part VIII-Threshold Criteria'!A20</f>
        <v>13.)</v>
      </c>
      <c r="B929" s="1582"/>
      <c r="C929" s="1582"/>
      <c r="D929" s="1582"/>
      <c r="E929" s="1582"/>
      <c r="F929" s="1582"/>
      <c r="G929" s="1582"/>
      <c r="H929" s="1582"/>
      <c r="I929" s="1582"/>
      <c r="J929" s="1582"/>
      <c r="K929" s="1582"/>
      <c r="L929" s="1582"/>
      <c r="M929" s="1582"/>
      <c r="N929" s="1582"/>
      <c r="O929" s="1582"/>
      <c r="P929" s="1582"/>
      <c r="Q929" s="1582"/>
    </row>
    <row r="930" spans="1:17">
      <c r="A930" s="1582" t="str">
        <f>'Part VIII-Threshold Criteria'!A21</f>
        <v>14.)</v>
      </c>
      <c r="B930" s="1582"/>
      <c r="C930" s="1582"/>
      <c r="D930" s="1582"/>
      <c r="E930" s="1582"/>
      <c r="F930" s="1582"/>
      <c r="G930" s="1582"/>
      <c r="H930" s="1582"/>
      <c r="I930" s="1582"/>
      <c r="J930" s="1582"/>
      <c r="K930" s="1582"/>
      <c r="L930" s="1582"/>
      <c r="M930" s="1582"/>
      <c r="N930" s="1582"/>
      <c r="O930" s="1582"/>
      <c r="P930" s="1582"/>
      <c r="Q930" s="1582"/>
    </row>
    <row r="931" spans="1:17">
      <c r="A931" s="1582" t="str">
        <f>'Part VIII-Threshold Criteria'!A22</f>
        <v xml:space="preserve">15.) </v>
      </c>
      <c r="B931" s="1582"/>
      <c r="C931" s="1582"/>
      <c r="D931" s="1582"/>
      <c r="E931" s="1582"/>
      <c r="F931" s="1582"/>
      <c r="G931" s="1582"/>
      <c r="H931" s="1582"/>
      <c r="I931" s="1582"/>
      <c r="J931" s="1582"/>
      <c r="K931" s="1582"/>
      <c r="L931" s="1582"/>
      <c r="M931" s="1582"/>
      <c r="N931" s="1582"/>
      <c r="O931" s="1582"/>
      <c r="P931" s="1582"/>
      <c r="Q931" s="1582"/>
    </row>
    <row r="932" spans="1:17">
      <c r="A932" s="1582" t="str">
        <f>'Part VIII-Threshold Criteria'!A23</f>
        <v>16.)</v>
      </c>
      <c r="B932" s="1582"/>
      <c r="C932" s="1582"/>
      <c r="D932" s="1582"/>
      <c r="E932" s="1582"/>
      <c r="F932" s="1582"/>
      <c r="G932" s="1582"/>
      <c r="H932" s="1582"/>
      <c r="I932" s="1582"/>
      <c r="J932" s="1582"/>
      <c r="K932" s="1582"/>
      <c r="L932" s="1582"/>
      <c r="M932" s="1582"/>
      <c r="N932" s="1582"/>
      <c r="O932" s="1582"/>
      <c r="P932" s="1582"/>
      <c r="Q932" s="1582"/>
    </row>
    <row r="933" spans="1:17">
      <c r="A933" s="1582" t="str">
        <f>'Part VIII-Threshold Criteria'!A24</f>
        <v>17.)</v>
      </c>
      <c r="B933" s="1582"/>
      <c r="C933" s="1582"/>
      <c r="D933" s="1582"/>
      <c r="E933" s="1582"/>
      <c r="F933" s="1582"/>
      <c r="G933" s="1582"/>
      <c r="H933" s="1582"/>
      <c r="I933" s="1582"/>
      <c r="J933" s="1582"/>
      <c r="K933" s="1582"/>
      <c r="L933" s="1582"/>
      <c r="M933" s="1582"/>
      <c r="N933" s="1582"/>
      <c r="O933" s="1582"/>
      <c r="P933" s="1582"/>
      <c r="Q933" s="1582"/>
    </row>
    <row r="934" spans="1:17">
      <c r="A934" s="1582" t="str">
        <f>'Part VIII-Threshold Criteria'!A25</f>
        <v>18.)</v>
      </c>
      <c r="B934" s="1582"/>
      <c r="C934" s="1582"/>
      <c r="D934" s="1582"/>
      <c r="E934" s="1582"/>
      <c r="F934" s="1582"/>
      <c r="G934" s="1582"/>
      <c r="H934" s="1582"/>
      <c r="I934" s="1582"/>
      <c r="J934" s="1582"/>
      <c r="K934" s="1582"/>
      <c r="L934" s="1582"/>
      <c r="M934" s="1582"/>
      <c r="N934" s="1582"/>
      <c r="O934" s="1582"/>
      <c r="P934" s="1582"/>
      <c r="Q934" s="1582"/>
    </row>
    <row r="935" spans="1:17">
      <c r="A935" s="1582" t="str">
        <f>'Part VIII-Threshold Criteria'!A26</f>
        <v>19.)</v>
      </c>
      <c r="B935" s="1582"/>
      <c r="C935" s="1582"/>
      <c r="D935" s="1582"/>
      <c r="E935" s="1582"/>
      <c r="F935" s="1582"/>
      <c r="G935" s="1582"/>
      <c r="H935" s="1582"/>
      <c r="I935" s="1582"/>
      <c r="J935" s="1582"/>
      <c r="K935" s="1582"/>
      <c r="L935" s="1582"/>
      <c r="M935" s="1582"/>
      <c r="N935" s="1582"/>
      <c r="O935" s="1582"/>
      <c r="P935" s="1582"/>
      <c r="Q935" s="1582"/>
    </row>
    <row r="936" spans="1:17">
      <c r="A936" s="1582" t="str">
        <f>'Part VIII-Threshold Criteria'!A27</f>
        <v>20.)</v>
      </c>
      <c r="B936" s="1582"/>
      <c r="C936" s="1582"/>
      <c r="D936" s="1582"/>
      <c r="E936" s="1582"/>
      <c r="F936" s="1582"/>
      <c r="G936" s="1582"/>
      <c r="H936" s="1582"/>
      <c r="I936" s="1582"/>
      <c r="J936" s="1582"/>
      <c r="K936" s="1582"/>
      <c r="L936" s="1582"/>
      <c r="M936" s="1582"/>
      <c r="N936" s="1582"/>
      <c r="O936" s="1582"/>
      <c r="P936" s="1582"/>
      <c r="Q936" s="1582"/>
    </row>
    <row r="938" spans="1:17">
      <c r="A938" s="938">
        <v>1</v>
      </c>
      <c r="B938" s="939" t="s">
        <v>2848</v>
      </c>
      <c r="C938" s="940"/>
      <c r="D938" s="941"/>
      <c r="E938" s="941"/>
      <c r="F938" s="941"/>
      <c r="G938" s="941"/>
      <c r="I938" s="1059"/>
      <c r="J938" s="1059"/>
      <c r="K938" s="1059"/>
      <c r="L938" s="1070"/>
      <c r="M938" s="1070"/>
      <c r="O938" s="942" t="s">
        <v>1997</v>
      </c>
      <c r="P938" s="1583">
        <f>'Part VIII-Threshold Criteria'!P29</f>
        <v>0</v>
      </c>
      <c r="Q938" s="1583"/>
    </row>
    <row r="940" spans="1:17">
      <c r="B940" s="943" t="s">
        <v>2118</v>
      </c>
      <c r="C940" s="584" t="s">
        <v>3519</v>
      </c>
      <c r="E940" s="1083"/>
      <c r="F940" s="1083"/>
      <c r="G940" s="1083"/>
      <c r="H940" s="1083"/>
      <c r="I940" s="583"/>
      <c r="J940" s="583"/>
      <c r="K940" s="583"/>
      <c r="L940" s="583"/>
      <c r="M940" s="583"/>
      <c r="O940" s="944" t="s">
        <v>635</v>
      </c>
      <c r="P940" s="1124" t="str">
        <f>'Part VIII-Threshold Criteria'!P31</f>
        <v>No</v>
      </c>
      <c r="Q940" s="1124">
        <f>'Part VIII-Threshold Criteria'!Q31</f>
        <v>0</v>
      </c>
    </row>
    <row r="941" spans="1:17">
      <c r="B941" s="945" t="s">
        <v>2121</v>
      </c>
      <c r="C941" s="584" t="s">
        <v>766</v>
      </c>
      <c r="E941" s="1083"/>
      <c r="F941" s="1083"/>
      <c r="G941" s="1083"/>
      <c r="H941" s="1083"/>
      <c r="J941" s="1583" t="str">
        <f>'Part VIII-Threshold Criteria'!J32</f>
        <v>&lt;&lt; Select &gt;&gt;</v>
      </c>
      <c r="K941" s="1583"/>
      <c r="L941" s="1583"/>
      <c r="M941" s="1583"/>
      <c r="N941" s="1583"/>
      <c r="O941" s="944"/>
      <c r="P941" s="944"/>
      <c r="Q941" s="944"/>
    </row>
    <row r="942" spans="1:17">
      <c r="B942" s="946" t="s">
        <v>1995</v>
      </c>
      <c r="C942" s="946"/>
      <c r="D942" s="946"/>
      <c r="E942" s="946"/>
      <c r="F942" s="946"/>
      <c r="G942" s="1059"/>
      <c r="H942" s="1059"/>
      <c r="I942" s="1059"/>
      <c r="J942" s="1059"/>
      <c r="K942" s="1070"/>
      <c r="L942" s="1070"/>
      <c r="M942" s="1070"/>
      <c r="N942" s="1070"/>
      <c r="O942" s="1070"/>
      <c r="P942" s="1070"/>
    </row>
    <row r="943" spans="1:17">
      <c r="A943" s="1575" t="str">
        <f>'Part VIII-Threshold Criteria'!A34</f>
        <v>N/A</v>
      </c>
      <c r="B943" s="1575"/>
      <c r="C943" s="1575"/>
      <c r="D943" s="1575"/>
      <c r="E943" s="1575"/>
      <c r="F943" s="1575"/>
      <c r="G943" s="1575"/>
      <c r="H943" s="1575"/>
      <c r="I943" s="1575"/>
      <c r="J943" s="1575"/>
      <c r="K943" s="1575"/>
      <c r="L943" s="1575"/>
      <c r="M943" s="1575"/>
      <c r="N943" s="1575"/>
      <c r="O943" s="1575"/>
      <c r="P943" s="1575"/>
      <c r="Q943" s="1575"/>
    </row>
    <row r="944" spans="1:17">
      <c r="B944" s="947" t="s">
        <v>1996</v>
      </c>
      <c r="C944" s="948"/>
      <c r="D944" s="1065"/>
      <c r="E944" s="1065"/>
      <c r="F944" s="1065"/>
      <c r="G944" s="1065"/>
      <c r="H944" s="1065"/>
      <c r="I944" s="1065"/>
      <c r="J944" s="1065"/>
      <c r="K944" s="1065"/>
      <c r="L944" s="1065"/>
      <c r="M944" s="1065"/>
      <c r="N944" s="1065"/>
      <c r="O944" s="1065"/>
      <c r="P944" s="1065"/>
    </row>
    <row r="945" spans="1:17">
      <c r="A945" s="1582">
        <f>'Part VIII-Threshold Criteria'!A36</f>
        <v>0</v>
      </c>
      <c r="B945" s="1582"/>
      <c r="C945" s="1582"/>
      <c r="D945" s="1582"/>
      <c r="E945" s="1582"/>
      <c r="F945" s="1582"/>
      <c r="G945" s="1582"/>
      <c r="H945" s="1582"/>
      <c r="I945" s="1582"/>
      <c r="J945" s="1582"/>
      <c r="K945" s="1582"/>
      <c r="L945" s="1582"/>
      <c r="M945" s="1582"/>
      <c r="N945" s="1582"/>
      <c r="O945" s="1582"/>
      <c r="P945" s="1582"/>
      <c r="Q945" s="1582"/>
    </row>
    <row r="946" spans="1:17">
      <c r="A946" s="1582">
        <f>'Part VIII-Threshold Criteria'!A37</f>
        <v>0</v>
      </c>
      <c r="B946" s="1582"/>
      <c r="C946" s="1582"/>
      <c r="D946" s="1582"/>
      <c r="E946" s="1582"/>
      <c r="F946" s="1582"/>
      <c r="G946" s="1582"/>
      <c r="H946" s="1582"/>
      <c r="I946" s="1582"/>
      <c r="J946" s="1582"/>
      <c r="K946" s="1582"/>
      <c r="L946" s="1582"/>
      <c r="M946" s="1582"/>
      <c r="N946" s="1582"/>
      <c r="O946" s="1582"/>
      <c r="P946" s="1582"/>
      <c r="Q946" s="1582"/>
    </row>
    <row r="947" spans="1:17">
      <c r="A947" s="1582">
        <f>'Part VIII-Threshold Criteria'!A38</f>
        <v>0</v>
      </c>
      <c r="B947" s="1582"/>
      <c r="C947" s="1582"/>
      <c r="D947" s="1582"/>
      <c r="E947" s="1582"/>
      <c r="F947" s="1582"/>
      <c r="G947" s="1582"/>
      <c r="H947" s="1582"/>
      <c r="I947" s="1582"/>
      <c r="J947" s="1582"/>
      <c r="K947" s="1582"/>
      <c r="L947" s="1582"/>
      <c r="M947" s="1582"/>
      <c r="N947" s="1582"/>
      <c r="O947" s="1582"/>
      <c r="P947" s="1582"/>
      <c r="Q947" s="1582"/>
    </row>
    <row r="948" spans="1:17">
      <c r="A948" s="1582">
        <f>'Part VIII-Threshold Criteria'!A39</f>
        <v>0</v>
      </c>
      <c r="B948" s="1582"/>
      <c r="C948" s="1582"/>
      <c r="D948" s="1582"/>
      <c r="E948" s="1582"/>
      <c r="F948" s="1582"/>
      <c r="G948" s="1582"/>
      <c r="H948" s="1582"/>
      <c r="I948" s="1582"/>
      <c r="J948" s="1582"/>
      <c r="K948" s="1582"/>
      <c r="L948" s="1582"/>
      <c r="M948" s="1582"/>
      <c r="N948" s="1582"/>
      <c r="O948" s="1582"/>
      <c r="P948" s="1582"/>
      <c r="Q948" s="1582"/>
    </row>
    <row r="949" spans="1:17">
      <c r="B949" s="1059"/>
      <c r="C949" s="1065"/>
      <c r="D949" s="1065"/>
      <c r="E949" s="1065"/>
      <c r="F949" s="1065"/>
      <c r="G949" s="1065"/>
      <c r="H949" s="1065"/>
      <c r="I949" s="1065"/>
      <c r="J949" s="1065"/>
      <c r="K949" s="1065"/>
      <c r="L949" s="1065"/>
      <c r="M949" s="1065"/>
      <c r="N949" s="1065"/>
      <c r="O949" s="1065"/>
      <c r="P949" s="1065"/>
      <c r="Q949" s="1070"/>
    </row>
    <row r="950" spans="1:17">
      <c r="A950" s="1127">
        <v>2</v>
      </c>
      <c r="B950" s="586" t="s">
        <v>2954</v>
      </c>
      <c r="C950" s="586"/>
      <c r="D950" s="586"/>
      <c r="E950" s="1065"/>
      <c r="F950" s="1065"/>
      <c r="G950" s="1065"/>
      <c r="H950" s="1065"/>
      <c r="K950" s="1065"/>
      <c r="L950" s="1065"/>
      <c r="M950" s="1065"/>
      <c r="O950" s="942" t="s">
        <v>1997</v>
      </c>
      <c r="P950" s="1583">
        <f>'Part VIII-Threshold Criteria'!P41</f>
        <v>0</v>
      </c>
      <c r="Q950" s="1583"/>
    </row>
    <row r="951" spans="1:17">
      <c r="K951" s="1065"/>
      <c r="L951" s="1065"/>
    </row>
    <row r="952" spans="1:17" ht="13.5">
      <c r="A952" s="1612" t="s">
        <v>3678</v>
      </c>
      <c r="B952" s="1612"/>
      <c r="C952" s="1612"/>
      <c r="D952" s="1612"/>
      <c r="E952" s="1612"/>
      <c r="F952" s="1586" t="s">
        <v>2961</v>
      </c>
      <c r="G952" s="1586"/>
      <c r="H952" s="1586"/>
      <c r="I952" s="1586"/>
      <c r="K952" s="1586" t="s">
        <v>2963</v>
      </c>
      <c r="L952" s="1586"/>
      <c r="M952" s="1586"/>
      <c r="N952" s="1586"/>
      <c r="P952" s="949" t="s">
        <v>3006</v>
      </c>
      <c r="Q952" s="1124" t="str">
        <f>'Part VIII-Threshold Criteria'!Q43</f>
        <v>Yes</v>
      </c>
    </row>
    <row r="953" spans="1:17">
      <c r="A953" s="1612"/>
      <c r="B953" s="1612"/>
      <c r="C953" s="1612"/>
      <c r="D953" s="1612"/>
      <c r="E953" s="1612"/>
      <c r="F953" s="1586" t="s">
        <v>2962</v>
      </c>
      <c r="G953" s="1586"/>
      <c r="H953" s="1586"/>
      <c r="I953" s="1586"/>
      <c r="K953" s="1586" t="s">
        <v>2964</v>
      </c>
      <c r="L953" s="1586"/>
      <c r="M953" s="1586"/>
      <c r="N953" s="1586"/>
    </row>
    <row r="954" spans="1:17">
      <c r="A954" s="1612"/>
      <c r="B954" s="1612"/>
      <c r="C954" s="1612"/>
      <c r="D954" s="1612"/>
      <c r="E954" s="1612"/>
      <c r="F954" s="1585" t="s">
        <v>2958</v>
      </c>
      <c r="G954" s="1585"/>
      <c r="H954" s="1585"/>
      <c r="I954" s="1585"/>
      <c r="K954" s="1586" t="s">
        <v>2960</v>
      </c>
      <c r="L954" s="1586"/>
      <c r="M954" s="1586"/>
      <c r="N954" s="1586"/>
      <c r="P954" s="1613" t="s">
        <v>3214</v>
      </c>
      <c r="Q954" s="1613"/>
    </row>
    <row r="955" spans="1:17">
      <c r="A955" s="1612"/>
      <c r="B955" s="1612"/>
      <c r="C955" s="1612"/>
      <c r="D955" s="1612"/>
      <c r="E955" s="1612"/>
      <c r="F955" s="1597" t="s">
        <v>2974</v>
      </c>
      <c r="G955" s="950"/>
      <c r="I955" s="1597" t="s">
        <v>2973</v>
      </c>
      <c r="K955" s="1597" t="s">
        <v>2974</v>
      </c>
      <c r="M955" s="1065"/>
      <c r="N955" s="1597" t="s">
        <v>2973</v>
      </c>
      <c r="O955" s="1065"/>
      <c r="P955" s="1613"/>
      <c r="Q955" s="1613"/>
    </row>
    <row r="956" spans="1:17">
      <c r="A956" s="951"/>
      <c r="D956" s="1046" t="s">
        <v>2957</v>
      </c>
      <c r="F956" s="1597"/>
      <c r="G956" s="1047" t="s">
        <v>2959</v>
      </c>
      <c r="I956" s="1597"/>
      <c r="K956" s="1597"/>
      <c r="L956" s="1047" t="s">
        <v>2959</v>
      </c>
      <c r="N956" s="1597"/>
      <c r="O956" s="1065"/>
      <c r="P956" s="1598">
        <f>'Part VIII-Threshold Criteria'!P47</f>
        <v>11526845</v>
      </c>
      <c r="Q956" s="1598"/>
    </row>
    <row r="957" spans="1:17" ht="13.5">
      <c r="A957" s="951"/>
      <c r="D957" s="1048" t="s">
        <v>601</v>
      </c>
      <c r="F957" s="1061">
        <f>'Part VIII-Threshold Criteria'!F48</f>
        <v>0</v>
      </c>
      <c r="G957" s="1049">
        <f>'DCA Underwriting Assumptions'!$J$12</f>
        <v>110481</v>
      </c>
      <c r="H957" s="1066" t="str">
        <f>CONCATENATE("x ", F957," units = ")</f>
        <v xml:space="preserve">x 0 units = </v>
      </c>
      <c r="I957" s="952">
        <f>F957*G957</f>
        <v>0</v>
      </c>
      <c r="K957" s="1061">
        <f>'Part VIII-Threshold Criteria'!K48</f>
        <v>0</v>
      </c>
      <c r="L957" s="1049">
        <f>'DCA Underwriting Assumptions'!$J$13</f>
        <v>121529</v>
      </c>
      <c r="M957" s="1066" t="str">
        <f>CONCATENATE("x ", K957," units = ")</f>
        <v xml:space="preserve">x 0 units = </v>
      </c>
      <c r="N957" s="952">
        <f>K957*L957</f>
        <v>0</v>
      </c>
      <c r="O957" s="1065"/>
      <c r="P957" s="1609" t="s">
        <v>3000</v>
      </c>
      <c r="Q957" s="1609"/>
    </row>
    <row r="958" spans="1:17" ht="13.5">
      <c r="A958" s="951"/>
      <c r="D958" s="1048" t="s">
        <v>2955</v>
      </c>
      <c r="F958" s="1061">
        <f>'Part VIII-Threshold Criteria'!F49</f>
        <v>24</v>
      </c>
      <c r="G958" s="1049">
        <f>'DCA Underwriting Assumptions'!$K$12</f>
        <v>126647</v>
      </c>
      <c r="H958" s="1066" t="str">
        <f>CONCATENATE("x ", F958," units = ")</f>
        <v xml:space="preserve">x 24 units = </v>
      </c>
      <c r="I958" s="952">
        <f>F958*G958</f>
        <v>3039528</v>
      </c>
      <c r="K958" s="1061">
        <f>'Part VIII-Threshold Criteria'!K49</f>
        <v>0</v>
      </c>
      <c r="L958" s="1049">
        <f>'DCA Underwriting Assumptions'!$K$13</f>
        <v>139312</v>
      </c>
      <c r="M958" s="1066" t="str">
        <f>CONCATENATE("x ", K958," units = ")</f>
        <v xml:space="preserve">x 0 units = </v>
      </c>
      <c r="N958" s="952">
        <f>K958*L958</f>
        <v>0</v>
      </c>
      <c r="O958" s="1065"/>
      <c r="P958" s="1609"/>
      <c r="Q958" s="1609"/>
    </row>
    <row r="959" spans="1:17" ht="13.5">
      <c r="A959" s="951"/>
      <c r="D959" s="1048" t="s">
        <v>2956</v>
      </c>
      <c r="F959" s="1061">
        <f>'Part VIII-Threshold Criteria'!F50</f>
        <v>37</v>
      </c>
      <c r="G959" s="1049">
        <f>'DCA Underwriting Assumptions'!$L$12</f>
        <v>154003</v>
      </c>
      <c r="H959" s="1066" t="str">
        <f>CONCATENATE("x ", F959," units = ")</f>
        <v xml:space="preserve">x 37 units = </v>
      </c>
      <c r="I959" s="952">
        <f>F959*G959</f>
        <v>5698111</v>
      </c>
      <c r="K959" s="1061">
        <f>'Part VIII-Threshold Criteria'!K50</f>
        <v>0</v>
      </c>
      <c r="L959" s="1049">
        <f>'DCA Underwriting Assumptions'!$L$13</f>
        <v>169403</v>
      </c>
      <c r="M959" s="1066" t="str">
        <f>CONCATENATE("x ", K959," units = ")</f>
        <v xml:space="preserve">x 0 units = </v>
      </c>
      <c r="N959" s="952">
        <f>K959*L959</f>
        <v>0</v>
      </c>
      <c r="O959" s="1065"/>
      <c r="P959" s="1609"/>
      <c r="Q959" s="1609"/>
    </row>
    <row r="960" spans="1:17" ht="13.5">
      <c r="A960" s="951"/>
      <c r="D960" s="1048" t="s">
        <v>2965</v>
      </c>
      <c r="F960" s="1061">
        <f>'Part VIII-Threshold Criteria'!F51</f>
        <v>12</v>
      </c>
      <c r="G960" s="1049">
        <f>'DCA Underwriting Assumptions'!$M$12</f>
        <v>199229</v>
      </c>
      <c r="H960" s="1066" t="str">
        <f>CONCATENATE("x ", F960," units = ")</f>
        <v xml:space="preserve">x 12 units = </v>
      </c>
      <c r="I960" s="952">
        <f>F960*G960</f>
        <v>2390748</v>
      </c>
      <c r="K960" s="1061">
        <f>'Part VIII-Threshold Criteria'!K51</f>
        <v>0</v>
      </c>
      <c r="L960" s="1049">
        <f>'DCA Underwriting Assumptions'!$M$13</f>
        <v>219152</v>
      </c>
      <c r="M960" s="1066" t="str">
        <f>CONCATENATE("x ", K960," units = ")</f>
        <v xml:space="preserve">x 0 units = </v>
      </c>
      <c r="N960" s="952">
        <f>K960*L960</f>
        <v>0</v>
      </c>
      <c r="O960" s="1065"/>
      <c r="P960" s="1609"/>
      <c r="Q960" s="1609"/>
    </row>
    <row r="961" spans="1:17" ht="13.5">
      <c r="A961" s="951"/>
      <c r="D961" s="1048" t="s">
        <v>2966</v>
      </c>
      <c r="F961" s="1061">
        <f>'Part VIII-Threshold Criteria'!F52</f>
        <v>2</v>
      </c>
      <c r="G961" s="1049">
        <f>'DCA Underwriting Assumptions'!$N$12</f>
        <v>199229</v>
      </c>
      <c r="H961" s="1066" t="str">
        <f>CONCATENATE("x ", F961," units = ")</f>
        <v xml:space="preserve">x 2 units = </v>
      </c>
      <c r="I961" s="952">
        <f>F961*G961</f>
        <v>398458</v>
      </c>
      <c r="K961" s="1061">
        <f>'Part VIII-Threshold Criteria'!K52</f>
        <v>0</v>
      </c>
      <c r="L961" s="1049">
        <f>'DCA Underwriting Assumptions'!$N$13</f>
        <v>219152</v>
      </c>
      <c r="M961" s="1066" t="str">
        <f>CONCATENATE("x ", K961," units = ")</f>
        <v xml:space="preserve">x 0 units = </v>
      </c>
      <c r="N961" s="952">
        <f>K961*L961</f>
        <v>0</v>
      </c>
      <c r="O961" s="1065"/>
      <c r="P961" s="1609"/>
      <c r="Q961" s="1609"/>
    </row>
    <row r="962" spans="1:17" ht="13.5">
      <c r="A962" s="951"/>
      <c r="C962" s="950"/>
      <c r="D962" s="1077" t="s">
        <v>2967</v>
      </c>
      <c r="F962" s="953">
        <f>SUM(F957:F961)</f>
        <v>75</v>
      </c>
      <c r="G962" s="1050"/>
      <c r="H962" s="1061"/>
      <c r="I962" s="952">
        <f>SUM(I957:I961)</f>
        <v>11526845</v>
      </c>
      <c r="K962" s="953">
        <f>SUM(K957:K961)</f>
        <v>0</v>
      </c>
      <c r="M962" s="1061"/>
      <c r="N962" s="952">
        <f>SUM(N957:N961)</f>
        <v>0</v>
      </c>
      <c r="O962" s="1065"/>
      <c r="P962" s="1610">
        <f>IF('Part IV-Uses of Funds'!$G$130&gt;P956,"CHECK TDC !!!",0)</f>
        <v>0</v>
      </c>
      <c r="Q962" s="1610"/>
    </row>
    <row r="963" spans="1:17">
      <c r="A963" s="951"/>
      <c r="C963" s="950"/>
      <c r="E963" s="567"/>
      <c r="F963" s="1050"/>
      <c r="G963" s="567"/>
      <c r="I963" s="567"/>
      <c r="J963" s="567"/>
      <c r="K963" s="1065"/>
      <c r="L963" s="1051"/>
      <c r="M963" s="1065"/>
      <c r="N963" s="1065"/>
      <c r="O963" s="1065"/>
      <c r="P963" s="1065"/>
      <c r="Q963" s="1065"/>
    </row>
    <row r="964" spans="1:17">
      <c r="B964" s="954" t="s">
        <v>1995</v>
      </c>
      <c r="D964" s="954"/>
      <c r="E964" s="954"/>
      <c r="F964" s="954"/>
      <c r="G964" s="954"/>
      <c r="H964" s="1083"/>
      <c r="I964" s="1059"/>
      <c r="J964" s="1059"/>
      <c r="K964" s="947" t="s">
        <v>1996</v>
      </c>
      <c r="L964" s="1070"/>
      <c r="M964" s="1070"/>
      <c r="N964" s="1070"/>
      <c r="O964" s="1070"/>
      <c r="P964" s="1070"/>
      <c r="Q964" s="1070"/>
    </row>
    <row r="965" spans="1:17">
      <c r="A965" s="1575">
        <f>'Part VIII-Threshold Criteria'!A56</f>
        <v>0</v>
      </c>
      <c r="B965" s="1575"/>
      <c r="C965" s="1575"/>
      <c r="D965" s="1575"/>
      <c r="E965" s="1575"/>
      <c r="F965" s="1575"/>
      <c r="G965" s="1575"/>
      <c r="H965" s="1575"/>
      <c r="I965" s="1575"/>
      <c r="J965" s="1575"/>
      <c r="K965" s="1575">
        <f>'Part VIII-Threshold Criteria'!K56</f>
        <v>0</v>
      </c>
      <c r="L965" s="1575"/>
      <c r="M965" s="1575"/>
      <c r="N965" s="1575"/>
      <c r="O965" s="1575"/>
      <c r="P965" s="1575"/>
      <c r="Q965" s="1575"/>
    </row>
    <row r="966" spans="1:17">
      <c r="B966" s="1059"/>
      <c r="C966" s="1065"/>
      <c r="D966" s="1065"/>
      <c r="E966" s="1065"/>
      <c r="F966" s="1065"/>
      <c r="G966" s="1065"/>
      <c r="H966" s="1065"/>
      <c r="I966" s="1065"/>
      <c r="J966" s="1065"/>
      <c r="K966" s="1065"/>
      <c r="L966" s="1065"/>
      <c r="M966" s="1065"/>
      <c r="N966" s="1065"/>
      <c r="O966" s="1065"/>
      <c r="P966" s="1065"/>
      <c r="Q966" s="1070"/>
    </row>
    <row r="967" spans="1:17">
      <c r="A967" s="1127">
        <v>3</v>
      </c>
      <c r="B967" s="586" t="s">
        <v>1262</v>
      </c>
      <c r="C967" s="586"/>
      <c r="D967" s="586"/>
      <c r="E967" s="1065"/>
      <c r="F967" s="1065"/>
      <c r="G967" s="1065"/>
      <c r="H967" s="1065"/>
      <c r="M967" s="1065"/>
      <c r="O967" s="942" t="s">
        <v>1997</v>
      </c>
      <c r="P967" s="1583">
        <f>'Part VIII-Threshold Criteria'!P58</f>
        <v>0</v>
      </c>
      <c r="Q967" s="1583"/>
    </row>
    <row r="969" spans="1:17">
      <c r="A969" s="951"/>
      <c r="C969" s="950" t="s">
        <v>102</v>
      </c>
      <c r="D969" s="950"/>
      <c r="E969" s="950"/>
      <c r="F969" s="950"/>
      <c r="G969" s="950"/>
      <c r="H969" s="950"/>
      <c r="K969" s="1611" t="str">
        <f>'Part VIII-Threshold Criteria'!K60</f>
        <v>Family</v>
      </c>
      <c r="L969" s="1611"/>
      <c r="M969" s="1611"/>
      <c r="N969" s="1065"/>
    </row>
    <row r="970" spans="1:17">
      <c r="B970" s="954" t="s">
        <v>1995</v>
      </c>
      <c r="D970" s="954"/>
      <c r="E970" s="954"/>
      <c r="F970" s="954"/>
      <c r="G970" s="954"/>
      <c r="H970" s="1083"/>
      <c r="I970" s="1059"/>
      <c r="J970" s="1059"/>
      <c r="K970" s="947" t="s">
        <v>1996</v>
      </c>
      <c r="L970" s="1070"/>
      <c r="M970" s="1070"/>
      <c r="N970" s="1070"/>
      <c r="O970" s="1070"/>
      <c r="P970" s="1070"/>
      <c r="Q970" s="1070"/>
    </row>
    <row r="971" spans="1:17">
      <c r="A971" s="1575">
        <f>'Part VIII-Threshold Criteria'!A62</f>
        <v>0</v>
      </c>
      <c r="B971" s="1575"/>
      <c r="C971" s="1575"/>
      <c r="D971" s="1575"/>
      <c r="E971" s="1575"/>
      <c r="F971" s="1575"/>
      <c r="G971" s="1575"/>
      <c r="H971" s="1575"/>
      <c r="I971" s="1575"/>
      <c r="J971" s="1575"/>
      <c r="K971" s="1575">
        <f>'Part VIII-Threshold Criteria'!K62</f>
        <v>0</v>
      </c>
      <c r="L971" s="1575"/>
      <c r="M971" s="1575"/>
      <c r="N971" s="1575"/>
      <c r="O971" s="1575"/>
      <c r="P971" s="1575"/>
      <c r="Q971" s="1575"/>
    </row>
    <row r="972" spans="1:17">
      <c r="A972" s="1070"/>
      <c r="B972" s="1059"/>
      <c r="C972" s="1065"/>
      <c r="D972" s="1065"/>
      <c r="E972" s="1065"/>
      <c r="F972" s="1065"/>
      <c r="G972" s="1065"/>
      <c r="H972" s="1065"/>
      <c r="I972" s="1065"/>
      <c r="J972" s="1065"/>
      <c r="K972" s="1065"/>
      <c r="L972" s="1065"/>
      <c r="M972" s="1065"/>
      <c r="N972" s="1065"/>
      <c r="O972" s="1065"/>
      <c r="P972" s="1065"/>
      <c r="Q972" s="1070"/>
    </row>
    <row r="973" spans="1:17">
      <c r="A973" s="1127">
        <v>4</v>
      </c>
      <c r="B973" s="1127" t="s">
        <v>2849</v>
      </c>
      <c r="C973" s="1085"/>
      <c r="D973" s="1065"/>
      <c r="E973" s="1065"/>
      <c r="F973" s="1065"/>
      <c r="G973" s="1065"/>
      <c r="H973" s="1065"/>
      <c r="I973" s="1065"/>
      <c r="J973" s="1065"/>
      <c r="K973" s="1065"/>
      <c r="L973" s="1065"/>
      <c r="M973" s="1065"/>
      <c r="O973" s="942" t="s">
        <v>1997</v>
      </c>
      <c r="P973" s="1583">
        <f>'Part VIII-Threshold Criteria'!P64</f>
        <v>0</v>
      </c>
      <c r="Q973" s="1583"/>
    </row>
    <row r="975" spans="1:17">
      <c r="B975" s="943" t="s">
        <v>2118</v>
      </c>
      <c r="C975" s="1575" t="s">
        <v>3679</v>
      </c>
      <c r="D975" s="1575"/>
      <c r="E975" s="1575"/>
      <c r="F975" s="1575"/>
      <c r="G975" s="1575"/>
      <c r="H975" s="1575"/>
      <c r="I975" s="1575"/>
      <c r="J975" s="1575"/>
      <c r="K975" s="1575"/>
      <c r="L975" s="1575"/>
      <c r="M975" s="1575"/>
      <c r="O975" s="1129"/>
      <c r="P975" s="1124" t="str">
        <f>'Part VIII-Threshold Criteria'!P66</f>
        <v>Agree</v>
      </c>
    </row>
    <row r="976" spans="1:17">
      <c r="B976" s="945" t="s">
        <v>2121</v>
      </c>
      <c r="C976" s="1083" t="s">
        <v>2975</v>
      </c>
      <c r="D976" s="1083"/>
      <c r="E976" s="1083"/>
      <c r="F976" s="1083"/>
      <c r="G976" s="1083"/>
      <c r="H976" s="1083"/>
      <c r="I976" s="1083"/>
      <c r="J976" s="1083"/>
      <c r="K976" s="1083"/>
      <c r="L976" s="1083"/>
      <c r="M976" s="1083"/>
      <c r="O976" s="1083"/>
      <c r="P976" s="1083"/>
      <c r="Q976" s="1083"/>
    </row>
    <row r="977" spans="1:17">
      <c r="A977" s="955"/>
      <c r="B977" s="583"/>
      <c r="C977" s="944" t="s">
        <v>1859</v>
      </c>
      <c r="D977" s="1083" t="s">
        <v>611</v>
      </c>
      <c r="E977" s="1062"/>
      <c r="F977" s="1062"/>
      <c r="G977" s="1062"/>
      <c r="H977" s="583"/>
      <c r="I977" s="583"/>
      <c r="J977" s="584" t="s">
        <v>2945</v>
      </c>
      <c r="K977" s="1587" t="str">
        <f>'Part VIII-Threshold Criteria'!K68</f>
        <v>Ongoing movie/game night hosted by management staff</v>
      </c>
      <c r="L977" s="1587"/>
      <c r="M977" s="1587"/>
      <c r="N977" s="1587"/>
      <c r="O977" s="1587"/>
      <c r="P977" s="1587"/>
      <c r="Q977" s="1083"/>
    </row>
    <row r="978" spans="1:17">
      <c r="A978" s="955"/>
      <c r="B978" s="583"/>
      <c r="C978" s="944" t="s">
        <v>1860</v>
      </c>
      <c r="D978" s="1083" t="s">
        <v>1935</v>
      </c>
      <c r="E978" s="1062"/>
      <c r="F978" s="1062"/>
      <c r="G978" s="1062"/>
      <c r="H978" s="583"/>
      <c r="I978" s="583"/>
      <c r="J978" s="584" t="s">
        <v>2945</v>
      </c>
      <c r="K978" s="1587">
        <f>'Part VIII-Threshold Criteria'!K69</f>
        <v>0</v>
      </c>
      <c r="L978" s="1587"/>
      <c r="M978" s="1587"/>
      <c r="N978" s="1587"/>
      <c r="O978" s="1587"/>
      <c r="P978" s="1587"/>
      <c r="Q978" s="1083"/>
    </row>
    <row r="979" spans="1:17">
      <c r="A979" s="955"/>
      <c r="B979" s="583"/>
      <c r="C979" s="944" t="s">
        <v>1861</v>
      </c>
      <c r="D979" s="1083" t="s">
        <v>323</v>
      </c>
      <c r="E979" s="1062"/>
      <c r="J979" s="584" t="s">
        <v>2945</v>
      </c>
      <c r="K979" s="1587">
        <f>'Part VIII-Threshold Criteria'!K70</f>
        <v>0</v>
      </c>
      <c r="L979" s="1587"/>
      <c r="M979" s="1587"/>
      <c r="N979" s="1587"/>
      <c r="O979" s="1587"/>
      <c r="P979" s="1587"/>
      <c r="Q979" s="1083"/>
    </row>
    <row r="980" spans="1:17">
      <c r="B980" s="954" t="s">
        <v>1995</v>
      </c>
      <c r="D980" s="954"/>
      <c r="E980" s="954"/>
      <c r="F980" s="954"/>
      <c r="G980" s="954"/>
      <c r="H980" s="1083"/>
      <c r="I980" s="1059"/>
      <c r="J980" s="1059"/>
      <c r="K980" s="1059"/>
      <c r="L980" s="1070"/>
      <c r="M980" s="1070"/>
      <c r="N980" s="1070"/>
      <c r="O980" s="1070"/>
      <c r="P980" s="1070"/>
      <c r="Q980" s="1070"/>
    </row>
    <row r="981" spans="1:17">
      <c r="A981" s="1575" t="str">
        <f>'Part VIII-Threshold Criteria'!A72</f>
        <v>The managing agent will provide one onsite social and recreational program overseen by the project manager.</v>
      </c>
      <c r="B981" s="1575"/>
      <c r="C981" s="1575"/>
      <c r="D981" s="1575"/>
      <c r="E981" s="1575"/>
      <c r="F981" s="1575"/>
      <c r="G981" s="1575"/>
      <c r="H981" s="1575"/>
      <c r="I981" s="1575"/>
      <c r="J981" s="1575"/>
      <c r="K981" s="1575"/>
      <c r="L981" s="1575"/>
      <c r="M981" s="1575"/>
      <c r="N981" s="1575"/>
      <c r="O981" s="1575"/>
      <c r="P981" s="1575"/>
      <c r="Q981" s="1575"/>
    </row>
    <row r="982" spans="1:17">
      <c r="B982" s="947" t="s">
        <v>1996</v>
      </c>
      <c r="C982" s="948"/>
      <c r="D982" s="1065"/>
      <c r="E982" s="1065"/>
      <c r="F982" s="1065"/>
      <c r="G982" s="1065"/>
      <c r="H982" s="1065"/>
      <c r="I982" s="1065"/>
      <c r="J982" s="1065"/>
      <c r="K982" s="1065"/>
      <c r="L982" s="1065"/>
      <c r="M982" s="1065"/>
      <c r="N982" s="1065"/>
      <c r="O982" s="1065"/>
      <c r="P982" s="1065"/>
      <c r="Q982" s="1065"/>
    </row>
    <row r="983" spans="1:17">
      <c r="A983" s="1582">
        <f>'Part VIII-Threshold Criteria'!A74</f>
        <v>0</v>
      </c>
      <c r="B983" s="1582"/>
      <c r="C983" s="1582"/>
      <c r="D983" s="1582"/>
      <c r="E983" s="1582"/>
      <c r="F983" s="1582"/>
      <c r="G983" s="1582"/>
      <c r="H983" s="1582"/>
      <c r="I983" s="1582"/>
      <c r="J983" s="1582"/>
      <c r="K983" s="1582"/>
      <c r="L983" s="1582"/>
      <c r="M983" s="1582"/>
      <c r="N983" s="1582"/>
      <c r="O983" s="1582"/>
      <c r="P983" s="1582"/>
      <c r="Q983" s="1582"/>
    </row>
    <row r="984" spans="1:17">
      <c r="A984" s="1070"/>
      <c r="B984" s="1059"/>
      <c r="C984" s="1065"/>
      <c r="D984" s="1065"/>
      <c r="E984" s="1065"/>
      <c r="F984" s="1065"/>
      <c r="G984" s="1065"/>
      <c r="H984" s="1065"/>
      <c r="I984" s="1065"/>
      <c r="J984" s="1065"/>
      <c r="K984" s="1065"/>
      <c r="L984" s="1065"/>
      <c r="M984" s="1065"/>
      <c r="N984" s="1065"/>
      <c r="O984" s="1065"/>
      <c r="P984" s="1065"/>
      <c r="Q984" s="1070"/>
    </row>
    <row r="985" spans="1:17">
      <c r="A985" s="1127">
        <v>5</v>
      </c>
      <c r="B985" s="1127" t="s">
        <v>2850</v>
      </c>
      <c r="C985" s="1127"/>
      <c r="D985" s="1065"/>
      <c r="E985" s="1065"/>
      <c r="F985" s="1065"/>
      <c r="G985" s="1065"/>
      <c r="H985" s="1065"/>
      <c r="I985" s="1065"/>
      <c r="J985" s="1065"/>
      <c r="K985" s="1065"/>
      <c r="O985" s="942" t="s">
        <v>1997</v>
      </c>
      <c r="P985" s="1583">
        <f>'Part VIII-Threshold Criteria'!P76</f>
        <v>0</v>
      </c>
      <c r="Q985" s="1583"/>
    </row>
    <row r="987" spans="1:17">
      <c r="B987" s="945" t="s">
        <v>2118</v>
      </c>
      <c r="C987" s="567" t="s">
        <v>2626</v>
      </c>
      <c r="D987" s="1075"/>
      <c r="E987" s="1075"/>
      <c r="F987" s="1075"/>
      <c r="G987" s="1075"/>
      <c r="H987" s="1075"/>
      <c r="I987" s="583"/>
      <c r="J987" s="583"/>
      <c r="K987" s="583"/>
      <c r="L987" s="944" t="s">
        <v>2118</v>
      </c>
      <c r="M987" s="1587" t="str">
        <f>'Part VIII-Threshold Criteria'!M78</f>
        <v>John Wall and Associates</v>
      </c>
      <c r="N987" s="1587"/>
      <c r="O987" s="1587"/>
      <c r="P987" s="1595"/>
      <c r="Q987" s="1124">
        <f>'Part VIII-Threshold Criteria'!Q78</f>
        <v>0</v>
      </c>
    </row>
    <row r="988" spans="1:17">
      <c r="B988" s="945" t="s">
        <v>2121</v>
      </c>
      <c r="C988" s="584" t="s">
        <v>2173</v>
      </c>
      <c r="D988" s="1075"/>
      <c r="E988" s="1075"/>
      <c r="F988" s="1075"/>
      <c r="L988" s="944" t="s">
        <v>2121</v>
      </c>
      <c r="M988" s="1587" t="str">
        <f>'Part VIII-Threshold Criteria'!M79</f>
        <v>Less than one month</v>
      </c>
      <c r="N988" s="1587"/>
      <c r="O988" s="1587"/>
      <c r="P988" s="1595"/>
      <c r="Q988" s="1124">
        <f>'Part VIII-Threshold Criteria'!Q79</f>
        <v>0</v>
      </c>
    </row>
    <row r="989" spans="1:17">
      <c r="B989" s="945" t="s">
        <v>799</v>
      </c>
      <c r="C989" s="584" t="s">
        <v>3520</v>
      </c>
      <c r="D989" s="1075"/>
      <c r="E989" s="1075"/>
      <c r="F989" s="1075"/>
      <c r="L989" s="944" t="s">
        <v>799</v>
      </c>
      <c r="M989" s="1607">
        <f>'Part VIII-Threshold Criteria'!M80</f>
        <v>0.98699999999999999</v>
      </c>
      <c r="N989" s="1607"/>
      <c r="O989" s="1607"/>
      <c r="P989" s="1608"/>
      <c r="Q989" s="1124">
        <f>'Part VIII-Threshold Criteria'!Q80</f>
        <v>0</v>
      </c>
    </row>
    <row r="990" spans="1:17">
      <c r="B990" s="945" t="s">
        <v>2253</v>
      </c>
      <c r="C990" s="584" t="s">
        <v>2627</v>
      </c>
      <c r="D990" s="1075"/>
      <c r="E990" s="1075"/>
      <c r="F990" s="1075"/>
      <c r="L990" s="944" t="s">
        <v>2253</v>
      </c>
      <c r="M990" s="1607">
        <f>'Part VIII-Threshold Criteria'!M81</f>
        <v>1.2999999999999999E-2</v>
      </c>
      <c r="N990" s="1607"/>
      <c r="O990" s="1607"/>
      <c r="P990" s="1608"/>
      <c r="Q990" s="1124">
        <f>'Part VIII-Threshold Criteria'!Q81</f>
        <v>0</v>
      </c>
    </row>
    <row r="991" spans="1:17">
      <c r="B991" s="943" t="s">
        <v>1857</v>
      </c>
      <c r="C991" s="1575" t="s">
        <v>3521</v>
      </c>
      <c r="D991" s="1575"/>
      <c r="E991" s="1575"/>
      <c r="F991" s="1575"/>
      <c r="G991" s="1575"/>
      <c r="H991" s="1575"/>
      <c r="I991" s="1575"/>
      <c r="J991" s="1575"/>
      <c r="K991" s="1575"/>
      <c r="L991" s="1575"/>
      <c r="M991" s="1575"/>
      <c r="N991" s="1575"/>
      <c r="O991" s="1575"/>
      <c r="P991" s="1575"/>
      <c r="Q991" s="1575"/>
    </row>
    <row r="992" spans="1:17">
      <c r="B992" s="945"/>
      <c r="C992" s="584"/>
      <c r="D992" s="1059" t="s">
        <v>2534</v>
      </c>
      <c r="E992" s="1083" t="s">
        <v>658</v>
      </c>
      <c r="F992" s="1083"/>
      <c r="H992" s="584"/>
      <c r="I992" s="1059" t="s">
        <v>2534</v>
      </c>
      <c r="J992" s="1083" t="s">
        <v>658</v>
      </c>
      <c r="K992" s="1083"/>
      <c r="M992" s="584"/>
      <c r="N992" s="1059" t="s">
        <v>2534</v>
      </c>
      <c r="O992" s="1083" t="s">
        <v>658</v>
      </c>
      <c r="P992" s="1083"/>
      <c r="Q992" s="944"/>
    </row>
    <row r="993" spans="1:17">
      <c r="B993" s="945"/>
      <c r="C993" s="584">
        <v>1</v>
      </c>
      <c r="D993" s="1124" t="str">
        <f>'Part VIII-Threshold Criteria'!D84</f>
        <v>N/A</v>
      </c>
      <c r="E993" s="1587">
        <f>'Part VIII-Threshold Criteria'!E84</f>
        <v>0</v>
      </c>
      <c r="F993" s="1587"/>
      <c r="G993" s="1587"/>
      <c r="H993" s="584">
        <v>3</v>
      </c>
      <c r="I993" s="1124" t="str">
        <f>'Part VIII-Threshold Criteria'!I84</f>
        <v>N/A</v>
      </c>
      <c r="J993" s="1587">
        <f>'Part VIII-Threshold Criteria'!J84</f>
        <v>0</v>
      </c>
      <c r="K993" s="1587"/>
      <c r="L993" s="1587"/>
      <c r="M993" s="584">
        <v>5</v>
      </c>
      <c r="N993" s="1124" t="str">
        <f>'Part VIII-Threshold Criteria'!N84</f>
        <v>N/A</v>
      </c>
      <c r="O993" s="1587">
        <f>'Part VIII-Threshold Criteria'!O84</f>
        <v>0</v>
      </c>
      <c r="P993" s="1587"/>
      <c r="Q993" s="1587"/>
    </row>
    <row r="994" spans="1:17">
      <c r="B994" s="945"/>
      <c r="C994" s="584">
        <v>2</v>
      </c>
      <c r="D994" s="1124" t="str">
        <f>'Part VIII-Threshold Criteria'!D85</f>
        <v>N/A</v>
      </c>
      <c r="E994" s="1587">
        <f>'Part VIII-Threshold Criteria'!E85</f>
        <v>0</v>
      </c>
      <c r="F994" s="1587"/>
      <c r="G994" s="1587"/>
      <c r="H994" s="584">
        <v>4</v>
      </c>
      <c r="I994" s="1124" t="str">
        <f>'Part VIII-Threshold Criteria'!I85</f>
        <v>N/A</v>
      </c>
      <c r="J994" s="1587">
        <f>'Part VIII-Threshold Criteria'!J85</f>
        <v>0</v>
      </c>
      <c r="K994" s="1587"/>
      <c r="L994" s="1587"/>
      <c r="M994" s="584">
        <v>6</v>
      </c>
      <c r="N994" s="1124" t="str">
        <f>'Part VIII-Threshold Criteria'!N85</f>
        <v>N/A</v>
      </c>
      <c r="O994" s="1587">
        <f>'Part VIII-Threshold Criteria'!O85</f>
        <v>0</v>
      </c>
      <c r="P994" s="1587"/>
      <c r="Q994" s="1587"/>
    </row>
    <row r="995" spans="1:17">
      <c r="B995" s="945" t="s">
        <v>1858</v>
      </c>
      <c r="C995" s="584" t="s">
        <v>0</v>
      </c>
      <c r="D995" s="1075"/>
      <c r="E995" s="1075"/>
      <c r="F995" s="1075"/>
      <c r="G995" s="1075"/>
      <c r="H995" s="1075"/>
      <c r="I995" s="583"/>
      <c r="J995" s="583"/>
      <c r="K995" s="1075"/>
      <c r="L995" s="1062"/>
      <c r="M995" s="1062"/>
      <c r="O995" s="944" t="s">
        <v>1858</v>
      </c>
      <c r="P995" s="1124" t="str">
        <f>'Part VIII-Threshold Criteria'!P86</f>
        <v>Yes</v>
      </c>
      <c r="Q995" s="1124">
        <f>'Part VIII-Threshold Criteria'!Q86</f>
        <v>0</v>
      </c>
    </row>
    <row r="996" spans="1:17">
      <c r="B996" s="954" t="s">
        <v>1995</v>
      </c>
      <c r="D996" s="954"/>
      <c r="E996" s="954"/>
      <c r="F996" s="954"/>
      <c r="G996" s="954"/>
      <c r="H996" s="1083"/>
      <c r="I996" s="1059"/>
      <c r="J996" s="1059"/>
      <c r="K996" s="1059"/>
      <c r="L996" s="1070"/>
      <c r="M996" s="1070"/>
      <c r="N996" s="1070"/>
      <c r="O996" s="1070"/>
      <c r="P996" s="1070"/>
      <c r="Q996" s="1070"/>
    </row>
    <row r="997" spans="1:17">
      <c r="A997" s="1575" t="str">
        <f>'Part VIII-Threshold Criteria'!A88</f>
        <v xml:space="preserve">The project is currently over 98% occupied and the rehabilitation of the units is being scheduled so that the least amount of residents are displaced at one time as possible. We do not anticipate much dip in the percentage occupied since rehab will be "rolling" and as soon as units are completed, temporarily displaced residents will move back in as additional tenants are moved for rehabilitation. </v>
      </c>
      <c r="B997" s="1575"/>
      <c r="C997" s="1575"/>
      <c r="D997" s="1575"/>
      <c r="E997" s="1575"/>
      <c r="F997" s="1575"/>
      <c r="G997" s="1575"/>
      <c r="H997" s="1575"/>
      <c r="I997" s="1575"/>
      <c r="J997" s="1575"/>
      <c r="K997" s="1575"/>
      <c r="L997" s="1575"/>
      <c r="M997" s="1575"/>
      <c r="N997" s="1575"/>
      <c r="O997" s="1575"/>
      <c r="P997" s="1575"/>
      <c r="Q997" s="1575"/>
    </row>
    <row r="998" spans="1:17">
      <c r="B998" s="947" t="s">
        <v>1996</v>
      </c>
      <c r="C998" s="948"/>
      <c r="D998" s="1065"/>
      <c r="E998" s="1065"/>
      <c r="F998" s="1065"/>
      <c r="G998" s="1065"/>
      <c r="H998" s="1065"/>
      <c r="I998" s="1065"/>
      <c r="J998" s="1065"/>
      <c r="K998" s="1065"/>
      <c r="L998" s="1065"/>
      <c r="M998" s="1065"/>
      <c r="N998" s="1065"/>
      <c r="O998" s="1065"/>
      <c r="P998" s="1065"/>
      <c r="Q998" s="1065"/>
    </row>
    <row r="999" spans="1:17">
      <c r="A999" s="1582">
        <f>'Part VIII-Threshold Criteria'!A90</f>
        <v>0</v>
      </c>
      <c r="B999" s="1582"/>
      <c r="C999" s="1582"/>
      <c r="D999" s="1582"/>
      <c r="E999" s="1582"/>
      <c r="F999" s="1582"/>
      <c r="G999" s="1582"/>
      <c r="H999" s="1582"/>
      <c r="I999" s="1582"/>
      <c r="J999" s="1582"/>
      <c r="K999" s="1582"/>
      <c r="L999" s="1582"/>
      <c r="M999" s="1582"/>
      <c r="N999" s="1582"/>
      <c r="O999" s="1582"/>
      <c r="P999" s="1582"/>
      <c r="Q999" s="1582"/>
    </row>
    <row r="1000" spans="1:17">
      <c r="A1000" s="1127">
        <v>6</v>
      </c>
      <c r="B1000" s="1127" t="s">
        <v>2851</v>
      </c>
      <c r="C1000" s="1127"/>
      <c r="D1000" s="1065"/>
      <c r="E1000" s="1065"/>
      <c r="F1000" s="1065"/>
      <c r="G1000" s="1065"/>
      <c r="H1000" s="1065"/>
      <c r="I1000" s="1065"/>
      <c r="J1000" s="1065"/>
      <c r="K1000" s="1065"/>
      <c r="L1000" s="1065"/>
      <c r="M1000" s="1065"/>
      <c r="O1000" s="942" t="s">
        <v>1997</v>
      </c>
      <c r="P1000" s="1583">
        <f>'Part VIII-Threshold Criteria'!P91</f>
        <v>0</v>
      </c>
      <c r="Q1000" s="1583"/>
    </row>
    <row r="1002" spans="1:17">
      <c r="B1002" s="945" t="s">
        <v>2118</v>
      </c>
      <c r="C1002" s="584" t="s">
        <v>525</v>
      </c>
      <c r="D1002" s="584"/>
      <c r="E1002" s="584"/>
      <c r="F1002" s="584"/>
      <c r="G1002" s="584"/>
      <c r="H1002" s="584"/>
      <c r="I1002" s="584"/>
      <c r="J1002" s="584"/>
      <c r="K1002" s="584"/>
      <c r="L1002" s="584"/>
      <c r="M1002" s="584"/>
      <c r="O1002" s="944" t="s">
        <v>2118</v>
      </c>
      <c r="P1002" s="1124" t="str">
        <f>'Part VIII-Threshold Criteria'!P93</f>
        <v>Yes</v>
      </c>
      <c r="Q1002" s="1124">
        <f>'Part VIII-Threshold Criteria'!Q93</f>
        <v>0</v>
      </c>
    </row>
    <row r="1003" spans="1:17">
      <c r="B1003" s="945" t="s">
        <v>2121</v>
      </c>
      <c r="C1003" s="584" t="s">
        <v>1390</v>
      </c>
      <c r="D1003" s="584"/>
      <c r="E1003" s="584"/>
      <c r="F1003" s="584"/>
      <c r="G1003" s="584"/>
      <c r="H1003" s="584"/>
      <c r="I1003" s="584"/>
      <c r="J1003" s="584"/>
      <c r="K1003" s="584"/>
      <c r="L1003" s="1083"/>
      <c r="M1003" s="1083"/>
      <c r="O1003" s="944" t="s">
        <v>2121</v>
      </c>
      <c r="P1003" s="1124" t="str">
        <f>'Part VIII-Threshold Criteria'!P94</f>
        <v>Yes</v>
      </c>
      <c r="Q1003" s="1124">
        <f>'Part VIII-Threshold Criteria'!Q94</f>
        <v>0</v>
      </c>
    </row>
    <row r="1004" spans="1:17">
      <c r="A1004" s="1074"/>
      <c r="B1004" s="584"/>
      <c r="D1004" s="584" t="s">
        <v>587</v>
      </c>
      <c r="E1004" s="583"/>
      <c r="F1004" s="583"/>
      <c r="G1004" s="583"/>
      <c r="H1004" s="583"/>
      <c r="I1004" s="583"/>
      <c r="L1004" s="944" t="s">
        <v>588</v>
      </c>
      <c r="M1004" s="1587" t="str">
        <f>'Part VIII-Threshold Criteria'!M95</f>
        <v>Everson Huber &amp; Associates, LLC</v>
      </c>
      <c r="N1004" s="1587"/>
      <c r="O1004" s="1587"/>
      <c r="P1004" s="1595"/>
      <c r="Q1004" s="1124">
        <f>'Part VIII-Threshold Criteria'!Q95</f>
        <v>0</v>
      </c>
    </row>
    <row r="1005" spans="1:17">
      <c r="A1005" s="955"/>
      <c r="B1005" s="1059"/>
      <c r="C1005" s="956" t="s">
        <v>1859</v>
      </c>
      <c r="D1005" s="1584" t="s">
        <v>488</v>
      </c>
      <c r="E1005" s="1596"/>
      <c r="F1005" s="1596"/>
      <c r="G1005" s="1596"/>
      <c r="H1005" s="1596"/>
      <c r="I1005" s="1596"/>
      <c r="J1005" s="1596"/>
      <c r="K1005" s="1596"/>
      <c r="L1005" s="1596"/>
      <c r="M1005" s="1596"/>
      <c r="N1005" s="1596"/>
      <c r="O1005" s="956" t="s">
        <v>1859</v>
      </c>
      <c r="P1005" s="1124" t="str">
        <f>'Part VIII-Threshold Criteria'!P96</f>
        <v>No</v>
      </c>
      <c r="Q1005" s="1124">
        <f>'Part VIII-Threshold Criteria'!Q96</f>
        <v>0</v>
      </c>
    </row>
    <row r="1006" spans="1:17">
      <c r="A1006" s="955"/>
      <c r="B1006" s="1059"/>
      <c r="C1006" s="944" t="s">
        <v>1860</v>
      </c>
      <c r="D1006" s="584" t="s">
        <v>3523</v>
      </c>
      <c r="E1006" s="584"/>
      <c r="F1006" s="584"/>
      <c r="G1006" s="584"/>
      <c r="H1006" s="584"/>
      <c r="I1006" s="584"/>
      <c r="J1006" s="584"/>
      <c r="K1006" s="584"/>
      <c r="L1006" s="584"/>
      <c r="M1006" s="584"/>
      <c r="O1006" s="944" t="s">
        <v>1860</v>
      </c>
      <c r="P1006" s="1124" t="str">
        <f>'Part VIII-Threshold Criteria'!P97</f>
        <v>Yes</v>
      </c>
      <c r="Q1006" s="1124">
        <f>'Part VIII-Threshold Criteria'!Q97</f>
        <v>0</v>
      </c>
    </row>
    <row r="1007" spans="1:17">
      <c r="A1007" s="955"/>
      <c r="B1007" s="1059"/>
      <c r="C1007" s="956" t="s">
        <v>1861</v>
      </c>
      <c r="D1007" s="584" t="s">
        <v>3522</v>
      </c>
      <c r="E1007" s="584"/>
      <c r="F1007" s="584"/>
      <c r="G1007" s="584"/>
      <c r="H1007" s="584"/>
      <c r="I1007" s="584"/>
      <c r="J1007" s="584"/>
      <c r="K1007" s="584"/>
      <c r="L1007" s="584"/>
      <c r="M1007" s="584"/>
      <c r="O1007" s="956" t="s">
        <v>1861</v>
      </c>
      <c r="P1007" s="1124" t="str">
        <f>'Part VIII-Threshold Criteria'!P98</f>
        <v>Yes</v>
      </c>
      <c r="Q1007" s="1124">
        <f>'Part VIII-Threshold Criteria'!Q98</f>
        <v>0</v>
      </c>
    </row>
    <row r="1008" spans="1:17">
      <c r="A1008" s="955"/>
      <c r="B1008" s="957"/>
      <c r="C1008" s="956" t="s">
        <v>2519</v>
      </c>
      <c r="D1008" s="1575" t="s">
        <v>2916</v>
      </c>
      <c r="E1008" s="1575"/>
      <c r="F1008" s="1575"/>
      <c r="G1008" s="1575"/>
      <c r="H1008" s="1575"/>
      <c r="I1008" s="1575"/>
      <c r="J1008" s="1575"/>
      <c r="K1008" s="1575"/>
      <c r="L1008" s="1575"/>
      <c r="M1008" s="1575"/>
      <c r="N1008" s="1575"/>
      <c r="O1008" s="956" t="s">
        <v>2519</v>
      </c>
      <c r="P1008" s="1124">
        <f>'Part VIII-Threshold Criteria'!P99</f>
        <v>0</v>
      </c>
      <c r="Q1008" s="1124">
        <f>'Part VIII-Threshold Criteria'!Q99</f>
        <v>0</v>
      </c>
    </row>
    <row r="1009" spans="1:17">
      <c r="B1009" s="945" t="s">
        <v>799</v>
      </c>
      <c r="C1009" s="584" t="s">
        <v>149</v>
      </c>
      <c r="D1009" s="584"/>
      <c r="E1009" s="584"/>
      <c r="F1009" s="584"/>
      <c r="G1009" s="584"/>
      <c r="H1009" s="584"/>
      <c r="I1009" s="584"/>
      <c r="J1009" s="584"/>
      <c r="K1009" s="584"/>
      <c r="L1009" s="584"/>
      <c r="M1009" s="584"/>
      <c r="O1009" s="944" t="s">
        <v>799</v>
      </c>
      <c r="P1009" s="1124" t="str">
        <f>'Part VIII-Threshold Criteria'!P100</f>
        <v>Yes</v>
      </c>
      <c r="Q1009" s="1124">
        <f>'Part VIII-Threshold Criteria'!Q100</f>
        <v>0</v>
      </c>
    </row>
    <row r="1010" spans="1:17">
      <c r="B1010" s="945" t="s">
        <v>2253</v>
      </c>
      <c r="C1010" s="584" t="s">
        <v>1522</v>
      </c>
      <c r="D1010" s="584"/>
      <c r="E1010" s="584"/>
      <c r="G1010" s="584"/>
      <c r="I1010" s="584"/>
      <c r="K1010" s="584"/>
      <c r="L1010" s="1083"/>
      <c r="M1010" s="1083"/>
      <c r="N1010" s="1083"/>
      <c r="O1010" s="1083"/>
      <c r="P1010" s="1083"/>
      <c r="Q1010" s="1083"/>
    </row>
    <row r="1011" spans="1:17">
      <c r="B1011" s="945"/>
      <c r="C1011" s="944" t="s">
        <v>1859</v>
      </c>
      <c r="D1011" s="584" t="s">
        <v>1523</v>
      </c>
      <c r="E1011" s="584"/>
      <c r="F1011" s="584"/>
      <c r="G1011" s="584"/>
      <c r="H1011" s="584"/>
      <c r="I1011" s="584"/>
      <c r="J1011" s="584"/>
      <c r="K1011" s="584"/>
      <c r="L1011" s="1083"/>
      <c r="M1011" s="1083"/>
      <c r="O1011" s="944" t="s">
        <v>1859</v>
      </c>
      <c r="P1011" s="1124" t="str">
        <f>'Part VIII-Threshold Criteria'!P102</f>
        <v>No</v>
      </c>
      <c r="Q1011" s="1124">
        <f>'Part VIII-Threshold Criteria'!Q102</f>
        <v>0</v>
      </c>
    </row>
    <row r="1012" spans="1:17">
      <c r="B1012" s="945"/>
      <c r="C1012" s="944" t="s">
        <v>1860</v>
      </c>
      <c r="D1012" s="584" t="s">
        <v>1524</v>
      </c>
      <c r="E1012" s="584"/>
      <c r="F1012" s="584"/>
      <c r="G1012" s="584"/>
      <c r="H1012" s="584"/>
      <c r="I1012" s="584"/>
      <c r="J1012" s="584"/>
      <c r="K1012" s="584"/>
      <c r="L1012" s="1083"/>
      <c r="M1012" s="1083"/>
      <c r="O1012" s="944" t="s">
        <v>1860</v>
      </c>
      <c r="P1012" s="1124" t="str">
        <f>'Part VIII-Threshold Criteria'!P103</f>
        <v>No</v>
      </c>
      <c r="Q1012" s="1124">
        <f>'Part VIII-Threshold Criteria'!Q103</f>
        <v>0</v>
      </c>
    </row>
    <row r="1013" spans="1:17">
      <c r="B1013" s="945"/>
      <c r="C1013" s="944" t="s">
        <v>1861</v>
      </c>
      <c r="D1013" s="584" t="s">
        <v>1525</v>
      </c>
      <c r="E1013" s="584"/>
      <c r="F1013" s="584"/>
      <c r="G1013" s="584"/>
      <c r="H1013" s="584"/>
      <c r="I1013" s="584"/>
      <c r="J1013" s="584"/>
      <c r="K1013" s="584"/>
      <c r="L1013" s="1083"/>
      <c r="M1013" s="1083"/>
      <c r="O1013" s="944" t="s">
        <v>1861</v>
      </c>
      <c r="P1013" s="1124" t="str">
        <f>'Part VIII-Threshold Criteria'!P104</f>
        <v>No</v>
      </c>
      <c r="Q1013" s="1124">
        <f>'Part VIII-Threshold Criteria'!Q104</f>
        <v>0</v>
      </c>
    </row>
    <row r="1014" spans="1:17">
      <c r="B1014" s="954" t="s">
        <v>1995</v>
      </c>
      <c r="D1014" s="954"/>
      <c r="E1014" s="954"/>
      <c r="F1014" s="954"/>
      <c r="G1014" s="954"/>
      <c r="H1014" s="1083"/>
      <c r="I1014" s="1059"/>
      <c r="J1014" s="1059"/>
      <c r="K1014" s="1059"/>
      <c r="L1014" s="1070"/>
      <c r="M1014" s="1070"/>
      <c r="N1014" s="1070"/>
      <c r="O1014" s="1070"/>
      <c r="P1014" s="1070"/>
      <c r="Q1014" s="1070"/>
    </row>
    <row r="1015" spans="1:17">
      <c r="A1015" s="1575" t="str">
        <f>'Part VIII-Threshold Criteria'!A106</f>
        <v>The purpose of the appraisal is for acquisition value only, therefore, there is no as built/as complete value given.</v>
      </c>
      <c r="B1015" s="1575"/>
      <c r="C1015" s="1575"/>
      <c r="D1015" s="1575"/>
      <c r="E1015" s="1575"/>
      <c r="F1015" s="1575"/>
      <c r="G1015" s="1575"/>
      <c r="H1015" s="1575"/>
      <c r="I1015" s="1575"/>
      <c r="J1015" s="1575"/>
      <c r="K1015" s="1575"/>
      <c r="L1015" s="1575"/>
      <c r="M1015" s="1575"/>
      <c r="N1015" s="1575"/>
      <c r="O1015" s="1575"/>
      <c r="P1015" s="1575"/>
      <c r="Q1015" s="1575"/>
    </row>
    <row r="1016" spans="1:17">
      <c r="B1016" s="947" t="s">
        <v>1996</v>
      </c>
      <c r="C1016" s="948"/>
      <c r="D1016" s="1065"/>
      <c r="E1016" s="1065"/>
      <c r="F1016" s="1065"/>
      <c r="G1016" s="1065"/>
      <c r="H1016" s="1065"/>
      <c r="I1016" s="1065"/>
      <c r="J1016" s="1065"/>
      <c r="K1016" s="1065"/>
      <c r="L1016" s="1065"/>
      <c r="M1016" s="1065"/>
      <c r="N1016" s="1065"/>
      <c r="O1016" s="1065"/>
      <c r="P1016" s="1065"/>
      <c r="Q1016" s="1065"/>
    </row>
    <row r="1017" spans="1:17">
      <c r="A1017" s="1582">
        <f>'Part VIII-Threshold Criteria'!A108</f>
        <v>0</v>
      </c>
      <c r="B1017" s="1582"/>
      <c r="C1017" s="1582"/>
      <c r="D1017" s="1582"/>
      <c r="E1017" s="1582"/>
      <c r="F1017" s="1582"/>
      <c r="G1017" s="1582"/>
      <c r="H1017" s="1582"/>
      <c r="I1017" s="1582"/>
      <c r="J1017" s="1582"/>
      <c r="K1017" s="1582"/>
      <c r="L1017" s="1582"/>
      <c r="M1017" s="1582"/>
      <c r="N1017" s="1582"/>
      <c r="O1017" s="1582"/>
      <c r="P1017" s="1582"/>
      <c r="Q1017" s="1582"/>
    </row>
    <row r="1018" spans="1:17">
      <c r="A1018" s="1070"/>
      <c r="B1018" s="1059"/>
      <c r="C1018" s="1065"/>
      <c r="D1018" s="1065"/>
      <c r="E1018" s="1065"/>
      <c r="F1018" s="1065"/>
      <c r="G1018" s="1065"/>
      <c r="H1018" s="1065"/>
      <c r="I1018" s="1065"/>
      <c r="J1018" s="1065"/>
      <c r="K1018" s="1065"/>
      <c r="L1018" s="1065"/>
      <c r="M1018" s="1065"/>
      <c r="N1018" s="1065"/>
      <c r="O1018" s="1065"/>
      <c r="P1018" s="1065"/>
      <c r="Q1018" s="1070"/>
    </row>
    <row r="1019" spans="1:17">
      <c r="A1019" s="1127">
        <v>7</v>
      </c>
      <c r="B1019" s="1127" t="s">
        <v>2852</v>
      </c>
      <c r="C1019" s="1083"/>
      <c r="D1019" s="1065"/>
      <c r="E1019" s="1065"/>
      <c r="F1019" s="1065"/>
      <c r="G1019" s="1065"/>
      <c r="H1019" s="1065"/>
      <c r="I1019" s="1065"/>
      <c r="J1019" s="1065"/>
      <c r="K1019" s="1065"/>
      <c r="L1019" s="1065"/>
      <c r="M1019" s="1065"/>
      <c r="O1019" s="942" t="s">
        <v>1997</v>
      </c>
      <c r="P1019" s="1583">
        <f>'Part VIII-Threshold Criteria'!P110</f>
        <v>0</v>
      </c>
      <c r="Q1019" s="1583"/>
    </row>
    <row r="1021" spans="1:17">
      <c r="B1021" s="945" t="s">
        <v>2118</v>
      </c>
      <c r="C1021" s="584" t="s">
        <v>2914</v>
      </c>
      <c r="D1021" s="1075"/>
      <c r="E1021" s="1075"/>
      <c r="F1021" s="1075"/>
      <c r="G1021" s="1075"/>
      <c r="H1021" s="1075"/>
      <c r="I1021" s="583"/>
      <c r="J1021" s="583"/>
      <c r="K1021" s="583"/>
      <c r="L1021" s="944" t="s">
        <v>2118</v>
      </c>
      <c r="M1021" s="1587" t="str">
        <f>'Part VIII-Threshold Criteria'!M112</f>
        <v>Geotechnical &amp; Environmental Consultants, Inc.</v>
      </c>
      <c r="N1021" s="1587"/>
      <c r="O1021" s="1587"/>
      <c r="P1021" s="1587"/>
      <c r="Q1021" s="1124">
        <f>'Part VIII-Threshold Criteria'!Q112</f>
        <v>0</v>
      </c>
    </row>
    <row r="1022" spans="1:17">
      <c r="B1022" s="945" t="s">
        <v>2121</v>
      </c>
      <c r="C1022" s="584" t="s">
        <v>1645</v>
      </c>
      <c r="D1022" s="1075"/>
      <c r="E1022" s="1075"/>
      <c r="F1022" s="1075"/>
      <c r="G1022" s="1075"/>
      <c r="H1022" s="1075"/>
      <c r="I1022" s="583"/>
      <c r="J1022" s="583"/>
      <c r="K1022" s="1075"/>
      <c r="L1022" s="1075"/>
      <c r="M1022" s="1062"/>
      <c r="O1022" s="944" t="s">
        <v>2121</v>
      </c>
      <c r="P1022" s="1124" t="str">
        <f>'Part VIII-Threshold Criteria'!P113</f>
        <v>No</v>
      </c>
      <c r="Q1022" s="1124">
        <f>'Part VIII-Threshold Criteria'!Q113</f>
        <v>0</v>
      </c>
    </row>
    <row r="1023" spans="1:17">
      <c r="B1023" s="945" t="s">
        <v>799</v>
      </c>
      <c r="C1023" s="584" t="s">
        <v>157</v>
      </c>
      <c r="D1023" s="1075"/>
      <c r="E1023" s="1075"/>
      <c r="F1023" s="1075"/>
      <c r="G1023" s="1075"/>
      <c r="H1023" s="1075"/>
      <c r="I1023" s="583"/>
      <c r="J1023" s="583"/>
      <c r="K1023" s="1075"/>
      <c r="L1023" s="1062"/>
      <c r="M1023" s="1062"/>
      <c r="O1023" s="944" t="s">
        <v>799</v>
      </c>
      <c r="P1023" s="1124" t="str">
        <f>'Part VIII-Threshold Criteria'!P114</f>
        <v>Yes</v>
      </c>
      <c r="Q1023" s="1124">
        <f>'Part VIII-Threshold Criteria'!Q114</f>
        <v>0</v>
      </c>
    </row>
    <row r="1024" spans="1:17">
      <c r="B1024" s="945"/>
      <c r="C1024" s="944" t="s">
        <v>1859</v>
      </c>
      <c r="D1024" s="584" t="s">
        <v>2915</v>
      </c>
      <c r="E1024" s="1075"/>
      <c r="F1024" s="1075"/>
      <c r="G1024" s="1075"/>
      <c r="H1024" s="1075"/>
      <c r="I1024" s="583"/>
      <c r="J1024" s="583"/>
      <c r="K1024" s="1075"/>
      <c r="L1024" s="944" t="s">
        <v>1859</v>
      </c>
      <c r="M1024" s="1587" t="str">
        <f>'Part VIII-Threshold Criteria'!M115</f>
        <v>Harry Walls Environmental Consulting</v>
      </c>
      <c r="N1024" s="1587"/>
      <c r="O1024" s="1587"/>
      <c r="P1024" s="1587"/>
      <c r="Q1024" s="1124">
        <f>'Part VIII-Threshold Criteria'!Q115</f>
        <v>0</v>
      </c>
    </row>
    <row r="1025" spans="2:17">
      <c r="B1025" s="951"/>
      <c r="C1025" s="944" t="s">
        <v>1860</v>
      </c>
      <c r="D1025" s="584" t="s">
        <v>2786</v>
      </c>
      <c r="E1025" s="583"/>
      <c r="F1025" s="583"/>
      <c r="G1025" s="583"/>
      <c r="H1025" s="584"/>
      <c r="I1025" s="583"/>
      <c r="J1025" s="583"/>
      <c r="K1025" s="1075"/>
      <c r="L1025" s="1062"/>
      <c r="M1025" s="1062"/>
      <c r="O1025" s="944" t="s">
        <v>1860</v>
      </c>
      <c r="P1025" s="1124">
        <f>'Part VIII-Threshold Criteria'!P116</f>
        <v>61.68</v>
      </c>
      <c r="Q1025" s="1124">
        <f>'Part VIII-Threshold Criteria'!Q116</f>
        <v>0</v>
      </c>
    </row>
    <row r="1026" spans="2:17">
      <c r="B1026" s="951"/>
      <c r="C1026" s="944" t="s">
        <v>1861</v>
      </c>
      <c r="D1026" s="584" t="s">
        <v>1471</v>
      </c>
      <c r="E1026" s="583"/>
      <c r="F1026" s="583"/>
      <c r="G1026" s="583"/>
      <c r="H1026" s="584"/>
      <c r="I1026" s="583"/>
      <c r="J1026" s="583"/>
      <c r="K1026" s="1075"/>
      <c r="L1026" s="1062"/>
      <c r="M1026" s="1062"/>
      <c r="N1026" s="1062"/>
      <c r="O1026" s="1062"/>
    </row>
    <row r="1027" spans="2:17">
      <c r="B1027" s="1070"/>
      <c r="C1027" s="944"/>
      <c r="D1027" s="1584" t="str">
        <f>'Part VIII-Threshold Criteria'!D118</f>
        <v>Two railways within 3000 feet of the development.</v>
      </c>
      <c r="E1027" s="1584"/>
      <c r="F1027" s="1584"/>
      <c r="G1027" s="1584"/>
      <c r="H1027" s="1584"/>
      <c r="I1027" s="1584"/>
      <c r="J1027" s="1584"/>
      <c r="K1027" s="1584"/>
      <c r="L1027" s="1584"/>
      <c r="M1027" s="1584"/>
      <c r="N1027" s="1584"/>
      <c r="O1027" s="1584"/>
      <c r="P1027" s="1584"/>
      <c r="Q1027" s="1584"/>
    </row>
    <row r="1028" spans="2:17">
      <c r="B1028" s="945" t="s">
        <v>2253</v>
      </c>
      <c r="C1028" s="584" t="s">
        <v>1340</v>
      </c>
      <c r="D1028" s="1075"/>
      <c r="E1028" s="1075"/>
      <c r="F1028" s="1075"/>
      <c r="G1028" s="1075"/>
      <c r="H1028" s="1075"/>
      <c r="I1028" s="583"/>
      <c r="J1028" s="583"/>
      <c r="K1028" s="1075"/>
      <c r="L1028" s="1062"/>
      <c r="M1028" s="1062"/>
      <c r="N1028" s="1062"/>
      <c r="O1028" s="944" t="s">
        <v>2253</v>
      </c>
    </row>
    <row r="1029" spans="2:17">
      <c r="B1029" s="945"/>
      <c r="C1029" s="944" t="s">
        <v>1859</v>
      </c>
      <c r="D1029" s="584" t="s">
        <v>155</v>
      </c>
      <c r="E1029" s="1075"/>
      <c r="F1029" s="1075"/>
      <c r="G1029" s="1075"/>
      <c r="H1029" s="1075"/>
      <c r="I1029" s="583"/>
      <c r="J1029" s="583"/>
      <c r="K1029" s="1075"/>
      <c r="L1029" s="1062"/>
      <c r="M1029" s="1062"/>
      <c r="O1029" s="944" t="s">
        <v>1859</v>
      </c>
      <c r="P1029" s="1124" t="str">
        <f>'Part VIII-Threshold Criteria'!P120</f>
        <v>No</v>
      </c>
      <c r="Q1029" s="1124">
        <f>'Part VIII-Threshold Criteria'!Q120</f>
        <v>0</v>
      </c>
    </row>
    <row r="1030" spans="2:17">
      <c r="B1030" s="945"/>
      <c r="C1030" s="944" t="s">
        <v>1860</v>
      </c>
      <c r="D1030" s="584" t="s">
        <v>1341</v>
      </c>
      <c r="E1030" s="1075"/>
      <c r="F1030" s="1075"/>
      <c r="G1030" s="1075"/>
      <c r="H1030" s="583"/>
      <c r="I1030" s="583"/>
      <c r="J1030" s="583"/>
      <c r="K1030" s="1075"/>
      <c r="L1030" s="1062"/>
      <c r="M1030" s="1062"/>
      <c r="O1030" s="944" t="s">
        <v>1860</v>
      </c>
      <c r="P1030" s="1124" t="str">
        <f>'Part VIII-Threshold Criteria'!P121</f>
        <v>Yes</v>
      </c>
      <c r="Q1030" s="1124">
        <f>'Part VIII-Threshold Criteria'!Q121</f>
        <v>0</v>
      </c>
    </row>
    <row r="1031" spans="2:17">
      <c r="B1031" s="945"/>
      <c r="C1031" s="944"/>
      <c r="D1031" s="584" t="s">
        <v>2827</v>
      </c>
      <c r="E1031" s="958" t="s">
        <v>2599</v>
      </c>
      <c r="F1031" s="584" t="s">
        <v>2828</v>
      </c>
      <c r="G1031" s="583"/>
      <c r="H1031" s="584"/>
      <c r="I1031" s="583"/>
      <c r="J1031" s="583"/>
      <c r="K1031" s="1075"/>
      <c r="L1031" s="1062"/>
      <c r="M1031" s="1062"/>
      <c r="O1031" s="958" t="s">
        <v>2599</v>
      </c>
      <c r="P1031" s="1052">
        <f>'Part VIII-Threshold Criteria'!P122</f>
        <v>6.6600000000000006E-2</v>
      </c>
      <c r="Q1031" s="1052">
        <f>'Part VIII-Threshold Criteria'!Q122</f>
        <v>0</v>
      </c>
    </row>
    <row r="1032" spans="2:17">
      <c r="B1032" s="945"/>
      <c r="C1032" s="944"/>
      <c r="E1032" s="958" t="s">
        <v>2600</v>
      </c>
      <c r="F1032" s="584" t="s">
        <v>2829</v>
      </c>
      <c r="G1032" s="583"/>
      <c r="H1032" s="584"/>
      <c r="I1032" s="583"/>
      <c r="J1032" s="583"/>
      <c r="K1032" s="1075"/>
      <c r="L1032" s="1062"/>
      <c r="M1032" s="1062"/>
      <c r="O1032" s="958" t="s">
        <v>2600</v>
      </c>
      <c r="P1032" s="1124" t="str">
        <f>'Part VIII-Threshold Criteria'!P123</f>
        <v>Yes</v>
      </c>
      <c r="Q1032" s="1124">
        <f>'Part VIII-Threshold Criteria'!Q123</f>
        <v>0</v>
      </c>
    </row>
    <row r="1033" spans="2:17">
      <c r="B1033" s="945"/>
      <c r="C1033" s="944"/>
      <c r="E1033" s="958" t="s">
        <v>2601</v>
      </c>
      <c r="F1033" s="584" t="s">
        <v>2830</v>
      </c>
      <c r="G1033" s="583"/>
      <c r="H1033" s="584"/>
      <c r="I1033" s="583"/>
      <c r="J1033" s="583"/>
      <c r="K1033" s="1075"/>
      <c r="L1033" s="1062"/>
      <c r="M1033" s="1062"/>
      <c r="O1033" s="958" t="s">
        <v>2601</v>
      </c>
      <c r="P1033" s="1124" t="str">
        <f>'Part VIII-Threshold Criteria'!P124</f>
        <v>Yes</v>
      </c>
      <c r="Q1033" s="1124">
        <f>'Part VIII-Threshold Criteria'!Q124</f>
        <v>0</v>
      </c>
    </row>
    <row r="1034" spans="2:17">
      <c r="B1034" s="945"/>
      <c r="C1034" s="944" t="s">
        <v>1861</v>
      </c>
      <c r="D1034" s="584" t="s">
        <v>1342</v>
      </c>
      <c r="E1034" s="1075"/>
      <c r="F1034" s="1075"/>
      <c r="G1034" s="1075"/>
      <c r="H1034" s="584"/>
      <c r="I1034" s="583"/>
      <c r="J1034" s="583"/>
      <c r="K1034" s="1075"/>
      <c r="L1034" s="1062"/>
      <c r="M1034" s="1062"/>
      <c r="O1034" s="944" t="s">
        <v>1861</v>
      </c>
      <c r="P1034" s="1124" t="str">
        <f>'Part VIII-Threshold Criteria'!P125</f>
        <v>Yes</v>
      </c>
      <c r="Q1034" s="1124">
        <f>'Part VIII-Threshold Criteria'!Q125</f>
        <v>0</v>
      </c>
    </row>
    <row r="1035" spans="2:17">
      <c r="B1035" s="945"/>
      <c r="C1035" s="944"/>
      <c r="D1035" s="584" t="s">
        <v>2827</v>
      </c>
      <c r="E1035" s="958" t="s">
        <v>2599</v>
      </c>
      <c r="F1035" s="584" t="s">
        <v>2831</v>
      </c>
      <c r="G1035" s="583"/>
      <c r="H1035" s="584"/>
      <c r="I1035" s="583"/>
      <c r="J1035" s="583"/>
      <c r="K1035" s="1075"/>
      <c r="L1035" s="1062"/>
      <c r="O1035" s="958" t="s">
        <v>2599</v>
      </c>
      <c r="P1035" s="1052">
        <f>'Part VIII-Threshold Criteria'!P126</f>
        <v>5.3999999999999999E-2</v>
      </c>
      <c r="Q1035" s="1052">
        <f>'Part VIII-Threshold Criteria'!Q126</f>
        <v>0</v>
      </c>
    </row>
    <row r="1036" spans="2:17">
      <c r="B1036" s="945"/>
      <c r="C1036" s="944"/>
      <c r="E1036" s="958" t="s">
        <v>2600</v>
      </c>
      <c r="F1036" s="584" t="s">
        <v>2832</v>
      </c>
      <c r="G1036" s="583"/>
      <c r="H1036" s="584"/>
      <c r="I1036" s="583"/>
      <c r="J1036" s="583"/>
      <c r="O1036" s="958" t="s">
        <v>2600</v>
      </c>
      <c r="P1036" s="1124" t="str">
        <f>'Part VIII-Threshold Criteria'!P127</f>
        <v>No</v>
      </c>
      <c r="Q1036" s="1124">
        <f>'Part VIII-Threshold Criteria'!Q127</f>
        <v>0</v>
      </c>
    </row>
    <row r="1037" spans="2:17">
      <c r="B1037" s="945"/>
      <c r="C1037" s="944"/>
      <c r="E1037" s="958" t="s">
        <v>2601</v>
      </c>
      <c r="F1037" s="584" t="s">
        <v>2830</v>
      </c>
      <c r="G1037" s="583"/>
      <c r="H1037" s="584"/>
      <c r="I1037" s="583"/>
      <c r="J1037" s="583"/>
      <c r="O1037" s="958" t="s">
        <v>2601</v>
      </c>
      <c r="P1037" s="1124" t="str">
        <f>'Part VIII-Threshold Criteria'!P128</f>
        <v>Yes</v>
      </c>
      <c r="Q1037" s="1124">
        <f>'Part VIII-Threshold Criteria'!Q128</f>
        <v>0</v>
      </c>
    </row>
    <row r="1038" spans="2:17">
      <c r="B1038" s="584"/>
      <c r="C1038" s="944" t="s">
        <v>2519</v>
      </c>
      <c r="D1038" s="584" t="s">
        <v>2833</v>
      </c>
      <c r="E1038" s="1075"/>
      <c r="F1038" s="1075"/>
      <c r="G1038" s="1075"/>
      <c r="H1038" s="1075"/>
      <c r="I1038" s="583"/>
      <c r="J1038" s="583"/>
      <c r="O1038" s="944" t="s">
        <v>2519</v>
      </c>
      <c r="P1038" s="1124" t="str">
        <f>'Part VIII-Threshold Criteria'!P129</f>
        <v>No</v>
      </c>
      <c r="Q1038" s="1124">
        <f>'Part VIII-Threshold Criteria'!Q129</f>
        <v>0</v>
      </c>
    </row>
    <row r="1039" spans="2:17">
      <c r="B1039" s="945" t="s">
        <v>1857</v>
      </c>
      <c r="C1039" s="1083" t="s">
        <v>2577</v>
      </c>
      <c r="D1039" s="1075"/>
      <c r="E1039" s="1075"/>
      <c r="F1039" s="1075"/>
      <c r="G1039" s="1075"/>
      <c r="H1039" s="1075"/>
      <c r="I1039" s="583"/>
      <c r="J1039" s="583"/>
      <c r="K1039" s="1075"/>
      <c r="L1039" s="1062"/>
      <c r="M1039" s="1062"/>
      <c r="N1039" s="1062"/>
      <c r="O1039" s="1062"/>
      <c r="P1039" s="1062"/>
      <c r="Q1039" s="1062"/>
    </row>
    <row r="1040" spans="2:17">
      <c r="C1040" s="944" t="s">
        <v>1859</v>
      </c>
      <c r="D1040" s="584" t="s">
        <v>2663</v>
      </c>
      <c r="E1040" s="1075"/>
      <c r="F1040" s="1124" t="str">
        <f>'Part VIII-Threshold Criteria'!F131</f>
        <v>Yes</v>
      </c>
      <c r="G1040" s="1124">
        <f>'Part VIII-Threshold Criteria'!G131</f>
        <v>0</v>
      </c>
      <c r="H1040" s="944" t="s">
        <v>1657</v>
      </c>
      <c r="I1040" s="567" t="s">
        <v>2835</v>
      </c>
      <c r="L1040" s="1124" t="str">
        <f>'Part VIII-Threshold Criteria'!L131</f>
        <v>No</v>
      </c>
      <c r="M1040" s="1124">
        <f>'Part VIII-Threshold Criteria'!M131</f>
        <v>0</v>
      </c>
      <c r="N1040" s="944" t="s">
        <v>545</v>
      </c>
      <c r="O1040" s="584" t="s">
        <v>1660</v>
      </c>
      <c r="P1040" s="1124" t="str">
        <f>'Part VIII-Threshold Criteria'!P131</f>
        <v>No</v>
      </c>
      <c r="Q1040" s="1124">
        <f>'Part VIII-Threshold Criteria'!Q131</f>
        <v>0</v>
      </c>
    </row>
    <row r="1041" spans="1:17">
      <c r="B1041" s="584"/>
      <c r="C1041" s="944" t="s">
        <v>1860</v>
      </c>
      <c r="D1041" s="584" t="s">
        <v>3261</v>
      </c>
      <c r="E1041" s="1075"/>
      <c r="F1041" s="1124" t="str">
        <f>'Part VIII-Threshold Criteria'!F132</f>
        <v>Yes</v>
      </c>
      <c r="G1041" s="1124">
        <f>'Part VIII-Threshold Criteria'!G132</f>
        <v>0</v>
      </c>
      <c r="H1041" s="944" t="s">
        <v>1658</v>
      </c>
      <c r="I1041" s="567" t="s">
        <v>2836</v>
      </c>
      <c r="L1041" s="1124" t="str">
        <f>'Part VIII-Threshold Criteria'!L132</f>
        <v>No</v>
      </c>
      <c r="M1041" s="1124">
        <f>'Part VIII-Threshold Criteria'!M132</f>
        <v>0</v>
      </c>
      <c r="N1041" s="944" t="s">
        <v>546</v>
      </c>
      <c r="O1041" s="584" t="s">
        <v>1659</v>
      </c>
      <c r="P1041" s="1124" t="str">
        <f>'Part VIII-Threshold Criteria'!P132</f>
        <v>No</v>
      </c>
      <c r="Q1041" s="1124">
        <f>'Part VIII-Threshold Criteria'!Q132</f>
        <v>0</v>
      </c>
    </row>
    <row r="1042" spans="1:17">
      <c r="B1042" s="584"/>
      <c r="C1042" s="944" t="s">
        <v>1861</v>
      </c>
      <c r="D1042" s="584" t="s">
        <v>2834</v>
      </c>
      <c r="E1042" s="1075"/>
      <c r="F1042" s="1124" t="str">
        <f>'Part VIII-Threshold Criteria'!F133</f>
        <v>No</v>
      </c>
      <c r="G1042" s="1124">
        <f>'Part VIII-Threshold Criteria'!G133</f>
        <v>0</v>
      </c>
      <c r="H1042" s="944" t="s">
        <v>101</v>
      </c>
      <c r="I1042" s="567" t="s">
        <v>3262</v>
      </c>
      <c r="L1042" s="1124" t="str">
        <f>'Part VIII-Threshold Criteria'!L133</f>
        <v>No</v>
      </c>
      <c r="M1042" s="1124">
        <f>'Part VIII-Threshold Criteria'!M133</f>
        <v>0</v>
      </c>
      <c r="N1042" s="944" t="s">
        <v>3264</v>
      </c>
      <c r="O1042" s="584" t="s">
        <v>1661</v>
      </c>
      <c r="P1042" s="1124" t="str">
        <f>'Part VIII-Threshold Criteria'!P133</f>
        <v>Yes</v>
      </c>
      <c r="Q1042" s="1124">
        <f>'Part VIII-Threshold Criteria'!Q133</f>
        <v>0</v>
      </c>
    </row>
    <row r="1043" spans="1:17">
      <c r="B1043" s="584"/>
      <c r="C1043" s="944" t="s">
        <v>2519</v>
      </c>
      <c r="D1043" s="584" t="s">
        <v>3265</v>
      </c>
      <c r="E1043" s="1075"/>
      <c r="F1043" s="1124" t="str">
        <f>'Part VIII-Threshold Criteria'!F134</f>
        <v>No</v>
      </c>
      <c r="G1043" s="1124">
        <f>'Part VIII-Threshold Criteria'!G134</f>
        <v>0</v>
      </c>
      <c r="H1043" s="944" t="s">
        <v>544</v>
      </c>
      <c r="I1043" s="584" t="s">
        <v>3260</v>
      </c>
      <c r="L1043" s="1124" t="str">
        <f>'Part VIII-Threshold Criteria'!L134</f>
        <v>Yes</v>
      </c>
      <c r="M1043" s="1124">
        <f>'Part VIII-Threshold Criteria'!M134</f>
        <v>0</v>
      </c>
      <c r="O1043" s="944"/>
    </row>
    <row r="1044" spans="1:17">
      <c r="B1044" s="584"/>
      <c r="C1044" s="944" t="s">
        <v>3559</v>
      </c>
      <c r="D1044" s="584" t="s">
        <v>3263</v>
      </c>
      <c r="E1044" s="1075"/>
      <c r="F1044" s="1075"/>
      <c r="G1044" s="1075"/>
      <c r="H1044" s="1075"/>
      <c r="I1044" s="1075"/>
      <c r="J1044" s="1075"/>
      <c r="K1044" s="1075"/>
      <c r="L1044" s="1075"/>
      <c r="M1044" s="584"/>
      <c r="O1044" s="944"/>
      <c r="P1044" s="944"/>
    </row>
    <row r="1045" spans="1:17">
      <c r="B1045" s="584"/>
      <c r="D1045" s="1587">
        <f>'Part VIII-Threshold Criteria'!D136</f>
        <v>0</v>
      </c>
      <c r="E1045" s="1587"/>
      <c r="F1045" s="1587"/>
      <c r="G1045" s="1587"/>
      <c r="H1045" s="1587"/>
      <c r="I1045" s="1587"/>
      <c r="J1045" s="1587"/>
      <c r="K1045" s="1587"/>
      <c r="L1045" s="1587"/>
      <c r="M1045" s="1587"/>
      <c r="N1045" s="1587"/>
      <c r="O1045" s="1587"/>
      <c r="P1045" s="1587"/>
      <c r="Q1045" s="1124">
        <f>'Part VIII-Threshold Criteria'!Q136</f>
        <v>0</v>
      </c>
    </row>
    <row r="1046" spans="1:17">
      <c r="B1046" s="945" t="s">
        <v>1858</v>
      </c>
      <c r="C1046" s="584" t="s">
        <v>1370</v>
      </c>
      <c r="D1046" s="1075"/>
      <c r="E1046" s="1075"/>
      <c r="F1046" s="1075"/>
      <c r="G1046" s="1075"/>
      <c r="H1046" s="1075"/>
      <c r="I1046" s="583"/>
      <c r="J1046" s="583"/>
      <c r="K1046" s="1075"/>
      <c r="L1046" s="1075"/>
      <c r="M1046" s="1062"/>
      <c r="O1046" s="944" t="s">
        <v>1858</v>
      </c>
      <c r="P1046" s="1124" t="str">
        <f>'Part VIII-Threshold Criteria'!P137</f>
        <v>N/A</v>
      </c>
      <c r="Q1046" s="1124">
        <f>'Part VIII-Threshold Criteria'!Q137</f>
        <v>0</v>
      </c>
    </row>
    <row r="1047" spans="1:17">
      <c r="A1047" s="955"/>
      <c r="B1047" s="583"/>
      <c r="C1047" s="944" t="s">
        <v>1859</v>
      </c>
      <c r="D1047" s="584" t="s">
        <v>3266</v>
      </c>
      <c r="E1047" s="1075"/>
      <c r="F1047" s="1075"/>
      <c r="G1047" s="1075"/>
      <c r="H1047" s="1075"/>
      <c r="O1047" s="944" t="s">
        <v>1859</v>
      </c>
      <c r="P1047" s="1124" t="str">
        <f>'Part VIII-Threshold Criteria'!P138</f>
        <v>Yes</v>
      </c>
      <c r="Q1047" s="1124">
        <f>'Part VIII-Threshold Criteria'!Q138</f>
        <v>0</v>
      </c>
    </row>
    <row r="1048" spans="1:17">
      <c r="A1048" s="955"/>
      <c r="B1048" s="1059"/>
      <c r="C1048" s="944" t="s">
        <v>1860</v>
      </c>
      <c r="D1048" s="584" t="s">
        <v>522</v>
      </c>
      <c r="E1048" s="584"/>
      <c r="F1048" s="584"/>
      <c r="G1048" s="584"/>
      <c r="H1048" s="584"/>
      <c r="I1048" s="583"/>
      <c r="J1048" s="583"/>
      <c r="K1048" s="584"/>
      <c r="L1048" s="584"/>
      <c r="M1048" s="584"/>
      <c r="O1048" s="944" t="s">
        <v>1860</v>
      </c>
      <c r="P1048" s="1124" t="str">
        <f>'Part VIII-Threshold Criteria'!P139</f>
        <v>Yes</v>
      </c>
      <c r="Q1048" s="1124">
        <f>'Part VIII-Threshold Criteria'!Q139</f>
        <v>0</v>
      </c>
    </row>
    <row r="1049" spans="1:17">
      <c r="A1049" s="955"/>
      <c r="B1049" s="1059"/>
      <c r="C1049" s="944" t="s">
        <v>1861</v>
      </c>
      <c r="D1049" s="584" t="s">
        <v>727</v>
      </c>
      <c r="E1049" s="584"/>
      <c r="F1049" s="584"/>
      <c r="G1049" s="584"/>
      <c r="H1049" s="584"/>
      <c r="I1049" s="583"/>
      <c r="J1049" s="583"/>
      <c r="K1049" s="584"/>
      <c r="L1049" s="584"/>
      <c r="M1049" s="584"/>
      <c r="O1049" s="944" t="s">
        <v>1861</v>
      </c>
      <c r="P1049" s="1124" t="str">
        <f>'Part VIII-Threshold Criteria'!P140</f>
        <v>Yes</v>
      </c>
      <c r="Q1049" s="1124">
        <f>'Part VIII-Threshold Criteria'!Q140</f>
        <v>0</v>
      </c>
    </row>
    <row r="1050" spans="1:17">
      <c r="B1050" s="945" t="s">
        <v>2081</v>
      </c>
      <c r="C1050" s="584" t="s">
        <v>1876</v>
      </c>
      <c r="D1050" s="1075"/>
      <c r="E1050" s="1075"/>
      <c r="F1050" s="1075"/>
      <c r="G1050" s="1075"/>
      <c r="H1050" s="1075"/>
      <c r="I1050" s="583"/>
      <c r="J1050" s="583"/>
      <c r="K1050" s="1075"/>
      <c r="L1050" s="1075"/>
      <c r="M1050" s="1062"/>
      <c r="O1050" s="944" t="s">
        <v>2081</v>
      </c>
      <c r="P1050" s="1124" t="str">
        <f>'Part VIII-Threshold Criteria'!P141</f>
        <v>N/A</v>
      </c>
      <c r="Q1050" s="1124">
        <f>'Part VIII-Threshold Criteria'!Q141</f>
        <v>0</v>
      </c>
    </row>
    <row r="1052" spans="1:17">
      <c r="B1052" s="954" t="s">
        <v>1995</v>
      </c>
      <c r="D1052" s="954"/>
      <c r="E1052" s="954"/>
      <c r="F1052" s="954"/>
      <c r="G1052" s="954"/>
      <c r="H1052" s="1083"/>
      <c r="I1052" s="1059"/>
      <c r="J1052" s="1059"/>
      <c r="K1052" s="1059"/>
      <c r="L1052" s="1070"/>
      <c r="M1052" s="1070"/>
      <c r="N1052" s="1070"/>
      <c r="O1052" s="1070"/>
      <c r="P1052" s="1070"/>
      <c r="Q1052" s="1070"/>
    </row>
    <row r="1053" spans="1:17">
      <c r="A1053" s="1575" t="str">
        <f>'Part VIII-Threshold Criteria'!A144</f>
        <v>A full gut rehab is being performed and all asbestos and lead based paint will be remediated. The full environmental report is included with the application.</v>
      </c>
      <c r="B1053" s="1575"/>
      <c r="C1053" s="1575"/>
      <c r="D1053" s="1575"/>
      <c r="E1053" s="1575"/>
      <c r="F1053" s="1575"/>
      <c r="G1053" s="1575"/>
      <c r="H1053" s="1575"/>
      <c r="I1053" s="1575"/>
      <c r="J1053" s="1575"/>
      <c r="K1053" s="1575"/>
      <c r="L1053" s="1575"/>
      <c r="M1053" s="1575"/>
      <c r="N1053" s="1575"/>
      <c r="O1053" s="1575"/>
      <c r="P1053" s="1575"/>
      <c r="Q1053" s="1575"/>
    </row>
    <row r="1054" spans="1:17">
      <c r="B1054" s="947" t="s">
        <v>1996</v>
      </c>
      <c r="C1054" s="948"/>
      <c r="D1054" s="1065"/>
      <c r="E1054" s="1065"/>
      <c r="F1054" s="1065"/>
      <c r="G1054" s="1065"/>
      <c r="H1054" s="1065"/>
      <c r="I1054" s="1065"/>
      <c r="J1054" s="1065"/>
      <c r="K1054" s="1065"/>
      <c r="L1054" s="1065"/>
      <c r="M1054" s="1065"/>
      <c r="N1054" s="1065"/>
      <c r="O1054" s="1065"/>
      <c r="P1054" s="1065"/>
      <c r="Q1054" s="1065"/>
    </row>
    <row r="1055" spans="1:17">
      <c r="A1055" s="1582">
        <f>'Part VIII-Threshold Criteria'!A146</f>
        <v>0</v>
      </c>
      <c r="B1055" s="1582"/>
      <c r="C1055" s="1582"/>
      <c r="D1055" s="1582"/>
      <c r="E1055" s="1582"/>
      <c r="F1055" s="1582"/>
      <c r="G1055" s="1582"/>
      <c r="H1055" s="1582"/>
      <c r="I1055" s="1582"/>
      <c r="J1055" s="1582"/>
      <c r="K1055" s="1582"/>
      <c r="L1055" s="1582"/>
      <c r="M1055" s="1582"/>
      <c r="N1055" s="1582"/>
      <c r="O1055" s="1582"/>
      <c r="P1055" s="1582"/>
      <c r="Q1055" s="1582"/>
    </row>
    <row r="1056" spans="1:17">
      <c r="A1056" s="1070"/>
      <c r="B1056" s="1059"/>
      <c r="C1056" s="1065"/>
      <c r="D1056" s="1065"/>
      <c r="E1056" s="1065"/>
      <c r="F1056" s="1065"/>
      <c r="G1056" s="1065"/>
      <c r="H1056" s="1065"/>
      <c r="I1056" s="1065"/>
      <c r="J1056" s="1065"/>
      <c r="K1056" s="1065"/>
      <c r="L1056" s="1065"/>
      <c r="M1056" s="1065"/>
      <c r="N1056" s="1065"/>
      <c r="O1056" s="1065"/>
      <c r="P1056" s="1065"/>
      <c r="Q1056" s="1070"/>
    </row>
    <row r="1057" spans="1:17">
      <c r="A1057" s="1127">
        <v>8</v>
      </c>
      <c r="B1057" s="1127" t="s">
        <v>2853</v>
      </c>
      <c r="C1057" s="1127"/>
      <c r="D1057" s="1065"/>
      <c r="E1057" s="1065"/>
      <c r="F1057" s="1065"/>
      <c r="G1057" s="1065"/>
      <c r="H1057" s="1065"/>
      <c r="I1057" s="1065"/>
      <c r="J1057" s="1065"/>
      <c r="K1057" s="1065"/>
      <c r="O1057" s="942" t="s">
        <v>1997</v>
      </c>
      <c r="P1057" s="1583">
        <f>'Part VIII-Threshold Criteria'!P148</f>
        <v>0</v>
      </c>
      <c r="Q1057" s="1583"/>
    </row>
    <row r="1058" spans="1:17">
      <c r="B1058" s="945" t="s">
        <v>2118</v>
      </c>
      <c r="C1058" s="584" t="s">
        <v>3259</v>
      </c>
      <c r="D1058" s="584"/>
      <c r="E1058" s="584"/>
      <c r="F1058" s="584"/>
      <c r="G1058" s="584"/>
      <c r="I1058" s="584" t="s">
        <v>2948</v>
      </c>
      <c r="K1058" s="1593" t="str">
        <f>'Part VIII-Threshold Criteria'!K149</f>
        <v>50 years</v>
      </c>
      <c r="L1058" s="1593"/>
      <c r="N1058" s="584"/>
      <c r="O1058" s="944" t="s">
        <v>2118</v>
      </c>
      <c r="P1058" s="1124" t="str">
        <f>'Part VIII-Threshold Criteria'!P149</f>
        <v>Yes</v>
      </c>
      <c r="Q1058" s="1124">
        <f>'Part VIII-Threshold Criteria'!Q149</f>
        <v>0</v>
      </c>
    </row>
    <row r="1059" spans="1:17">
      <c r="A1059" s="951"/>
      <c r="B1059" s="945" t="s">
        <v>2121</v>
      </c>
      <c r="C1059" s="950" t="s">
        <v>156</v>
      </c>
      <c r="D1059" s="950"/>
      <c r="E1059" s="950"/>
      <c r="F1059" s="950"/>
      <c r="G1059" s="950"/>
      <c r="H1059" s="950"/>
      <c r="M1059" s="944" t="s">
        <v>2121</v>
      </c>
      <c r="N1059" s="1594" t="str">
        <f>'Part VIII-Threshold Criteria'!N150</f>
        <v>Ground lease/Option</v>
      </c>
      <c r="O1059" s="1594"/>
      <c r="P1059" s="1594">
        <f>'Part VIII-Threshold Criteria'!P150</f>
        <v>0</v>
      </c>
      <c r="Q1059" s="1594"/>
    </row>
    <row r="1060" spans="1:17">
      <c r="A1060" s="951"/>
      <c r="B1060" s="945" t="s">
        <v>799</v>
      </c>
      <c r="C1060" s="950" t="s">
        <v>728</v>
      </c>
      <c r="D1060" s="950"/>
      <c r="E1060" s="950"/>
      <c r="F1060" s="950"/>
      <c r="G1060" s="950"/>
      <c r="H1060" s="950"/>
      <c r="J1060" s="944" t="s">
        <v>799</v>
      </c>
      <c r="K1060" s="1587" t="str">
        <f>'Part VIII-Threshold Criteria'!K151</f>
        <v>Willingham Village Apartments Phase II, LP</v>
      </c>
      <c r="L1060" s="1587"/>
      <c r="M1060" s="1587"/>
      <c r="N1060" s="1587"/>
      <c r="O1060" s="1587"/>
      <c r="P1060" s="1587"/>
      <c r="Q1060" s="1124">
        <f>'Part VIII-Threshold Criteria'!Q151</f>
        <v>0</v>
      </c>
    </row>
    <row r="1061" spans="1:17">
      <c r="A1061" s="951"/>
      <c r="B1061" s="945" t="s">
        <v>2253</v>
      </c>
      <c r="C1061" s="950" t="s">
        <v>3540</v>
      </c>
      <c r="D1061" s="950"/>
      <c r="E1061" s="950"/>
      <c r="F1061" s="950"/>
      <c r="G1061" s="950"/>
      <c r="H1061" s="950"/>
      <c r="J1061" s="944"/>
      <c r="K1061" s="944"/>
      <c r="L1061" s="944"/>
      <c r="M1061" s="944"/>
      <c r="N1061" s="944"/>
      <c r="O1061" s="944" t="s">
        <v>2253</v>
      </c>
      <c r="P1061" s="1124" t="str">
        <f>'Part VIII-Threshold Criteria'!P152</f>
        <v>Yes</v>
      </c>
      <c r="Q1061" s="1124">
        <f>'Part VIII-Threshold Criteria'!Q152</f>
        <v>0</v>
      </c>
    </row>
    <row r="1062" spans="1:17">
      <c r="B1062" s="954" t="s">
        <v>1995</v>
      </c>
      <c r="D1062" s="954"/>
      <c r="E1062" s="954"/>
      <c r="F1062" s="954"/>
      <c r="G1062" s="954"/>
      <c r="H1062" s="1083"/>
      <c r="I1062" s="1059"/>
      <c r="J1062" s="1059"/>
      <c r="K1062" s="1059"/>
      <c r="L1062" s="1070"/>
      <c r="M1062" s="1070"/>
      <c r="N1062" s="1070"/>
      <c r="O1062" s="1070"/>
      <c r="P1062" s="1070"/>
      <c r="Q1062" s="1070"/>
    </row>
    <row r="1063" spans="1:17">
      <c r="A1063" s="1575" t="str">
        <f>'Part VIII-Threshold Criteria'!A154</f>
        <v>Northwest Georgia Housing Authority "NWGHA" is the owner of the property, the ground lease is between NWGHA and the partnership. NWGHA is a General Partner in this project.</v>
      </c>
      <c r="B1063" s="1575"/>
      <c r="C1063" s="1575"/>
      <c r="D1063" s="1575"/>
      <c r="E1063" s="1575"/>
      <c r="F1063" s="1575"/>
      <c r="G1063" s="1575"/>
      <c r="H1063" s="1575"/>
      <c r="I1063" s="1575"/>
      <c r="J1063" s="1575"/>
      <c r="K1063" s="1575"/>
      <c r="L1063" s="1575"/>
      <c r="M1063" s="1575"/>
      <c r="N1063" s="1575"/>
      <c r="O1063" s="1575"/>
      <c r="P1063" s="1575"/>
      <c r="Q1063" s="1575"/>
    </row>
    <row r="1064" spans="1:17">
      <c r="B1064" s="947" t="s">
        <v>1996</v>
      </c>
      <c r="C1064" s="948"/>
      <c r="D1064" s="1065"/>
      <c r="E1064" s="1065"/>
      <c r="F1064" s="1065"/>
      <c r="G1064" s="1065"/>
      <c r="H1064" s="1065"/>
      <c r="I1064" s="1065"/>
      <c r="J1064" s="1065"/>
      <c r="K1064" s="1065"/>
      <c r="L1064" s="1065"/>
      <c r="M1064" s="1065"/>
      <c r="N1064" s="1065"/>
      <c r="O1064" s="1065"/>
      <c r="P1064" s="1065"/>
      <c r="Q1064" s="1065"/>
    </row>
    <row r="1065" spans="1:17">
      <c r="A1065" s="1582">
        <f>'Part VIII-Threshold Criteria'!A156</f>
        <v>0</v>
      </c>
      <c r="B1065" s="1582"/>
      <c r="C1065" s="1582"/>
      <c r="D1065" s="1582"/>
      <c r="E1065" s="1582"/>
      <c r="F1065" s="1582"/>
      <c r="G1065" s="1582"/>
      <c r="H1065" s="1582"/>
      <c r="I1065" s="1582"/>
      <c r="J1065" s="1582"/>
      <c r="K1065" s="1582"/>
      <c r="L1065" s="1582"/>
      <c r="M1065" s="1582"/>
      <c r="N1065" s="1582"/>
      <c r="O1065" s="1582"/>
      <c r="P1065" s="1582"/>
      <c r="Q1065" s="1582"/>
    </row>
    <row r="1066" spans="1:17">
      <c r="A1066" s="1070"/>
      <c r="B1066" s="1059"/>
      <c r="C1066" s="1065"/>
      <c r="D1066" s="1065"/>
      <c r="E1066" s="1065"/>
      <c r="F1066" s="1065"/>
      <c r="G1066" s="1065"/>
      <c r="H1066" s="1065"/>
      <c r="I1066" s="1065"/>
      <c r="J1066" s="1065"/>
      <c r="K1066" s="1065"/>
      <c r="L1066" s="1065"/>
      <c r="M1066" s="1065"/>
      <c r="Q1066" s="1070"/>
    </row>
    <row r="1067" spans="1:17">
      <c r="A1067" s="1127">
        <v>9</v>
      </c>
      <c r="B1067" s="1127" t="s">
        <v>2854</v>
      </c>
      <c r="C1067" s="1127"/>
      <c r="D1067" s="1065"/>
      <c r="E1067" s="1065"/>
      <c r="F1067" s="1065"/>
      <c r="G1067" s="1065"/>
      <c r="H1067" s="1065"/>
      <c r="I1067" s="1065"/>
      <c r="J1067" s="1065"/>
      <c r="K1067" s="1065"/>
      <c r="L1067" s="1065"/>
      <c r="M1067" s="1065"/>
      <c r="O1067" s="942" t="s">
        <v>1997</v>
      </c>
      <c r="P1067" s="1583">
        <f>'Part VIII-Threshold Criteria'!P158</f>
        <v>0</v>
      </c>
      <c r="Q1067" s="1583"/>
    </row>
    <row r="1068" spans="1:17">
      <c r="B1068" s="943" t="s">
        <v>2118</v>
      </c>
      <c r="C1068" s="1575" t="s">
        <v>3524</v>
      </c>
      <c r="D1068" s="1575"/>
      <c r="E1068" s="1575"/>
      <c r="F1068" s="1575"/>
      <c r="G1068" s="1575"/>
      <c r="H1068" s="1575"/>
      <c r="I1068" s="1575"/>
      <c r="J1068" s="1575"/>
      <c r="K1068" s="1575"/>
      <c r="L1068" s="1575"/>
      <c r="M1068" s="1575"/>
      <c r="N1068" s="1575"/>
      <c r="O1068" s="956" t="s">
        <v>2118</v>
      </c>
      <c r="P1068" s="1124" t="str">
        <f>'Part VIII-Threshold Criteria'!P159</f>
        <v>Yes</v>
      </c>
      <c r="Q1068" s="1124">
        <f>'Part VIII-Threshold Criteria'!Q159</f>
        <v>0</v>
      </c>
    </row>
    <row r="1069" spans="1:17">
      <c r="B1069" s="943" t="s">
        <v>2121</v>
      </c>
      <c r="C1069" s="1575" t="s">
        <v>2678</v>
      </c>
      <c r="D1069" s="1575"/>
      <c r="E1069" s="1575"/>
      <c r="F1069" s="1575"/>
      <c r="G1069" s="1575"/>
      <c r="H1069" s="1575"/>
      <c r="I1069" s="1575"/>
      <c r="J1069" s="1575"/>
      <c r="K1069" s="1575"/>
      <c r="L1069" s="1575"/>
      <c r="M1069" s="1575"/>
      <c r="N1069" s="1575"/>
      <c r="O1069" s="956" t="s">
        <v>2121</v>
      </c>
      <c r="P1069" s="1124">
        <f>'Part VIII-Threshold Criteria'!P160</f>
        <v>0</v>
      </c>
      <c r="Q1069" s="1124">
        <f>'Part VIII-Threshold Criteria'!Q160</f>
        <v>0</v>
      </c>
    </row>
    <row r="1070" spans="1:17">
      <c r="B1070" s="943" t="s">
        <v>799</v>
      </c>
      <c r="C1070" s="1575" t="s">
        <v>2837</v>
      </c>
      <c r="D1070" s="1575"/>
      <c r="E1070" s="1575"/>
      <c r="F1070" s="1575"/>
      <c r="G1070" s="1575"/>
      <c r="H1070" s="1575"/>
      <c r="I1070" s="1575"/>
      <c r="J1070" s="1575"/>
      <c r="K1070" s="1575"/>
      <c r="L1070" s="1575"/>
      <c r="M1070" s="1575"/>
      <c r="N1070" s="1575"/>
      <c r="O1070" s="956" t="s">
        <v>799</v>
      </c>
      <c r="P1070" s="1124">
        <f>'Part VIII-Threshold Criteria'!P161</f>
        <v>0</v>
      </c>
      <c r="Q1070" s="1124">
        <f>'Part VIII-Threshold Criteria'!Q161</f>
        <v>0</v>
      </c>
    </row>
    <row r="1071" spans="1:17">
      <c r="B1071" s="954" t="s">
        <v>1995</v>
      </c>
      <c r="D1071" s="954"/>
      <c r="E1071" s="954"/>
      <c r="F1071" s="954"/>
      <c r="G1071" s="954"/>
      <c r="H1071" s="1083"/>
      <c r="I1071" s="1059"/>
      <c r="J1071" s="1059"/>
      <c r="K1071" s="1059"/>
      <c r="L1071" s="1070"/>
      <c r="M1071" s="1070"/>
      <c r="N1071" s="1070"/>
      <c r="O1071" s="1070"/>
      <c r="P1071" s="1070"/>
      <c r="Q1071" s="1070"/>
    </row>
    <row r="1072" spans="1:17">
      <c r="A1072" s="1575">
        <f>'Part VIII-Threshold Criteria'!A163</f>
        <v>0</v>
      </c>
      <c r="B1072" s="1575"/>
      <c r="C1072" s="1575"/>
      <c r="D1072" s="1575"/>
      <c r="E1072" s="1575"/>
      <c r="F1072" s="1575"/>
      <c r="G1072" s="1575"/>
      <c r="H1072" s="1575"/>
      <c r="I1072" s="1575"/>
      <c r="J1072" s="1575"/>
      <c r="K1072" s="1575"/>
      <c r="L1072" s="1575"/>
      <c r="M1072" s="1575"/>
      <c r="N1072" s="1575"/>
      <c r="O1072" s="1575"/>
      <c r="P1072" s="1575"/>
      <c r="Q1072" s="1575"/>
    </row>
    <row r="1073" spans="1:17">
      <c r="B1073" s="947" t="s">
        <v>1996</v>
      </c>
      <c r="C1073" s="948"/>
      <c r="D1073" s="1065"/>
      <c r="E1073" s="1065"/>
      <c r="F1073" s="1065"/>
      <c r="G1073" s="1065"/>
      <c r="H1073" s="1065"/>
      <c r="I1073" s="1065"/>
      <c r="J1073" s="1065"/>
      <c r="K1073" s="1065"/>
      <c r="L1073" s="1065"/>
      <c r="M1073" s="1065"/>
      <c r="N1073" s="1065"/>
      <c r="O1073" s="1065"/>
      <c r="P1073" s="1065"/>
      <c r="Q1073" s="1065"/>
    </row>
    <row r="1074" spans="1:17">
      <c r="A1074" s="1582">
        <f>'Part VIII-Threshold Criteria'!A165</f>
        <v>0</v>
      </c>
      <c r="B1074" s="1582"/>
      <c r="C1074" s="1582"/>
      <c r="D1074" s="1582"/>
      <c r="E1074" s="1582"/>
      <c r="F1074" s="1582"/>
      <c r="G1074" s="1582"/>
      <c r="H1074" s="1582"/>
      <c r="I1074" s="1582"/>
      <c r="J1074" s="1582"/>
      <c r="K1074" s="1582"/>
      <c r="L1074" s="1582"/>
      <c r="M1074" s="1582"/>
      <c r="N1074" s="1582"/>
      <c r="O1074" s="1582"/>
      <c r="P1074" s="1582"/>
      <c r="Q1074" s="1582"/>
    </row>
    <row r="1075" spans="1:17">
      <c r="B1075" s="1059"/>
      <c r="C1075" s="1065"/>
      <c r="D1075" s="1065"/>
      <c r="E1075" s="1065"/>
      <c r="F1075" s="1065"/>
      <c r="G1075" s="1065"/>
      <c r="H1075" s="1065"/>
      <c r="I1075" s="1065"/>
      <c r="J1075" s="1065"/>
      <c r="K1075" s="1065"/>
      <c r="L1075" s="1065"/>
      <c r="M1075" s="1065"/>
      <c r="N1075" s="1065"/>
      <c r="O1075" s="1065"/>
      <c r="P1075" s="1065"/>
      <c r="Q1075" s="1070"/>
    </row>
    <row r="1076" spans="1:17">
      <c r="A1076" s="1119">
        <v>10</v>
      </c>
      <c r="B1076" s="1592" t="s">
        <v>2855</v>
      </c>
      <c r="C1076" s="1592"/>
      <c r="D1076" s="1592"/>
      <c r="O1076" s="942" t="s">
        <v>1997</v>
      </c>
      <c r="P1076" s="1583">
        <f>'Part VIII-Threshold Criteria'!P167</f>
        <v>0</v>
      </c>
      <c r="Q1076" s="1583"/>
    </row>
    <row r="1077" spans="1:17">
      <c r="B1077" s="943" t="s">
        <v>2118</v>
      </c>
      <c r="C1077" s="1077" t="s">
        <v>497</v>
      </c>
      <c r="D1077" s="1077"/>
      <c r="E1077" s="1077"/>
      <c r="F1077" s="1077"/>
      <c r="G1077" s="1077"/>
      <c r="H1077" s="1077"/>
      <c r="I1077" s="1077"/>
      <c r="J1077" s="1077"/>
      <c r="K1077" s="1077"/>
      <c r="L1077" s="1077"/>
      <c r="M1077" s="1077"/>
      <c r="O1077" s="956" t="s">
        <v>2118</v>
      </c>
      <c r="P1077" s="1124" t="str">
        <f>'Part VIII-Threshold Criteria'!P168</f>
        <v>Yes</v>
      </c>
      <c r="Q1077" s="1124">
        <f>'Part VIII-Threshold Criteria'!Q168</f>
        <v>0</v>
      </c>
    </row>
    <row r="1078" spans="1:17">
      <c r="B1078" s="943" t="s">
        <v>2121</v>
      </c>
      <c r="C1078" s="1077" t="s">
        <v>2838</v>
      </c>
      <c r="D1078" s="1077"/>
      <c r="E1078" s="1077"/>
      <c r="F1078" s="1077"/>
      <c r="G1078" s="1077"/>
      <c r="H1078" s="1077"/>
      <c r="I1078" s="1077"/>
      <c r="J1078" s="1077"/>
      <c r="K1078" s="1077"/>
      <c r="L1078" s="1077"/>
      <c r="M1078" s="1077"/>
      <c r="O1078" s="956" t="s">
        <v>2121</v>
      </c>
      <c r="P1078" s="1124" t="str">
        <f>'Part VIII-Threshold Criteria'!P169</f>
        <v>Yes</v>
      </c>
      <c r="Q1078" s="1124">
        <f>'Part VIII-Threshold Criteria'!Q169</f>
        <v>0</v>
      </c>
    </row>
    <row r="1079" spans="1:17">
      <c r="B1079" s="943" t="s">
        <v>799</v>
      </c>
      <c r="C1079" s="1077" t="s">
        <v>2839</v>
      </c>
      <c r="D1079" s="1077"/>
      <c r="E1079" s="1077"/>
      <c r="F1079" s="1077"/>
      <c r="G1079" s="1077"/>
      <c r="H1079" s="1077"/>
      <c r="I1079" s="1077"/>
      <c r="J1079" s="1077"/>
      <c r="K1079" s="1077"/>
      <c r="L1079" s="1077"/>
      <c r="M1079" s="1077"/>
      <c r="O1079" s="956" t="s">
        <v>799</v>
      </c>
      <c r="P1079" s="1124" t="str">
        <f>'Part VIII-Threshold Criteria'!P170</f>
        <v>Yes</v>
      </c>
      <c r="Q1079" s="1124">
        <f>'Part VIII-Threshold Criteria'!Q170</f>
        <v>0</v>
      </c>
    </row>
    <row r="1080" spans="1:17">
      <c r="B1080" s="943"/>
      <c r="C1080" s="1077" t="s">
        <v>2827</v>
      </c>
      <c r="D1080" s="1077"/>
      <c r="E1080" s="958" t="s">
        <v>1859</v>
      </c>
      <c r="F1080" s="1077" t="s">
        <v>2840</v>
      </c>
      <c r="G1080" s="1077"/>
      <c r="H1080" s="1077"/>
      <c r="I1080" s="1077"/>
      <c r="J1080" s="1077"/>
      <c r="K1080" s="1077"/>
      <c r="L1080" s="1077"/>
      <c r="M1080" s="1077"/>
      <c r="O1080" s="958" t="s">
        <v>1859</v>
      </c>
      <c r="P1080" s="1124" t="str">
        <f>'Part VIII-Threshold Criteria'!P171</f>
        <v>Yes</v>
      </c>
      <c r="Q1080" s="1124">
        <f>'Part VIII-Threshold Criteria'!Q171</f>
        <v>0</v>
      </c>
    </row>
    <row r="1081" spans="1:17">
      <c r="B1081" s="943"/>
      <c r="C1081" s="1077"/>
      <c r="D1081" s="1077"/>
      <c r="E1081" s="958" t="s">
        <v>1860</v>
      </c>
      <c r="F1081" s="1077" t="s">
        <v>3680</v>
      </c>
      <c r="G1081" s="1077"/>
      <c r="H1081" s="1077"/>
      <c r="I1081" s="1077"/>
      <c r="J1081" s="1077"/>
      <c r="K1081" s="1077"/>
      <c r="L1081" s="1077"/>
      <c r="M1081" s="1077"/>
      <c r="O1081" s="958" t="s">
        <v>1860</v>
      </c>
      <c r="P1081" s="1124" t="str">
        <f>'Part VIII-Threshold Criteria'!P172</f>
        <v>Yes</v>
      </c>
      <c r="Q1081" s="1124">
        <f>'Part VIII-Threshold Criteria'!Q172</f>
        <v>0</v>
      </c>
    </row>
    <row r="1082" spans="1:17">
      <c r="A1082" s="1074"/>
      <c r="B1082" s="943"/>
      <c r="C1082" s="1077"/>
      <c r="D1082" s="1077"/>
      <c r="E1082" s="956" t="s">
        <v>1861</v>
      </c>
      <c r="F1082" s="1575" t="s">
        <v>2842</v>
      </c>
      <c r="G1082" s="1575"/>
      <c r="H1082" s="1575"/>
      <c r="I1082" s="1575"/>
      <c r="J1082" s="1575"/>
      <c r="K1082" s="1575"/>
      <c r="L1082" s="1575"/>
      <c r="M1082" s="1575"/>
      <c r="N1082" s="1575"/>
      <c r="O1082" s="956" t="s">
        <v>1861</v>
      </c>
      <c r="P1082" s="1124" t="str">
        <f>'Part VIII-Threshold Criteria'!P173</f>
        <v>Yes</v>
      </c>
      <c r="Q1082" s="1124">
        <f>'Part VIII-Threshold Criteria'!Q173</f>
        <v>0</v>
      </c>
    </row>
    <row r="1083" spans="1:17">
      <c r="B1083" s="943"/>
      <c r="C1083" s="1077"/>
      <c r="D1083" s="1077"/>
      <c r="E1083" s="958" t="s">
        <v>2519</v>
      </c>
      <c r="F1083" s="1077" t="s">
        <v>2843</v>
      </c>
      <c r="G1083" s="1077"/>
      <c r="H1083" s="1077"/>
      <c r="I1083" s="1077"/>
      <c r="J1083" s="1077"/>
      <c r="K1083" s="1077"/>
      <c r="L1083" s="1077"/>
      <c r="M1083" s="1077"/>
      <c r="O1083" s="958" t="s">
        <v>2519</v>
      </c>
      <c r="P1083" s="1124" t="str">
        <f>'Part VIII-Threshold Criteria'!P174</f>
        <v>Yes</v>
      </c>
      <c r="Q1083" s="1124">
        <f>'Part VIII-Threshold Criteria'!Q174</f>
        <v>0</v>
      </c>
    </row>
    <row r="1084" spans="1:17">
      <c r="A1084" s="1074"/>
      <c r="B1084" s="943"/>
      <c r="C1084" s="1077"/>
      <c r="D1084" s="1077"/>
      <c r="E1084" s="956" t="s">
        <v>1657</v>
      </c>
      <c r="F1084" s="1575" t="s">
        <v>2844</v>
      </c>
      <c r="G1084" s="1575"/>
      <c r="H1084" s="1575"/>
      <c r="I1084" s="1575"/>
      <c r="J1084" s="1575"/>
      <c r="K1084" s="1575"/>
      <c r="L1084" s="1575"/>
      <c r="M1084" s="1575"/>
      <c r="N1084" s="1575"/>
      <c r="O1084" s="956" t="s">
        <v>1657</v>
      </c>
      <c r="P1084" s="1124" t="str">
        <f>'Part VIII-Threshold Criteria'!P175</f>
        <v>No</v>
      </c>
      <c r="Q1084" s="1124">
        <f>'Part VIII-Threshold Criteria'!Q175</f>
        <v>0</v>
      </c>
    </row>
    <row r="1085" spans="1:17">
      <c r="B1085" s="943" t="s">
        <v>2253</v>
      </c>
      <c r="C1085" s="1575" t="s">
        <v>2845</v>
      </c>
      <c r="D1085" s="1575"/>
      <c r="E1085" s="1575"/>
      <c r="F1085" s="1575"/>
      <c r="G1085" s="1575"/>
      <c r="H1085" s="1575"/>
      <c r="I1085" s="1575"/>
      <c r="J1085" s="1575"/>
      <c r="K1085" s="1575"/>
      <c r="L1085" s="1575"/>
      <c r="M1085" s="1575"/>
      <c r="N1085" s="1575"/>
      <c r="O1085" s="956" t="s">
        <v>2253</v>
      </c>
      <c r="P1085" s="1124" t="str">
        <f>'Part VIII-Threshold Criteria'!P176</f>
        <v>Yes</v>
      </c>
      <c r="Q1085" s="1124">
        <f>'Part VIII-Threshold Criteria'!Q176</f>
        <v>0</v>
      </c>
    </row>
    <row r="1086" spans="1:17">
      <c r="B1086" s="943" t="s">
        <v>1857</v>
      </c>
      <c r="C1086" s="1077" t="s">
        <v>2535</v>
      </c>
      <c r="D1086" s="1077"/>
      <c r="E1086" s="1077"/>
      <c r="F1086" s="1077"/>
      <c r="G1086" s="1077"/>
      <c r="H1086" s="1077"/>
      <c r="I1086" s="1077"/>
      <c r="J1086" s="1077"/>
      <c r="K1086" s="1077"/>
      <c r="L1086" s="1077"/>
      <c r="M1086" s="1077"/>
      <c r="O1086" s="956" t="s">
        <v>1857</v>
      </c>
      <c r="P1086" s="1124" t="str">
        <f>'Part VIII-Threshold Criteria'!P177</f>
        <v>Yes</v>
      </c>
      <c r="Q1086" s="1124">
        <f>'Part VIII-Threshold Criteria'!Q177</f>
        <v>0</v>
      </c>
    </row>
    <row r="1087" spans="1:17">
      <c r="B1087" s="954" t="s">
        <v>1995</v>
      </c>
      <c r="D1087" s="954"/>
      <c r="E1087" s="954"/>
      <c r="F1087" s="954"/>
      <c r="G1087" s="954"/>
      <c r="H1087" s="1083"/>
      <c r="I1087" s="1059"/>
      <c r="J1087" s="1059"/>
      <c r="K1087" s="1059"/>
      <c r="L1087" s="1070"/>
      <c r="M1087" s="1070"/>
      <c r="N1087" s="1070"/>
      <c r="O1087" s="1070"/>
      <c r="P1087" s="1070"/>
      <c r="Q1087" s="1070"/>
    </row>
    <row r="1088" spans="1:17">
      <c r="A1088" s="1575">
        <f>'Part VIII-Threshold Criteria'!A179</f>
        <v>0</v>
      </c>
      <c r="B1088" s="1575"/>
      <c r="C1088" s="1575"/>
      <c r="D1088" s="1575"/>
      <c r="E1088" s="1575"/>
      <c r="F1088" s="1575"/>
      <c r="G1088" s="1575"/>
      <c r="H1088" s="1575"/>
      <c r="I1088" s="1575"/>
      <c r="J1088" s="1575"/>
      <c r="K1088" s="1575"/>
      <c r="L1088" s="1575"/>
      <c r="M1088" s="1575"/>
      <c r="N1088" s="1575"/>
      <c r="O1088" s="1575"/>
      <c r="P1088" s="1575"/>
      <c r="Q1088" s="1575"/>
    </row>
    <row r="1089" spans="1:17">
      <c r="B1089" s="947" t="s">
        <v>1996</v>
      </c>
      <c r="C1089" s="948"/>
      <c r="D1089" s="1065"/>
      <c r="E1089" s="1065"/>
      <c r="F1089" s="1065"/>
      <c r="G1089" s="1065"/>
      <c r="H1089" s="1065"/>
      <c r="I1089" s="1065"/>
      <c r="J1089" s="1065"/>
      <c r="K1089" s="1065"/>
      <c r="L1089" s="1065"/>
      <c r="M1089" s="1065"/>
      <c r="N1089" s="1065"/>
      <c r="O1089" s="1065"/>
      <c r="P1089" s="1065"/>
      <c r="Q1089" s="1065"/>
    </row>
    <row r="1090" spans="1:17">
      <c r="A1090" s="1582">
        <f>'Part VIII-Threshold Criteria'!A181</f>
        <v>0</v>
      </c>
      <c r="B1090" s="1582"/>
      <c r="C1090" s="1582"/>
      <c r="D1090" s="1582"/>
      <c r="E1090" s="1582"/>
      <c r="F1090" s="1582"/>
      <c r="G1090" s="1582"/>
      <c r="H1090" s="1582"/>
      <c r="I1090" s="1582"/>
      <c r="J1090" s="1582"/>
      <c r="K1090" s="1582"/>
      <c r="L1090" s="1582"/>
      <c r="M1090" s="1582"/>
      <c r="N1090" s="1582"/>
      <c r="O1090" s="1582"/>
      <c r="P1090" s="1582"/>
      <c r="Q1090" s="1582"/>
    </row>
    <row r="1091" spans="1:17">
      <c r="A1091" s="1070"/>
      <c r="B1091" s="1059"/>
      <c r="C1091" s="1065"/>
      <c r="D1091" s="1065"/>
      <c r="E1091" s="1065"/>
      <c r="F1091" s="1065"/>
      <c r="G1091" s="1065"/>
      <c r="H1091" s="1065"/>
      <c r="I1091" s="1065"/>
      <c r="J1091" s="1065"/>
      <c r="K1091" s="1065"/>
      <c r="L1091" s="1065"/>
      <c r="M1091" s="1065"/>
      <c r="N1091" s="1065"/>
      <c r="O1091" s="1065"/>
      <c r="P1091" s="1065"/>
      <c r="Q1091" s="1070"/>
    </row>
    <row r="1092" spans="1:17">
      <c r="A1092" s="1127">
        <v>11</v>
      </c>
      <c r="B1092" s="1127" t="s">
        <v>2856</v>
      </c>
      <c r="C1092" s="1127"/>
      <c r="D1092" s="1065"/>
      <c r="E1092" s="1080"/>
      <c r="F1092" s="1080"/>
      <c r="G1092" s="1065"/>
      <c r="J1092" s="1129"/>
      <c r="K1092" s="1129"/>
      <c r="L1092" s="1129"/>
      <c r="M1092" s="1129"/>
      <c r="N1092" s="1129"/>
      <c r="O1092" s="942" t="s">
        <v>1997</v>
      </c>
      <c r="P1092" s="1583">
        <f>'Part VIII-Threshold Criteria'!P183</f>
        <v>0</v>
      </c>
      <c r="Q1092" s="1583"/>
    </row>
    <row r="1093" spans="1:17">
      <c r="A1093" s="951"/>
      <c r="B1093" s="945" t="s">
        <v>2118</v>
      </c>
      <c r="C1093" s="1575" t="s">
        <v>100</v>
      </c>
      <c r="D1093" s="1575"/>
      <c r="E1093" s="1575"/>
      <c r="F1093" s="1575"/>
      <c r="G1093" s="1575"/>
      <c r="H1093" s="944" t="s">
        <v>1859</v>
      </c>
      <c r="I1093" s="584" t="s">
        <v>158</v>
      </c>
      <c r="K1093" s="1587" t="str">
        <f>'Part VIII-Threshold Criteria'!K184</f>
        <v>N/A</v>
      </c>
      <c r="L1093" s="1587"/>
      <c r="M1093" s="1587"/>
      <c r="N1093" s="1587"/>
      <c r="O1093" s="944" t="s">
        <v>1859</v>
      </c>
      <c r="P1093" s="1124" t="str">
        <f>'Part VIII-Threshold Criteria'!P184</f>
        <v>No</v>
      </c>
      <c r="Q1093" s="1124">
        <f>'Part VIII-Threshold Criteria'!Q184</f>
        <v>0</v>
      </c>
    </row>
    <row r="1094" spans="1:17">
      <c r="A1094" s="951"/>
      <c r="B1094" s="1059"/>
      <c r="C1094" s="1130"/>
      <c r="D1094" s="1130"/>
      <c r="E1094" s="1130"/>
      <c r="F1094" s="1130"/>
      <c r="H1094" s="944" t="s">
        <v>1860</v>
      </c>
      <c r="I1094" s="584" t="s">
        <v>1704</v>
      </c>
      <c r="K1094" s="1587" t="str">
        <f>'Part VIII-Threshold Criteria'!K185</f>
        <v>Georgia Power</v>
      </c>
      <c r="L1094" s="1587"/>
      <c r="M1094" s="1587"/>
      <c r="N1094" s="1587"/>
      <c r="O1094" s="944" t="s">
        <v>1860</v>
      </c>
      <c r="P1094" s="1124" t="str">
        <f>'Part VIII-Threshold Criteria'!P185</f>
        <v>Yes</v>
      </c>
      <c r="Q1094" s="1124">
        <f>'Part VIII-Threshold Criteria'!Q185</f>
        <v>0</v>
      </c>
    </row>
    <row r="1095" spans="1:17">
      <c r="B1095" s="954" t="s">
        <v>1995</v>
      </c>
      <c r="D1095" s="954"/>
      <c r="E1095" s="954"/>
      <c r="F1095" s="954"/>
      <c r="G1095" s="954"/>
      <c r="J1095" s="1059"/>
      <c r="K1095" s="1059"/>
      <c r="L1095" s="1070"/>
      <c r="M1095" s="1070"/>
      <c r="N1095" s="1070"/>
      <c r="O1095" s="1070"/>
      <c r="P1095" s="1070"/>
      <c r="Q1095" s="1070"/>
    </row>
    <row r="1096" spans="1:17">
      <c r="A1096" s="1575">
        <f>'Part VIII-Threshold Criteria'!A187</f>
        <v>0</v>
      </c>
      <c r="B1096" s="1575"/>
      <c r="C1096" s="1575"/>
      <c r="D1096" s="1575"/>
      <c r="E1096" s="1575"/>
      <c r="F1096" s="1575"/>
      <c r="G1096" s="1575"/>
      <c r="H1096" s="1575"/>
      <c r="I1096" s="1575"/>
      <c r="J1096" s="1575"/>
      <c r="K1096" s="1575"/>
      <c r="L1096" s="1575"/>
      <c r="M1096" s="1575"/>
      <c r="N1096" s="1575"/>
      <c r="O1096" s="1575"/>
      <c r="P1096" s="1575"/>
      <c r="Q1096" s="1575"/>
    </row>
    <row r="1097" spans="1:17">
      <c r="B1097" s="947" t="s">
        <v>1996</v>
      </c>
      <c r="C1097" s="948"/>
      <c r="D1097" s="1065"/>
      <c r="E1097" s="1065"/>
      <c r="F1097" s="1065"/>
      <c r="G1097" s="1065"/>
      <c r="H1097" s="1065"/>
      <c r="I1097" s="1065"/>
      <c r="J1097" s="1065"/>
      <c r="K1097" s="1065"/>
      <c r="L1097" s="1065"/>
      <c r="M1097" s="1065"/>
      <c r="N1097" s="1065"/>
      <c r="O1097" s="1065"/>
      <c r="P1097" s="1065"/>
      <c r="Q1097" s="1065"/>
    </row>
    <row r="1098" spans="1:17">
      <c r="A1098" s="1582">
        <f>'Part VIII-Threshold Criteria'!A189</f>
        <v>0</v>
      </c>
      <c r="B1098" s="1582"/>
      <c r="C1098" s="1582"/>
      <c r="D1098" s="1582"/>
      <c r="E1098" s="1582"/>
      <c r="F1098" s="1582"/>
      <c r="G1098" s="1582"/>
      <c r="H1098" s="1582"/>
      <c r="I1098" s="1582"/>
      <c r="J1098" s="1582"/>
      <c r="K1098" s="1582"/>
      <c r="L1098" s="1582"/>
      <c r="M1098" s="1582"/>
      <c r="N1098" s="1582"/>
      <c r="O1098" s="1582"/>
      <c r="P1098" s="1582"/>
      <c r="Q1098" s="1582"/>
    </row>
    <row r="1099" spans="1:17">
      <c r="B1099" s="1059"/>
      <c r="C1099" s="1065"/>
      <c r="D1099" s="1065"/>
      <c r="E1099" s="1065"/>
      <c r="F1099" s="1065"/>
      <c r="G1099" s="1065"/>
      <c r="H1099" s="1065"/>
      <c r="I1099" s="1065"/>
      <c r="J1099" s="1065"/>
      <c r="K1099" s="1065"/>
      <c r="L1099" s="1065"/>
      <c r="M1099" s="1065"/>
      <c r="Q1099" s="1070"/>
    </row>
    <row r="1100" spans="1:17">
      <c r="A1100" s="1127">
        <v>12</v>
      </c>
      <c r="B1100" s="586" t="s">
        <v>2857</v>
      </c>
      <c r="C1100" s="586"/>
      <c r="D1100" s="941"/>
      <c r="E1100" s="941"/>
      <c r="F1100" s="941"/>
      <c r="G1100" s="1065"/>
      <c r="H1100" s="1065"/>
      <c r="I1100" s="1065"/>
      <c r="J1100" s="1065"/>
      <c r="K1100" s="1065"/>
      <c r="L1100" s="1065"/>
      <c r="M1100" s="1065"/>
      <c r="O1100" s="942" t="s">
        <v>1997</v>
      </c>
      <c r="P1100" s="1583">
        <f>'Part VIII-Threshold Criteria'!P191</f>
        <v>0</v>
      </c>
      <c r="Q1100" s="1583"/>
    </row>
    <row r="1102" spans="1:17">
      <c r="B1102" s="943" t="s">
        <v>2118</v>
      </c>
      <c r="C1102" s="1061" t="s">
        <v>1859</v>
      </c>
      <c r="D1102" s="959" t="s">
        <v>547</v>
      </c>
      <c r="E1102" s="959"/>
      <c r="F1102" s="959"/>
      <c r="G1102" s="959"/>
      <c r="H1102" s="959"/>
      <c r="I1102" s="959"/>
      <c r="J1102" s="959"/>
      <c r="K1102" s="959"/>
      <c r="L1102" s="959"/>
      <c r="M1102" s="959"/>
      <c r="N1102" s="959"/>
      <c r="O1102" s="956" t="s">
        <v>1588</v>
      </c>
      <c r="P1102" s="1124" t="str">
        <f>'Part VIII-Threshold Criteria'!P193</f>
        <v>No</v>
      </c>
      <c r="Q1102" s="1124">
        <f>'Part VIII-Threshold Criteria'!Q193</f>
        <v>0</v>
      </c>
    </row>
    <row r="1103" spans="1:17">
      <c r="B1103" s="943"/>
      <c r="C1103" s="1061" t="s">
        <v>1860</v>
      </c>
      <c r="D1103" s="959" t="s">
        <v>1565</v>
      </c>
      <c r="E1103" s="959"/>
      <c r="F1103" s="959"/>
      <c r="G1103" s="959"/>
      <c r="H1103" s="959"/>
      <c r="I1103" s="959"/>
      <c r="J1103" s="959"/>
      <c r="K1103" s="959"/>
      <c r="L1103" s="959"/>
      <c r="M1103" s="959"/>
      <c r="N1103" s="959"/>
      <c r="O1103" s="956" t="s">
        <v>1860</v>
      </c>
      <c r="P1103" s="1124" t="str">
        <f>'Part VIII-Threshold Criteria'!P194</f>
        <v>No</v>
      </c>
      <c r="Q1103" s="1124">
        <f>'Part VIII-Threshold Criteria'!Q194</f>
        <v>0</v>
      </c>
    </row>
    <row r="1104" spans="1:17">
      <c r="A1104" s="951"/>
      <c r="B1104" s="943" t="s">
        <v>2121</v>
      </c>
      <c r="C1104" s="1575" t="s">
        <v>1978</v>
      </c>
      <c r="D1104" s="1575"/>
      <c r="E1104" s="1575"/>
      <c r="F1104" s="1575"/>
      <c r="G1104" s="1575"/>
      <c r="H1104" s="944" t="s">
        <v>1859</v>
      </c>
      <c r="I1104" s="584" t="s">
        <v>676</v>
      </c>
      <c r="K1104" s="1587" t="str">
        <f>'Part VIII-Threshold Criteria'!K195</f>
        <v>Rome Water and Sewer Division</v>
      </c>
      <c r="L1104" s="1587"/>
      <c r="M1104" s="1587"/>
      <c r="N1104" s="1587"/>
      <c r="O1104" s="944" t="s">
        <v>1542</v>
      </c>
      <c r="P1104" s="1124" t="str">
        <f>'Part VIII-Threshold Criteria'!P195</f>
        <v>Yes</v>
      </c>
      <c r="Q1104" s="1124">
        <f>'Part VIII-Threshold Criteria'!Q195</f>
        <v>0</v>
      </c>
    </row>
    <row r="1105" spans="1:17">
      <c r="A1105" s="951"/>
      <c r="B1105" s="1076"/>
      <c r="C1105" s="1575"/>
      <c r="D1105" s="1575"/>
      <c r="E1105" s="1575"/>
      <c r="F1105" s="1575"/>
      <c r="G1105" s="1575"/>
      <c r="H1105" s="944" t="s">
        <v>1860</v>
      </c>
      <c r="I1105" s="584" t="s">
        <v>119</v>
      </c>
      <c r="K1105" s="1587" t="str">
        <f>'Part VIII-Threshold Criteria'!K196</f>
        <v>Rome Water and Sewer Division</v>
      </c>
      <c r="L1105" s="1587"/>
      <c r="M1105" s="1587"/>
      <c r="N1105" s="1587"/>
      <c r="O1105" s="944" t="s">
        <v>1860</v>
      </c>
      <c r="P1105" s="1124" t="str">
        <f>'Part VIII-Threshold Criteria'!P196</f>
        <v>Yes</v>
      </c>
      <c r="Q1105" s="1124">
        <f>'Part VIII-Threshold Criteria'!Q196</f>
        <v>0</v>
      </c>
    </row>
    <row r="1106" spans="1:17">
      <c r="B1106" s="954" t="s">
        <v>1995</v>
      </c>
      <c r="D1106" s="954"/>
      <c r="E1106" s="954"/>
      <c r="F1106" s="954"/>
      <c r="G1106" s="954"/>
      <c r="H1106" s="1083"/>
      <c r="I1106" s="1059"/>
      <c r="J1106" s="1059"/>
      <c r="K1106" s="1059"/>
      <c r="L1106" s="1070"/>
      <c r="M1106" s="1070"/>
      <c r="N1106" s="1070"/>
      <c r="O1106" s="1070"/>
      <c r="P1106" s="1070"/>
      <c r="Q1106" s="1070"/>
    </row>
    <row r="1107" spans="1:17">
      <c r="A1107" s="1575">
        <f>'Part VIII-Threshold Criteria'!A198</f>
        <v>0</v>
      </c>
      <c r="B1107" s="1575"/>
      <c r="C1107" s="1575"/>
      <c r="D1107" s="1575"/>
      <c r="E1107" s="1575"/>
      <c r="F1107" s="1575"/>
      <c r="G1107" s="1575"/>
      <c r="H1107" s="1575"/>
      <c r="I1107" s="1575"/>
      <c r="J1107" s="1575"/>
      <c r="K1107" s="1575"/>
      <c r="L1107" s="1575"/>
      <c r="M1107" s="1575"/>
      <c r="N1107" s="1575"/>
      <c r="O1107" s="1575"/>
      <c r="P1107" s="1575"/>
      <c r="Q1107" s="1575"/>
    </row>
    <row r="1108" spans="1:17">
      <c r="B1108" s="947" t="s">
        <v>1996</v>
      </c>
      <c r="C1108" s="948"/>
      <c r="D1108" s="1065"/>
      <c r="E1108" s="1065"/>
      <c r="F1108" s="1065"/>
      <c r="G1108" s="1065"/>
      <c r="H1108" s="1065"/>
      <c r="I1108" s="1065"/>
      <c r="J1108" s="1065"/>
      <c r="K1108" s="1065"/>
      <c r="L1108" s="1065"/>
      <c r="M1108" s="1065"/>
      <c r="N1108" s="1065"/>
      <c r="O1108" s="1065"/>
      <c r="P1108" s="1065"/>
      <c r="Q1108" s="1065"/>
    </row>
    <row r="1109" spans="1:17">
      <c r="A1109" s="1582">
        <f>'Part VIII-Threshold Criteria'!A200</f>
        <v>0</v>
      </c>
      <c r="B1109" s="1582"/>
      <c r="C1109" s="1582"/>
      <c r="D1109" s="1582"/>
      <c r="E1109" s="1582"/>
      <c r="F1109" s="1582"/>
      <c r="G1109" s="1582"/>
      <c r="H1109" s="1582"/>
      <c r="I1109" s="1582"/>
      <c r="J1109" s="1582"/>
      <c r="K1109" s="1582"/>
      <c r="L1109" s="1582"/>
      <c r="M1109" s="1582"/>
      <c r="N1109" s="1582"/>
      <c r="O1109" s="1582"/>
      <c r="P1109" s="1582"/>
      <c r="Q1109" s="1582"/>
    </row>
    <row r="1110" spans="1:17">
      <c r="A1110" s="1070"/>
      <c r="B1110" s="1059"/>
      <c r="C1110" s="1065"/>
      <c r="D1110" s="1065"/>
      <c r="E1110" s="1065"/>
      <c r="F1110" s="1065"/>
      <c r="G1110" s="1065"/>
      <c r="H1110" s="1065"/>
      <c r="I1110" s="1065"/>
      <c r="J1110" s="1065"/>
      <c r="K1110" s="1065"/>
      <c r="L1110" s="1065"/>
      <c r="M1110" s="1065"/>
      <c r="Q1110" s="1070"/>
    </row>
    <row r="1111" spans="1:17">
      <c r="A1111" s="1127">
        <v>13</v>
      </c>
      <c r="B1111" s="586" t="s">
        <v>2858</v>
      </c>
      <c r="C1111" s="586"/>
      <c r="D1111" s="941"/>
      <c r="E1111" s="941"/>
      <c r="F1111" s="941"/>
      <c r="G1111" s="941"/>
      <c r="H1111" s="1065"/>
      <c r="I1111" s="1065"/>
      <c r="J1111" s="1065"/>
      <c r="K1111" s="1065"/>
      <c r="L1111" s="1065"/>
      <c r="M1111" s="1065"/>
      <c r="O1111" s="942" t="s">
        <v>1997</v>
      </c>
      <c r="P1111" s="1583">
        <f>'Part VIII-Threshold Criteria'!P202</f>
        <v>0</v>
      </c>
      <c r="Q1111" s="1583"/>
    </row>
    <row r="1112" spans="1:17">
      <c r="B1112" s="567" t="s">
        <v>150</v>
      </c>
    </row>
    <row r="1113" spans="1:17">
      <c r="B1113" s="945" t="s">
        <v>2118</v>
      </c>
      <c r="C1113" s="584" t="s">
        <v>3267</v>
      </c>
      <c r="D1113" s="583"/>
      <c r="E1113" s="584"/>
      <c r="F1113" s="584"/>
      <c r="G1113" s="584"/>
      <c r="H1113" s="584"/>
      <c r="I1113" s="583"/>
      <c r="J1113" s="583"/>
      <c r="K1113" s="583"/>
      <c r="L1113" s="1077"/>
      <c r="M1113" s="1077"/>
      <c r="O1113" s="956" t="s">
        <v>2118</v>
      </c>
      <c r="P1113" s="1124" t="str">
        <f>'Part VIII-Threshold Criteria'!P204</f>
        <v>Yes</v>
      </c>
      <c r="Q1113" s="1124">
        <f>'Part VIII-Threshold Criteria'!Q204</f>
        <v>0</v>
      </c>
    </row>
    <row r="1114" spans="1:17">
      <c r="B1114" s="945"/>
      <c r="C1114" s="584"/>
      <c r="D1114" s="584" t="s">
        <v>3579</v>
      </c>
      <c r="E1114" s="584"/>
      <c r="F1114" s="584"/>
      <c r="G1114" s="1053">
        <f>'Part VIII-Threshold Criteria'!G205</f>
        <v>41761</v>
      </c>
      <c r="H1114" s="584"/>
      <c r="I1114" s="584" t="s">
        <v>3580</v>
      </c>
      <c r="J1114" s="583"/>
      <c r="K1114" s="1053">
        <f>'Part VIII-Threshold Criteria'!K205</f>
        <v>41771</v>
      </c>
      <c r="M1114" s="1077"/>
    </row>
    <row r="1115" spans="1:17">
      <c r="B1115" s="945"/>
      <c r="C1115" s="584"/>
      <c r="D1115" s="567" t="s">
        <v>3581</v>
      </c>
      <c r="E1115" s="584"/>
      <c r="F1115" s="584"/>
      <c r="G1115" s="1587" t="str">
        <f>'Part VIII-Threshold Criteria'!G206</f>
        <v>City website, on City calendar and in agenda of mtg</v>
      </c>
      <c r="H1115" s="1587"/>
      <c r="I1115" s="1587"/>
      <c r="J1115" s="1587"/>
      <c r="K1115" s="1587"/>
      <c r="L1115" s="584"/>
      <c r="M1115" s="584"/>
      <c r="N1115" s="584"/>
      <c r="O1115" s="584"/>
      <c r="P1115" s="584"/>
    </row>
    <row r="1116" spans="1:17">
      <c r="B1116" s="945" t="s">
        <v>2121</v>
      </c>
      <c r="C1116" s="584" t="s">
        <v>3268</v>
      </c>
      <c r="D1116" s="584"/>
      <c r="E1116" s="584"/>
      <c r="F1116" s="584"/>
      <c r="G1116" s="584"/>
      <c r="H1116" s="584"/>
      <c r="I1116" s="583"/>
      <c r="J1116" s="583"/>
      <c r="K1116" s="583"/>
      <c r="L1116" s="950"/>
      <c r="M1116" s="950"/>
      <c r="O1116" s="956" t="s">
        <v>2121</v>
      </c>
      <c r="P1116" s="1124" t="str">
        <f>'Part VIII-Threshold Criteria'!P207</f>
        <v>Yes</v>
      </c>
      <c r="Q1116" s="1124">
        <f>'Part VIII-Threshold Criteria'!Q207</f>
        <v>0</v>
      </c>
    </row>
    <row r="1117" spans="1:17">
      <c r="B1117" s="945" t="s">
        <v>799</v>
      </c>
      <c r="C1117" s="584" t="s">
        <v>3269</v>
      </c>
      <c r="D1117" s="584"/>
      <c r="E1117" s="584"/>
      <c r="F1117" s="584"/>
      <c r="G1117" s="584"/>
      <c r="H1117" s="584"/>
      <c r="I1117" s="583"/>
      <c r="J1117" s="583"/>
      <c r="K1117" s="583"/>
      <c r="L1117" s="950"/>
      <c r="M1117" s="950"/>
      <c r="O1117" s="956" t="s">
        <v>799</v>
      </c>
      <c r="P1117" s="1124" t="str">
        <f>'Part VIII-Threshold Criteria'!P208</f>
        <v>Yes</v>
      </c>
      <c r="Q1117" s="1124">
        <f>'Part VIII-Threshold Criteria'!Q208</f>
        <v>0</v>
      </c>
    </row>
    <row r="1118" spans="1:17">
      <c r="B1118" s="945" t="s">
        <v>2253</v>
      </c>
      <c r="C1118" s="584" t="s">
        <v>3576</v>
      </c>
      <c r="D1118" s="584"/>
      <c r="E1118" s="584"/>
      <c r="F1118" s="584"/>
      <c r="G1118" s="584"/>
      <c r="H1118" s="584"/>
      <c r="I1118" s="583"/>
      <c r="J1118" s="583"/>
      <c r="K1118" s="583"/>
      <c r="L1118" s="1077"/>
      <c r="M1118" s="1077"/>
      <c r="O1118" s="944" t="s">
        <v>2253</v>
      </c>
      <c r="P1118" s="1124" t="str">
        <f>'Part VIII-Threshold Criteria'!P209</f>
        <v>No</v>
      </c>
      <c r="Q1118" s="1124">
        <f>'Part VIII-Threshold Criteria'!Q209</f>
        <v>0</v>
      </c>
    </row>
    <row r="1119" spans="1:17">
      <c r="B1119" s="945" t="s">
        <v>1857</v>
      </c>
      <c r="C1119" s="584" t="s">
        <v>151</v>
      </c>
      <c r="D1119" s="584"/>
      <c r="E1119" s="584"/>
      <c r="F1119" s="584"/>
      <c r="G1119" s="584"/>
      <c r="H1119" s="584"/>
      <c r="I1119" s="583"/>
      <c r="J1119" s="583"/>
      <c r="K1119" s="583"/>
      <c r="L1119" s="583"/>
      <c r="M1119" s="583"/>
      <c r="O1119" s="944" t="s">
        <v>1857</v>
      </c>
      <c r="P1119" s="1124" t="str">
        <f>'Part VIII-Threshold Criteria'!P210</f>
        <v>No</v>
      </c>
      <c r="Q1119" s="1124">
        <f>'Part VIII-Threshold Criteria'!Q210</f>
        <v>0</v>
      </c>
    </row>
    <row r="1120" spans="1:17">
      <c r="B1120" s="954" t="s">
        <v>1995</v>
      </c>
      <c r="D1120" s="954"/>
      <c r="E1120" s="954"/>
      <c r="F1120" s="954"/>
      <c r="G1120" s="954"/>
      <c r="H1120" s="1083"/>
      <c r="I1120" s="1059"/>
      <c r="J1120" s="1059"/>
      <c r="K1120" s="1059"/>
      <c r="L1120" s="1070"/>
      <c r="M1120" s="1070"/>
      <c r="N1120" s="1070"/>
      <c r="O1120" s="1070"/>
      <c r="P1120" s="1070"/>
      <c r="Q1120" s="1070"/>
    </row>
    <row r="1121" spans="1:17">
      <c r="A1121" s="1575">
        <f>'Part VIII-Threshold Criteria'!A212</f>
        <v>0</v>
      </c>
      <c r="B1121" s="1575"/>
      <c r="C1121" s="1575"/>
      <c r="D1121" s="1575"/>
      <c r="E1121" s="1575"/>
      <c r="F1121" s="1575"/>
      <c r="G1121" s="1575"/>
      <c r="H1121" s="1575"/>
      <c r="I1121" s="1575"/>
      <c r="J1121" s="1575"/>
      <c r="K1121" s="1575"/>
      <c r="L1121" s="1575"/>
      <c r="M1121" s="1575"/>
      <c r="N1121" s="1575"/>
      <c r="O1121" s="1575"/>
      <c r="P1121" s="1575"/>
      <c r="Q1121" s="1575"/>
    </row>
    <row r="1123" spans="1:17">
      <c r="B1123" s="947" t="s">
        <v>1996</v>
      </c>
      <c r="C1123" s="948"/>
      <c r="D1123" s="1065"/>
      <c r="E1123" s="1065"/>
      <c r="F1123" s="1065"/>
      <c r="G1123" s="1065"/>
      <c r="H1123" s="1065"/>
      <c r="I1123" s="1065"/>
      <c r="J1123" s="1065"/>
      <c r="K1123" s="1065"/>
      <c r="L1123" s="1065"/>
      <c r="M1123" s="1065"/>
      <c r="N1123" s="1065"/>
      <c r="O1123" s="1065"/>
      <c r="P1123" s="1065"/>
      <c r="Q1123" s="1065"/>
    </row>
    <row r="1124" spans="1:17">
      <c r="A1124" s="1582">
        <f>'Part VIII-Threshold Criteria'!A215</f>
        <v>0</v>
      </c>
      <c r="B1124" s="1582"/>
      <c r="C1124" s="1582"/>
      <c r="D1124" s="1582"/>
      <c r="E1124" s="1582"/>
      <c r="F1124" s="1582"/>
      <c r="G1124" s="1582"/>
      <c r="H1124" s="1582"/>
      <c r="I1124" s="1582"/>
      <c r="J1124" s="1582"/>
      <c r="K1124" s="1582"/>
      <c r="L1124" s="1582"/>
      <c r="M1124" s="1582"/>
      <c r="N1124" s="1582"/>
      <c r="O1124" s="1582"/>
      <c r="P1124" s="1582"/>
      <c r="Q1124" s="1582"/>
    </row>
    <row r="1125" spans="1:17">
      <c r="A1125" s="1070"/>
      <c r="B1125" s="1059"/>
      <c r="C1125" s="1065"/>
      <c r="D1125" s="1065"/>
      <c r="E1125" s="1065"/>
      <c r="F1125" s="1065"/>
      <c r="G1125" s="1065"/>
      <c r="H1125" s="1065"/>
      <c r="I1125" s="1065"/>
      <c r="J1125" s="1065"/>
      <c r="K1125" s="1065"/>
      <c r="L1125" s="1065"/>
      <c r="M1125" s="1065"/>
      <c r="Q1125" s="1070"/>
    </row>
    <row r="1126" spans="1:17">
      <c r="A1126" s="1127">
        <v>14</v>
      </c>
      <c r="B1126" s="1127" t="s">
        <v>2859</v>
      </c>
      <c r="C1126" s="1085"/>
      <c r="D1126" s="1065"/>
      <c r="E1126" s="1065"/>
      <c r="F1126" s="1065"/>
      <c r="G1126" s="1065"/>
      <c r="H1126" s="1065"/>
      <c r="I1126" s="1065"/>
      <c r="J1126" s="1065"/>
      <c r="K1126" s="1065"/>
      <c r="L1126" s="1065"/>
      <c r="M1126" s="1065"/>
      <c r="O1126" s="942" t="s">
        <v>1997</v>
      </c>
      <c r="P1126" s="1583">
        <f>'Part VIII-Threshold Criteria'!P217</f>
        <v>0</v>
      </c>
      <c r="Q1126" s="1583"/>
    </row>
    <row r="1127" spans="1:17">
      <c r="B1127" s="567" t="s">
        <v>1264</v>
      </c>
      <c r="N1127" s="832"/>
      <c r="P1127" s="1124" t="str">
        <f>'Part VIII-Threshold Criteria'!P218</f>
        <v>No</v>
      </c>
      <c r="Q1127" s="1124">
        <f>'Part VIII-Threshold Criteria'!Q218</f>
        <v>0</v>
      </c>
    </row>
    <row r="1128" spans="1:17">
      <c r="B1128" s="945" t="s">
        <v>2118</v>
      </c>
      <c r="C1128" s="941" t="s">
        <v>1468</v>
      </c>
      <c r="D1128" s="583"/>
      <c r="E1128" s="583"/>
      <c r="F1128" s="583"/>
      <c r="G1128" s="583"/>
      <c r="H1128" s="583"/>
      <c r="I1128" s="583"/>
      <c r="J1128" s="583"/>
      <c r="K1128" s="583"/>
      <c r="L1128" s="583"/>
      <c r="M1128" s="583"/>
    </row>
    <row r="1129" spans="1:17">
      <c r="B1129" s="945"/>
      <c r="C1129" s="944" t="s">
        <v>1859</v>
      </c>
      <c r="D1129" s="584" t="s">
        <v>2065</v>
      </c>
      <c r="E1129" s="584"/>
      <c r="F1129" s="584"/>
      <c r="G1129" s="584"/>
      <c r="H1129" s="584"/>
      <c r="I1129" s="583"/>
      <c r="K1129" s="944" t="s">
        <v>1588</v>
      </c>
      <c r="L1129" s="1587" t="str">
        <f>'Part VIII-Threshold Criteria'!L220</f>
        <v>Building</v>
      </c>
      <c r="M1129" s="1587"/>
      <c r="Q1129" s="1124">
        <f>'Part VIII-Threshold Criteria'!Q220</f>
        <v>0</v>
      </c>
    </row>
    <row r="1130" spans="1:17" ht="13.5">
      <c r="B1130" s="945"/>
      <c r="C1130" s="944" t="s">
        <v>1860</v>
      </c>
      <c r="D1130" s="1083" t="s">
        <v>2978</v>
      </c>
      <c r="E1130" s="1083"/>
      <c r="F1130" s="1083"/>
      <c r="G1130" s="1083"/>
      <c r="H1130" s="1083"/>
      <c r="I1130" s="583"/>
      <c r="K1130" s="944" t="s">
        <v>1589</v>
      </c>
      <c r="L1130" s="1587" t="str">
        <f>'Part VIII-Threshold Criteria'!L221</f>
        <v>Covered Porch</v>
      </c>
      <c r="M1130" s="1587"/>
      <c r="N1130" s="1588" t="str">
        <f>'Part VIII-Threshold Criteria'!N221</f>
        <v>If "Other", explain here</v>
      </c>
      <c r="O1130" s="1588"/>
      <c r="P1130" s="1588"/>
      <c r="Q1130" s="1124">
        <f>'Part VIII-Threshold Criteria'!Q221</f>
        <v>0</v>
      </c>
    </row>
    <row r="1131" spans="1:17">
      <c r="B1131" s="945"/>
      <c r="C1131" s="944" t="s">
        <v>1861</v>
      </c>
      <c r="D1131" s="1083" t="s">
        <v>591</v>
      </c>
      <c r="E1131" s="1083"/>
      <c r="F1131" s="1083"/>
      <c r="G1131" s="1083"/>
      <c r="H1131" s="1083"/>
      <c r="I1131" s="583"/>
      <c r="K1131" s="944" t="s">
        <v>1590</v>
      </c>
      <c r="L1131" s="1587" t="str">
        <f>'Part VIII-Threshold Criteria'!L222</f>
        <v>On-site laundry</v>
      </c>
      <c r="M1131" s="1587"/>
      <c r="N1131" s="1587"/>
      <c r="Q1131" s="1124">
        <f>'Part VIII-Threshold Criteria'!Q222</f>
        <v>0</v>
      </c>
    </row>
    <row r="1132" spans="1:17">
      <c r="B1132" s="945"/>
      <c r="C1132" s="944"/>
      <c r="D1132" s="584"/>
      <c r="E1132" s="584"/>
      <c r="F1132" s="584"/>
      <c r="G1132" s="584"/>
      <c r="H1132" s="584"/>
      <c r="I1132" s="583"/>
      <c r="J1132" s="583"/>
      <c r="K1132" s="583"/>
      <c r="L1132" s="583"/>
      <c r="M1132" s="583"/>
    </row>
    <row r="1133" spans="1:17">
      <c r="B1133" s="945" t="s">
        <v>2121</v>
      </c>
      <c r="C1133" s="941" t="s">
        <v>2680</v>
      </c>
      <c r="D1133" s="584"/>
      <c r="E1133" s="584"/>
      <c r="F1133" s="584"/>
      <c r="G1133" s="584"/>
      <c r="H1133" s="584"/>
      <c r="I1133" s="584"/>
      <c r="J1133" s="584"/>
      <c r="K1133" s="583"/>
      <c r="L1133" s="583"/>
      <c r="M1133" s="583"/>
      <c r="N1133" s="583"/>
      <c r="O1133" s="944" t="s">
        <v>2121</v>
      </c>
      <c r="P1133" s="1124" t="str">
        <f>'Part VIII-Threshold Criteria'!P224</f>
        <v>Agree</v>
      </c>
      <c r="Q1133" s="1124">
        <f>'Part VIII-Threshold Criteria'!Q224</f>
        <v>0</v>
      </c>
    </row>
    <row r="1134" spans="1:17">
      <c r="B1134" s="945"/>
      <c r="C1134" s="584" t="s">
        <v>3681</v>
      </c>
      <c r="D1134" s="584"/>
      <c r="E1134" s="584"/>
      <c r="F1134" s="584"/>
      <c r="G1134" s="584"/>
      <c r="H1134" s="584"/>
      <c r="I1134" s="584"/>
      <c r="J1134" s="584"/>
      <c r="K1134" s="583"/>
      <c r="L1134" s="583"/>
      <c r="M1134" s="583"/>
      <c r="N1134" s="583"/>
      <c r="O1134" s="583"/>
      <c r="P1134" s="1589" t="s">
        <v>3</v>
      </c>
      <c r="Q1134" s="1589"/>
    </row>
    <row r="1135" spans="1:17">
      <c r="B1135" s="945"/>
      <c r="D1135" s="584" t="s">
        <v>2</v>
      </c>
      <c r="E1135" s="584"/>
      <c r="F1135" s="584"/>
      <c r="G1135" s="584"/>
      <c r="I1135" s="1100" t="s">
        <v>825</v>
      </c>
      <c r="J1135" s="844" t="s">
        <v>826</v>
      </c>
      <c r="L1135" s="584" t="s">
        <v>2980</v>
      </c>
      <c r="M1135" s="583"/>
      <c r="N1135" s="583"/>
      <c r="O1135" s="1100"/>
      <c r="P1135" s="960" t="s">
        <v>825</v>
      </c>
      <c r="Q1135" s="844" t="s">
        <v>826</v>
      </c>
    </row>
    <row r="1136" spans="1:17">
      <c r="A1136" s="583"/>
      <c r="B1136" s="1124"/>
      <c r="C1136" s="944" t="s">
        <v>1859</v>
      </c>
      <c r="D1136" s="1575" t="str">
        <f>'Part VIII-Threshold Criteria'!D227</f>
        <v>Fitness Center</v>
      </c>
      <c r="E1136" s="1575"/>
      <c r="F1136" s="1575"/>
      <c r="G1136" s="1575"/>
      <c r="H1136" s="1575"/>
      <c r="I1136" s="1124">
        <f>'Part VIII-Threshold Criteria'!I227</f>
        <v>0</v>
      </c>
      <c r="J1136" s="1124">
        <f>'Part VIII-Threshold Criteria'!J227</f>
        <v>0</v>
      </c>
      <c r="K1136" s="944" t="s">
        <v>1861</v>
      </c>
      <c r="L1136" s="1575">
        <f>'Part VIII-Threshold Criteria'!L227</f>
        <v>0</v>
      </c>
      <c r="M1136" s="1575"/>
      <c r="N1136" s="1575"/>
      <c r="O1136" s="1575"/>
      <c r="P1136" s="1124">
        <f>'Part VIII-Threshold Criteria'!P227</f>
        <v>0</v>
      </c>
      <c r="Q1136" s="1124">
        <f>'Part VIII-Threshold Criteria'!Q227</f>
        <v>0</v>
      </c>
    </row>
    <row r="1137" spans="1:17">
      <c r="A1137" s="583"/>
      <c r="B1137" s="1124"/>
      <c r="C1137" s="944" t="s">
        <v>1860</v>
      </c>
      <c r="D1137" s="1575" t="str">
        <f>'Part VIII-Threshold Criteria'!D228</f>
        <v>Covered pavillion with BBQ facilities</v>
      </c>
      <c r="E1137" s="1575"/>
      <c r="F1137" s="1575"/>
      <c r="G1137" s="1575"/>
      <c r="H1137" s="1575"/>
      <c r="I1137" s="1124">
        <f>'Part VIII-Threshold Criteria'!I228</f>
        <v>0</v>
      </c>
      <c r="J1137" s="1124">
        <f>'Part VIII-Threshold Criteria'!J228</f>
        <v>0</v>
      </c>
      <c r="K1137" s="944" t="s">
        <v>2519</v>
      </c>
      <c r="L1137" s="1575">
        <f>'Part VIII-Threshold Criteria'!L228</f>
        <v>0</v>
      </c>
      <c r="M1137" s="1575"/>
      <c r="N1137" s="1575"/>
      <c r="O1137" s="1575"/>
      <c r="P1137" s="1124">
        <f>'Part VIII-Threshold Criteria'!P228</f>
        <v>0</v>
      </c>
      <c r="Q1137" s="1124">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5" t="s">
        <v>799</v>
      </c>
      <c r="C1139" s="941" t="s">
        <v>1469</v>
      </c>
      <c r="D1139" s="584"/>
      <c r="E1139" s="584"/>
      <c r="F1139" s="584"/>
      <c r="G1139" s="584"/>
      <c r="H1139" s="584"/>
      <c r="I1139" s="584"/>
      <c r="J1139" s="584"/>
      <c r="K1139" s="583"/>
      <c r="L1139" s="584"/>
      <c r="M1139" s="584"/>
      <c r="O1139" s="944" t="s">
        <v>799</v>
      </c>
      <c r="P1139" s="1124" t="str">
        <f>'Part VIII-Threshold Criteria'!P230</f>
        <v>Agree</v>
      </c>
      <c r="Q1139" s="1124">
        <f>'Part VIII-Threshold Criteria'!Q230</f>
        <v>0</v>
      </c>
    </row>
    <row r="1140" spans="1:17">
      <c r="B1140" s="945"/>
      <c r="C1140" s="944" t="s">
        <v>1859</v>
      </c>
      <c r="D1140" s="584" t="s">
        <v>159</v>
      </c>
      <c r="E1140" s="584"/>
      <c r="F1140" s="584"/>
      <c r="G1140" s="584"/>
      <c r="H1140" s="584"/>
      <c r="I1140" s="583"/>
      <c r="J1140" s="583"/>
      <c r="K1140" s="583"/>
      <c r="L1140" s="583"/>
      <c r="M1140" s="583"/>
      <c r="O1140" s="944" t="s">
        <v>1859</v>
      </c>
      <c r="P1140" s="1124" t="str">
        <f>'Part VIII-Threshold Criteria'!P231</f>
        <v>Yes</v>
      </c>
      <c r="Q1140" s="1124">
        <f>'Part VIII-Threshold Criteria'!Q231</f>
        <v>0</v>
      </c>
    </row>
    <row r="1141" spans="1:17">
      <c r="C1141" s="944" t="s">
        <v>1860</v>
      </c>
      <c r="D1141" s="1083" t="s">
        <v>3270</v>
      </c>
      <c r="E1141" s="1083"/>
      <c r="F1141" s="1083"/>
      <c r="G1141" s="1083"/>
      <c r="H1141" s="1083"/>
      <c r="I1141" s="583"/>
      <c r="J1141" s="583"/>
      <c r="K1141" s="583"/>
      <c r="L1141" s="583"/>
      <c r="M1141" s="583"/>
      <c r="O1141" s="944" t="s">
        <v>1860</v>
      </c>
      <c r="P1141" s="1124" t="str">
        <f>'Part VIII-Threshold Criteria'!P232</f>
        <v>Yes</v>
      </c>
      <c r="Q1141" s="1124">
        <f>'Part VIII-Threshold Criteria'!Q232</f>
        <v>0</v>
      </c>
    </row>
    <row r="1142" spans="1:17">
      <c r="C1142" s="944" t="s">
        <v>1861</v>
      </c>
      <c r="D1142" s="1083" t="s">
        <v>3271</v>
      </c>
      <c r="E1142" s="1083"/>
      <c r="F1142" s="1083"/>
      <c r="G1142" s="1083"/>
      <c r="H1142" s="1083"/>
      <c r="I1142" s="583"/>
      <c r="J1142" s="583"/>
      <c r="K1142" s="583"/>
      <c r="L1142" s="583"/>
      <c r="M1142" s="583"/>
      <c r="O1142" s="944" t="s">
        <v>1861</v>
      </c>
      <c r="P1142" s="1124" t="str">
        <f>'Part VIII-Threshold Criteria'!P233</f>
        <v>Yes</v>
      </c>
      <c r="Q1142" s="1124">
        <f>'Part VIII-Threshold Criteria'!Q233</f>
        <v>0</v>
      </c>
    </row>
    <row r="1143" spans="1:17">
      <c r="B1143" s="945"/>
      <c r="C1143" s="944" t="s">
        <v>2519</v>
      </c>
      <c r="D1143" s="1083" t="s">
        <v>3272</v>
      </c>
      <c r="E1143" s="1083"/>
      <c r="F1143" s="1083"/>
      <c r="G1143" s="1083"/>
      <c r="H1143" s="1083"/>
      <c r="I1143" s="583"/>
      <c r="J1143" s="583"/>
      <c r="K1143" s="583"/>
      <c r="L1143" s="583"/>
      <c r="M1143" s="583"/>
      <c r="O1143" s="944" t="s">
        <v>2519</v>
      </c>
      <c r="P1143" s="1124" t="str">
        <f>'Part VIII-Threshold Criteria'!P234</f>
        <v>Yes</v>
      </c>
      <c r="Q1143" s="1124">
        <f>'Part VIII-Threshold Criteria'!Q234</f>
        <v>0</v>
      </c>
    </row>
    <row r="1144" spans="1:17">
      <c r="B1144" s="945"/>
      <c r="C1144" s="944" t="s">
        <v>1657</v>
      </c>
      <c r="D1144" s="1083" t="s">
        <v>3273</v>
      </c>
      <c r="E1144" s="1083"/>
      <c r="F1144" s="1083"/>
      <c r="G1144" s="1083"/>
      <c r="H1144" s="1083"/>
      <c r="I1144" s="583"/>
      <c r="J1144" s="583"/>
      <c r="K1144" s="583"/>
      <c r="L1144" s="583"/>
      <c r="M1144" s="583"/>
      <c r="O1144" s="944" t="s">
        <v>1657</v>
      </c>
      <c r="P1144" s="1124" t="str">
        <f>'Part VIII-Threshold Criteria'!P235</f>
        <v>Yes</v>
      </c>
      <c r="Q1144" s="1124">
        <f>'Part VIII-Threshold Criteria'!Q235</f>
        <v>0</v>
      </c>
    </row>
    <row r="1145" spans="1:17">
      <c r="B1145" s="945"/>
      <c r="C1145" s="944" t="s">
        <v>1658</v>
      </c>
      <c r="D1145" s="584" t="s">
        <v>827</v>
      </c>
      <c r="E1145" s="584"/>
      <c r="F1145" s="584"/>
      <c r="G1145" s="584"/>
      <c r="H1145" s="584"/>
      <c r="I1145" s="583"/>
      <c r="J1145" s="583"/>
      <c r="K1145" s="583"/>
      <c r="L1145" s="583"/>
      <c r="M1145" s="583"/>
      <c r="O1145" s="944" t="s">
        <v>3256</v>
      </c>
      <c r="P1145" s="1124" t="str">
        <f>'Part VIII-Threshold Criteria'!P236</f>
        <v>Yes</v>
      </c>
      <c r="Q1145" s="1124">
        <f>'Part VIII-Threshold Criteria'!Q236</f>
        <v>0</v>
      </c>
    </row>
    <row r="1146" spans="1:17">
      <c r="B1146" s="945"/>
      <c r="C1146" s="944"/>
      <c r="D1146" s="584" t="s">
        <v>1591</v>
      </c>
      <c r="E1146" s="584"/>
      <c r="F1146" s="584"/>
      <c r="G1146" s="584"/>
      <c r="H1146" s="584"/>
      <c r="I1146" s="583"/>
      <c r="J1146" s="583"/>
      <c r="K1146" s="583"/>
      <c r="L1146" s="583"/>
      <c r="M1146" s="583"/>
      <c r="O1146" s="944" t="s">
        <v>3257</v>
      </c>
      <c r="P1146" s="1124" t="str">
        <f>'Part VIII-Threshold Criteria'!P237</f>
        <v>No</v>
      </c>
      <c r="Q1146" s="1124">
        <f>'Part VIII-Threshold Criteria'!Q237</f>
        <v>0</v>
      </c>
    </row>
    <row r="1147" spans="1:17">
      <c r="B1147" s="945"/>
      <c r="C1147" s="944"/>
      <c r="D1147" s="584"/>
      <c r="E1147" s="584"/>
      <c r="F1147" s="584"/>
      <c r="G1147" s="584"/>
      <c r="H1147" s="584"/>
      <c r="I1147" s="583"/>
      <c r="J1147" s="583"/>
      <c r="K1147" s="583"/>
      <c r="L1147" s="583"/>
      <c r="M1147" s="583"/>
    </row>
    <row r="1148" spans="1:17">
      <c r="B1148" s="945" t="s">
        <v>2253</v>
      </c>
      <c r="C1148" s="941" t="s">
        <v>2893</v>
      </c>
      <c r="D1148" s="584"/>
      <c r="E1148" s="584"/>
      <c r="F1148" s="584"/>
      <c r="G1148" s="584"/>
      <c r="H1148" s="584"/>
      <c r="I1148" s="584"/>
      <c r="J1148" s="584"/>
      <c r="K1148" s="583"/>
      <c r="L1148" s="584"/>
      <c r="M1148" s="584"/>
      <c r="O1148" s="944" t="s">
        <v>2253</v>
      </c>
      <c r="P1148" s="1124">
        <f>'Part VIII-Threshold Criteria'!P239</f>
        <v>0</v>
      </c>
      <c r="Q1148" s="1124">
        <f>'Part VIII-Threshold Criteria'!Q239</f>
        <v>0</v>
      </c>
    </row>
    <row r="1149" spans="1:17">
      <c r="B1149" s="945"/>
      <c r="C1149" s="944" t="s">
        <v>1859</v>
      </c>
      <c r="D1149" s="584" t="s">
        <v>1333</v>
      </c>
      <c r="E1149" s="583"/>
      <c r="F1149" s="583"/>
      <c r="G1149" s="584"/>
      <c r="H1149" s="1083"/>
      <c r="I1149" s="583"/>
      <c r="J1149" s="1083"/>
      <c r="K1149" s="583"/>
      <c r="L1149" s="1083"/>
      <c r="M1149" s="1083"/>
      <c r="O1149" s="944" t="s">
        <v>1859</v>
      </c>
      <c r="P1149" s="1124">
        <f>'Part VIII-Threshold Criteria'!P240</f>
        <v>0</v>
      </c>
      <c r="Q1149" s="1124">
        <f>'Part VIII-Threshold Criteria'!Q240</f>
        <v>0</v>
      </c>
    </row>
    <row r="1150" spans="1:17">
      <c r="B1150" s="945"/>
      <c r="C1150" s="944" t="s">
        <v>1860</v>
      </c>
      <c r="D1150" s="584" t="s">
        <v>152</v>
      </c>
      <c r="E1150" s="583"/>
      <c r="F1150" s="583"/>
      <c r="G1150" s="1083"/>
      <c r="H1150" s="1083"/>
      <c r="I1150" s="583"/>
      <c r="J1150" s="1083"/>
      <c r="K1150" s="583"/>
      <c r="L1150" s="1083"/>
      <c r="M1150" s="1083"/>
      <c r="O1150" s="944" t="s">
        <v>1860</v>
      </c>
      <c r="P1150" s="1124">
        <f>'Part VIII-Threshold Criteria'!P241</f>
        <v>0</v>
      </c>
      <c r="Q1150" s="1124">
        <f>'Part VIII-Threshold Criteria'!Q241</f>
        <v>0</v>
      </c>
    </row>
    <row r="1151" spans="1:17">
      <c r="B1151" s="945"/>
      <c r="C1151" s="944" t="s">
        <v>1861</v>
      </c>
      <c r="D1151" s="1083" t="s">
        <v>1753</v>
      </c>
      <c r="E1151" s="583"/>
      <c r="F1151" s="583"/>
      <c r="G1151" s="1083"/>
      <c r="H1151" s="1083"/>
      <c r="I1151" s="583"/>
      <c r="J1151" s="1083"/>
      <c r="K1151" s="583"/>
      <c r="L1151" s="1083"/>
      <c r="M1151" s="1083"/>
      <c r="O1151" s="944" t="s">
        <v>2525</v>
      </c>
      <c r="P1151" s="1124">
        <f>'Part VIII-Threshold Criteria'!P242</f>
        <v>0</v>
      </c>
      <c r="Q1151" s="1124">
        <f>'Part VIII-Threshold Criteria'!Q242</f>
        <v>0</v>
      </c>
    </row>
    <row r="1152" spans="1:17">
      <c r="B1152" s="584"/>
      <c r="C1152" s="583"/>
      <c r="D1152" s="1083" t="s">
        <v>1371</v>
      </c>
      <c r="E1152" s="583"/>
      <c r="F1152" s="583"/>
      <c r="G1152" s="1083"/>
      <c r="H1152" s="1083"/>
      <c r="I1152" s="583"/>
      <c r="J1152" s="1083"/>
      <c r="K1152" s="583"/>
      <c r="L1152" s="1083"/>
      <c r="M1152" s="1083"/>
      <c r="O1152" s="944" t="s">
        <v>2526</v>
      </c>
      <c r="P1152" s="1124">
        <f>'Part VIII-Threshold Criteria'!P243</f>
        <v>0</v>
      </c>
      <c r="Q1152" s="1124">
        <f>'Part VIII-Threshold Criteria'!Q243</f>
        <v>0</v>
      </c>
    </row>
    <row r="1153" spans="1:17">
      <c r="B1153" s="954" t="s">
        <v>1995</v>
      </c>
      <c r="D1153" s="954"/>
      <c r="E1153" s="954"/>
      <c r="F1153" s="954"/>
      <c r="G1153" s="954"/>
      <c r="H1153" s="1083"/>
      <c r="I1153" s="1059"/>
      <c r="J1153" s="1059"/>
      <c r="K1153" s="1059"/>
      <c r="L1153" s="1070"/>
      <c r="M1153" s="1070"/>
      <c r="N1153" s="1070"/>
      <c r="O1153" s="1070"/>
      <c r="P1153" s="1070"/>
      <c r="Q1153" s="1070"/>
    </row>
    <row r="1154" spans="1:17">
      <c r="A1154" s="1575">
        <f>'Part VIII-Threshold Criteria'!A245</f>
        <v>0</v>
      </c>
      <c r="B1154" s="1575"/>
      <c r="C1154" s="1575"/>
      <c r="D1154" s="1575"/>
      <c r="E1154" s="1575"/>
      <c r="F1154" s="1575"/>
      <c r="G1154" s="1575"/>
      <c r="H1154" s="1575"/>
      <c r="I1154" s="1575"/>
      <c r="J1154" s="1575"/>
      <c r="K1154" s="1575"/>
      <c r="L1154" s="1575"/>
      <c r="M1154" s="1575"/>
      <c r="N1154" s="1575"/>
      <c r="O1154" s="1575"/>
      <c r="P1154" s="1575"/>
      <c r="Q1154" s="1575"/>
    </row>
    <row r="1155" spans="1:17">
      <c r="B1155" s="947" t="s">
        <v>1996</v>
      </c>
      <c r="C1155" s="948"/>
      <c r="D1155" s="1065"/>
      <c r="E1155" s="1065"/>
      <c r="F1155" s="1065"/>
      <c r="G1155" s="1065"/>
      <c r="H1155" s="1065"/>
      <c r="I1155" s="1065"/>
      <c r="J1155" s="1065"/>
      <c r="K1155" s="1065"/>
      <c r="L1155" s="1065"/>
      <c r="M1155" s="1065"/>
      <c r="N1155" s="1065"/>
      <c r="O1155" s="1065"/>
      <c r="P1155" s="1065"/>
      <c r="Q1155" s="1065"/>
    </row>
    <row r="1156" spans="1:17">
      <c r="A1156" s="1582">
        <f>'Part VIII-Threshold Criteria'!A247</f>
        <v>0</v>
      </c>
      <c r="B1156" s="1582"/>
      <c r="C1156" s="1582"/>
      <c r="D1156" s="1582"/>
      <c r="E1156" s="1582"/>
      <c r="F1156" s="1582"/>
      <c r="G1156" s="1582"/>
      <c r="H1156" s="1582"/>
      <c r="I1156" s="1582"/>
      <c r="J1156" s="1582"/>
      <c r="K1156" s="1582"/>
      <c r="L1156" s="1582"/>
      <c r="M1156" s="1582"/>
      <c r="N1156" s="1582"/>
      <c r="O1156" s="1582"/>
      <c r="P1156" s="1582"/>
      <c r="Q1156" s="1582"/>
    </row>
    <row r="1157" spans="1:17">
      <c r="A1157" s="1070"/>
      <c r="B1157" s="1059"/>
      <c r="C1157" s="1065"/>
      <c r="D1157" s="1065"/>
      <c r="E1157" s="1065"/>
      <c r="F1157" s="1065"/>
      <c r="G1157" s="1065"/>
      <c r="H1157" s="1065"/>
      <c r="I1157" s="1065"/>
      <c r="J1157" s="1065"/>
      <c r="K1157" s="1065"/>
      <c r="L1157" s="1065"/>
      <c r="M1157" s="1065"/>
      <c r="Q1157" s="1070"/>
    </row>
    <row r="1158" spans="1:17">
      <c r="A1158" s="1127">
        <v>15</v>
      </c>
      <c r="B1158" s="586" t="s">
        <v>2860</v>
      </c>
      <c r="C1158" s="586"/>
      <c r="D1158" s="941"/>
      <c r="E1158" s="941"/>
      <c r="F1158" s="941"/>
      <c r="G1158" s="941"/>
      <c r="H1158" s="1065"/>
      <c r="I1158" s="1065"/>
      <c r="J1158" s="1065"/>
      <c r="K1158" s="1065"/>
      <c r="L1158" s="1065"/>
      <c r="M1158" s="1065"/>
      <c r="O1158" s="942" t="s">
        <v>1997</v>
      </c>
      <c r="P1158" s="1583">
        <f>'Part VIII-Threshold Criteria'!P249</f>
        <v>0</v>
      </c>
      <c r="Q1158" s="1583"/>
    </row>
    <row r="1160" spans="1:17">
      <c r="B1160" s="945" t="s">
        <v>2118</v>
      </c>
      <c r="C1160" s="584" t="s">
        <v>1348</v>
      </c>
      <c r="D1160" s="583"/>
      <c r="E1160" s="584"/>
      <c r="F1160" s="584"/>
      <c r="G1160" s="584"/>
      <c r="H1160" s="584"/>
      <c r="I1160" s="583"/>
      <c r="J1160" s="583"/>
      <c r="K1160" s="583"/>
      <c r="L1160" s="944" t="s">
        <v>2118</v>
      </c>
      <c r="M1160" s="1587" t="str">
        <f>'Part VIII-Threshold Criteria'!M251</f>
        <v>Substantial Gut Rehab</v>
      </c>
      <c r="N1160" s="1587"/>
      <c r="O1160" s="1587"/>
      <c r="P1160" s="1587" t="str">
        <f>'Part VIII-Threshold Criteria'!P251</f>
        <v>&lt;&lt;Select&gt;&gt;</v>
      </c>
      <c r="Q1160" s="1587"/>
    </row>
    <row r="1161" spans="1:17">
      <c r="B1161" s="945" t="s">
        <v>2121</v>
      </c>
      <c r="C1161" s="584" t="s">
        <v>3274</v>
      </c>
      <c r="D1161" s="584"/>
      <c r="E1161" s="584"/>
      <c r="F1161" s="584"/>
      <c r="G1161" s="584"/>
      <c r="H1161" s="584"/>
      <c r="I1161" s="583"/>
      <c r="J1161" s="583"/>
      <c r="K1161" s="583"/>
      <c r="L1161" s="944" t="s">
        <v>2121</v>
      </c>
      <c r="M1161" s="1606">
        <f>'Part VIII-Threshold Criteria'!M252</f>
        <v>41745</v>
      </c>
      <c r="N1161" s="1606"/>
      <c r="O1161" s="1606"/>
      <c r="P1161" s="1606">
        <f>'Part VIII-Threshold Criteria'!P252</f>
        <v>0</v>
      </c>
      <c r="Q1161" s="1606"/>
    </row>
    <row r="1162" spans="1:17">
      <c r="B1162" s="945" t="s">
        <v>799</v>
      </c>
      <c r="C1162" s="584" t="s">
        <v>2079</v>
      </c>
      <c r="D1162" s="584"/>
      <c r="E1162" s="584"/>
      <c r="F1162" s="584"/>
      <c r="G1162" s="584"/>
      <c r="H1162" s="584"/>
      <c r="I1162" s="583"/>
      <c r="J1162" s="583"/>
      <c r="K1162" s="583"/>
      <c r="L1162" s="944" t="s">
        <v>799</v>
      </c>
      <c r="M1162" s="1587" t="str">
        <f>'Part VIII-Threshold Criteria'!M253</f>
        <v>Newbanks, Inc.</v>
      </c>
      <c r="N1162" s="1587"/>
      <c r="O1162" s="1587"/>
      <c r="P1162" s="1587">
        <f>'Part VIII-Threshold Criteria'!P253</f>
        <v>0</v>
      </c>
      <c r="Q1162" s="1587"/>
    </row>
    <row r="1163" spans="1:17">
      <c r="B1163" s="945" t="s">
        <v>2253</v>
      </c>
      <c r="C1163" s="584" t="s">
        <v>2725</v>
      </c>
      <c r="D1163" s="584"/>
      <c r="E1163" s="584"/>
      <c r="F1163" s="584"/>
      <c r="G1163" s="584"/>
      <c r="H1163" s="584"/>
      <c r="I1163" s="583"/>
      <c r="J1163" s="583"/>
      <c r="K1163" s="583"/>
      <c r="L1163" s="583"/>
      <c r="M1163" s="583"/>
      <c r="O1163" s="944" t="s">
        <v>2253</v>
      </c>
      <c r="P1163" s="1124" t="str">
        <f>'Part VIII-Threshold Criteria'!P254</f>
        <v>Yes</v>
      </c>
      <c r="Q1163" s="1124">
        <f>'Part VIII-Threshold Criteria'!Q254</f>
        <v>0</v>
      </c>
    </row>
    <row r="1164" spans="1:17">
      <c r="B1164" s="943" t="s">
        <v>1857</v>
      </c>
      <c r="C1164" s="1575" t="s">
        <v>3682</v>
      </c>
      <c r="D1164" s="1575"/>
      <c r="E1164" s="1575"/>
      <c r="F1164" s="1575"/>
      <c r="G1164" s="1575"/>
      <c r="H1164" s="1575"/>
      <c r="I1164" s="1575"/>
      <c r="J1164" s="1575"/>
      <c r="K1164" s="1575"/>
      <c r="L1164" s="1575"/>
      <c r="M1164" s="1575"/>
      <c r="N1164" s="1575"/>
      <c r="O1164" s="956" t="s">
        <v>1857</v>
      </c>
      <c r="P1164" s="1124" t="str">
        <f>'Part VIII-Threshold Criteria'!P255</f>
        <v>Agree</v>
      </c>
      <c r="Q1164" s="1124">
        <f>'Part VIII-Threshold Criteria'!Q255</f>
        <v>0</v>
      </c>
    </row>
    <row r="1165" spans="1:17">
      <c r="B1165" s="954" t="s">
        <v>1995</v>
      </c>
      <c r="D1165" s="954"/>
      <c r="E1165" s="954"/>
      <c r="F1165" s="954"/>
      <c r="G1165" s="954"/>
      <c r="H1165" s="1083"/>
      <c r="I1165" s="1059"/>
      <c r="J1165" s="1059"/>
      <c r="K1165" s="1059"/>
      <c r="L1165" s="1070"/>
      <c r="M1165" s="1070"/>
      <c r="N1165" s="1070"/>
      <c r="O1165" s="1070"/>
      <c r="P1165" s="1070"/>
      <c r="Q1165" s="1070"/>
    </row>
    <row r="1166" spans="1:17">
      <c r="A1166" s="1575">
        <f>'Part VIII-Threshold Criteria'!A257</f>
        <v>0</v>
      </c>
      <c r="B1166" s="1575"/>
      <c r="C1166" s="1575"/>
      <c r="D1166" s="1575"/>
      <c r="E1166" s="1575"/>
      <c r="F1166" s="1575"/>
      <c r="G1166" s="1575"/>
      <c r="H1166" s="1575"/>
      <c r="I1166" s="1575"/>
      <c r="J1166" s="1575"/>
      <c r="K1166" s="1575"/>
      <c r="L1166" s="1575"/>
      <c r="M1166" s="1575"/>
      <c r="N1166" s="1575"/>
      <c r="O1166" s="1575"/>
      <c r="P1166" s="1575"/>
      <c r="Q1166" s="1575"/>
    </row>
    <row r="1167" spans="1:17">
      <c r="B1167" s="947" t="s">
        <v>1996</v>
      </c>
      <c r="C1167" s="948"/>
      <c r="D1167" s="1065"/>
      <c r="E1167" s="1065"/>
      <c r="F1167" s="1065"/>
      <c r="G1167" s="1065"/>
      <c r="H1167" s="1065"/>
      <c r="I1167" s="1065"/>
      <c r="J1167" s="1065"/>
      <c r="K1167" s="1065"/>
      <c r="L1167" s="1065"/>
      <c r="M1167" s="1065"/>
      <c r="N1167" s="1065"/>
      <c r="O1167" s="1065"/>
      <c r="P1167" s="1065"/>
      <c r="Q1167" s="1065"/>
    </row>
    <row r="1168" spans="1:17">
      <c r="A1168" s="1582">
        <f>'Part VIII-Threshold Criteria'!A259</f>
        <v>0</v>
      </c>
      <c r="B1168" s="1582"/>
      <c r="C1168" s="1582"/>
      <c r="D1168" s="1582"/>
      <c r="E1168" s="1582"/>
      <c r="F1168" s="1582"/>
      <c r="G1168" s="1582"/>
      <c r="H1168" s="1582"/>
      <c r="I1168" s="1582"/>
      <c r="J1168" s="1582"/>
      <c r="K1168" s="1582"/>
      <c r="L1168" s="1582"/>
      <c r="M1168" s="1582"/>
      <c r="N1168" s="1582"/>
      <c r="O1168" s="1582"/>
      <c r="P1168" s="1582"/>
      <c r="Q1168" s="1582"/>
    </row>
    <row r="1169" spans="1:17">
      <c r="A1169" s="1070"/>
      <c r="B1169" s="1059"/>
      <c r="C1169" s="1065"/>
      <c r="D1169" s="1065"/>
      <c r="E1169" s="1065"/>
      <c r="F1169" s="1065"/>
      <c r="G1169" s="1065"/>
      <c r="H1169" s="1065"/>
      <c r="I1169" s="1065"/>
      <c r="J1169" s="1065"/>
      <c r="K1169" s="1065"/>
      <c r="L1169" s="1065"/>
      <c r="M1169" s="1065"/>
      <c r="Q1169" s="1070"/>
    </row>
    <row r="1170" spans="1:17">
      <c r="A1170" s="1127">
        <v>16</v>
      </c>
      <c r="B1170" s="586" t="s">
        <v>2861</v>
      </c>
      <c r="C1170" s="586"/>
      <c r="D1170" s="941"/>
      <c r="E1170" s="941"/>
      <c r="F1170" s="941"/>
      <c r="G1170" s="941"/>
      <c r="H1170" s="1065"/>
      <c r="I1170" s="1065"/>
      <c r="J1170" s="1065"/>
      <c r="K1170" s="1065"/>
      <c r="L1170" s="1065"/>
      <c r="M1170" s="1065"/>
      <c r="O1170" s="942" t="s">
        <v>1997</v>
      </c>
      <c r="P1170" s="1583">
        <f>'Part VIII-Threshold Criteria'!P261</f>
        <v>0</v>
      </c>
      <c r="Q1170" s="1583"/>
    </row>
    <row r="1172" spans="1:17">
      <c r="A1172" s="1074"/>
      <c r="B1172" s="943" t="s">
        <v>2118</v>
      </c>
      <c r="C1172" s="1575" t="s">
        <v>3275</v>
      </c>
      <c r="D1172" s="1575"/>
      <c r="E1172" s="1575"/>
      <c r="F1172" s="1575"/>
      <c r="G1172" s="1575"/>
      <c r="H1172" s="1575"/>
      <c r="I1172" s="1575"/>
      <c r="J1172" s="1575"/>
      <c r="K1172" s="1575"/>
      <c r="L1172" s="1575"/>
      <c r="M1172" s="1575"/>
      <c r="N1172" s="1575"/>
      <c r="O1172" s="956" t="s">
        <v>2118</v>
      </c>
      <c r="P1172" s="1124" t="str">
        <f>'Part VIII-Threshold Criteria'!P263</f>
        <v>Yes</v>
      </c>
      <c r="Q1172" s="1124">
        <f>'Part VIII-Threshold Criteria'!Q263</f>
        <v>0</v>
      </c>
    </row>
    <row r="1173" spans="1:17">
      <c r="B1173" s="945" t="s">
        <v>2121</v>
      </c>
      <c r="C1173" s="584" t="s">
        <v>1495</v>
      </c>
      <c r="D1173" s="584"/>
      <c r="E1173" s="584"/>
      <c r="F1173" s="584"/>
      <c r="G1173" s="584"/>
      <c r="H1173" s="584"/>
      <c r="I1173" s="584"/>
      <c r="J1173" s="584"/>
      <c r="K1173" s="584"/>
      <c r="L1173" s="584"/>
      <c r="M1173" s="584"/>
      <c r="O1173" s="944" t="s">
        <v>2121</v>
      </c>
      <c r="P1173" s="1124" t="str">
        <f>'Part VIII-Threshold Criteria'!P264</f>
        <v>Yes</v>
      </c>
      <c r="Q1173" s="1124">
        <f>'Part VIII-Threshold Criteria'!Q264</f>
        <v>0</v>
      </c>
    </row>
    <row r="1174" spans="1:17">
      <c r="B1174" s="954" t="s">
        <v>1995</v>
      </c>
      <c r="D1174" s="954"/>
      <c r="E1174" s="954"/>
      <c r="F1174" s="954"/>
      <c r="G1174" s="954"/>
      <c r="H1174" s="1083"/>
      <c r="I1174" s="1059"/>
      <c r="J1174" s="1059"/>
      <c r="K1174" s="1059"/>
      <c r="L1174" s="1070"/>
      <c r="M1174" s="1070"/>
      <c r="N1174" s="1070"/>
      <c r="O1174" s="1070"/>
      <c r="P1174" s="1070"/>
      <c r="Q1174" s="1070"/>
    </row>
    <row r="1175" spans="1:17">
      <c r="A1175" s="1575">
        <f>'Part VIII-Threshold Criteria'!A266</f>
        <v>0</v>
      </c>
      <c r="B1175" s="1575"/>
      <c r="C1175" s="1575"/>
      <c r="D1175" s="1575"/>
      <c r="E1175" s="1575"/>
      <c r="F1175" s="1575"/>
      <c r="G1175" s="1575"/>
      <c r="H1175" s="1575"/>
      <c r="I1175" s="1575"/>
      <c r="J1175" s="1575"/>
      <c r="K1175" s="1575"/>
      <c r="L1175" s="1575"/>
      <c r="M1175" s="1575"/>
      <c r="N1175" s="1575"/>
      <c r="O1175" s="1575"/>
      <c r="P1175" s="1575"/>
      <c r="Q1175" s="1575"/>
    </row>
    <row r="1176" spans="1:17">
      <c r="B1176" s="947" t="s">
        <v>1996</v>
      </c>
      <c r="C1176" s="948"/>
      <c r="D1176" s="1065"/>
      <c r="E1176" s="1065"/>
      <c r="F1176" s="1065"/>
      <c r="G1176" s="1065"/>
      <c r="H1176" s="1065"/>
      <c r="I1176" s="1065"/>
      <c r="J1176" s="1065"/>
      <c r="K1176" s="1065"/>
      <c r="L1176" s="1065"/>
      <c r="M1176" s="1065"/>
      <c r="N1176" s="1065"/>
      <c r="O1176" s="1065"/>
      <c r="P1176" s="1065"/>
      <c r="Q1176" s="1065"/>
    </row>
    <row r="1177" spans="1:17">
      <c r="A1177" s="1582">
        <f>'Part VIII-Threshold Criteria'!A268</f>
        <v>0</v>
      </c>
      <c r="B1177" s="1582"/>
      <c r="C1177" s="1582"/>
      <c r="D1177" s="1582"/>
      <c r="E1177" s="1582"/>
      <c r="F1177" s="1582"/>
      <c r="G1177" s="1582"/>
      <c r="H1177" s="1582"/>
      <c r="I1177" s="1582"/>
      <c r="J1177" s="1582"/>
      <c r="K1177" s="1582"/>
      <c r="L1177" s="1582"/>
      <c r="M1177" s="1582"/>
      <c r="N1177" s="1582"/>
      <c r="O1177" s="1582"/>
      <c r="P1177" s="1582"/>
      <c r="Q1177" s="1582"/>
    </row>
    <row r="1178" spans="1:17">
      <c r="A1178" s="1070"/>
      <c r="B1178" s="1059"/>
      <c r="C1178" s="1065"/>
      <c r="D1178" s="1065"/>
      <c r="E1178" s="1065"/>
      <c r="F1178" s="1065"/>
      <c r="G1178" s="1065"/>
      <c r="H1178" s="1065"/>
      <c r="I1178" s="1065"/>
      <c r="J1178" s="1065"/>
      <c r="K1178" s="1065"/>
      <c r="L1178" s="1065"/>
      <c r="M1178" s="1065"/>
      <c r="N1178" s="1065"/>
      <c r="O1178" s="1065"/>
      <c r="P1178" s="942"/>
      <c r="Q1178" s="1070"/>
    </row>
    <row r="1179" spans="1:17">
      <c r="A1179" s="1127">
        <v>17</v>
      </c>
      <c r="B1179" s="1127" t="s">
        <v>2862</v>
      </c>
      <c r="C1179" s="1127"/>
      <c r="D1179" s="1065"/>
      <c r="E1179" s="1065"/>
      <c r="F1179" s="1065"/>
      <c r="G1179" s="1065"/>
      <c r="H1179" s="1065"/>
      <c r="I1179" s="1065"/>
      <c r="J1179" s="1065"/>
      <c r="K1179" s="1065"/>
      <c r="L1179" s="1065"/>
      <c r="M1179" s="1065"/>
      <c r="O1179" s="942" t="s">
        <v>1997</v>
      </c>
      <c r="P1179" s="1583">
        <f>'Part VIII-Threshold Criteria'!P270</f>
        <v>0</v>
      </c>
      <c r="Q1179" s="1583"/>
    </row>
    <row r="1181" spans="1:17">
      <c r="A1181" s="1074"/>
      <c r="B1181" s="943" t="s">
        <v>2118</v>
      </c>
      <c r="C1181" s="1581" t="s">
        <v>3276</v>
      </c>
      <c r="D1181" s="1605"/>
      <c r="E1181" s="1605"/>
      <c r="F1181" s="1605"/>
      <c r="G1181" s="1605"/>
      <c r="H1181" s="1605"/>
      <c r="I1181" s="1605"/>
      <c r="J1181" s="1605"/>
      <c r="K1181" s="1605"/>
      <c r="L1181" s="1605"/>
      <c r="M1181" s="1605"/>
      <c r="N1181" s="1605"/>
      <c r="O1181" s="956" t="s">
        <v>2118</v>
      </c>
      <c r="P1181" s="1124" t="str">
        <f>'Part VIII-Threshold Criteria'!P272</f>
        <v>Agree</v>
      </c>
      <c r="Q1181" s="1124">
        <f>'Part VIII-Threshold Criteria'!Q272</f>
        <v>0</v>
      </c>
    </row>
    <row r="1182" spans="1:17">
      <c r="A1182" s="1074"/>
      <c r="B1182" s="943" t="s">
        <v>2121</v>
      </c>
      <c r="C1182" s="1581" t="s">
        <v>3277</v>
      </c>
      <c r="D1182" s="1605"/>
      <c r="E1182" s="1605"/>
      <c r="F1182" s="1605"/>
      <c r="G1182" s="1605"/>
      <c r="H1182" s="1605"/>
      <c r="I1182" s="1605"/>
      <c r="J1182" s="1605"/>
      <c r="K1182" s="1605"/>
      <c r="L1182" s="1605"/>
      <c r="M1182" s="1605"/>
      <c r="N1182" s="1605"/>
      <c r="O1182" s="956" t="s">
        <v>2121</v>
      </c>
      <c r="P1182" s="1124" t="str">
        <f>'Part VIII-Threshold Criteria'!P273</f>
        <v>Agree</v>
      </c>
      <c r="Q1182" s="1124">
        <f>'Part VIII-Threshold Criteria'!Q273</f>
        <v>0</v>
      </c>
    </row>
    <row r="1183" spans="1:17">
      <c r="B1183" s="954" t="s">
        <v>1995</v>
      </c>
      <c r="D1183" s="954"/>
      <c r="E1183" s="954"/>
      <c r="F1183" s="954"/>
      <c r="G1183" s="954"/>
      <c r="H1183" s="1083"/>
      <c r="I1183" s="1059"/>
      <c r="J1183" s="1059"/>
      <c r="K1183" s="1059"/>
      <c r="L1183" s="1070"/>
      <c r="M1183" s="1070"/>
      <c r="N1183" s="1070"/>
      <c r="O1183" s="1070"/>
      <c r="P1183" s="1070"/>
      <c r="Q1183" s="1070"/>
    </row>
    <row r="1184" spans="1:17">
      <c r="A1184" s="1575">
        <f>'Part VIII-Threshold Criteria'!A275</f>
        <v>0</v>
      </c>
      <c r="B1184" s="1575"/>
      <c r="C1184" s="1575"/>
      <c r="D1184" s="1575"/>
      <c r="E1184" s="1575"/>
      <c r="F1184" s="1575"/>
      <c r="G1184" s="1575"/>
      <c r="H1184" s="1575"/>
      <c r="I1184" s="1575"/>
      <c r="J1184" s="1575"/>
      <c r="K1184" s="1575"/>
      <c r="L1184" s="1575"/>
      <c r="M1184" s="1575"/>
      <c r="N1184" s="1575"/>
      <c r="O1184" s="1575"/>
      <c r="P1184" s="1575"/>
      <c r="Q1184" s="1575"/>
    </row>
    <row r="1185" spans="1:17">
      <c r="B1185" s="947" t="s">
        <v>1996</v>
      </c>
      <c r="C1185" s="948"/>
      <c r="D1185" s="1065"/>
      <c r="E1185" s="1065"/>
      <c r="F1185" s="1065"/>
      <c r="G1185" s="1065"/>
      <c r="H1185" s="1065"/>
      <c r="I1185" s="1065"/>
      <c r="J1185" s="1065"/>
      <c r="K1185" s="1065"/>
      <c r="L1185" s="1065"/>
      <c r="M1185" s="1065"/>
      <c r="N1185" s="1065"/>
      <c r="O1185" s="1065"/>
      <c r="P1185" s="1065"/>
      <c r="Q1185" s="1065"/>
    </row>
    <row r="1186" spans="1:17">
      <c r="A1186" s="1582">
        <f>'Part VIII-Threshold Criteria'!A277</f>
        <v>0</v>
      </c>
      <c r="B1186" s="1582"/>
      <c r="C1186" s="1582"/>
      <c r="D1186" s="1582"/>
      <c r="E1186" s="1582"/>
      <c r="F1186" s="1582"/>
      <c r="G1186" s="1582"/>
      <c r="H1186" s="1582"/>
      <c r="I1186" s="1582"/>
      <c r="J1186" s="1582"/>
      <c r="K1186" s="1582"/>
      <c r="L1186" s="1582"/>
      <c r="M1186" s="1582"/>
      <c r="N1186" s="1582"/>
      <c r="O1186" s="1582"/>
      <c r="P1186" s="1582"/>
      <c r="Q1186" s="1582"/>
    </row>
    <row r="1187" spans="1:17">
      <c r="A1187" s="1070"/>
      <c r="B1187" s="1059"/>
      <c r="C1187" s="1065"/>
      <c r="D1187" s="1065"/>
      <c r="E1187" s="1065"/>
      <c r="F1187" s="1065"/>
      <c r="G1187" s="1065"/>
      <c r="H1187" s="1065"/>
      <c r="I1187" s="1065"/>
      <c r="J1187" s="1065"/>
      <c r="K1187" s="1065"/>
      <c r="L1187" s="1065"/>
      <c r="M1187" s="1065"/>
      <c r="Q1187" s="1070"/>
    </row>
    <row r="1188" spans="1:17">
      <c r="A1188" s="1127">
        <v>18</v>
      </c>
      <c r="B1188" s="1127" t="s">
        <v>2863</v>
      </c>
      <c r="C1188" s="961"/>
      <c r="D1188" s="1131"/>
      <c r="E1188" s="1065"/>
      <c r="F1188" s="1065"/>
      <c r="G1188" s="1065"/>
      <c r="H1188" s="1065"/>
      <c r="I1188" s="1065"/>
      <c r="J1188" s="1065"/>
      <c r="K1188" s="1065"/>
      <c r="L1188" s="1065"/>
      <c r="M1188" s="1065"/>
      <c r="O1188" s="942" t="s">
        <v>1997</v>
      </c>
      <c r="P1188" s="1583">
        <f>'Part VIII-Threshold Criteria'!P279</f>
        <v>0</v>
      </c>
      <c r="Q1188" s="1583"/>
    </row>
    <row r="1189" spans="1:17">
      <c r="B1189" s="943" t="s">
        <v>2118</v>
      </c>
      <c r="C1189" s="956" t="s">
        <v>1859</v>
      </c>
      <c r="D1189" s="1581" t="s">
        <v>3278</v>
      </c>
      <c r="E1189" s="1581"/>
      <c r="F1189" s="1581"/>
      <c r="G1189" s="1581"/>
      <c r="H1189" s="1581"/>
      <c r="I1189" s="1581"/>
      <c r="J1189" s="1581"/>
      <c r="K1189" s="1581"/>
      <c r="L1189" s="1581"/>
      <c r="M1189" s="1581"/>
      <c r="N1189" s="1581"/>
      <c r="O1189" s="956" t="s">
        <v>2983</v>
      </c>
      <c r="P1189" s="1124" t="str">
        <f>'Part VIII-Threshold Criteria'!P280</f>
        <v>Yes</v>
      </c>
      <c r="Q1189" s="1124">
        <f>'Part VIII-Threshold Criteria'!Q280</f>
        <v>0</v>
      </c>
    </row>
    <row r="1190" spans="1:17">
      <c r="A1190" s="583"/>
      <c r="B1190" s="945"/>
      <c r="C1190" s="944" t="s">
        <v>1860</v>
      </c>
      <c r="D1190" s="1604" t="s">
        <v>3279</v>
      </c>
      <c r="E1190" s="1604"/>
      <c r="F1190" s="1604"/>
      <c r="G1190" s="1604"/>
      <c r="H1190" s="1604"/>
      <c r="I1190" s="1604"/>
      <c r="J1190" s="1604"/>
      <c r="K1190" s="1604"/>
      <c r="L1190" s="1604"/>
      <c r="M1190" s="1604"/>
      <c r="N1190" s="1604"/>
      <c r="O1190" s="944" t="s">
        <v>1860</v>
      </c>
      <c r="P1190" s="1124" t="str">
        <f>'Part VIII-Threshold Criteria'!P281</f>
        <v>Yes</v>
      </c>
      <c r="Q1190" s="1124">
        <f>'Part VIII-Threshold Criteria'!Q281</f>
        <v>0</v>
      </c>
    </row>
    <row r="1191" spans="1:17">
      <c r="A1191" s="583"/>
      <c r="B1191" s="943" t="s">
        <v>2121</v>
      </c>
      <c r="C1191" s="956" t="s">
        <v>1859</v>
      </c>
      <c r="D1191" s="1581" t="s">
        <v>2981</v>
      </c>
      <c r="E1191" s="1581"/>
      <c r="F1191" s="1581"/>
      <c r="G1191" s="1581"/>
      <c r="H1191" s="1581"/>
      <c r="I1191" s="1581"/>
      <c r="J1191" s="1581"/>
      <c r="K1191" s="1581"/>
      <c r="L1191" s="1581"/>
      <c r="M1191" s="1581"/>
      <c r="N1191" s="1581"/>
      <c r="O1191" s="944" t="s">
        <v>2984</v>
      </c>
      <c r="P1191" s="1124" t="str">
        <f>'Part VIII-Threshold Criteria'!P282</f>
        <v>Yes</v>
      </c>
      <c r="Q1191" s="1124">
        <f>'Part VIII-Threshold Criteria'!Q282</f>
        <v>0</v>
      </c>
    </row>
    <row r="1192" spans="1:17">
      <c r="A1192" s="583"/>
      <c r="B1192" s="943"/>
      <c r="C1192" s="956" t="s">
        <v>1860</v>
      </c>
      <c r="D1192" s="1581" t="s">
        <v>2982</v>
      </c>
      <c r="E1192" s="1581"/>
      <c r="F1192" s="1581"/>
      <c r="G1192" s="1581"/>
      <c r="H1192" s="1581"/>
      <c r="I1192" s="1581"/>
      <c r="J1192" s="1581"/>
      <c r="K1192" s="1581"/>
      <c r="L1192" s="1581"/>
      <c r="M1192" s="1581"/>
      <c r="N1192" s="1581"/>
      <c r="O1192" s="944" t="s">
        <v>3280</v>
      </c>
      <c r="P1192" s="1124" t="str">
        <f>'Part VIII-Threshold Criteria'!P283</f>
        <v>Yes</v>
      </c>
      <c r="Q1192" s="1124">
        <f>'Part VIII-Threshold Criteria'!Q283</f>
        <v>0</v>
      </c>
    </row>
    <row r="1193" spans="1:17">
      <c r="A1193" s="1074"/>
      <c r="B1193" s="943" t="s">
        <v>799</v>
      </c>
      <c r="C1193" s="956"/>
      <c r="D1193" s="1581" t="s">
        <v>3395</v>
      </c>
      <c r="E1193" s="1581"/>
      <c r="F1193" s="1581"/>
      <c r="G1193" s="1581"/>
      <c r="H1193" s="1581"/>
      <c r="I1193" s="1581"/>
      <c r="J1193" s="1581"/>
      <c r="K1193" s="1581"/>
      <c r="L1193" s="1581"/>
      <c r="M1193" s="1581"/>
      <c r="N1193" s="1581"/>
      <c r="O1193" s="956" t="s">
        <v>799</v>
      </c>
      <c r="P1193" s="1124" t="str">
        <f>'Part VIII-Threshold Criteria'!P284</f>
        <v>Yes</v>
      </c>
      <c r="Q1193" s="1124">
        <f>'Part VIII-Threshold Criteria'!Q284</f>
        <v>0</v>
      </c>
    </row>
    <row r="1194" spans="1:17">
      <c r="B1194" s="954" t="s">
        <v>1995</v>
      </c>
      <c r="D1194" s="954"/>
      <c r="E1194" s="954"/>
      <c r="F1194" s="954"/>
      <c r="G1194" s="954"/>
      <c r="H1194" s="1083"/>
      <c r="I1194" s="1059"/>
      <c r="J1194" s="1059"/>
      <c r="K1194" s="1059"/>
      <c r="L1194" s="1070"/>
      <c r="M1194" s="1070"/>
      <c r="N1194" s="1070"/>
      <c r="O1194" s="1070"/>
      <c r="P1194" s="1070"/>
      <c r="Q1194" s="1070"/>
    </row>
    <row r="1195" spans="1:17">
      <c r="A1195" s="1575">
        <f>'Part VIII-Threshold Criteria'!A286</f>
        <v>0</v>
      </c>
      <c r="B1195" s="1575"/>
      <c r="C1195" s="1575"/>
      <c r="D1195" s="1575"/>
      <c r="E1195" s="1575"/>
      <c r="F1195" s="1575"/>
      <c r="G1195" s="1575"/>
      <c r="H1195" s="1575"/>
      <c r="I1195" s="1575"/>
      <c r="J1195" s="1575"/>
      <c r="K1195" s="1575"/>
      <c r="L1195" s="1575"/>
      <c r="M1195" s="1575"/>
      <c r="N1195" s="1575"/>
      <c r="O1195" s="1575"/>
      <c r="P1195" s="1575"/>
      <c r="Q1195" s="1575"/>
    </row>
    <row r="1196" spans="1:17">
      <c r="B1196" s="947" t="s">
        <v>1996</v>
      </c>
      <c r="C1196" s="948"/>
      <c r="D1196" s="1065"/>
      <c r="E1196" s="1065"/>
      <c r="F1196" s="1065"/>
      <c r="G1196" s="1065"/>
      <c r="H1196" s="1065"/>
      <c r="I1196" s="1065"/>
      <c r="J1196" s="1065"/>
      <c r="K1196" s="1065"/>
      <c r="L1196" s="1065"/>
      <c r="M1196" s="1065"/>
      <c r="N1196" s="1065"/>
      <c r="O1196" s="1065"/>
      <c r="P1196" s="1065"/>
      <c r="Q1196" s="1065"/>
    </row>
    <row r="1197" spans="1:17">
      <c r="A1197" s="1582">
        <f>'Part VIII-Threshold Criteria'!A288</f>
        <v>0</v>
      </c>
      <c r="B1197" s="1582"/>
      <c r="C1197" s="1582"/>
      <c r="D1197" s="1582"/>
      <c r="E1197" s="1582"/>
      <c r="F1197" s="1582"/>
      <c r="G1197" s="1582"/>
      <c r="H1197" s="1582"/>
      <c r="I1197" s="1582"/>
      <c r="J1197" s="1582"/>
      <c r="K1197" s="1582"/>
      <c r="L1197" s="1582"/>
      <c r="M1197" s="1582"/>
      <c r="N1197" s="1582"/>
      <c r="O1197" s="1582"/>
      <c r="P1197" s="1582"/>
      <c r="Q1197" s="1582"/>
    </row>
    <row r="1198" spans="1:17">
      <c r="A1198" s="1127">
        <v>19</v>
      </c>
      <c r="B1198" s="586" t="s">
        <v>2864</v>
      </c>
      <c r="C1198" s="586"/>
      <c r="D1198" s="586"/>
      <c r="E1198" s="586"/>
      <c r="F1198" s="586"/>
      <c r="G1198" s="586"/>
      <c r="H1198" s="1065"/>
      <c r="I1198" s="1065"/>
      <c r="J1198" s="1065"/>
      <c r="K1198" s="1065"/>
      <c r="L1198" s="1065"/>
      <c r="M1198" s="1065"/>
      <c r="O1198" s="942" t="s">
        <v>1997</v>
      </c>
      <c r="P1198" s="1583">
        <f>'Part VIII-Threshold Criteria'!P289</f>
        <v>0</v>
      </c>
      <c r="Q1198" s="1583"/>
    </row>
    <row r="1199" spans="1:17">
      <c r="B1199" s="567" t="s">
        <v>2400</v>
      </c>
      <c r="P1199" s="1124" t="str">
        <f>'Part VIII-Threshold Criteria'!P290</f>
        <v>Yes</v>
      </c>
      <c r="Q1199" s="1124">
        <f>'Part VIII-Threshold Criteria'!Q290</f>
        <v>0</v>
      </c>
    </row>
    <row r="1200" spans="1:17">
      <c r="B1200" s="1077" t="s">
        <v>2354</v>
      </c>
      <c r="C1200" s="1077"/>
      <c r="D1200" s="1077"/>
      <c r="E1200" s="1077"/>
      <c r="F1200" s="1077"/>
      <c r="G1200" s="1077"/>
      <c r="H1200" s="1077"/>
      <c r="I1200" s="1077"/>
      <c r="J1200" s="1077"/>
      <c r="K1200" s="1077"/>
      <c r="L1200" s="1077"/>
      <c r="P1200" s="1124" t="str">
        <f>'Part VIII-Threshold Criteria'!P291</f>
        <v>Yes</v>
      </c>
      <c r="Q1200" s="1124">
        <f>'Part VIII-Threshold Criteria'!Q291</f>
        <v>0</v>
      </c>
    </row>
    <row r="1201" spans="1:17">
      <c r="B1201" s="943" t="s">
        <v>2118</v>
      </c>
      <c r="C1201" s="1085" t="s">
        <v>3683</v>
      </c>
      <c r="D1201" s="1083"/>
      <c r="E1201" s="1083"/>
      <c r="F1201" s="1083"/>
      <c r="G1201" s="1083"/>
      <c r="H1201" s="1083"/>
      <c r="I1201" s="1083"/>
      <c r="J1201" s="1083"/>
      <c r="K1201" s="1083"/>
      <c r="L1201" s="1083"/>
      <c r="M1201" s="1083"/>
      <c r="N1201" s="956"/>
    </row>
    <row r="1202" spans="1:17">
      <c r="A1202" s="955"/>
      <c r="C1202" s="1581" t="s">
        <v>3525</v>
      </c>
      <c r="D1202" s="1581"/>
      <c r="E1202" s="1581"/>
      <c r="F1202" s="1581"/>
      <c r="G1202" s="1581"/>
      <c r="H1202" s="1581"/>
      <c r="I1202" s="1581"/>
      <c r="J1202" s="1581"/>
      <c r="K1202" s="1581"/>
      <c r="L1202" s="1581"/>
      <c r="M1202" s="1581"/>
      <c r="N1202" s="1581"/>
      <c r="O1202" s="956" t="s">
        <v>2118</v>
      </c>
      <c r="P1202" s="1124" t="str">
        <f>'Part VIII-Threshold Criteria'!P293</f>
        <v>Yes</v>
      </c>
      <c r="Q1202" s="1124">
        <f>'Part VIII-Threshold Criteria'!Q293</f>
        <v>0</v>
      </c>
    </row>
    <row r="1203" spans="1:17">
      <c r="B1203" s="943" t="s">
        <v>2121</v>
      </c>
      <c r="C1203" s="1580" t="s">
        <v>484</v>
      </c>
      <c r="D1203" s="1580"/>
      <c r="E1203" s="1580"/>
      <c r="F1203" s="1580"/>
      <c r="G1203" s="1580"/>
      <c r="H1203" s="1580"/>
      <c r="I1203" s="1580"/>
      <c r="J1203" s="1580"/>
      <c r="K1203" s="1580"/>
      <c r="L1203" s="1580"/>
      <c r="M1203" s="1580"/>
      <c r="O1203" s="956" t="s">
        <v>2121</v>
      </c>
      <c r="P1203" s="1070"/>
      <c r="Q1203" s="1070"/>
    </row>
    <row r="1204" spans="1:17">
      <c r="A1204" s="955"/>
      <c r="C1204" s="957" t="s">
        <v>1859</v>
      </c>
      <c r="D1204" s="950" t="s">
        <v>1197</v>
      </c>
      <c r="E1204" s="1074"/>
      <c r="F1204" s="1074"/>
      <c r="G1204" s="1577" t="str">
        <f>'Part VIII-Threshold Criteria'!G295</f>
        <v>Rehab of bldgs w/out existing brick/stone over 40% (&amp; ineligible for historic credits) will replace &amp; upgrade existing exterior finish surfaces on all wall faces w/brick or product w/40 yr warranty</v>
      </c>
      <c r="H1204" s="1578"/>
      <c r="I1204" s="1578"/>
      <c r="J1204" s="1578"/>
      <c r="K1204" s="1578"/>
      <c r="L1204" s="1578"/>
      <c r="M1204" s="1578"/>
      <c r="N1204" s="1578"/>
      <c r="O1204" s="956" t="s">
        <v>1859</v>
      </c>
      <c r="P1204" s="1124" t="str">
        <f>'Part VIII-Threshold Criteria'!P295</f>
        <v>Yes</v>
      </c>
      <c r="Q1204" s="1124">
        <f>'Part VIII-Threshold Criteria'!Q295</f>
        <v>0</v>
      </c>
    </row>
    <row r="1205" spans="1:17" ht="12.75" customHeight="1">
      <c r="A1205" s="955"/>
      <c r="C1205" s="957" t="s">
        <v>1860</v>
      </c>
      <c r="D1205" s="1575" t="s">
        <v>1198</v>
      </c>
      <c r="E1205" s="1576"/>
      <c r="F1205" s="1576"/>
      <c r="G1205" s="1577" t="str">
        <f>'Part VIII-Threshold Criteria'!G296</f>
        <v>Upgraded roofing shingles, or roofing materials  (warranty 30 years or greater)</v>
      </c>
      <c r="H1205" s="1578"/>
      <c r="I1205" s="1578"/>
      <c r="J1205" s="1578"/>
      <c r="K1205" s="1578"/>
      <c r="L1205" s="1578"/>
      <c r="M1205" s="1578"/>
      <c r="N1205" s="1578"/>
      <c r="O1205" s="956" t="s">
        <v>1860</v>
      </c>
      <c r="P1205" s="1124" t="str">
        <f>'Part VIII-Threshold Criteria'!P296</f>
        <v>Yes</v>
      </c>
      <c r="Q1205" s="1124">
        <f>'Part VIII-Threshold Criteria'!Q296</f>
        <v>0</v>
      </c>
    </row>
    <row r="1206" spans="1:17">
      <c r="A1206" s="1070"/>
      <c r="B1206" s="1070"/>
      <c r="C1206" s="1070"/>
      <c r="D1206" s="1070"/>
      <c r="E1206" s="1070"/>
      <c r="F1206" s="1070"/>
      <c r="G1206" s="1070"/>
      <c r="H1206" s="1070"/>
      <c r="I1206" s="1070"/>
      <c r="J1206" s="1070"/>
      <c r="K1206" s="1070"/>
      <c r="L1206" s="1070"/>
      <c r="M1206" s="1070"/>
      <c r="N1206" s="1070"/>
      <c r="O1206" s="1070"/>
      <c r="P1206" s="1070"/>
      <c r="Q1206" s="1070"/>
    </row>
    <row r="1207" spans="1:17">
      <c r="A1207" s="1074"/>
      <c r="B1207" s="943" t="s">
        <v>799</v>
      </c>
      <c r="C1207" s="1579" t="s">
        <v>3684</v>
      </c>
      <c r="D1207" s="1579"/>
      <c r="E1207" s="1579"/>
      <c r="F1207" s="1579"/>
      <c r="G1207" s="1579"/>
      <c r="H1207" s="1579"/>
      <c r="I1207" s="1579"/>
      <c r="J1207" s="1579"/>
      <c r="K1207" s="1579"/>
      <c r="L1207" s="1579"/>
      <c r="M1207" s="1579"/>
      <c r="N1207" s="1579"/>
      <c r="O1207" s="958" t="s">
        <v>799</v>
      </c>
      <c r="P1207" s="1070"/>
      <c r="Q1207" s="1070"/>
    </row>
    <row r="1208" spans="1:17">
      <c r="A1208" s="955"/>
      <c r="B1208" s="1074"/>
      <c r="C1208" s="957" t="s">
        <v>1859</v>
      </c>
      <c r="D1208" s="1575">
        <f>'Part VIII-Threshold Criteria'!D299</f>
        <v>0</v>
      </c>
      <c r="E1208" s="1575"/>
      <c r="F1208" s="1575"/>
      <c r="G1208" s="1575"/>
      <c r="H1208" s="1575"/>
      <c r="I1208" s="1575"/>
      <c r="J1208" s="1575"/>
      <c r="K1208" s="1575"/>
      <c r="L1208" s="1575"/>
      <c r="M1208" s="1575"/>
      <c r="N1208" s="1575"/>
      <c r="O1208" s="956" t="s">
        <v>1859</v>
      </c>
      <c r="P1208" s="1124">
        <f>'Part VIII-Threshold Criteria'!P299</f>
        <v>0</v>
      </c>
      <c r="Q1208" s="1124">
        <f>'Part VIII-Threshold Criteria'!Q299</f>
        <v>0</v>
      </c>
    </row>
    <row r="1209" spans="1:17">
      <c r="A1209" s="955"/>
      <c r="B1209" s="1074"/>
      <c r="C1209" s="957" t="s">
        <v>1860</v>
      </c>
      <c r="D1209" s="1575">
        <f>'Part VIII-Threshold Criteria'!D300</f>
        <v>0</v>
      </c>
      <c r="E1209" s="1575"/>
      <c r="F1209" s="1575"/>
      <c r="G1209" s="1575"/>
      <c r="H1209" s="1575"/>
      <c r="I1209" s="1575"/>
      <c r="J1209" s="1575"/>
      <c r="K1209" s="1575"/>
      <c r="L1209" s="1575"/>
      <c r="M1209" s="1575"/>
      <c r="N1209" s="1575"/>
      <c r="O1209" s="956" t="s">
        <v>1860</v>
      </c>
      <c r="P1209" s="1124">
        <f>'Part VIII-Threshold Criteria'!P300</f>
        <v>0</v>
      </c>
      <c r="Q1209" s="1124">
        <f>'Part VIII-Threshold Criteria'!Q300</f>
        <v>0</v>
      </c>
    </row>
    <row r="1210" spans="1:17">
      <c r="A1210" s="1070"/>
      <c r="B1210" s="1070"/>
      <c r="C1210" s="1070"/>
      <c r="D1210" s="1070"/>
      <c r="E1210" s="1070"/>
      <c r="F1210" s="1070"/>
      <c r="G1210" s="1070"/>
      <c r="H1210" s="1070"/>
      <c r="I1210" s="1070"/>
      <c r="J1210" s="1070"/>
      <c r="K1210" s="1070"/>
      <c r="L1210" s="1070"/>
      <c r="M1210" s="1070"/>
      <c r="N1210" s="1070"/>
      <c r="O1210" s="1070"/>
      <c r="P1210" s="1070"/>
      <c r="Q1210" s="1070"/>
    </row>
    <row r="1211" spans="1:17">
      <c r="B1211" s="954" t="s">
        <v>1995</v>
      </c>
      <c r="D1211" s="954"/>
      <c r="E1211" s="954"/>
      <c r="F1211" s="954"/>
      <c r="G1211" s="954"/>
      <c r="H1211" s="1083"/>
      <c r="I1211" s="1059"/>
      <c r="J1211" s="1059"/>
      <c r="K1211" s="1059"/>
      <c r="L1211" s="1070"/>
      <c r="M1211" s="1070"/>
      <c r="N1211" s="1070"/>
      <c r="O1211" s="1070"/>
      <c r="P1211" s="1070"/>
      <c r="Q1211" s="1070"/>
    </row>
    <row r="1212" spans="1:17">
      <c r="A1212" s="1575">
        <f>'Part VIII-Threshold Criteria'!A303</f>
        <v>0</v>
      </c>
      <c r="B1212" s="1575"/>
      <c r="C1212" s="1575"/>
      <c r="D1212" s="1575"/>
      <c r="E1212" s="1575"/>
      <c r="F1212" s="1575"/>
      <c r="G1212" s="1575"/>
      <c r="H1212" s="1575"/>
      <c r="I1212" s="1575"/>
      <c r="J1212" s="1575"/>
      <c r="K1212" s="1575"/>
      <c r="L1212" s="1575"/>
      <c r="M1212" s="1575"/>
      <c r="N1212" s="1575"/>
      <c r="O1212" s="1575"/>
      <c r="P1212" s="1575"/>
      <c r="Q1212" s="1575"/>
    </row>
    <row r="1213" spans="1:17">
      <c r="B1213" s="947" t="s">
        <v>1996</v>
      </c>
      <c r="C1213" s="948"/>
      <c r="D1213" s="1065"/>
      <c r="E1213" s="1065"/>
      <c r="F1213" s="1065"/>
      <c r="G1213" s="1065"/>
      <c r="H1213" s="1065"/>
      <c r="I1213" s="1065"/>
      <c r="J1213" s="1065"/>
      <c r="K1213" s="1065"/>
      <c r="L1213" s="1065"/>
      <c r="M1213" s="1065"/>
      <c r="N1213" s="1065"/>
      <c r="O1213" s="1065"/>
      <c r="P1213" s="1065"/>
      <c r="Q1213" s="1065"/>
    </row>
    <row r="1214" spans="1:17">
      <c r="A1214" s="1582">
        <f>'Part VIII-Threshold Criteria'!A305</f>
        <v>0</v>
      </c>
      <c r="B1214" s="1582"/>
      <c r="C1214" s="1582"/>
      <c r="D1214" s="1582"/>
      <c r="E1214" s="1582"/>
      <c r="F1214" s="1582"/>
      <c r="G1214" s="1582"/>
      <c r="H1214" s="1582"/>
      <c r="I1214" s="1582"/>
      <c r="J1214" s="1582"/>
      <c r="K1214" s="1582"/>
      <c r="L1214" s="1582"/>
      <c r="M1214" s="1582"/>
      <c r="N1214" s="1582"/>
      <c r="O1214" s="1582"/>
      <c r="P1214" s="1582"/>
      <c r="Q1214" s="1582"/>
    </row>
    <row r="1215" spans="1:17">
      <c r="A1215" s="1070"/>
      <c r="B1215" s="1059"/>
      <c r="C1215" s="1065"/>
      <c r="D1215" s="1065"/>
      <c r="E1215" s="1065"/>
      <c r="F1215" s="1065"/>
      <c r="G1215" s="1065"/>
      <c r="H1215" s="1065"/>
      <c r="I1215" s="1065"/>
      <c r="J1215" s="1065"/>
      <c r="K1215" s="1065"/>
      <c r="L1215" s="1065"/>
      <c r="M1215" s="1065"/>
      <c r="N1215" s="1065"/>
      <c r="O1215" s="1065"/>
      <c r="P1215" s="1065"/>
      <c r="Q1215" s="1070"/>
    </row>
    <row r="1216" spans="1:17">
      <c r="A1216" s="1127">
        <v>20</v>
      </c>
      <c r="B1216" s="1127" t="s">
        <v>3546</v>
      </c>
      <c r="C1216" s="1127"/>
      <c r="D1216" s="1065"/>
      <c r="E1216" s="1065"/>
      <c r="F1216" s="1065"/>
      <c r="G1216" s="1065"/>
      <c r="H1216" s="1065"/>
      <c r="O1216" s="942" t="s">
        <v>1997</v>
      </c>
      <c r="P1216" s="1583">
        <f>'Part VIII-Threshold Criteria'!P307</f>
        <v>0</v>
      </c>
      <c r="Q1216" s="1583"/>
    </row>
    <row r="1217" spans="1:17">
      <c r="B1217" s="567" t="s">
        <v>3547</v>
      </c>
      <c r="P1217" s="1124" t="str">
        <f>'Part VIII-Threshold Criteria'!P308</f>
        <v>Yes</v>
      </c>
      <c r="Q1217" s="1124">
        <f>'Part VIII-Threshold Criteria'!Q308</f>
        <v>0</v>
      </c>
    </row>
    <row r="1218" spans="1:17">
      <c r="B1218" s="567" t="s">
        <v>2501</v>
      </c>
      <c r="P1218" s="1124" t="str">
        <f>'Part VIII-Threshold Criteria'!P309</f>
        <v>No</v>
      </c>
      <c r="Q1218" s="1124">
        <f>'Part VIII-Threshold Criteria'!Q309</f>
        <v>0</v>
      </c>
    </row>
    <row r="1219" spans="1:17">
      <c r="B1219" s="567" t="s">
        <v>3548</v>
      </c>
      <c r="M1219" s="1591" t="str">
        <f>'Part VIII-Threshold Criteria'!M310</f>
        <v>Qualified w/ Conditions (i)</v>
      </c>
      <c r="N1219" s="1591"/>
      <c r="O1219" s="1591"/>
    </row>
    <row r="1220" spans="1:17">
      <c r="B1220" s="962" t="s">
        <v>2502</v>
      </c>
      <c r="M1220" s="1591" t="str">
        <f>'Part VIII-Threshold Criteria'!M311</f>
        <v>&lt;&lt; Select Designation &gt;&gt;</v>
      </c>
      <c r="N1220" s="1591"/>
      <c r="O1220" s="1591"/>
    </row>
    <row r="1221" spans="1:17">
      <c r="B1221" s="954" t="s">
        <v>1995</v>
      </c>
      <c r="D1221" s="954"/>
      <c r="E1221" s="954"/>
      <c r="F1221" s="954"/>
      <c r="G1221" s="954"/>
      <c r="H1221" s="1083"/>
      <c r="I1221" s="1059"/>
      <c r="J1221" s="1059"/>
      <c r="K1221" s="1059"/>
      <c r="L1221" s="1070"/>
      <c r="M1221" s="1070"/>
      <c r="N1221" s="1070"/>
      <c r="O1221" s="1070"/>
      <c r="P1221" s="1070"/>
      <c r="Q1221" s="1070"/>
    </row>
    <row r="1222" spans="1:17">
      <c r="A1222" s="1575">
        <f>'Part VIII-Threshold Criteria'!A313</f>
        <v>0</v>
      </c>
      <c r="B1222" s="1575"/>
      <c r="C1222" s="1575"/>
      <c r="D1222" s="1575"/>
      <c r="E1222" s="1575"/>
      <c r="F1222" s="1575"/>
      <c r="G1222" s="1575"/>
      <c r="H1222" s="1575"/>
      <c r="I1222" s="1575"/>
      <c r="J1222" s="1575"/>
      <c r="K1222" s="1575"/>
      <c r="L1222" s="1575"/>
      <c r="M1222" s="1575"/>
      <c r="N1222" s="1575"/>
      <c r="O1222" s="1575"/>
      <c r="P1222" s="1575"/>
      <c r="Q1222" s="1575"/>
    </row>
    <row r="1223" spans="1:17">
      <c r="B1223" s="947" t="s">
        <v>1996</v>
      </c>
      <c r="C1223" s="948"/>
      <c r="D1223" s="1065"/>
      <c r="E1223" s="1065"/>
      <c r="F1223" s="1065"/>
      <c r="G1223" s="1065"/>
      <c r="H1223" s="1065"/>
      <c r="I1223" s="1065"/>
      <c r="J1223" s="1065"/>
      <c r="K1223" s="1065"/>
      <c r="L1223" s="1065"/>
      <c r="M1223" s="1065"/>
      <c r="N1223" s="1065"/>
      <c r="O1223" s="1065"/>
      <c r="P1223" s="1065"/>
      <c r="Q1223" s="1065"/>
    </row>
    <row r="1224" spans="1:17">
      <c r="A1224" s="1582">
        <f>'Part VIII-Threshold Criteria'!A315</f>
        <v>0</v>
      </c>
      <c r="B1224" s="1582"/>
      <c r="C1224" s="1582"/>
      <c r="D1224" s="1582"/>
      <c r="E1224" s="1582"/>
      <c r="F1224" s="1582"/>
      <c r="G1224" s="1582"/>
      <c r="H1224" s="1582"/>
      <c r="I1224" s="1582"/>
      <c r="J1224" s="1582"/>
      <c r="K1224" s="1582"/>
      <c r="L1224" s="1582"/>
      <c r="M1224" s="1582"/>
      <c r="N1224" s="1582"/>
      <c r="O1224" s="1582"/>
      <c r="P1224" s="1582"/>
      <c r="Q1224" s="1582"/>
    </row>
    <row r="1225" spans="1:17">
      <c r="B1225" s="1059"/>
      <c r="C1225" s="1065"/>
      <c r="D1225" s="1065"/>
      <c r="E1225" s="1065"/>
      <c r="F1225" s="1065"/>
      <c r="G1225" s="1065"/>
      <c r="H1225" s="1065"/>
      <c r="I1225" s="1065"/>
      <c r="J1225" s="1065"/>
      <c r="K1225" s="1065"/>
      <c r="L1225" s="1065"/>
      <c r="M1225" s="1065"/>
      <c r="Q1225" s="1070"/>
    </row>
    <row r="1226" spans="1:17">
      <c r="A1226" s="1127">
        <v>21</v>
      </c>
      <c r="B1226" s="586" t="s">
        <v>2865</v>
      </c>
      <c r="C1226" s="586"/>
      <c r="D1226" s="941"/>
      <c r="E1226" s="1065"/>
      <c r="F1226" s="1065"/>
      <c r="G1226" s="1065"/>
      <c r="H1226" s="1065"/>
      <c r="I1226" s="1065"/>
      <c r="J1226" s="1065"/>
      <c r="K1226" s="1065"/>
      <c r="L1226" s="1065"/>
      <c r="M1226" s="1065"/>
      <c r="O1226" s="942" t="s">
        <v>1997</v>
      </c>
      <c r="P1226" s="1583">
        <f>'Part VIII-Threshold Criteria'!P317</f>
        <v>0</v>
      </c>
      <c r="Q1226" s="1583"/>
    </row>
    <row r="1227" spans="1:17">
      <c r="B1227" s="943" t="s">
        <v>2118</v>
      </c>
      <c r="C1227" s="1575" t="s">
        <v>3549</v>
      </c>
      <c r="D1227" s="1575"/>
      <c r="E1227" s="1575"/>
      <c r="F1227" s="1575"/>
      <c r="G1227" s="1575"/>
      <c r="H1227" s="1575"/>
      <c r="I1227" s="1575"/>
      <c r="J1227" s="1575"/>
      <c r="K1227" s="1575"/>
      <c r="L1227" s="1575"/>
      <c r="M1227" s="1575"/>
      <c r="N1227" s="1575"/>
      <c r="O1227" s="956" t="s">
        <v>2118</v>
      </c>
      <c r="P1227" s="1124">
        <f>'Part VIII-Threshold Criteria'!P318</f>
        <v>0</v>
      </c>
      <c r="Q1227" s="1124">
        <f>'Part VIII-Threshold Criteria'!Q318</f>
        <v>0</v>
      </c>
    </row>
    <row r="1228" spans="1:17">
      <c r="B1228" s="943" t="s">
        <v>2121</v>
      </c>
      <c r="C1228" s="1575" t="s">
        <v>3586</v>
      </c>
      <c r="D1228" s="1575"/>
      <c r="E1228" s="1575"/>
      <c r="F1228" s="1575"/>
      <c r="G1228" s="1575"/>
      <c r="H1228" s="1575"/>
      <c r="I1228" s="1575"/>
      <c r="J1228" s="1575"/>
      <c r="K1228" s="1575"/>
      <c r="L1228" s="1575"/>
      <c r="M1228" s="1575"/>
      <c r="N1228" s="1575"/>
      <c r="O1228" s="956" t="s">
        <v>2121</v>
      </c>
      <c r="P1228" s="1124">
        <f>'Part VIII-Threshold Criteria'!P319</f>
        <v>0</v>
      </c>
      <c r="Q1228" s="1124">
        <f>'Part VIII-Threshold Criteria'!Q319</f>
        <v>0</v>
      </c>
    </row>
    <row r="1229" spans="1:17">
      <c r="B1229" s="943" t="s">
        <v>799</v>
      </c>
      <c r="C1229" s="1077" t="s">
        <v>3281</v>
      </c>
      <c r="D1229" s="1077"/>
      <c r="E1229" s="1077"/>
      <c r="F1229" s="1077"/>
      <c r="G1229" s="1077"/>
      <c r="H1229" s="1077"/>
      <c r="I1229" s="1077"/>
      <c r="J1229" s="1077"/>
      <c r="K1229" s="1077"/>
      <c r="L1229" s="1077"/>
      <c r="M1229" s="1077"/>
      <c r="O1229" s="956" t="s">
        <v>799</v>
      </c>
      <c r="P1229" s="1124">
        <f>'Part VIII-Threshold Criteria'!P320</f>
        <v>0</v>
      </c>
      <c r="Q1229" s="1124">
        <f>'Part VIII-Threshold Criteria'!Q320</f>
        <v>0</v>
      </c>
    </row>
    <row r="1230" spans="1:17">
      <c r="B1230" s="943" t="s">
        <v>2253</v>
      </c>
      <c r="C1230" s="1575" t="s">
        <v>3685</v>
      </c>
      <c r="D1230" s="1575"/>
      <c r="E1230" s="1575"/>
      <c r="F1230" s="1575"/>
      <c r="G1230" s="1575"/>
      <c r="H1230" s="1575"/>
      <c r="I1230" s="1575"/>
      <c r="J1230" s="1575"/>
      <c r="K1230" s="1575"/>
      <c r="L1230" s="1575"/>
      <c r="M1230" s="1575"/>
      <c r="N1230" s="1575"/>
      <c r="O1230" s="956" t="s">
        <v>2253</v>
      </c>
      <c r="P1230" s="1124">
        <f>'Part VIII-Threshold Criteria'!P321</f>
        <v>0</v>
      </c>
      <c r="Q1230" s="1124">
        <f>'Part VIII-Threshold Criteria'!Q321</f>
        <v>0</v>
      </c>
    </row>
    <row r="1231" spans="1:17">
      <c r="B1231" s="943" t="s">
        <v>1857</v>
      </c>
      <c r="C1231" s="1575" t="s">
        <v>3686</v>
      </c>
      <c r="D1231" s="1575"/>
      <c r="E1231" s="1575"/>
      <c r="F1231" s="1575"/>
      <c r="G1231" s="1575"/>
      <c r="H1231" s="1575"/>
      <c r="I1231" s="1575"/>
      <c r="J1231" s="1575"/>
      <c r="K1231" s="1575"/>
      <c r="L1231" s="1575"/>
      <c r="M1231" s="1575"/>
      <c r="N1231" s="1575"/>
      <c r="O1231" s="956" t="s">
        <v>1857</v>
      </c>
      <c r="P1231" s="1124">
        <f>'Part VIII-Threshold Criteria'!P322</f>
        <v>0</v>
      </c>
      <c r="Q1231" s="1124">
        <f>'Part VIII-Threshold Criteria'!Q322</f>
        <v>0</v>
      </c>
    </row>
    <row r="1232" spans="1:17">
      <c r="B1232" s="954" t="s">
        <v>1995</v>
      </c>
      <c r="D1232" s="954"/>
      <c r="E1232" s="954"/>
      <c r="F1232" s="954"/>
      <c r="G1232" s="954"/>
      <c r="H1232" s="1083"/>
      <c r="I1232" s="1059"/>
      <c r="J1232" s="1059"/>
      <c r="K1232" s="1059"/>
      <c r="L1232" s="1070"/>
      <c r="M1232" s="1070"/>
      <c r="N1232" s="1070"/>
      <c r="O1232" s="1070"/>
      <c r="P1232" s="1070"/>
      <c r="Q1232" s="1070"/>
    </row>
    <row r="1233" spans="1:17">
      <c r="A1233" s="1575" t="str">
        <f>'Part VIII-Threshold Criteria'!A324</f>
        <v>All information was submitted during pre-application. The project team was determined to be qualified without conditions</v>
      </c>
      <c r="B1233" s="1575"/>
      <c r="C1233" s="1575"/>
      <c r="D1233" s="1575"/>
      <c r="E1233" s="1575"/>
      <c r="F1233" s="1575"/>
      <c r="G1233" s="1575"/>
      <c r="H1233" s="1575"/>
      <c r="I1233" s="1575"/>
      <c r="J1233" s="1575"/>
      <c r="K1233" s="1575"/>
      <c r="L1233" s="1575"/>
      <c r="M1233" s="1575"/>
      <c r="N1233" s="1575"/>
      <c r="O1233" s="1575"/>
      <c r="P1233" s="1575"/>
      <c r="Q1233" s="1575"/>
    </row>
    <row r="1234" spans="1:17">
      <c r="B1234" s="947" t="s">
        <v>1996</v>
      </c>
      <c r="C1234" s="948"/>
      <c r="D1234" s="1065"/>
      <c r="E1234" s="1065"/>
      <c r="F1234" s="1065"/>
      <c r="G1234" s="1065"/>
      <c r="H1234" s="1065"/>
      <c r="I1234" s="1065"/>
      <c r="J1234" s="1065"/>
      <c r="K1234" s="1065"/>
      <c r="L1234" s="1065"/>
      <c r="M1234" s="1065"/>
      <c r="N1234" s="1065"/>
      <c r="O1234" s="1065"/>
      <c r="P1234" s="1065"/>
      <c r="Q1234" s="1065"/>
    </row>
    <row r="1235" spans="1:17">
      <c r="A1235" s="1582">
        <f>'Part VIII-Threshold Criteria'!A326</f>
        <v>0</v>
      </c>
      <c r="B1235" s="1582"/>
      <c r="C1235" s="1582"/>
      <c r="D1235" s="1582"/>
      <c r="E1235" s="1582"/>
      <c r="F1235" s="1582"/>
      <c r="G1235" s="1582"/>
      <c r="H1235" s="1582"/>
      <c r="I1235" s="1582"/>
      <c r="J1235" s="1582"/>
      <c r="K1235" s="1582"/>
      <c r="L1235" s="1582"/>
      <c r="M1235" s="1582"/>
      <c r="N1235" s="1582"/>
      <c r="O1235" s="1582"/>
      <c r="P1235" s="1582"/>
      <c r="Q1235" s="1582"/>
    </row>
    <row r="1236" spans="1:17">
      <c r="A1236" s="1070"/>
      <c r="B1236" s="1059"/>
      <c r="C1236" s="1065"/>
      <c r="D1236" s="1065"/>
      <c r="E1236" s="1065"/>
      <c r="F1236" s="1065"/>
      <c r="G1236" s="1065"/>
      <c r="H1236" s="1065"/>
      <c r="I1236" s="1065"/>
      <c r="J1236" s="1065"/>
      <c r="K1236" s="1065"/>
      <c r="L1236" s="1065"/>
      <c r="M1236" s="1065"/>
      <c r="N1236" s="1065"/>
      <c r="O1236" s="1065"/>
      <c r="P1236" s="1065"/>
      <c r="Q1236" s="1070"/>
    </row>
    <row r="1237" spans="1:17">
      <c r="A1237" s="1127">
        <v>22</v>
      </c>
      <c r="B1237" s="586" t="s">
        <v>2899</v>
      </c>
      <c r="C1237" s="586"/>
      <c r="D1237" s="586"/>
      <c r="E1237" s="586"/>
      <c r="F1237" s="586"/>
      <c r="G1237" s="586"/>
      <c r="H1237" s="1065"/>
      <c r="I1237" s="1065"/>
      <c r="J1237" s="1065"/>
      <c r="K1237" s="1065"/>
      <c r="L1237" s="1065"/>
      <c r="M1237" s="1065"/>
      <c r="O1237" s="942" t="s">
        <v>1997</v>
      </c>
      <c r="P1237" s="1583">
        <f>'Part VIII-Threshold Criteria'!P328</f>
        <v>0</v>
      </c>
      <c r="Q1237" s="1583"/>
    </row>
    <row r="1238" spans="1:17">
      <c r="B1238" s="945" t="s">
        <v>2118</v>
      </c>
      <c r="C1238" s="584" t="s">
        <v>2895</v>
      </c>
      <c r="D1238" s="1076"/>
      <c r="E1238" s="1076"/>
      <c r="F1238" s="1076"/>
      <c r="G1238" s="1076"/>
      <c r="H1238" s="1076"/>
      <c r="I1238" s="583"/>
      <c r="J1238" s="944" t="s">
        <v>2118</v>
      </c>
      <c r="K1238" s="1587">
        <f>'Part VIII-Threshold Criteria'!K329</f>
        <v>0</v>
      </c>
      <c r="L1238" s="1587"/>
      <c r="M1238" s="1587"/>
      <c r="N1238" s="1587"/>
      <c r="O1238" s="1587"/>
      <c r="P1238" s="1587"/>
      <c r="Q1238" s="1124">
        <f>'Part VIII-Threshold Criteria'!Q329</f>
        <v>0</v>
      </c>
    </row>
    <row r="1239" spans="1:17">
      <c r="B1239" s="943" t="s">
        <v>2121</v>
      </c>
      <c r="C1239" s="1584" t="s">
        <v>2894</v>
      </c>
      <c r="D1239" s="1584"/>
      <c r="E1239" s="1584"/>
      <c r="F1239" s="1584"/>
      <c r="G1239" s="1584"/>
      <c r="H1239" s="1584"/>
      <c r="I1239" s="1584"/>
      <c r="J1239" s="1584"/>
      <c r="K1239" s="1584"/>
      <c r="L1239" s="1584"/>
      <c r="M1239" s="1584"/>
      <c r="N1239" s="1584"/>
      <c r="O1239" s="956" t="s">
        <v>2121</v>
      </c>
      <c r="P1239" s="1124" t="str">
        <f>'Part VIII-Threshold Criteria'!P330</f>
        <v>No</v>
      </c>
      <c r="Q1239" s="1124">
        <f>'Part VIII-Threshold Criteria'!Q330</f>
        <v>0</v>
      </c>
    </row>
    <row r="1240" spans="1:17">
      <c r="B1240" s="945" t="s">
        <v>799</v>
      </c>
      <c r="C1240" s="584" t="s">
        <v>2896</v>
      </c>
      <c r="D1240" s="584"/>
      <c r="E1240" s="584"/>
      <c r="F1240" s="584"/>
      <c r="G1240" s="584"/>
      <c r="H1240" s="584"/>
      <c r="I1240" s="584"/>
      <c r="J1240" s="584"/>
      <c r="K1240" s="584"/>
      <c r="L1240" s="1083"/>
      <c r="M1240" s="1083"/>
      <c r="O1240" s="944" t="s">
        <v>799</v>
      </c>
      <c r="P1240" s="1124">
        <f>'Part VIII-Threshold Criteria'!P331</f>
        <v>0</v>
      </c>
      <c r="Q1240" s="1124">
        <f>'Part VIII-Threshold Criteria'!Q331</f>
        <v>0</v>
      </c>
    </row>
    <row r="1241" spans="1:17">
      <c r="B1241" s="945" t="s">
        <v>2253</v>
      </c>
      <c r="C1241" s="584" t="s">
        <v>2897</v>
      </c>
      <c r="D1241" s="584"/>
      <c r="E1241" s="584"/>
      <c r="F1241" s="584"/>
      <c r="G1241" s="584"/>
      <c r="H1241" s="584"/>
      <c r="I1241" s="584"/>
      <c r="J1241" s="584"/>
      <c r="K1241" s="584"/>
      <c r="L1241" s="584"/>
      <c r="M1241" s="584"/>
      <c r="O1241" s="944" t="s">
        <v>2253</v>
      </c>
      <c r="P1241" s="1124">
        <f>'Part VIII-Threshold Criteria'!P332</f>
        <v>0</v>
      </c>
      <c r="Q1241" s="1124">
        <f>'Part VIII-Threshold Criteria'!Q332</f>
        <v>0</v>
      </c>
    </row>
    <row r="1242" spans="1:17">
      <c r="A1242" s="1074"/>
      <c r="B1242" s="943" t="s">
        <v>1857</v>
      </c>
      <c r="C1242" s="1575" t="s">
        <v>2901</v>
      </c>
      <c r="D1242" s="1575"/>
      <c r="E1242" s="1575"/>
      <c r="F1242" s="1575"/>
      <c r="G1242" s="1575"/>
      <c r="H1242" s="1575"/>
      <c r="I1242" s="1575"/>
      <c r="J1242" s="1575"/>
      <c r="K1242" s="1575"/>
      <c r="L1242" s="1575"/>
      <c r="M1242" s="1575"/>
      <c r="N1242" s="1575"/>
      <c r="O1242" s="956" t="s">
        <v>1857</v>
      </c>
      <c r="P1242" s="1124">
        <f>'Part VIII-Threshold Criteria'!P333</f>
        <v>0</v>
      </c>
      <c r="Q1242" s="1124">
        <f>'Part VIII-Threshold Criteria'!Q333</f>
        <v>0</v>
      </c>
    </row>
    <row r="1243" spans="1:17">
      <c r="A1243" s="1074"/>
      <c r="B1243" s="943" t="s">
        <v>1858</v>
      </c>
      <c r="C1243" s="1575" t="s">
        <v>2904</v>
      </c>
      <c r="D1243" s="1575"/>
      <c r="E1243" s="1575"/>
      <c r="F1243" s="1575"/>
      <c r="G1243" s="1575"/>
      <c r="H1243" s="1575"/>
      <c r="I1243" s="1575"/>
      <c r="J1243" s="1575"/>
      <c r="K1243" s="1575"/>
      <c r="L1243" s="1575"/>
      <c r="M1243" s="1575"/>
      <c r="N1243" s="1575"/>
      <c r="O1243" s="956" t="s">
        <v>1858</v>
      </c>
      <c r="P1243" s="1124">
        <f>'Part VIII-Threshold Criteria'!P334</f>
        <v>0</v>
      </c>
      <c r="Q1243" s="1124">
        <f>'Part VIII-Threshold Criteria'!Q334</f>
        <v>0</v>
      </c>
    </row>
    <row r="1244" spans="1:17">
      <c r="B1244" s="945" t="s">
        <v>2081</v>
      </c>
      <c r="C1244" s="584" t="s">
        <v>2898</v>
      </c>
      <c r="D1244" s="584"/>
      <c r="E1244" s="584"/>
      <c r="F1244" s="584"/>
      <c r="G1244" s="584"/>
      <c r="H1244" s="584"/>
      <c r="I1244" s="584"/>
      <c r="J1244" s="584"/>
      <c r="K1244" s="584"/>
      <c r="L1244" s="584"/>
      <c r="M1244" s="584"/>
      <c r="O1244" s="944" t="s">
        <v>2081</v>
      </c>
      <c r="P1244" s="1124">
        <f>'Part VIII-Threshold Criteria'!P335</f>
        <v>0</v>
      </c>
      <c r="Q1244" s="1124">
        <f>'Part VIII-Threshold Criteria'!Q335</f>
        <v>0</v>
      </c>
    </row>
    <row r="1245" spans="1:17">
      <c r="B1245" s="954" t="s">
        <v>1995</v>
      </c>
      <c r="D1245" s="954"/>
      <c r="E1245" s="954"/>
      <c r="F1245" s="954"/>
      <c r="G1245" s="954"/>
      <c r="H1245" s="1083"/>
      <c r="I1245" s="1059"/>
      <c r="J1245" s="1059"/>
      <c r="K1245" s="1059"/>
      <c r="L1245" s="1070"/>
      <c r="M1245" s="1070"/>
      <c r="N1245" s="1070"/>
      <c r="O1245" s="1070"/>
      <c r="P1245" s="1070"/>
      <c r="Q1245" s="1070"/>
    </row>
    <row r="1246" spans="1:17">
      <c r="A1246" s="1575">
        <f>'Part VIII-Threshold Criteria'!A337</f>
        <v>0</v>
      </c>
      <c r="B1246" s="1575"/>
      <c r="C1246" s="1575"/>
      <c r="D1246" s="1575"/>
      <c r="E1246" s="1575"/>
      <c r="F1246" s="1575"/>
      <c r="G1246" s="1575"/>
      <c r="H1246" s="1575"/>
      <c r="I1246" s="1575"/>
      <c r="J1246" s="1575"/>
      <c r="K1246" s="1575"/>
      <c r="L1246" s="1575"/>
      <c r="M1246" s="1575"/>
      <c r="N1246" s="1575"/>
      <c r="O1246" s="1575"/>
      <c r="P1246" s="1575"/>
      <c r="Q1246" s="1575"/>
    </row>
    <row r="1247" spans="1:17">
      <c r="B1247" s="947" t="s">
        <v>1996</v>
      </c>
      <c r="C1247" s="948"/>
      <c r="D1247" s="1065"/>
      <c r="E1247" s="1065"/>
      <c r="F1247" s="1065"/>
      <c r="G1247" s="1065"/>
      <c r="H1247" s="1065"/>
      <c r="I1247" s="1065"/>
      <c r="J1247" s="1065"/>
      <c r="K1247" s="1065"/>
      <c r="L1247" s="1065"/>
      <c r="M1247" s="1065"/>
      <c r="N1247" s="1065"/>
      <c r="O1247" s="1065"/>
      <c r="P1247" s="1065"/>
      <c r="Q1247" s="1065"/>
    </row>
    <row r="1248" spans="1:17">
      <c r="A1248" s="1582">
        <f>'Part VIII-Threshold Criteria'!A339</f>
        <v>0</v>
      </c>
      <c r="B1248" s="1582"/>
      <c r="C1248" s="1582"/>
      <c r="D1248" s="1582"/>
      <c r="E1248" s="1582"/>
      <c r="F1248" s="1582"/>
      <c r="G1248" s="1582"/>
      <c r="H1248" s="1582"/>
      <c r="I1248" s="1582"/>
      <c r="J1248" s="1582"/>
      <c r="K1248" s="1582"/>
      <c r="L1248" s="1582"/>
      <c r="M1248" s="1582"/>
      <c r="N1248" s="1582"/>
      <c r="O1248" s="1582"/>
      <c r="P1248" s="1582"/>
      <c r="Q1248" s="1582"/>
    </row>
    <row r="1249" spans="1:17">
      <c r="A1249" s="1070"/>
      <c r="B1249" s="1059"/>
      <c r="C1249" s="1065"/>
      <c r="D1249" s="1065"/>
      <c r="E1249" s="1065"/>
      <c r="F1249" s="1065"/>
      <c r="G1249" s="1065"/>
      <c r="H1249" s="1065"/>
      <c r="I1249" s="1065"/>
      <c r="J1249" s="1065"/>
      <c r="K1249" s="1065"/>
      <c r="L1249" s="1065"/>
      <c r="M1249" s="1065"/>
      <c r="Q1249" s="1070"/>
    </row>
    <row r="1250" spans="1:17">
      <c r="A1250" s="1127">
        <v>23</v>
      </c>
      <c r="B1250" s="586" t="s">
        <v>2905</v>
      </c>
      <c r="C1250" s="586"/>
      <c r="D1250" s="586"/>
      <c r="E1250" s="586"/>
      <c r="F1250" s="586"/>
      <c r="G1250" s="586"/>
      <c r="H1250" s="1065"/>
      <c r="I1250" s="1065"/>
      <c r="J1250" s="1065"/>
      <c r="O1250" s="942" t="s">
        <v>1997</v>
      </c>
      <c r="P1250" s="1583">
        <f>'Part VIII-Threshold Criteria'!P341</f>
        <v>0</v>
      </c>
      <c r="Q1250" s="1583"/>
    </row>
    <row r="1251" spans="1:17">
      <c r="B1251" s="945" t="s">
        <v>2118</v>
      </c>
      <c r="C1251" s="584" t="s">
        <v>1096</v>
      </c>
      <c r="E1251" s="1587">
        <f>'Part VIII-Threshold Criteria'!E342</f>
        <v>0</v>
      </c>
      <c r="F1251" s="1587"/>
      <c r="G1251" s="1587"/>
      <c r="H1251" s="1587"/>
      <c r="I1251" s="1587"/>
      <c r="J1251" s="1590" t="s">
        <v>2871</v>
      </c>
      <c r="K1251" s="1590"/>
      <c r="L1251" s="1590"/>
      <c r="M1251" s="1587">
        <f>'Part VIII-Threshold Criteria'!M342</f>
        <v>0</v>
      </c>
      <c r="N1251" s="1587"/>
      <c r="O1251" s="1587"/>
      <c r="P1251" s="1587"/>
      <c r="Q1251" s="1587"/>
    </row>
    <row r="1252" spans="1:17">
      <c r="B1252" s="945" t="s">
        <v>2121</v>
      </c>
      <c r="C1252" s="584" t="s">
        <v>1862</v>
      </c>
      <c r="D1252" s="584"/>
      <c r="E1252" s="584"/>
      <c r="F1252" s="584"/>
      <c r="G1252" s="584"/>
      <c r="H1252" s="584"/>
      <c r="I1252" s="584"/>
      <c r="J1252" s="584"/>
      <c r="K1252" s="584"/>
      <c r="L1252" s="1083"/>
      <c r="M1252" s="1083"/>
      <c r="O1252" s="944" t="s">
        <v>2121</v>
      </c>
      <c r="P1252" s="1124" t="str">
        <f>'Part VIII-Threshold Criteria'!P343</f>
        <v>No</v>
      </c>
      <c r="Q1252" s="1124">
        <f>'Part VIII-Threshold Criteria'!Q343</f>
        <v>0</v>
      </c>
    </row>
    <row r="1253" spans="1:17">
      <c r="B1253" s="943" t="s">
        <v>799</v>
      </c>
      <c r="C1253" s="1584" t="s">
        <v>2987</v>
      </c>
      <c r="D1253" s="1584"/>
      <c r="E1253" s="1584"/>
      <c r="F1253" s="1584"/>
      <c r="G1253" s="1584"/>
      <c r="H1253" s="1584"/>
      <c r="I1253" s="1584"/>
      <c r="J1253" s="1584"/>
      <c r="K1253" s="1584"/>
      <c r="L1253" s="1584"/>
      <c r="M1253" s="1584"/>
      <c r="N1253" s="1584"/>
      <c r="O1253" s="944" t="s">
        <v>799</v>
      </c>
      <c r="P1253" s="1124">
        <f>'Part VIII-Threshold Criteria'!P344</f>
        <v>0</v>
      </c>
      <c r="Q1253" s="1124">
        <f>'Part VIII-Threshold Criteria'!Q344</f>
        <v>0</v>
      </c>
    </row>
    <row r="1254" spans="1:17">
      <c r="B1254" s="954" t="s">
        <v>1995</v>
      </c>
      <c r="D1254" s="954"/>
      <c r="E1254" s="954"/>
      <c r="F1254" s="954"/>
      <c r="G1254" s="954"/>
      <c r="H1254" s="1083"/>
      <c r="I1254" s="1059"/>
      <c r="J1254" s="1059"/>
      <c r="K1254" s="1059"/>
      <c r="L1254" s="1070"/>
      <c r="M1254" s="1070"/>
      <c r="N1254" s="1070"/>
      <c r="O1254" s="1070"/>
      <c r="P1254" s="1070"/>
      <c r="Q1254" s="1070"/>
    </row>
    <row r="1255" spans="1:17">
      <c r="A1255" s="1575">
        <f>'Part VIII-Threshold Criteria'!A346</f>
        <v>0</v>
      </c>
      <c r="B1255" s="1575"/>
      <c r="C1255" s="1575"/>
      <c r="D1255" s="1575"/>
      <c r="E1255" s="1575"/>
      <c r="F1255" s="1575"/>
      <c r="G1255" s="1575"/>
      <c r="H1255" s="1575"/>
      <c r="I1255" s="1575"/>
      <c r="J1255" s="1575"/>
      <c r="K1255" s="1575"/>
      <c r="L1255" s="1575"/>
      <c r="M1255" s="1575"/>
      <c r="N1255" s="1575"/>
      <c r="O1255" s="1575"/>
      <c r="P1255" s="1575"/>
      <c r="Q1255" s="1575"/>
    </row>
    <row r="1256" spans="1:17">
      <c r="B1256" s="947" t="s">
        <v>1996</v>
      </c>
      <c r="C1256" s="948"/>
      <c r="D1256" s="1065"/>
      <c r="E1256" s="1065"/>
      <c r="F1256" s="1065"/>
      <c r="G1256" s="1065"/>
      <c r="H1256" s="1065"/>
      <c r="I1256" s="1065"/>
      <c r="J1256" s="1065"/>
      <c r="K1256" s="1065"/>
      <c r="L1256" s="1065"/>
      <c r="M1256" s="1065"/>
      <c r="N1256" s="1065"/>
      <c r="O1256" s="1065"/>
      <c r="P1256" s="1065"/>
      <c r="Q1256" s="1065"/>
    </row>
    <row r="1257" spans="1:17">
      <c r="A1257" s="1582">
        <f>'Part VIII-Threshold Criteria'!A348</f>
        <v>0</v>
      </c>
      <c r="B1257" s="1582"/>
      <c r="C1257" s="1582"/>
      <c r="D1257" s="1582"/>
      <c r="E1257" s="1582"/>
      <c r="F1257" s="1582"/>
      <c r="G1257" s="1582"/>
      <c r="H1257" s="1582"/>
      <c r="I1257" s="1582"/>
      <c r="J1257" s="1582"/>
      <c r="K1257" s="1582"/>
      <c r="L1257" s="1582"/>
      <c r="M1257" s="1582"/>
      <c r="N1257" s="1582"/>
      <c r="O1257" s="1582"/>
      <c r="P1257" s="1582"/>
      <c r="Q1257" s="1582"/>
    </row>
    <row r="1258" spans="1:17">
      <c r="A1258" s="1070"/>
      <c r="B1258" s="1059"/>
      <c r="C1258" s="1065"/>
      <c r="D1258" s="1065"/>
      <c r="E1258" s="1065"/>
      <c r="F1258" s="1065"/>
      <c r="G1258" s="1065"/>
      <c r="H1258" s="1065"/>
      <c r="I1258" s="1065"/>
      <c r="J1258" s="1065"/>
      <c r="K1258" s="1065"/>
      <c r="L1258" s="1065"/>
      <c r="M1258" s="1065"/>
      <c r="Q1258" s="1070"/>
    </row>
    <row r="1259" spans="1:17">
      <c r="A1259" s="1127">
        <v>24</v>
      </c>
      <c r="B1259" s="586" t="s">
        <v>2869</v>
      </c>
      <c r="C1259" s="586"/>
      <c r="D1259" s="941"/>
      <c r="E1259" s="1065"/>
      <c r="F1259" s="1065"/>
      <c r="G1259" s="1065"/>
      <c r="H1259" s="1065"/>
      <c r="I1259" s="1065"/>
      <c r="J1259" s="1065"/>
      <c r="K1259" s="1065"/>
      <c r="L1259" s="1065"/>
      <c r="M1259" s="1065"/>
      <c r="O1259" s="942" t="s">
        <v>1997</v>
      </c>
      <c r="P1259" s="1583">
        <f>'Part VIII-Threshold Criteria'!P350</f>
        <v>0</v>
      </c>
      <c r="Q1259" s="1583"/>
    </row>
    <row r="1260" spans="1:17">
      <c r="A1260" s="583"/>
      <c r="B1260" s="943" t="s">
        <v>2118</v>
      </c>
      <c r="C1260" s="1575" t="s">
        <v>3687</v>
      </c>
      <c r="D1260" s="1575"/>
      <c r="E1260" s="1575"/>
      <c r="F1260" s="1575"/>
      <c r="G1260" s="1575"/>
      <c r="H1260" s="1575"/>
      <c r="I1260" s="1575"/>
      <c r="J1260" s="1575"/>
      <c r="K1260" s="1575"/>
      <c r="L1260" s="1575"/>
      <c r="M1260" s="956" t="s">
        <v>2118</v>
      </c>
      <c r="N1260" s="1586" t="str">
        <f>'Part VIII-Threshold Criteria'!N351</f>
        <v>Racially mixed</v>
      </c>
      <c r="O1260" s="1586"/>
      <c r="P1260" s="1586" t="str">
        <f>'Part VIII-Threshold Criteria'!P351</f>
        <v>&lt;&lt;Select&gt;&gt;</v>
      </c>
      <c r="Q1260" s="1586"/>
    </row>
    <row r="1261" spans="1:17">
      <c r="A1261" s="583"/>
      <c r="B1261" s="945" t="s">
        <v>2121</v>
      </c>
      <c r="C1261" s="1083" t="s">
        <v>1</v>
      </c>
      <c r="D1261" s="1122"/>
      <c r="E1261" s="1122"/>
      <c r="F1261" s="583"/>
      <c r="G1261" s="944" t="s">
        <v>2121</v>
      </c>
      <c r="H1261" s="1584" t="str">
        <f>'Part VIII-Threshold Criteria'!H352</f>
        <v xml:space="preserve">3.00, 4.00, 13.00, 12.00, 11.00, </v>
      </c>
      <c r="I1261" s="1584"/>
      <c r="J1261" s="1584"/>
      <c r="K1261" s="1584"/>
      <c r="L1261" s="1584"/>
      <c r="M1261" s="1584"/>
      <c r="N1261" s="1584"/>
      <c r="O1261" s="1584"/>
      <c r="P1261" s="1584"/>
      <c r="Q1261" s="1124">
        <f>'Part VIII-Threshold Criteria'!Q352</f>
        <v>0</v>
      </c>
    </row>
    <row r="1262" spans="1:17">
      <c r="A1262" s="583"/>
      <c r="B1262" s="945" t="s">
        <v>799</v>
      </c>
      <c r="C1262" s="1083" t="s">
        <v>1507</v>
      </c>
      <c r="D1262" s="1125"/>
      <c r="E1262" s="1125"/>
      <c r="F1262" s="1125"/>
      <c r="G1262" s="828"/>
      <c r="H1262" s="828"/>
      <c r="I1262" s="1083"/>
      <c r="J1262" s="583"/>
      <c r="K1262" s="828"/>
      <c r="L1262" s="828"/>
      <c r="M1262" s="828"/>
      <c r="N1262" s="583"/>
      <c r="O1262" s="944" t="s">
        <v>799</v>
      </c>
      <c r="P1262" s="1124" t="str">
        <f>'Part VIII-Threshold Criteria'!P353</f>
        <v>Yes</v>
      </c>
      <c r="Q1262" s="1124">
        <f>'Part VIII-Threshold Criteria'!Q353</f>
        <v>0</v>
      </c>
    </row>
    <row r="1263" spans="1:17">
      <c r="B1263" s="954" t="s">
        <v>1995</v>
      </c>
      <c r="D1263" s="954"/>
      <c r="E1263" s="954"/>
      <c r="F1263" s="954"/>
      <c r="G1263" s="954"/>
      <c r="H1263" s="1083"/>
      <c r="I1263" s="1059"/>
      <c r="J1263" s="1059"/>
      <c r="K1263" s="1059"/>
      <c r="L1263" s="1070"/>
      <c r="M1263" s="1070"/>
      <c r="N1263" s="1070"/>
      <c r="O1263" s="1070"/>
      <c r="P1263" s="1070"/>
      <c r="Q1263" s="1070"/>
    </row>
    <row r="1264" spans="1:17">
      <c r="A1264" s="1575">
        <f>'Part VIII-Threshold Criteria'!A355</f>
        <v>0</v>
      </c>
      <c r="B1264" s="1575"/>
      <c r="C1264" s="1575"/>
      <c r="D1264" s="1575"/>
      <c r="E1264" s="1575"/>
      <c r="F1264" s="1575"/>
      <c r="G1264" s="1575"/>
      <c r="H1264" s="1575"/>
      <c r="I1264" s="1575"/>
      <c r="J1264" s="1575"/>
      <c r="K1264" s="1575"/>
      <c r="L1264" s="1575"/>
      <c r="M1264" s="1575"/>
      <c r="N1264" s="1575"/>
      <c r="O1264" s="1575"/>
      <c r="P1264" s="1575"/>
      <c r="Q1264" s="1575"/>
    </row>
    <row r="1266" spans="1:17">
      <c r="B1266" s="947" t="s">
        <v>1996</v>
      </c>
      <c r="C1266" s="948"/>
      <c r="D1266" s="1065"/>
      <c r="E1266" s="1065"/>
      <c r="F1266" s="1065"/>
      <c r="G1266" s="1065"/>
      <c r="H1266" s="1065"/>
      <c r="I1266" s="1065"/>
      <c r="J1266" s="1065"/>
      <c r="K1266" s="1065"/>
      <c r="L1266" s="1065"/>
      <c r="M1266" s="1065"/>
      <c r="N1266" s="1065"/>
      <c r="O1266" s="1065"/>
      <c r="P1266" s="1065"/>
      <c r="Q1266" s="1065"/>
    </row>
    <row r="1267" spans="1:17">
      <c r="A1267" s="1582">
        <f>'Part VIII-Threshold Criteria'!A358</f>
        <v>0</v>
      </c>
      <c r="B1267" s="1582"/>
      <c r="C1267" s="1582"/>
      <c r="D1267" s="1582"/>
      <c r="E1267" s="1582"/>
      <c r="F1267" s="1582"/>
      <c r="G1267" s="1582"/>
      <c r="H1267" s="1582"/>
      <c r="I1267" s="1582"/>
      <c r="J1267" s="1582"/>
      <c r="K1267" s="1582"/>
      <c r="L1267" s="1582"/>
      <c r="M1267" s="1582"/>
      <c r="N1267" s="1582"/>
      <c r="O1267" s="1582"/>
      <c r="P1267" s="1582"/>
      <c r="Q1267" s="1582"/>
    </row>
    <row r="1268" spans="1:17">
      <c r="A1268" s="1070"/>
      <c r="B1268" s="1059"/>
      <c r="C1268" s="1065"/>
      <c r="D1268" s="1065"/>
      <c r="E1268" s="1065"/>
      <c r="F1268" s="1065"/>
      <c r="G1268" s="1065"/>
      <c r="H1268" s="1065"/>
      <c r="I1268" s="1065"/>
      <c r="J1268" s="1065"/>
      <c r="K1268" s="1065"/>
      <c r="L1268" s="1065"/>
      <c r="M1268" s="1065"/>
      <c r="N1268" s="1065"/>
      <c r="O1268" s="1065"/>
      <c r="P1268" s="1065"/>
      <c r="Q1268" s="1070"/>
    </row>
    <row r="1269" spans="1:17">
      <c r="A1269" s="1127">
        <v>25</v>
      </c>
      <c r="B1269" s="586" t="s">
        <v>2866</v>
      </c>
      <c r="C1269" s="586"/>
      <c r="D1269" s="586"/>
      <c r="E1269" s="1065"/>
      <c r="G1269" s="950" t="s">
        <v>749</v>
      </c>
      <c r="H1269" s="1065"/>
      <c r="I1269" s="1065"/>
      <c r="J1269" s="1065"/>
      <c r="K1269" s="1065"/>
      <c r="L1269" s="1065"/>
      <c r="M1269" s="1065"/>
      <c r="O1269" s="942" t="s">
        <v>1997</v>
      </c>
      <c r="P1269" s="1583">
        <f>'Part VIII-Threshold Criteria'!P360</f>
        <v>0</v>
      </c>
      <c r="Q1269" s="1583"/>
    </row>
    <row r="1270" spans="1:17">
      <c r="A1270" s="955"/>
      <c r="B1270" s="945" t="s">
        <v>2118</v>
      </c>
      <c r="C1270" s="584" t="s">
        <v>2873</v>
      </c>
      <c r="D1270" s="1129"/>
      <c r="E1270" s="1129"/>
      <c r="H1270" s="950"/>
      <c r="O1270" s="944" t="s">
        <v>2118</v>
      </c>
      <c r="P1270" s="1124" t="str">
        <f>'Part VIII-Threshold Criteria'!P361</f>
        <v>Yes</v>
      </c>
      <c r="Q1270" s="1124">
        <f>'Part VIII-Threshold Criteria'!Q361</f>
        <v>0</v>
      </c>
    </row>
    <row r="1271" spans="1:17">
      <c r="A1271" s="955"/>
      <c r="B1271" s="945" t="s">
        <v>2121</v>
      </c>
      <c r="C1271" s="584" t="s">
        <v>2874</v>
      </c>
      <c r="D1271" s="1129"/>
      <c r="E1271" s="1129"/>
      <c r="O1271" s="944" t="s">
        <v>2121</v>
      </c>
      <c r="P1271" s="1124" t="str">
        <f>'Part VIII-Threshold Criteria'!P362</f>
        <v>No</v>
      </c>
      <c r="Q1271" s="1124">
        <f>'Part VIII-Threshold Criteria'!Q362</f>
        <v>0</v>
      </c>
    </row>
    <row r="1272" spans="1:17">
      <c r="A1272" s="955"/>
      <c r="B1272" s="945" t="s">
        <v>799</v>
      </c>
      <c r="C1272" s="584" t="s">
        <v>2906</v>
      </c>
      <c r="D1272" s="1129"/>
      <c r="E1272" s="1129"/>
      <c r="O1272" s="944" t="s">
        <v>799</v>
      </c>
      <c r="P1272" s="1124" t="str">
        <f>'Part VIII-Threshold Criteria'!P363</f>
        <v>No</v>
      </c>
      <c r="Q1272" s="1124">
        <f>'Part VIII-Threshold Criteria'!Q363</f>
        <v>0</v>
      </c>
    </row>
    <row r="1273" spans="1:17">
      <c r="A1273" s="955"/>
      <c r="B1273" s="945" t="s">
        <v>2253</v>
      </c>
      <c r="C1273" s="584" t="s">
        <v>2870</v>
      </c>
      <c r="E1273" s="950"/>
      <c r="O1273" s="944" t="s">
        <v>2253</v>
      </c>
      <c r="P1273" s="1124" t="str">
        <f>'Part VIII-Threshold Criteria'!P364</f>
        <v>No</v>
      </c>
      <c r="Q1273" s="1124">
        <f>'Part VIII-Threshold Criteria'!Q364</f>
        <v>0</v>
      </c>
    </row>
    <row r="1274" spans="1:17">
      <c r="B1274" s="945" t="s">
        <v>1857</v>
      </c>
      <c r="C1274" s="584" t="s">
        <v>2217</v>
      </c>
      <c r="E1274" s="950"/>
      <c r="G1274" s="944" t="s">
        <v>1857</v>
      </c>
      <c r="H1274" s="1584">
        <f>'Part VIII-Threshold Criteria'!H365</f>
        <v>0</v>
      </c>
      <c r="I1274" s="1584"/>
      <c r="J1274" s="1584"/>
      <c r="K1274" s="1584"/>
      <c r="L1274" s="1584"/>
      <c r="M1274" s="1584"/>
      <c r="N1274" s="1584"/>
      <c r="O1274" s="1584"/>
      <c r="P1274" s="1124" t="str">
        <f>'Part VIII-Threshold Criteria'!P365</f>
        <v>No</v>
      </c>
      <c r="Q1274" s="1124">
        <f>'Part VIII-Threshold Criteria'!Q365</f>
        <v>0</v>
      </c>
    </row>
    <row r="1275" spans="1:17">
      <c r="B1275" s="954" t="s">
        <v>1995</v>
      </c>
      <c r="D1275" s="954"/>
      <c r="E1275" s="954"/>
      <c r="F1275" s="954"/>
      <c r="G1275" s="954"/>
      <c r="H1275" s="1083"/>
      <c r="I1275" s="1059"/>
      <c r="J1275" s="1059"/>
      <c r="K1275" s="1059"/>
      <c r="L1275" s="1070"/>
      <c r="M1275" s="1070"/>
      <c r="N1275" s="1070"/>
      <c r="O1275" s="1070"/>
      <c r="P1275" s="1070"/>
      <c r="Q1275" s="1070"/>
    </row>
    <row r="1276" spans="1:17">
      <c r="A1276" s="1575">
        <f>'Part VIII-Threshold Criteria'!A367</f>
        <v>0</v>
      </c>
      <c r="B1276" s="1575"/>
      <c r="C1276" s="1575"/>
      <c r="D1276" s="1575"/>
      <c r="E1276" s="1575"/>
      <c r="F1276" s="1575"/>
      <c r="G1276" s="1575"/>
      <c r="H1276" s="1575"/>
      <c r="I1276" s="1575"/>
      <c r="J1276" s="1575"/>
      <c r="K1276" s="1575"/>
      <c r="L1276" s="1575"/>
      <c r="M1276" s="1575"/>
      <c r="N1276" s="1575"/>
      <c r="O1276" s="1575"/>
      <c r="P1276" s="1575"/>
      <c r="Q1276" s="1575"/>
    </row>
    <row r="1277" spans="1:17">
      <c r="B1277" s="947" t="s">
        <v>1996</v>
      </c>
      <c r="C1277" s="948"/>
      <c r="D1277" s="1065"/>
      <c r="E1277" s="1065"/>
      <c r="F1277" s="1065"/>
      <c r="G1277" s="1065"/>
      <c r="H1277" s="1065"/>
      <c r="I1277" s="1065"/>
      <c r="J1277" s="1065"/>
      <c r="K1277" s="1065"/>
      <c r="L1277" s="1065"/>
      <c r="M1277" s="1065"/>
      <c r="N1277" s="1065"/>
      <c r="O1277" s="1065"/>
      <c r="P1277" s="1065"/>
      <c r="Q1277" s="1065"/>
    </row>
    <row r="1278" spans="1:17">
      <c r="A1278" s="1582">
        <f>'Part VIII-Threshold Criteria'!A369</f>
        <v>0</v>
      </c>
      <c r="B1278" s="1582"/>
      <c r="C1278" s="1582"/>
      <c r="D1278" s="1582"/>
      <c r="E1278" s="1582"/>
      <c r="F1278" s="1582"/>
      <c r="G1278" s="1582"/>
      <c r="H1278" s="1582"/>
      <c r="I1278" s="1582"/>
      <c r="J1278" s="1582"/>
      <c r="K1278" s="1582"/>
      <c r="L1278" s="1582"/>
      <c r="M1278" s="1582"/>
      <c r="N1278" s="1582"/>
      <c r="O1278" s="1582"/>
      <c r="P1278" s="1582"/>
      <c r="Q1278" s="1582"/>
    </row>
    <row r="1279" spans="1:17">
      <c r="A1279" s="1070"/>
      <c r="B1279" s="1059"/>
      <c r="C1279" s="1065"/>
      <c r="D1279" s="1065"/>
      <c r="E1279" s="1065"/>
      <c r="F1279" s="1065"/>
      <c r="G1279" s="1065"/>
      <c r="H1279" s="1065"/>
      <c r="I1279" s="1065"/>
      <c r="J1279" s="1065"/>
      <c r="K1279" s="1065"/>
      <c r="L1279" s="1065"/>
      <c r="M1279" s="1065"/>
      <c r="N1279" s="1065"/>
      <c r="O1279" s="1065"/>
      <c r="P1279" s="1065"/>
      <c r="Q1279" s="1070"/>
    </row>
    <row r="1280" spans="1:17">
      <c r="A1280" s="1127">
        <v>26</v>
      </c>
      <c r="B1280" s="586" t="s">
        <v>2867</v>
      </c>
      <c r="C1280" s="586"/>
      <c r="D1280" s="586"/>
      <c r="E1280" s="586"/>
      <c r="F1280" s="586"/>
      <c r="G1280" s="586"/>
      <c r="H1280" s="1065"/>
      <c r="I1280" s="1065"/>
      <c r="J1280" s="1065"/>
      <c r="K1280" s="1065"/>
      <c r="L1280" s="1065"/>
      <c r="M1280" s="1065"/>
      <c r="O1280" s="942" t="s">
        <v>1997</v>
      </c>
      <c r="P1280" s="1583">
        <f>'Part VIII-Threshold Criteria'!P371</f>
        <v>0</v>
      </c>
      <c r="Q1280" s="1583"/>
    </row>
    <row r="1281" spans="1:17">
      <c r="A1281" s="583"/>
      <c r="B1281" s="945" t="s">
        <v>2118</v>
      </c>
      <c r="C1281" s="584" t="s">
        <v>802</v>
      </c>
      <c r="D1281" s="583"/>
      <c r="E1281" s="583"/>
      <c r="F1281" s="583"/>
      <c r="G1281" s="583"/>
      <c r="H1281" s="583"/>
      <c r="I1281" s="583"/>
      <c r="J1281" s="583"/>
      <c r="K1281" s="583"/>
      <c r="L1281" s="583"/>
      <c r="M1281" s="583"/>
      <c r="N1281" s="583"/>
      <c r="O1281" s="944" t="s">
        <v>2118</v>
      </c>
      <c r="P1281" s="1124" t="str">
        <f>'Part VIII-Threshold Criteria'!P372</f>
        <v>Yes</v>
      </c>
      <c r="Q1281" s="1124">
        <f>'Part VIII-Threshold Criteria'!Q372</f>
        <v>0</v>
      </c>
    </row>
    <row r="1282" spans="1:17">
      <c r="A1282" s="583"/>
      <c r="B1282" s="945" t="s">
        <v>2121</v>
      </c>
      <c r="C1282" s="584" t="s">
        <v>2343</v>
      </c>
      <c r="D1282" s="583"/>
      <c r="E1282" s="583"/>
      <c r="F1282" s="583"/>
      <c r="G1282" s="583"/>
      <c r="H1282" s="583"/>
      <c r="I1282" s="583"/>
      <c r="J1282" s="583"/>
      <c r="K1282" s="583"/>
      <c r="L1282" s="583"/>
      <c r="M1282" s="583"/>
      <c r="N1282" s="583"/>
      <c r="O1282" s="944" t="s">
        <v>1542</v>
      </c>
      <c r="P1282" s="1124" t="str">
        <f>'Part VIII-Threshold Criteria'!P373</f>
        <v>Yes</v>
      </c>
      <c r="Q1282" s="1124">
        <f>'Part VIII-Threshold Criteria'!Q373</f>
        <v>0</v>
      </c>
    </row>
    <row r="1283" spans="1:17">
      <c r="A1283" s="583"/>
      <c r="B1283" s="945"/>
      <c r="C1283" s="584" t="s">
        <v>1585</v>
      </c>
      <c r="D1283" s="584"/>
      <c r="E1283" s="584"/>
      <c r="F1283" s="584"/>
      <c r="G1283" s="584"/>
      <c r="H1283" s="584"/>
      <c r="I1283" s="584"/>
      <c r="J1283" s="584"/>
      <c r="K1283" s="584"/>
      <c r="L1283" s="584"/>
      <c r="M1283" s="584"/>
      <c r="N1283" s="583"/>
    </row>
    <row r="1284" spans="1:17">
      <c r="A1284" s="583"/>
      <c r="B1284" s="945"/>
      <c r="C1284" s="584" t="s">
        <v>2344</v>
      </c>
      <c r="D1284" s="584"/>
      <c r="E1284" s="584"/>
      <c r="F1284" s="584"/>
      <c r="G1284" s="584"/>
      <c r="H1284" s="584"/>
      <c r="I1284" s="584"/>
      <c r="J1284" s="584"/>
      <c r="K1284" s="584"/>
      <c r="L1284" s="584"/>
      <c r="M1284" s="584"/>
      <c r="N1284" s="583"/>
      <c r="O1284" s="944" t="s">
        <v>1860</v>
      </c>
      <c r="P1284" s="1124" t="str">
        <f>'Part VIII-Threshold Criteria'!P375</f>
        <v>Yes</v>
      </c>
      <c r="Q1284" s="1124">
        <f>'Part VIII-Threshold Criteria'!Q375</f>
        <v>0</v>
      </c>
    </row>
    <row r="1285" spans="1:17">
      <c r="A1285" s="583"/>
      <c r="B1285" s="945" t="s">
        <v>799</v>
      </c>
      <c r="C1285" s="1584" t="s">
        <v>2342</v>
      </c>
      <c r="D1285" s="1584"/>
      <c r="E1285" s="1584"/>
      <c r="F1285" s="1584"/>
      <c r="G1285" s="1584"/>
      <c r="H1285" s="1584"/>
      <c r="I1285" s="1584"/>
      <c r="J1285" s="1584"/>
      <c r="K1285" s="1584"/>
      <c r="L1285" s="1584"/>
      <c r="M1285" s="1584"/>
      <c r="N1285" s="1584"/>
      <c r="O1285" s="944" t="s">
        <v>799</v>
      </c>
      <c r="P1285" s="1124" t="str">
        <f>'Part VIII-Threshold Criteria'!P376</f>
        <v>Yes</v>
      </c>
      <c r="Q1285" s="1124">
        <f>'Part VIII-Threshold Criteria'!Q376</f>
        <v>0</v>
      </c>
    </row>
    <row r="1286" spans="1:17">
      <c r="A1286" s="583"/>
      <c r="B1286" s="945" t="s">
        <v>2253</v>
      </c>
      <c r="C1286" s="1083" t="s">
        <v>3283</v>
      </c>
      <c r="D1286" s="1083"/>
      <c r="E1286" s="1083"/>
      <c r="F1286" s="1083"/>
      <c r="G1286" s="1083"/>
      <c r="H1286" s="1083"/>
      <c r="I1286" s="1083"/>
      <c r="J1286" s="1083"/>
      <c r="K1286" s="1083"/>
      <c r="L1286" s="1083"/>
      <c r="M1286" s="1083"/>
      <c r="N1286" s="583"/>
      <c r="O1286" s="944"/>
      <c r="P1286" s="583"/>
      <c r="Q1286" s="583"/>
    </row>
    <row r="1287" spans="1:17">
      <c r="A1287" s="583"/>
      <c r="B1287" s="945"/>
      <c r="C1287" s="584" t="s">
        <v>2345</v>
      </c>
      <c r="D1287" s="584"/>
      <c r="E1287" s="583"/>
      <c r="F1287" s="1083"/>
      <c r="G1287" s="831" t="str">
        <f>'Part VIII-Threshold Criteria'!G378</f>
        <v>n/a</v>
      </c>
      <c r="H1287" s="831" t="str">
        <f>'Part VIII-Threshold Criteria'!H378</f>
        <v xml:space="preserve"> </v>
      </c>
      <c r="J1287" s="584" t="s">
        <v>2348</v>
      </c>
      <c r="K1287" s="1083"/>
      <c r="N1287" s="831" t="str">
        <f>'Part VIII-Threshold Criteria'!N378</f>
        <v>n/a</v>
      </c>
      <c r="O1287" s="831" t="str">
        <f>'Part VIII-Threshold Criteria'!O378</f>
        <v xml:space="preserve"> </v>
      </c>
    </row>
    <row r="1288" spans="1:17">
      <c r="A1288" s="583"/>
      <c r="B1288" s="945"/>
      <c r="C1288" s="584" t="s">
        <v>2346</v>
      </c>
      <c r="D1288" s="584"/>
      <c r="E1288" s="583"/>
      <c r="F1288" s="1083"/>
      <c r="G1288" s="831" t="str">
        <f>'Part VIII-Threshold Criteria'!G379</f>
        <v>n/a</v>
      </c>
      <c r="H1288" s="831">
        <f>'Part VIII-Threshold Criteria'!H379</f>
        <v>0</v>
      </c>
      <c r="J1288" s="584" t="s">
        <v>2349</v>
      </c>
      <c r="K1288" s="1083"/>
      <c r="N1288" s="831" t="str">
        <f>'Part VIII-Threshold Criteria'!N379</f>
        <v>n/a</v>
      </c>
      <c r="O1288" s="831">
        <f>'Part VIII-Threshold Criteria'!O379</f>
        <v>0</v>
      </c>
    </row>
    <row r="1289" spans="1:17">
      <c r="A1289" s="583"/>
      <c r="B1289" s="945"/>
      <c r="C1289" s="584" t="s">
        <v>2347</v>
      </c>
      <c r="D1289" s="584"/>
      <c r="E1289" s="583"/>
      <c r="F1289" s="1083"/>
      <c r="G1289" s="831">
        <f>'Part VIII-Threshold Criteria'!G380</f>
        <v>1</v>
      </c>
      <c r="H1289" s="831" t="str">
        <f>'Part VIII-Threshold Criteria'!H380</f>
        <v xml:space="preserve"> </v>
      </c>
      <c r="K1289" s="1083"/>
      <c r="L1289" s="1083"/>
      <c r="M1289" s="1083"/>
      <c r="N1289" s="583"/>
      <c r="O1289" s="944"/>
    </row>
    <row r="1290" spans="1:17">
      <c r="A1290" s="583"/>
      <c r="B1290" s="945" t="s">
        <v>1857</v>
      </c>
      <c r="C1290" s="1083" t="s">
        <v>2541</v>
      </c>
      <c r="D1290" s="1083"/>
      <c r="E1290" s="1083"/>
      <c r="F1290" s="1083"/>
      <c r="G1290" s="1083"/>
      <c r="J1290" s="583"/>
      <c r="K1290" s="1083"/>
      <c r="L1290" s="1083"/>
      <c r="M1290" s="1083"/>
      <c r="N1290" s="583"/>
      <c r="O1290" s="944"/>
      <c r="P1290" s="944"/>
      <c r="Q1290" s="944"/>
    </row>
    <row r="1291" spans="1:17">
      <c r="A1291" s="583"/>
      <c r="B1291" s="945"/>
      <c r="C1291" s="567" t="s">
        <v>2350</v>
      </c>
      <c r="D1291" s="1083"/>
      <c r="E1291" s="1083"/>
      <c r="F1291" s="1083"/>
      <c r="G1291" s="831" t="str">
        <f>'Part VIII-Threshold Criteria'!G382</f>
        <v>Yes</v>
      </c>
      <c r="H1291" s="831">
        <f>'Part VIII-Threshold Criteria'!H382</f>
        <v>0</v>
      </c>
      <c r="J1291" s="567" t="s">
        <v>1253</v>
      </c>
      <c r="K1291" s="1083"/>
      <c r="N1291" s="831" t="str">
        <f>'Part VIII-Threshold Criteria'!N382</f>
        <v>Yes</v>
      </c>
      <c r="O1291" s="831">
        <f>'Part VIII-Threshold Criteria'!O382</f>
        <v>0</v>
      </c>
    </row>
    <row r="1292" spans="1:17">
      <c r="A1292" s="583"/>
      <c r="B1292" s="945"/>
      <c r="C1292" s="567" t="s">
        <v>1252</v>
      </c>
      <c r="D1292" s="1083"/>
      <c r="E1292" s="1083"/>
      <c r="F1292" s="1083"/>
      <c r="G1292" s="831" t="str">
        <f>'Part VIII-Threshold Criteria'!G383</f>
        <v>Yes</v>
      </c>
      <c r="H1292" s="831">
        <f>'Part VIII-Threshold Criteria'!H383</f>
        <v>0</v>
      </c>
      <c r="J1292" s="567" t="s">
        <v>2401</v>
      </c>
      <c r="N1292" s="1585" t="str">
        <f>'Part VIII-Threshold Criteria'!N383</f>
        <v>Counseling services</v>
      </c>
      <c r="O1292" s="1585"/>
      <c r="P1292" s="1585"/>
      <c r="Q1292" s="1585"/>
    </row>
    <row r="1293" spans="1:17">
      <c r="B1293" s="954" t="s">
        <v>1995</v>
      </c>
      <c r="D1293" s="954"/>
      <c r="E1293" s="954"/>
      <c r="F1293" s="954"/>
      <c r="G1293" s="954"/>
      <c r="H1293" s="1083"/>
      <c r="I1293" s="1059"/>
      <c r="J1293" s="1059"/>
      <c r="K1293" s="1059"/>
      <c r="P1293" s="1070"/>
      <c r="Q1293" s="1070"/>
    </row>
    <row r="1294" spans="1:17">
      <c r="A1294" s="1575">
        <f>'Part VIII-Threshold Criteria'!A385</f>
        <v>0</v>
      </c>
      <c r="B1294" s="1575"/>
      <c r="C1294" s="1575"/>
      <c r="D1294" s="1575"/>
      <c r="E1294" s="1575"/>
      <c r="F1294" s="1575"/>
      <c r="G1294" s="1575"/>
      <c r="H1294" s="1575"/>
      <c r="I1294" s="1575"/>
      <c r="J1294" s="1575"/>
      <c r="K1294" s="1575"/>
      <c r="L1294" s="1575"/>
      <c r="M1294" s="1575"/>
      <c r="N1294" s="1575"/>
      <c r="O1294" s="1575"/>
      <c r="P1294" s="1575"/>
      <c r="Q1294" s="1575"/>
    </row>
    <row r="1295" spans="1:17">
      <c r="B1295" s="947" t="s">
        <v>1996</v>
      </c>
      <c r="C1295" s="948"/>
      <c r="D1295" s="1065"/>
      <c r="E1295" s="1065"/>
      <c r="F1295" s="1065"/>
      <c r="G1295" s="1065"/>
      <c r="H1295" s="1065"/>
      <c r="I1295" s="1065"/>
      <c r="J1295" s="1065"/>
      <c r="K1295" s="1065"/>
      <c r="L1295" s="1065"/>
      <c r="M1295" s="1065"/>
      <c r="N1295" s="1065"/>
      <c r="O1295" s="1065"/>
      <c r="P1295" s="1065"/>
      <c r="Q1295" s="1065"/>
    </row>
    <row r="1296" spans="1:17">
      <c r="A1296" s="1582">
        <f>'Part VIII-Threshold Criteria'!A387</f>
        <v>0</v>
      </c>
      <c r="B1296" s="1582"/>
      <c r="C1296" s="1582"/>
      <c r="D1296" s="1582"/>
      <c r="E1296" s="1582"/>
      <c r="F1296" s="1582"/>
      <c r="G1296" s="1582"/>
      <c r="H1296" s="1582"/>
      <c r="I1296" s="1582"/>
      <c r="J1296" s="1582"/>
      <c r="K1296" s="1582"/>
      <c r="L1296" s="1582"/>
      <c r="M1296" s="1582"/>
      <c r="N1296" s="1582"/>
      <c r="O1296" s="1582"/>
      <c r="P1296" s="1582"/>
      <c r="Q1296" s="1582"/>
    </row>
    <row r="1297" spans="1:17">
      <c r="A1297" s="1070"/>
      <c r="B1297" s="1059"/>
      <c r="C1297" s="1065"/>
      <c r="D1297" s="1065"/>
      <c r="E1297" s="1065"/>
      <c r="F1297" s="1065"/>
      <c r="G1297" s="1065"/>
      <c r="H1297" s="1065"/>
      <c r="I1297" s="1065"/>
      <c r="J1297" s="1065"/>
      <c r="K1297" s="1065"/>
      <c r="L1297" s="1065"/>
      <c r="M1297" s="1065"/>
      <c r="Q1297" s="1070"/>
    </row>
    <row r="1298" spans="1:17">
      <c r="A1298" s="1127">
        <v>27</v>
      </c>
      <c r="B1298" s="586" t="s">
        <v>3284</v>
      </c>
      <c r="C1298" s="586"/>
      <c r="D1298" s="941"/>
      <c r="E1298" s="1065"/>
      <c r="F1298" s="1065"/>
      <c r="G1298" s="1065"/>
      <c r="H1298" s="1065"/>
      <c r="O1298" s="942" t="s">
        <v>1997</v>
      </c>
      <c r="P1298" s="1583">
        <f>'Part VIII-Threshold Criteria'!P389</f>
        <v>0</v>
      </c>
      <c r="Q1298" s="1583"/>
    </row>
    <row r="1299" spans="1:17">
      <c r="A1299" s="1074"/>
      <c r="B1299" s="943" t="s">
        <v>2118</v>
      </c>
      <c r="C1299" s="1581" t="s">
        <v>3285</v>
      </c>
      <c r="D1299" s="1581"/>
      <c r="E1299" s="1581"/>
      <c r="F1299" s="1581"/>
      <c r="G1299" s="1581"/>
      <c r="H1299" s="1581"/>
      <c r="I1299" s="1581"/>
      <c r="J1299" s="1581"/>
      <c r="K1299" s="1581"/>
      <c r="L1299" s="1581"/>
      <c r="M1299" s="1581"/>
      <c r="N1299" s="1581"/>
      <c r="O1299" s="956" t="s">
        <v>2118</v>
      </c>
      <c r="P1299" s="1124" t="str">
        <f>'Part VIII-Threshold Criteria'!P390</f>
        <v>Agree</v>
      </c>
      <c r="Q1299" s="1124">
        <f>'Part VIII-Threshold Criteria'!Q390</f>
        <v>0</v>
      </c>
    </row>
    <row r="1300" spans="1:17">
      <c r="A1300" s="1074"/>
      <c r="B1300" s="943" t="s">
        <v>2121</v>
      </c>
      <c r="C1300" s="1581" t="s">
        <v>3286</v>
      </c>
      <c r="D1300" s="1581"/>
      <c r="E1300" s="1581"/>
      <c r="F1300" s="1581"/>
      <c r="G1300" s="1581"/>
      <c r="H1300" s="1581"/>
      <c r="I1300" s="1581"/>
      <c r="J1300" s="1581"/>
      <c r="K1300" s="1581"/>
      <c r="L1300" s="1581"/>
      <c r="M1300" s="1581"/>
      <c r="N1300" s="1581"/>
      <c r="O1300" s="956" t="s">
        <v>2121</v>
      </c>
      <c r="P1300" s="1124" t="str">
        <f>'Part VIII-Threshold Criteria'!P391</f>
        <v>Agree</v>
      </c>
      <c r="Q1300" s="1124">
        <f>'Part VIII-Threshold Criteria'!Q391</f>
        <v>0</v>
      </c>
    </row>
    <row r="1301" spans="1:17">
      <c r="A1301" s="1074"/>
      <c r="B1301" s="943" t="s">
        <v>799</v>
      </c>
      <c r="C1301" s="1581" t="s">
        <v>3287</v>
      </c>
      <c r="D1301" s="1581"/>
      <c r="E1301" s="1581"/>
      <c r="F1301" s="1581"/>
      <c r="G1301" s="1581"/>
      <c r="H1301" s="1581"/>
      <c r="I1301" s="1581"/>
      <c r="J1301" s="1581"/>
      <c r="K1301" s="1581"/>
      <c r="L1301" s="1581"/>
      <c r="M1301" s="1581"/>
      <c r="N1301" s="1581"/>
      <c r="O1301" s="956" t="s">
        <v>799</v>
      </c>
      <c r="P1301" s="1124" t="str">
        <f>'Part VIII-Threshold Criteria'!P392</f>
        <v>Agree</v>
      </c>
      <c r="Q1301" s="1124">
        <f>'Part VIII-Threshold Criteria'!Q392</f>
        <v>0</v>
      </c>
    </row>
    <row r="1302" spans="1:17">
      <c r="A1302" s="1074"/>
      <c r="B1302" s="943" t="s">
        <v>2253</v>
      </c>
      <c r="C1302" s="1581" t="s">
        <v>3288</v>
      </c>
      <c r="D1302" s="1581"/>
      <c r="E1302" s="1581"/>
      <c r="F1302" s="1581"/>
      <c r="G1302" s="1581"/>
      <c r="H1302" s="1581"/>
      <c r="I1302" s="1581"/>
      <c r="J1302" s="1581"/>
      <c r="K1302" s="1581"/>
      <c r="L1302" s="1581"/>
      <c r="M1302" s="1581"/>
      <c r="N1302" s="1581"/>
      <c r="O1302" s="956" t="s">
        <v>2253</v>
      </c>
      <c r="P1302" s="1124" t="str">
        <f>'Part VIII-Threshold Criteria'!P393</f>
        <v>Agree</v>
      </c>
      <c r="Q1302" s="1124">
        <f>'Part VIII-Threshold Criteria'!Q393</f>
        <v>0</v>
      </c>
    </row>
    <row r="1303" spans="1:17">
      <c r="A1303" s="1074"/>
      <c r="B1303" s="943" t="s">
        <v>1857</v>
      </c>
      <c r="C1303" s="1581" t="s">
        <v>3289</v>
      </c>
      <c r="D1303" s="1581"/>
      <c r="E1303" s="1581"/>
      <c r="F1303" s="1581"/>
      <c r="G1303" s="1581"/>
      <c r="H1303" s="1581"/>
      <c r="I1303" s="1581"/>
      <c r="J1303" s="1581"/>
      <c r="K1303" s="1581"/>
      <c r="L1303" s="1581"/>
      <c r="M1303" s="1581"/>
      <c r="N1303" s="1581"/>
      <c r="O1303" s="956" t="s">
        <v>1857</v>
      </c>
      <c r="P1303" s="1124" t="str">
        <f>'Part VIII-Threshold Criteria'!P394</f>
        <v>Agree</v>
      </c>
      <c r="Q1303" s="1124">
        <f>'Part VIII-Threshold Criteria'!Q394</f>
        <v>0</v>
      </c>
    </row>
    <row r="1304" spans="1:17">
      <c r="A1304" s="1074"/>
      <c r="B1304" s="943" t="s">
        <v>1858</v>
      </c>
      <c r="C1304" s="1581" t="s">
        <v>3290</v>
      </c>
      <c r="D1304" s="1581"/>
      <c r="E1304" s="1581"/>
      <c r="F1304" s="1581"/>
      <c r="G1304" s="1581"/>
      <c r="H1304" s="1581"/>
      <c r="I1304" s="1581"/>
      <c r="J1304" s="1581"/>
      <c r="K1304" s="1581"/>
      <c r="L1304" s="1581"/>
      <c r="M1304" s="1581"/>
      <c r="N1304" s="1581"/>
      <c r="O1304" s="956" t="s">
        <v>1858</v>
      </c>
      <c r="P1304" s="1124" t="str">
        <f>'Part VIII-Threshold Criteria'!P395</f>
        <v>Agree</v>
      </c>
      <c r="Q1304" s="1124">
        <f>'Part VIII-Threshold Criteria'!Q395</f>
        <v>0</v>
      </c>
    </row>
    <row r="1305" spans="1:17">
      <c r="A1305" s="1074"/>
      <c r="B1305" s="943" t="s">
        <v>2081</v>
      </c>
      <c r="C1305" s="1581" t="s">
        <v>2902</v>
      </c>
      <c r="D1305" s="1581"/>
      <c r="E1305" s="1581"/>
      <c r="F1305" s="1581"/>
      <c r="G1305" s="1581"/>
      <c r="H1305" s="1581"/>
      <c r="I1305" s="1581"/>
      <c r="J1305" s="1581"/>
      <c r="K1305" s="1581"/>
      <c r="L1305" s="1581"/>
      <c r="M1305" s="1581"/>
      <c r="N1305" s="1581"/>
      <c r="O1305" s="956" t="s">
        <v>2081</v>
      </c>
      <c r="P1305" s="1124" t="str">
        <f>'Part VIII-Threshold Criteria'!P396</f>
        <v>Agree</v>
      </c>
      <c r="Q1305" s="1124">
        <f>'Part VIII-Threshold Criteria'!Q396</f>
        <v>0</v>
      </c>
    </row>
    <row r="1306" spans="1:17">
      <c r="B1306" s="954" t="s">
        <v>1995</v>
      </c>
      <c r="D1306" s="954"/>
      <c r="E1306" s="954"/>
      <c r="F1306" s="954"/>
      <c r="G1306" s="954"/>
      <c r="H1306" s="1083"/>
      <c r="I1306" s="1059"/>
      <c r="J1306" s="1059"/>
      <c r="K1306" s="1059"/>
      <c r="L1306" s="1070"/>
      <c r="M1306" s="1070"/>
      <c r="N1306" s="1070"/>
      <c r="O1306" s="1070"/>
      <c r="P1306" s="1070"/>
      <c r="Q1306" s="1070"/>
    </row>
    <row r="1307" spans="1:17">
      <c r="A1307" s="1575">
        <f>'Part VIII-Threshold Criteria'!A398</f>
        <v>0</v>
      </c>
      <c r="B1307" s="1575"/>
      <c r="C1307" s="1575"/>
      <c r="D1307" s="1575"/>
      <c r="E1307" s="1575"/>
      <c r="F1307" s="1575"/>
      <c r="G1307" s="1575"/>
      <c r="H1307" s="1575"/>
      <c r="I1307" s="1575"/>
      <c r="J1307" s="1575"/>
      <c r="K1307" s="1575"/>
      <c r="L1307" s="1575"/>
      <c r="M1307" s="1575"/>
      <c r="N1307" s="1575"/>
      <c r="O1307" s="1575"/>
      <c r="P1307" s="1575"/>
      <c r="Q1307" s="1575"/>
    </row>
    <row r="1308" spans="1:17">
      <c r="B1308" s="947" t="s">
        <v>1996</v>
      </c>
      <c r="C1308" s="948"/>
      <c r="D1308" s="1065"/>
      <c r="E1308" s="1065"/>
      <c r="F1308" s="1065"/>
      <c r="G1308" s="1065"/>
      <c r="H1308" s="1065"/>
      <c r="I1308" s="1065"/>
      <c r="J1308" s="1065"/>
      <c r="K1308" s="1065"/>
      <c r="L1308" s="1065"/>
      <c r="M1308" s="1065"/>
      <c r="N1308" s="1065"/>
      <c r="O1308" s="1065"/>
      <c r="P1308" s="1065"/>
      <c r="Q1308" s="1065"/>
    </row>
    <row r="1309" spans="1:17">
      <c r="A1309" s="1582">
        <f>'Part VIII-Threshold Criteria'!A400</f>
        <v>0</v>
      </c>
      <c r="B1309" s="1582"/>
      <c r="C1309" s="1582"/>
      <c r="D1309" s="1582"/>
      <c r="E1309" s="1582"/>
      <c r="F1309" s="1582"/>
      <c r="G1309" s="1582"/>
      <c r="H1309" s="1582"/>
      <c r="I1309" s="1582"/>
      <c r="J1309" s="1582"/>
      <c r="K1309" s="1582"/>
      <c r="L1309" s="1582"/>
      <c r="M1309" s="1582"/>
      <c r="N1309" s="1582"/>
      <c r="O1309" s="1582"/>
      <c r="P1309" s="1582"/>
      <c r="Q1309" s="1582"/>
    </row>
    <row r="1310" spans="1:17">
      <c r="A1310" s="1070"/>
      <c r="B1310" s="1059"/>
      <c r="C1310" s="1065"/>
      <c r="D1310" s="1065"/>
      <c r="E1310" s="1065"/>
      <c r="F1310" s="1065"/>
      <c r="G1310" s="1065"/>
      <c r="H1310" s="1065"/>
      <c r="I1310" s="1065"/>
      <c r="J1310" s="1065"/>
      <c r="K1310" s="1065"/>
      <c r="L1310" s="1065"/>
      <c r="M1310" s="1065"/>
      <c r="Q1310" s="1070"/>
    </row>
    <row r="1311" spans="1:17">
      <c r="A1311" s="1127">
        <v>28</v>
      </c>
      <c r="B1311" s="586" t="s">
        <v>2868</v>
      </c>
      <c r="C1311" s="586"/>
      <c r="D1311" s="941"/>
      <c r="E1311" s="1065"/>
      <c r="F1311" s="1065"/>
      <c r="G1311" s="1065"/>
      <c r="H1311" s="1065"/>
      <c r="I1311" s="1065"/>
      <c r="J1311" s="1065"/>
      <c r="K1311" s="1065"/>
      <c r="L1311" s="1065"/>
      <c r="M1311" s="1065"/>
      <c r="O1311" s="942" t="s">
        <v>1997</v>
      </c>
      <c r="P1311" s="1583">
        <f>'Part VIII-Threshold Criteria'!P402</f>
        <v>0</v>
      </c>
      <c r="Q1311" s="1583"/>
    </row>
    <row r="1312" spans="1:17">
      <c r="A1312" s="1127"/>
      <c r="B1312" s="954" t="s">
        <v>1995</v>
      </c>
      <c r="D1312" s="954"/>
      <c r="E1312" s="954"/>
      <c r="F1312" s="954"/>
      <c r="G1312" s="954"/>
      <c r="H1312" s="1083"/>
      <c r="I1312" s="1059"/>
      <c r="J1312" s="1059"/>
      <c r="K1312" s="1059"/>
      <c r="L1312" s="1070"/>
      <c r="M1312" s="1070"/>
      <c r="N1312" s="1070"/>
      <c r="O1312" s="1070"/>
      <c r="P1312" s="1070"/>
      <c r="Q1312" s="1070"/>
    </row>
    <row r="1313" spans="1:21">
      <c r="A1313" s="1575">
        <f>'Part VIII-Threshold Criteria'!A404</f>
        <v>0</v>
      </c>
      <c r="B1313" s="1575"/>
      <c r="C1313" s="1575"/>
      <c r="D1313" s="1575"/>
      <c r="E1313" s="1575"/>
      <c r="F1313" s="1575"/>
      <c r="G1313" s="1575"/>
      <c r="H1313" s="1575"/>
      <c r="I1313" s="1575"/>
      <c r="J1313" s="1575"/>
      <c r="K1313" s="1575"/>
      <c r="L1313" s="1575"/>
      <c r="M1313" s="1575"/>
      <c r="N1313" s="1575"/>
      <c r="O1313" s="1575"/>
      <c r="P1313" s="1575"/>
      <c r="Q1313" s="1575"/>
    </row>
    <row r="1314" spans="1:21">
      <c r="B1314" s="947" t="s">
        <v>1996</v>
      </c>
      <c r="C1314" s="948"/>
      <c r="D1314" s="1065"/>
      <c r="E1314" s="1065"/>
      <c r="F1314" s="1065"/>
      <c r="G1314" s="1065"/>
      <c r="H1314" s="1065"/>
      <c r="I1314" s="1065"/>
      <c r="J1314" s="1065"/>
      <c r="K1314" s="1065"/>
      <c r="L1314" s="1065"/>
      <c r="M1314" s="1065"/>
      <c r="N1314" s="1065"/>
      <c r="O1314" s="1065"/>
      <c r="P1314" s="1065"/>
      <c r="Q1314" s="1065"/>
    </row>
    <row r="1315" spans="1:21">
      <c r="A1315" s="1582">
        <f>'Part VIII-Threshold Criteria'!A406</f>
        <v>0</v>
      </c>
      <c r="B1315" s="1582"/>
      <c r="C1315" s="1582"/>
      <c r="D1315" s="1582"/>
      <c r="E1315" s="1582"/>
      <c r="F1315" s="1582"/>
      <c r="G1315" s="1582"/>
      <c r="H1315" s="1582"/>
      <c r="I1315" s="1582"/>
      <c r="J1315" s="1582"/>
      <c r="K1315" s="1582"/>
      <c r="L1315" s="1582"/>
      <c r="M1315" s="1582"/>
      <c r="N1315" s="1582"/>
      <c r="O1315" s="1582"/>
      <c r="P1315" s="1582"/>
      <c r="Q1315" s="1582"/>
    </row>
    <row r="1319" spans="1:21">
      <c r="A1319" s="1599" t="str">
        <f>CONCATENATE("PART NINE - SCORING CRITERIA","  -  ",'Part I-Project Information'!$O$4," ",'Part I-Project Information'!$F$23,", ",'Part I-Project Information'!F1345,", ",'Part I-Project Information'!J1346," County")</f>
        <v>PART NINE - SCORING CRITERIA  -  2014-039 Willingham Village II, ,  County</v>
      </c>
      <c r="B1319" s="1599"/>
      <c r="C1319" s="1599"/>
      <c r="D1319" s="1599"/>
      <c r="E1319" s="1599"/>
      <c r="F1319" s="1599"/>
      <c r="G1319" s="1599"/>
      <c r="H1319" s="1599"/>
      <c r="I1319" s="1599"/>
      <c r="J1319" s="1599"/>
      <c r="K1319" s="1599"/>
      <c r="L1319" s="1599"/>
      <c r="M1319" s="1599"/>
      <c r="N1319" s="1599"/>
      <c r="O1319" s="1599"/>
      <c r="P1319" s="1599"/>
    </row>
    <row r="1320" spans="1:21">
      <c r="A1320" s="584"/>
      <c r="B1320" s="584"/>
      <c r="C1320" s="963"/>
      <c r="D1320" s="584"/>
      <c r="E1320" s="584"/>
      <c r="F1320" s="584"/>
      <c r="G1320" s="584"/>
      <c r="H1320" s="584"/>
      <c r="I1320" s="584"/>
      <c r="J1320" s="584"/>
      <c r="K1320" s="584"/>
      <c r="L1320" s="584"/>
      <c r="M1320" s="1059"/>
      <c r="N1320" s="828"/>
      <c r="O1320" s="1084"/>
      <c r="P1320" s="1084"/>
    </row>
    <row r="1321" spans="1:21">
      <c r="A1321" s="583"/>
      <c r="B1321" s="584"/>
      <c r="C1321" s="584"/>
      <c r="D1321" s="584"/>
      <c r="E1321" s="584"/>
      <c r="F1321" s="584"/>
      <c r="G1321" s="584"/>
      <c r="H1321" s="584"/>
      <c r="I1321" s="584"/>
      <c r="J1321" s="584"/>
      <c r="K1321" s="583"/>
      <c r="M1321" s="964" t="s">
        <v>2363</v>
      </c>
      <c r="N1321" s="828"/>
      <c r="O1321" s="1084" t="s">
        <v>2362</v>
      </c>
      <c r="P1321" s="1115" t="s">
        <v>270</v>
      </c>
      <c r="U1321" s="1084" t="s">
        <v>2362</v>
      </c>
    </row>
    <row r="1322" spans="1:21" ht="14.25">
      <c r="A1322" s="583"/>
      <c r="B1322" s="583"/>
      <c r="C1322" s="583"/>
      <c r="D1322" s="583"/>
      <c r="E1322" s="583"/>
      <c r="F1322" s="583"/>
      <c r="G1322" s="583"/>
      <c r="H1322" s="583"/>
      <c r="I1322" s="583"/>
      <c r="J1322" s="583"/>
      <c r="K1322" s="583"/>
      <c r="L1322" s="965"/>
      <c r="M1322" s="964" t="s">
        <v>96</v>
      </c>
      <c r="N1322" s="586"/>
      <c r="O1322" s="1084" t="s">
        <v>2363</v>
      </c>
      <c r="P1322" s="1115" t="s">
        <v>2363</v>
      </c>
      <c r="Q1322" s="965"/>
      <c r="U1322" s="1084" t="s">
        <v>2363</v>
      </c>
    </row>
    <row r="1323" spans="1:21" ht="14.25">
      <c r="A1323" s="583"/>
      <c r="B1323" s="583"/>
      <c r="C1323" s="583"/>
      <c r="D1323" s="583"/>
      <c r="E1323" s="583"/>
      <c r="F1323" s="583"/>
      <c r="G1323" s="583"/>
      <c r="H1323" s="583"/>
      <c r="I1323" s="583"/>
      <c r="J1323" s="583"/>
      <c r="K1323" s="583"/>
      <c r="L1323" s="965"/>
      <c r="M1323" s="964"/>
      <c r="N1323" s="586"/>
      <c r="O1323" s="1084"/>
      <c r="P1323" s="1115"/>
      <c r="Q1323" s="965"/>
      <c r="U1323" s="1084" t="s">
        <v>3601</v>
      </c>
    </row>
    <row r="1324" spans="1:21" ht="15.75">
      <c r="A1324" s="583"/>
      <c r="B1324" s="583"/>
      <c r="C1324" s="583"/>
      <c r="D1324" s="583"/>
      <c r="E1324" s="583"/>
      <c r="F1324" s="583"/>
      <c r="G1324" s="583"/>
      <c r="H1324" s="965"/>
      <c r="I1324" s="583"/>
      <c r="J1324" s="583"/>
      <c r="K1324" s="965"/>
      <c r="L1324" s="966" t="s">
        <v>1303</v>
      </c>
      <c r="M1324" s="967">
        <f>M1670</f>
        <v>87</v>
      </c>
      <c r="N1324" s="924"/>
      <c r="O1324" s="967">
        <f>O1670</f>
        <v>54</v>
      </c>
      <c r="P1324" s="967">
        <f>P1670</f>
        <v>10</v>
      </c>
      <c r="Q1324" s="965"/>
      <c r="U1324" s="967">
        <f>U1670</f>
        <v>54</v>
      </c>
    </row>
    <row r="1325" spans="1:21" ht="14.25">
      <c r="A1325" s="583"/>
      <c r="B1325" s="583"/>
      <c r="C1325" s="583"/>
      <c r="D1325" s="583"/>
      <c r="E1325" s="583"/>
      <c r="F1325" s="583"/>
      <c r="G1325" s="583"/>
      <c r="H1325" s="583"/>
      <c r="I1325" s="583"/>
      <c r="J1325" s="583"/>
      <c r="K1325" s="583"/>
      <c r="L1325" s="965"/>
      <c r="M1325" s="964"/>
      <c r="N1325" s="586"/>
      <c r="O1325" s="1084"/>
      <c r="P1325" s="1115"/>
      <c r="Q1325" s="965"/>
      <c r="U1325" s="1084"/>
    </row>
    <row r="1326" spans="1:21">
      <c r="A1326" s="968" t="s">
        <v>2122</v>
      </c>
      <c r="B1326" s="969" t="s">
        <v>3237</v>
      </c>
      <c r="C1326" s="586"/>
      <c r="D1326" s="586"/>
      <c r="E1326" s="586"/>
      <c r="F1326" s="586"/>
      <c r="G1326" s="583"/>
      <c r="H1326" s="946" t="s">
        <v>1731</v>
      </c>
      <c r="I1326" s="583"/>
      <c r="J1326" s="583"/>
      <c r="K1326" s="583"/>
      <c r="L1326" s="583"/>
      <c r="M1326" s="1084">
        <v>10</v>
      </c>
      <c r="N1326" s="970"/>
      <c r="O1326" s="967">
        <f>MIN($M1326, $M1326-O1328-O1330-O1329)</f>
        <v>10</v>
      </c>
      <c r="P1326" s="967">
        <f>MIN($M1326, $M1326-P1328-P1330-P1329)</f>
        <v>10</v>
      </c>
      <c r="Q1326" s="1084" t="s">
        <v>463</v>
      </c>
      <c r="U1326" s="967">
        <f>'Part IX A-Scoring Criteria'!O8</f>
        <v>10</v>
      </c>
    </row>
    <row r="1327" spans="1:21" ht="15">
      <c r="A1327" s="583"/>
      <c r="B1327" s="945"/>
      <c r="C1327" s="584"/>
      <c r="D1327" s="587"/>
      <c r="E1327" s="587"/>
      <c r="F1327" s="587"/>
      <c r="G1327" s="587"/>
      <c r="H1327" s="587"/>
      <c r="I1327" s="587"/>
      <c r="J1327" s="587"/>
      <c r="K1327" s="587"/>
      <c r="L1327" s="583"/>
      <c r="M1327" s="828"/>
      <c r="N1327" s="832"/>
      <c r="O1327" s="967"/>
      <c r="P1327" s="1084"/>
      <c r="Q1327" s="971"/>
    </row>
    <row r="1328" spans="1:21">
      <c r="A1328" s="951" t="s">
        <v>2118</v>
      </c>
      <c r="B1328" s="905" t="s">
        <v>1998</v>
      </c>
      <c r="C1328" s="583"/>
      <c r="D1328" s="587"/>
      <c r="E1328" s="587"/>
      <c r="F1328" s="1059" t="s">
        <v>2765</v>
      </c>
      <c r="G1328" s="1083">
        <f>F1334</f>
        <v>0</v>
      </c>
      <c r="H1328" s="844" t="s">
        <v>3526</v>
      </c>
      <c r="I1328" s="583"/>
      <c r="J1328" s="583"/>
      <c r="K1328" s="583"/>
      <c r="L1328" s="583"/>
      <c r="M1328" s="828"/>
      <c r="N1328" s="944" t="s">
        <v>2118</v>
      </c>
      <c r="O1328" s="967">
        <f>'Part IX A-Scoring Criteria'!O10</f>
        <v>0</v>
      </c>
      <c r="P1328" s="967">
        <f>'Part IX A-Scoring Criteria'!P10</f>
        <v>0</v>
      </c>
      <c r="Q1328" s="583"/>
    </row>
    <row r="1329" spans="1:17" ht="15">
      <c r="A1329" s="951"/>
      <c r="B1329" s="587" t="s">
        <v>2251</v>
      </c>
      <c r="C1329" s="971"/>
      <c r="D1329" s="587"/>
      <c r="E1329" s="587"/>
      <c r="F1329" s="1059" t="s">
        <v>2765</v>
      </c>
      <c r="G1329" s="1083">
        <f>P1334</f>
        <v>0</v>
      </c>
      <c r="H1329" s="844" t="s">
        <v>3157</v>
      </c>
      <c r="I1329" s="971"/>
      <c r="J1329" s="946"/>
      <c r="K1329" s="971"/>
      <c r="L1329" s="971"/>
      <c r="M1329" s="828">
        <v>1</v>
      </c>
      <c r="N1329" s="944"/>
      <c r="O1329" s="967">
        <f>'Part IX A-Scoring Criteria'!O11</f>
        <v>0</v>
      </c>
      <c r="P1329" s="967">
        <f>'Part IX A-Scoring Criteria'!P11</f>
        <v>0</v>
      </c>
      <c r="Q1329" s="971"/>
    </row>
    <row r="1330" spans="1:17">
      <c r="A1330" s="951" t="s">
        <v>2121</v>
      </c>
      <c r="B1330" s="905" t="s">
        <v>776</v>
      </c>
      <c r="C1330" s="583"/>
      <c r="D1330" s="587"/>
      <c r="E1330" s="587"/>
      <c r="F1330" s="1059" t="s">
        <v>2765</v>
      </c>
      <c r="G1330" s="1083">
        <f>K1334</f>
        <v>0</v>
      </c>
      <c r="H1330" s="844" t="s">
        <v>3688</v>
      </c>
      <c r="I1330" s="583"/>
      <c r="J1330" s="946"/>
      <c r="K1330" s="583"/>
      <c r="L1330" s="583"/>
      <c r="M1330" s="828"/>
      <c r="N1330" s="944" t="s">
        <v>2121</v>
      </c>
      <c r="O1330" s="967">
        <f>'Part IX A-Scoring Criteria'!O12</f>
        <v>0</v>
      </c>
      <c r="P1330" s="967">
        <f>'Part IX A-Scoring Criteria'!P12</f>
        <v>0</v>
      </c>
      <c r="Q1330" s="1084"/>
    </row>
    <row r="1331" spans="1:17" ht="15">
      <c r="A1331" s="946" t="s">
        <v>269</v>
      </c>
      <c r="B1331" s="583"/>
      <c r="C1331" s="583"/>
      <c r="D1331" s="587"/>
      <c r="E1331" s="587"/>
      <c r="F1331" s="587"/>
      <c r="G1331" s="587"/>
      <c r="H1331" s="584"/>
      <c r="I1331" s="584"/>
      <c r="J1331" s="584"/>
      <c r="K1331" s="584"/>
      <c r="L1331" s="971"/>
      <c r="M1331" s="828"/>
      <c r="N1331" s="832"/>
      <c r="O1331" s="967"/>
      <c r="P1331" s="1115"/>
      <c r="Q1331" s="583"/>
    </row>
    <row r="1332" spans="1:17" ht="15.75">
      <c r="A1332" s="1575">
        <f>'Part IX A-Scoring Criteria'!A14</f>
        <v>0</v>
      </c>
      <c r="B1332" s="1575"/>
      <c r="C1332" s="1575"/>
      <c r="D1332" s="1575"/>
      <c r="E1332" s="1575"/>
      <c r="F1332" s="1575"/>
      <c r="G1332" s="1575"/>
      <c r="H1332" s="1575"/>
      <c r="I1332" s="1575"/>
      <c r="J1332" s="1575"/>
      <c r="K1332" s="1575"/>
      <c r="L1332" s="1575"/>
      <c r="M1332" s="1575"/>
      <c r="N1332" s="1575"/>
      <c r="O1332" s="1575"/>
      <c r="P1332" s="1575"/>
      <c r="Q1332" s="972" t="s">
        <v>1332</v>
      </c>
    </row>
    <row r="1333" spans="1:17">
      <c r="A1333" s="946" t="s">
        <v>1996</v>
      </c>
      <c r="B1333" s="583"/>
      <c r="C1333" s="583"/>
      <c r="D1333" s="583"/>
      <c r="E1333" s="583"/>
      <c r="F1333" s="1059" t="s">
        <v>1835</v>
      </c>
      <c r="G1333" s="583"/>
      <c r="H1333" s="583"/>
      <c r="I1333" s="583"/>
      <c r="J1333" s="583"/>
      <c r="K1333" s="1059" t="s">
        <v>1835</v>
      </c>
      <c r="L1333" s="583"/>
      <c r="M1333" s="583"/>
      <c r="N1333" s="583"/>
      <c r="O1333" s="583"/>
      <c r="P1333" s="944" t="s">
        <v>1835</v>
      </c>
      <c r="Q1333" s="583"/>
    </row>
    <row r="1334" spans="1:17">
      <c r="A1334" s="1587" t="s">
        <v>2563</v>
      </c>
      <c r="B1334" s="1587"/>
      <c r="C1334" s="1587"/>
      <c r="D1334" s="1587"/>
      <c r="E1334" s="944" t="s">
        <v>541</v>
      </c>
      <c r="F1334" s="1084">
        <f>SUM(F1335:F1346)</f>
        <v>0</v>
      </c>
      <c r="G1334" s="1587" t="s">
        <v>2564</v>
      </c>
      <c r="H1334" s="1587"/>
      <c r="I1334" s="1587"/>
      <c r="J1334" s="944" t="s">
        <v>541</v>
      </c>
      <c r="K1334" s="1084">
        <f>SUM(K1335:K1346)</f>
        <v>0</v>
      </c>
      <c r="L1334" s="1085" t="s">
        <v>3689</v>
      </c>
      <c r="M1334" s="583"/>
      <c r="N1334" s="973"/>
      <c r="O1334" s="944"/>
      <c r="P1334" s="1084">
        <f>SUM(P1335:P1346)</f>
        <v>0</v>
      </c>
      <c r="Q1334" s="583"/>
    </row>
    <row r="1335" spans="1:17" ht="15.75">
      <c r="A1335" s="1713">
        <v>1</v>
      </c>
      <c r="B1335" s="1616"/>
      <c r="C1335" s="1616"/>
      <c r="D1335" s="1616"/>
      <c r="E1335" s="1616"/>
      <c r="F1335" s="1126"/>
      <c r="G1335" s="1713">
        <v>1</v>
      </c>
      <c r="H1335" s="1713"/>
      <c r="I1335" s="1713"/>
      <c r="J1335" s="1713"/>
      <c r="K1335" s="1126" t="s">
        <v>1855</v>
      </c>
      <c r="L1335" s="1713">
        <v>1</v>
      </c>
      <c r="M1335" s="1713"/>
      <c r="N1335" s="1713"/>
      <c r="O1335" s="1713"/>
      <c r="P1335" s="1126"/>
      <c r="Q1335" s="972" t="s">
        <v>1332</v>
      </c>
    </row>
    <row r="1336" spans="1:17" ht="15.75">
      <c r="A1336" s="1713">
        <v>2</v>
      </c>
      <c r="B1336" s="1616"/>
      <c r="C1336" s="1616"/>
      <c r="D1336" s="1616"/>
      <c r="E1336" s="1616"/>
      <c r="F1336" s="1126"/>
      <c r="G1336" s="1713">
        <v>2</v>
      </c>
      <c r="H1336" s="1713"/>
      <c r="I1336" s="1713"/>
      <c r="J1336" s="1713"/>
      <c r="K1336" s="1126"/>
      <c r="L1336" s="1713">
        <v>2</v>
      </c>
      <c r="M1336" s="1713"/>
      <c r="N1336" s="1713"/>
      <c r="O1336" s="1713"/>
      <c r="P1336" s="1126"/>
      <c r="Q1336" s="972"/>
    </row>
    <row r="1337" spans="1:17" ht="15.75">
      <c r="A1337" s="1713">
        <v>3</v>
      </c>
      <c r="B1337" s="1616"/>
      <c r="C1337" s="1616"/>
      <c r="D1337" s="1616"/>
      <c r="E1337" s="1616"/>
      <c r="F1337" s="1126"/>
      <c r="G1337" s="1713">
        <v>3</v>
      </c>
      <c r="H1337" s="1713"/>
      <c r="I1337" s="1713"/>
      <c r="J1337" s="1713"/>
      <c r="K1337" s="1126" t="s">
        <v>3298</v>
      </c>
      <c r="L1337" s="1713">
        <v>3</v>
      </c>
      <c r="M1337" s="1713"/>
      <c r="N1337" s="1713"/>
      <c r="O1337" s="1713"/>
      <c r="P1337" s="1126"/>
      <c r="Q1337" s="972"/>
    </row>
    <row r="1338" spans="1:17" ht="15.75">
      <c r="A1338" s="1713">
        <v>4</v>
      </c>
      <c r="B1338" s="1616"/>
      <c r="C1338" s="1616"/>
      <c r="D1338" s="1616"/>
      <c r="E1338" s="1616"/>
      <c r="F1338" s="1126"/>
      <c r="G1338" s="1713">
        <v>4</v>
      </c>
      <c r="H1338" s="1713"/>
      <c r="I1338" s="1713"/>
      <c r="J1338" s="1713"/>
      <c r="K1338" s="1126" t="s">
        <v>3298</v>
      </c>
      <c r="L1338" s="1713">
        <v>4</v>
      </c>
      <c r="M1338" s="1713"/>
      <c r="N1338" s="1713"/>
      <c r="O1338" s="1713"/>
      <c r="P1338" s="1126"/>
      <c r="Q1338" s="972"/>
    </row>
    <row r="1339" spans="1:17">
      <c r="A1339" s="1713">
        <v>5</v>
      </c>
      <c r="B1339" s="1616"/>
      <c r="C1339" s="1616"/>
      <c r="D1339" s="1616"/>
      <c r="E1339" s="1616"/>
      <c r="F1339" s="1126"/>
      <c r="G1339" s="1713">
        <v>5</v>
      </c>
      <c r="H1339" s="1713"/>
      <c r="I1339" s="1713"/>
      <c r="J1339" s="1713"/>
      <c r="K1339" s="1126"/>
      <c r="L1339" s="1713">
        <v>5</v>
      </c>
      <c r="M1339" s="1713"/>
      <c r="N1339" s="1713"/>
      <c r="O1339" s="1713"/>
      <c r="P1339" s="1126"/>
      <c r="Q1339" s="583"/>
    </row>
    <row r="1340" spans="1:17">
      <c r="A1340" s="1713">
        <v>6</v>
      </c>
      <c r="B1340" s="1616"/>
      <c r="C1340" s="1616"/>
      <c r="D1340" s="1616"/>
      <c r="E1340" s="1616"/>
      <c r="F1340" s="1126"/>
      <c r="G1340" s="1713">
        <v>6</v>
      </c>
      <c r="H1340" s="1713"/>
      <c r="I1340" s="1713"/>
      <c r="J1340" s="1713"/>
      <c r="K1340" s="1126"/>
      <c r="L1340" s="1713">
        <v>6</v>
      </c>
      <c r="M1340" s="1713"/>
      <c r="N1340" s="1713"/>
      <c r="O1340" s="1713"/>
      <c r="P1340" s="1126"/>
      <c r="Q1340" s="583"/>
    </row>
    <row r="1341" spans="1:17">
      <c r="A1341" s="1713">
        <v>7</v>
      </c>
      <c r="B1341" s="1616"/>
      <c r="C1341" s="1616"/>
      <c r="D1341" s="1616"/>
      <c r="E1341" s="1616"/>
      <c r="F1341" s="1126"/>
      <c r="G1341" s="1713">
        <v>7</v>
      </c>
      <c r="H1341" s="1713"/>
      <c r="I1341" s="1713"/>
      <c r="J1341" s="1713"/>
      <c r="K1341" s="1126"/>
      <c r="L1341" s="1713">
        <v>7</v>
      </c>
      <c r="M1341" s="1713"/>
      <c r="N1341" s="1713"/>
      <c r="O1341" s="1713"/>
      <c r="P1341" s="1126"/>
      <c r="Q1341" s="583"/>
    </row>
    <row r="1342" spans="1:17">
      <c r="A1342" s="1713">
        <v>8</v>
      </c>
      <c r="B1342" s="1616"/>
      <c r="C1342" s="1616"/>
      <c r="D1342" s="1616"/>
      <c r="E1342" s="1616"/>
      <c r="F1342" s="1126"/>
      <c r="G1342" s="1713">
        <v>8</v>
      </c>
      <c r="H1342" s="1713"/>
      <c r="I1342" s="1713"/>
      <c r="J1342" s="1713"/>
      <c r="K1342" s="1126"/>
      <c r="L1342" s="1713">
        <v>8</v>
      </c>
      <c r="M1342" s="1713"/>
      <c r="N1342" s="1713"/>
      <c r="O1342" s="1713"/>
      <c r="P1342" s="1126"/>
      <c r="Q1342" s="583"/>
    </row>
    <row r="1343" spans="1:17">
      <c r="A1343" s="1713">
        <v>9</v>
      </c>
      <c r="B1343" s="1616"/>
      <c r="C1343" s="1616"/>
      <c r="D1343" s="1616"/>
      <c r="E1343" s="1616"/>
      <c r="F1343" s="1126"/>
      <c r="G1343" s="1713">
        <v>9</v>
      </c>
      <c r="H1343" s="1713"/>
      <c r="I1343" s="1713"/>
      <c r="J1343" s="1713"/>
      <c r="K1343" s="1126"/>
      <c r="L1343" s="1713">
        <v>9</v>
      </c>
      <c r="M1343" s="1713"/>
      <c r="N1343" s="1713"/>
      <c r="O1343" s="1713"/>
      <c r="P1343" s="1126"/>
      <c r="Q1343" s="583"/>
    </row>
    <row r="1344" spans="1:17">
      <c r="A1344" s="1713">
        <v>10</v>
      </c>
      <c r="B1344" s="1616"/>
      <c r="C1344" s="1616"/>
      <c r="D1344" s="1616"/>
      <c r="E1344" s="1616"/>
      <c r="F1344" s="1126"/>
      <c r="G1344" s="1713">
        <v>10</v>
      </c>
      <c r="H1344" s="1713"/>
      <c r="I1344" s="1713"/>
      <c r="J1344" s="1713"/>
      <c r="K1344" s="1126"/>
      <c r="L1344" s="1713">
        <v>10</v>
      </c>
      <c r="M1344" s="1713"/>
      <c r="N1344" s="1713"/>
      <c r="O1344" s="1713"/>
      <c r="P1344" s="1126"/>
      <c r="Q1344" s="583"/>
    </row>
    <row r="1345" spans="1:21">
      <c r="A1345" s="1713">
        <v>11</v>
      </c>
      <c r="B1345" s="1616"/>
      <c r="C1345" s="1616"/>
      <c r="D1345" s="1616"/>
      <c r="E1345" s="1616"/>
      <c r="F1345" s="1126"/>
      <c r="G1345" s="1713">
        <v>11</v>
      </c>
      <c r="H1345" s="1713"/>
      <c r="I1345" s="1713"/>
      <c r="J1345" s="1713"/>
      <c r="K1345" s="1126"/>
      <c r="L1345" s="1713">
        <v>11</v>
      </c>
      <c r="M1345" s="1713"/>
      <c r="N1345" s="1713"/>
      <c r="O1345" s="1713"/>
      <c r="P1345" s="1126"/>
      <c r="Q1345" s="583"/>
    </row>
    <row r="1346" spans="1:21">
      <c r="A1346" s="1713">
        <v>12</v>
      </c>
      <c r="B1346" s="1616"/>
      <c r="C1346" s="1616"/>
      <c r="D1346" s="1616"/>
      <c r="E1346" s="1616"/>
      <c r="F1346" s="1126"/>
      <c r="G1346" s="1713">
        <v>12</v>
      </c>
      <c r="H1346" s="1713"/>
      <c r="I1346" s="1713"/>
      <c r="J1346" s="1713"/>
      <c r="K1346" s="1126"/>
      <c r="L1346" s="1713">
        <v>12</v>
      </c>
      <c r="M1346" s="1713"/>
      <c r="N1346" s="1713"/>
      <c r="O1346" s="1713"/>
      <c r="P1346" s="1126"/>
      <c r="Q1346" s="583"/>
    </row>
    <row r="1347" spans="1:21" ht="15">
      <c r="A1347" s="971"/>
      <c r="B1347" s="971"/>
      <c r="C1347" s="971"/>
      <c r="D1347" s="584"/>
      <c r="E1347" s="584"/>
      <c r="F1347" s="1084"/>
      <c r="G1347" s="1084"/>
      <c r="H1347" s="1084"/>
      <c r="I1347" s="1084"/>
      <c r="J1347" s="1083"/>
      <c r="K1347" s="1083"/>
      <c r="L1347" s="1083"/>
      <c r="M1347" s="1059"/>
      <c r="N1347" s="1084"/>
      <c r="O1347" s="1115"/>
      <c r="P1347" s="967"/>
      <c r="Q1347" s="971"/>
    </row>
    <row r="1348" spans="1:21" ht="15">
      <c r="A1348" s="974" t="s">
        <v>2124</v>
      </c>
      <c r="B1348" s="975" t="s">
        <v>1077</v>
      </c>
      <c r="C1348" s="971"/>
      <c r="D1348" s="971"/>
      <c r="E1348" s="584"/>
      <c r="F1348" s="971"/>
      <c r="G1348" s="976"/>
      <c r="H1348" s="584"/>
      <c r="I1348" s="971"/>
      <c r="J1348" s="977"/>
      <c r="K1348" s="1589" t="s">
        <v>2888</v>
      </c>
      <c r="L1348" s="1589"/>
      <c r="M1348" s="1084">
        <v>3</v>
      </c>
      <c r="N1348" s="828"/>
      <c r="O1348" s="924">
        <f>IF($K1350 &gt;= $P1350,$M1350,IF($K1349&gt;=$P1349,$M1349,0))</f>
        <v>3</v>
      </c>
      <c r="P1348" s="924">
        <f>IF($L1350 &gt;= $P1350,$M1350,IF($L1349&gt;=$P1349,$M1349,0))</f>
        <v>0</v>
      </c>
      <c r="Q1348" s="1084" t="s">
        <v>463</v>
      </c>
      <c r="U1348" s="967">
        <f>'Part IX A-Scoring Criteria'!O30</f>
        <v>3</v>
      </c>
    </row>
    <row r="1349" spans="1:21" ht="15">
      <c r="A1349" s="978" t="s">
        <v>2118</v>
      </c>
      <c r="B1349" s="1120" t="s">
        <v>2808</v>
      </c>
      <c r="C1349" s="977"/>
      <c r="D1349" s="977"/>
      <c r="E1349" s="959"/>
      <c r="F1349" s="977"/>
      <c r="G1349" s="977"/>
      <c r="H1349" s="958" t="s">
        <v>2886</v>
      </c>
      <c r="I1349" s="979">
        <f>'Part IX A-Scoring Criteria'!I31</f>
        <v>0</v>
      </c>
      <c r="J1349" s="979"/>
      <c r="K1349" s="980">
        <f>IF(OR('Part VI-Revenues &amp; Expenses'!$M$60="", 'Part VI-Revenues &amp; Expenses'!$M$60=0),0,I1349/'Part VI-Revenues &amp; Expenses'!$M$60)</f>
        <v>0</v>
      </c>
      <c r="L1349" s="980">
        <f>IF(OR('Part VI-Revenues &amp; Expenses'!$M$60="", 'Part VI-Revenues &amp; Expenses'!$M$60=0),0,J1349/'Part VI-Revenues &amp; Expenses'!$M$60)</f>
        <v>0</v>
      </c>
      <c r="M1349" s="828">
        <v>3</v>
      </c>
      <c r="N1349" s="915"/>
      <c r="O1349" s="1714" t="s">
        <v>2910</v>
      </c>
      <c r="P1349" s="981">
        <v>0.15</v>
      </c>
      <c r="Q1349" s="977"/>
    </row>
    <row r="1350" spans="1:21" ht="15">
      <c r="A1350" s="978" t="s">
        <v>2121</v>
      </c>
      <c r="B1350" s="1120" t="s">
        <v>2809</v>
      </c>
      <c r="C1350" s="977"/>
      <c r="D1350" s="977"/>
      <c r="E1350" s="959"/>
      <c r="F1350" s="977"/>
      <c r="G1350" s="977"/>
      <c r="H1350" s="958" t="s">
        <v>2810</v>
      </c>
      <c r="I1350" s="979">
        <f>'Part IX A-Scoring Criteria'!I32</f>
        <v>75</v>
      </c>
      <c r="J1350" s="979"/>
      <c r="K1350" s="980">
        <f>IF(OR('Part VI-Revenues &amp; Expenses'!$M$60="", 'Part VI-Revenues &amp; Expenses'!$M$60=0),0,I1350/'Part VI-Revenues &amp; Expenses'!$M$60)</f>
        <v>1</v>
      </c>
      <c r="L1350" s="980">
        <f>IF(OR('Part VI-Revenues &amp; Expenses'!$M$60="", 'Part VI-Revenues &amp; Expenses'!$M$60=0),0,J1350/'Part VI-Revenues &amp; Expenses'!$M$60)</f>
        <v>0</v>
      </c>
      <c r="M1350" s="828">
        <v>3</v>
      </c>
      <c r="N1350" s="915"/>
      <c r="O1350" s="1714"/>
      <c r="P1350" s="981">
        <v>0.15</v>
      </c>
      <c r="Q1350" s="977"/>
    </row>
    <row r="1351" spans="1:21" ht="15">
      <c r="A1351" s="583"/>
      <c r="B1351" s="946" t="s">
        <v>269</v>
      </c>
      <c r="C1351" s="583"/>
      <c r="D1351" s="587"/>
      <c r="E1351" s="587"/>
      <c r="F1351" s="587"/>
      <c r="G1351" s="587"/>
      <c r="H1351" s="584"/>
      <c r="I1351" s="584"/>
      <c r="J1351" s="584"/>
      <c r="K1351" s="584"/>
      <c r="L1351" s="971"/>
      <c r="M1351" s="828"/>
      <c r="N1351" s="832"/>
      <c r="O1351" s="967"/>
      <c r="P1351" s="1115"/>
      <c r="Q1351" s="971"/>
    </row>
    <row r="1352" spans="1:21" ht="15.75">
      <c r="A1352" s="1575" t="str">
        <f>'Part IX A-Scoring Criteria'!A34</f>
        <v>The project is a RAD conversion. 100% of the units will be supported by a PBV Agreement to enter into Housing Assistance Payments Contract (CHAP_).</v>
      </c>
      <c r="B1352" s="1575"/>
      <c r="C1352" s="1575"/>
      <c r="D1352" s="1575"/>
      <c r="E1352" s="1575"/>
      <c r="F1352" s="1575"/>
      <c r="G1352" s="1575"/>
      <c r="H1352" s="1575"/>
      <c r="I1352" s="1575"/>
      <c r="J1352" s="1575"/>
      <c r="K1352" s="1575"/>
      <c r="L1352" s="1575"/>
      <c r="M1352" s="1575"/>
      <c r="N1352" s="1575"/>
      <c r="O1352" s="1575"/>
      <c r="P1352" s="1575"/>
      <c r="Q1352" s="972" t="s">
        <v>1332</v>
      </c>
    </row>
    <row r="1353" spans="1:21" ht="15">
      <c r="A1353" s="583"/>
      <c r="B1353" s="946" t="s">
        <v>1996</v>
      </c>
      <c r="C1353" s="583"/>
      <c r="D1353" s="947"/>
      <c r="E1353" s="1065"/>
      <c r="F1353" s="1065"/>
      <c r="G1353" s="1065"/>
      <c r="H1353" s="1065"/>
      <c r="I1353" s="1065"/>
      <c r="J1353" s="1065"/>
      <c r="K1353" s="1065"/>
      <c r="L1353" s="1065"/>
      <c r="M1353" s="1065"/>
      <c r="N1353" s="982"/>
      <c r="O1353" s="983"/>
      <c r="P1353" s="1084"/>
      <c r="Q1353" s="977"/>
    </row>
    <row r="1354" spans="1:21" ht="15.75">
      <c r="A1354" s="1575"/>
      <c r="B1354" s="1575"/>
      <c r="C1354" s="1575"/>
      <c r="D1354" s="1575"/>
      <c r="E1354" s="1575"/>
      <c r="F1354" s="1575"/>
      <c r="G1354" s="1575"/>
      <c r="H1354" s="1575"/>
      <c r="I1354" s="1575"/>
      <c r="J1354" s="1575"/>
      <c r="K1354" s="1575"/>
      <c r="L1354" s="1575"/>
      <c r="M1354" s="1575"/>
      <c r="N1354" s="1575"/>
      <c r="O1354" s="1575"/>
      <c r="P1354" s="1575"/>
      <c r="Q1354" s="972" t="s">
        <v>1332</v>
      </c>
    </row>
    <row r="1355" spans="1:21">
      <c r="N1355" s="832"/>
      <c r="O1355" s="1115"/>
      <c r="P1355" s="1115"/>
    </row>
    <row r="1356" spans="1:21" ht="15">
      <c r="A1356" s="968" t="s">
        <v>2707</v>
      </c>
      <c r="B1356" s="969" t="s">
        <v>2004</v>
      </c>
      <c r="C1356" s="971"/>
      <c r="D1356" s="984"/>
      <c r="E1356" s="971"/>
      <c r="F1356" s="971"/>
      <c r="G1356" s="971"/>
      <c r="H1356" s="1609" t="s">
        <v>636</v>
      </c>
      <c r="I1356" s="1609"/>
      <c r="J1356" s="1609"/>
      <c r="K1356" s="1609"/>
      <c r="L1356" s="971"/>
      <c r="M1356" s="1084">
        <v>12</v>
      </c>
      <c r="N1356" s="944"/>
      <c r="O1356" s="924">
        <f>IF(OR($M1358-$O1359&lt;0,$O1358-$O1359&lt;0),0,IF($O1358&lt;=$M1358,$O1358-$O1359,IF($O1358&gt;$M1358,$M1358-$O1359,0)))</f>
        <v>12</v>
      </c>
      <c r="P1356" s="924">
        <f>IF(OR($M1358-$P1359&lt;0,$P1358-$P1359&lt;0),0,IF($P1358&lt;=$M1358,$P1358-$P1359,IF($P1358&gt;$M1358,$M1358-$P1359,0)))</f>
        <v>0</v>
      </c>
      <c r="Q1356" s="1084" t="s">
        <v>463</v>
      </c>
      <c r="U1356" s="967">
        <f>'Part IX A-Scoring Criteria'!O38</f>
        <v>12</v>
      </c>
    </row>
    <row r="1357" spans="1:21" ht="15">
      <c r="A1357" s="583"/>
      <c r="B1357" s="971"/>
      <c r="C1357" s="971"/>
      <c r="D1357" s="584"/>
      <c r="E1357" s="584"/>
      <c r="F1357" s="1084"/>
      <c r="G1357" s="1084"/>
      <c r="H1357" s="1609"/>
      <c r="I1357" s="1609"/>
      <c r="J1357" s="1609"/>
      <c r="K1357" s="1609"/>
      <c r="L1357" s="1083"/>
      <c r="M1357" s="1059"/>
      <c r="N1357" s="1084"/>
      <c r="O1357" s="1115"/>
      <c r="P1357" s="967"/>
      <c r="Q1357" s="971"/>
    </row>
    <row r="1358" spans="1:21" ht="15">
      <c r="A1358" s="951" t="s">
        <v>2118</v>
      </c>
      <c r="B1358" s="905" t="s">
        <v>2005</v>
      </c>
      <c r="C1358" s="586"/>
      <c r="D1358" s="586"/>
      <c r="E1358" s="844" t="s">
        <v>2968</v>
      </c>
      <c r="F1358" s="837"/>
      <c r="G1358" s="837"/>
      <c r="H1358" s="1609"/>
      <c r="I1358" s="1609"/>
      <c r="J1358" s="1609"/>
      <c r="K1358" s="1609"/>
      <c r="L1358" s="971"/>
      <c r="M1358" s="828">
        <v>12</v>
      </c>
      <c r="N1358" s="985" t="s">
        <v>2118</v>
      </c>
      <c r="O1358" s="1084">
        <f>'Part IX A-Scoring Criteria'!O40</f>
        <v>12</v>
      </c>
      <c r="P1358" s="1084"/>
      <c r="Q1358" s="986" t="s">
        <v>2947</v>
      </c>
    </row>
    <row r="1359" spans="1:21" ht="16.5">
      <c r="A1359" s="951" t="s">
        <v>2121</v>
      </c>
      <c r="B1359" s="905" t="s">
        <v>2006</v>
      </c>
      <c r="C1359" s="971"/>
      <c r="D1359" s="984"/>
      <c r="E1359" s="844" t="s">
        <v>447</v>
      </c>
      <c r="F1359" s="987"/>
      <c r="G1359" s="987"/>
      <c r="H1359" s="987"/>
      <c r="I1359" s="971"/>
      <c r="J1359" s="971"/>
      <c r="K1359" s="971"/>
      <c r="L1359" s="971"/>
      <c r="M1359" s="1059" t="s">
        <v>1316</v>
      </c>
      <c r="N1359" s="944" t="s">
        <v>2121</v>
      </c>
      <c r="O1359" s="1084">
        <f>'Part IX A-Scoring Criteria'!O41</f>
        <v>0</v>
      </c>
      <c r="P1359" s="1084"/>
      <c r="Q1359" s="986" t="s">
        <v>2947</v>
      </c>
    </row>
    <row r="1360" spans="1:21" ht="15">
      <c r="A1360" s="583"/>
      <c r="B1360" s="946" t="s">
        <v>269</v>
      </c>
      <c r="C1360" s="583"/>
      <c r="D1360" s="587"/>
      <c r="E1360" s="587"/>
      <c r="F1360" s="587"/>
      <c r="G1360" s="587"/>
      <c r="H1360" s="584"/>
      <c r="I1360" s="584"/>
      <c r="J1360" s="584"/>
      <c r="K1360" s="584"/>
      <c r="L1360" s="971"/>
      <c r="M1360" s="828"/>
      <c r="N1360" s="832"/>
      <c r="O1360" s="967"/>
      <c r="P1360" s="1115"/>
      <c r="Q1360" s="971"/>
    </row>
    <row r="1361" spans="1:21" ht="15.75">
      <c r="A1361" s="1575">
        <f>'Part IX A-Scoring Criteria'!A43</f>
        <v>0</v>
      </c>
      <c r="B1361" s="1575"/>
      <c r="C1361" s="1575"/>
      <c r="D1361" s="1575"/>
      <c r="E1361" s="1575"/>
      <c r="F1361" s="1575"/>
      <c r="G1361" s="1575"/>
      <c r="H1361" s="1575"/>
      <c r="I1361" s="1575"/>
      <c r="J1361" s="1575"/>
      <c r="K1361" s="1575"/>
      <c r="L1361" s="1575"/>
      <c r="M1361" s="1575"/>
      <c r="N1361" s="1575"/>
      <c r="O1361" s="1575"/>
      <c r="P1361" s="1575"/>
      <c r="Q1361" s="972" t="s">
        <v>1332</v>
      </c>
    </row>
    <row r="1362" spans="1:21" ht="15">
      <c r="A1362" s="583"/>
      <c r="B1362" s="946" t="s">
        <v>1996</v>
      </c>
      <c r="C1362" s="583"/>
      <c r="D1362" s="947"/>
      <c r="E1362" s="1065"/>
      <c r="F1362" s="1065"/>
      <c r="G1362" s="1065"/>
      <c r="H1362" s="1065"/>
      <c r="I1362" s="1065"/>
      <c r="J1362" s="1065"/>
      <c r="K1362" s="1065"/>
      <c r="L1362" s="1065"/>
      <c r="M1362" s="1065"/>
      <c r="N1362" s="982"/>
      <c r="O1362" s="983"/>
      <c r="P1362" s="1084"/>
      <c r="Q1362" s="977"/>
    </row>
    <row r="1363" spans="1:21" ht="15.75">
      <c r="A1363" s="1575"/>
      <c r="B1363" s="1575"/>
      <c r="C1363" s="1575"/>
      <c r="D1363" s="1575"/>
      <c r="E1363" s="1575"/>
      <c r="F1363" s="1575"/>
      <c r="G1363" s="1575"/>
      <c r="H1363" s="1575"/>
      <c r="I1363" s="1575"/>
      <c r="J1363" s="1575"/>
      <c r="K1363" s="1575"/>
      <c r="L1363" s="1575"/>
      <c r="M1363" s="1575"/>
      <c r="N1363" s="1575"/>
      <c r="O1363" s="1575"/>
      <c r="P1363" s="1575"/>
      <c r="Q1363" s="972" t="s">
        <v>1332</v>
      </c>
    </row>
    <row r="1364" spans="1:21">
      <c r="M1364" s="583"/>
      <c r="N1364" s="828"/>
      <c r="O1364" s="1084"/>
      <c r="P1364" s="1084"/>
    </row>
    <row r="1365" spans="1:21" ht="15">
      <c r="A1365" s="968" t="s">
        <v>1301</v>
      </c>
      <c r="B1365" s="969" t="s">
        <v>2825</v>
      </c>
      <c r="C1365" s="971"/>
      <c r="D1365" s="984"/>
      <c r="E1365" s="971"/>
      <c r="F1365" s="971"/>
      <c r="G1365" s="971"/>
      <c r="H1365" s="988" t="s">
        <v>2889</v>
      </c>
      <c r="I1365" s="946" t="s">
        <v>2012</v>
      </c>
      <c r="J1365" s="587"/>
      <c r="K1365" s="587"/>
      <c r="L1365" s="971"/>
      <c r="M1365" s="1084">
        <v>4</v>
      </c>
      <c r="N1365" s="944"/>
      <c r="O1365" s="924">
        <f>MIN($M1365,(O1367+O1368+O1369+O1370))</f>
        <v>3</v>
      </c>
      <c r="P1365" s="924">
        <f>MIN($M1365,(P1367+P1368+P1369+P1370))</f>
        <v>0</v>
      </c>
      <c r="Q1365" s="1084" t="s">
        <v>463</v>
      </c>
      <c r="U1365" s="967">
        <f>'Part IX A-Scoring Criteria'!O47</f>
        <v>3</v>
      </c>
    </row>
    <row r="1366" spans="1:21" ht="15">
      <c r="A1366" s="989" t="s">
        <v>3238</v>
      </c>
      <c r="B1366" s="969"/>
      <c r="C1366" s="971"/>
      <c r="D1366" s="984"/>
      <c r="E1366" s="971"/>
      <c r="F1366" s="971"/>
      <c r="G1366" s="971"/>
      <c r="H1366" s="905" t="s">
        <v>3248</v>
      </c>
      <c r="I1366" s="990"/>
      <c r="J1366" s="905" t="str">
        <f>'Part I-Project Information'!$H$85</f>
        <v>Flexible</v>
      </c>
      <c r="K1366" s="971"/>
      <c r="M1366" s="1084"/>
      <c r="N1366" s="1084"/>
      <c r="O1366" s="1084"/>
      <c r="P1366" s="1084"/>
      <c r="Q1366" s="1084"/>
    </row>
    <row r="1367" spans="1:21">
      <c r="A1367" s="955" t="s">
        <v>2118</v>
      </c>
      <c r="B1367" s="1715" t="s">
        <v>3690</v>
      </c>
      <c r="C1367" s="1715"/>
      <c r="D1367" s="1715"/>
      <c r="E1367" s="1715"/>
      <c r="F1367" s="1715"/>
      <c r="G1367" s="1715"/>
      <c r="H1367" s="1715"/>
      <c r="I1367" s="1715"/>
      <c r="J1367" s="1715"/>
      <c r="K1367" s="1715"/>
      <c r="L1367" s="1715"/>
      <c r="M1367" s="991">
        <v>4</v>
      </c>
      <c r="N1367" s="992" t="s">
        <v>2118</v>
      </c>
      <c r="O1367" s="1069">
        <f>'Part IX A-Scoring Criteria'!O49</f>
        <v>0</v>
      </c>
      <c r="P1367" s="1069"/>
      <c r="Q1367" s="993" t="str">
        <f>IF(OR($O1367=$M1367,$O1367=0,$O1367=""),"","* * Check Score! * *")</f>
        <v/>
      </c>
    </row>
    <row r="1368" spans="1:21">
      <c r="A1368" s="955" t="s">
        <v>2121</v>
      </c>
      <c r="B1368" s="1715" t="s">
        <v>3691</v>
      </c>
      <c r="C1368" s="1715"/>
      <c r="D1368" s="1715"/>
      <c r="E1368" s="1715"/>
      <c r="F1368" s="1715"/>
      <c r="G1368" s="1715"/>
      <c r="H1368" s="1715"/>
      <c r="I1368" s="1715"/>
      <c r="J1368" s="1715"/>
      <c r="K1368" s="1715"/>
      <c r="L1368" s="1715"/>
      <c r="M1368" s="991">
        <v>3</v>
      </c>
      <c r="N1368" s="956" t="s">
        <v>2121</v>
      </c>
      <c r="O1368" s="1069">
        <f>'Part IX A-Scoring Criteria'!O50</f>
        <v>3</v>
      </c>
      <c r="P1368" s="1069"/>
      <c r="Q1368" s="993" t="str">
        <f>IF(OR($O1368=$M1368,$O1368=0,$O1368=""),"","* * Check Score! * *")</f>
        <v/>
      </c>
    </row>
    <row r="1369" spans="1:21" ht="15">
      <c r="A1369" s="951" t="s">
        <v>799</v>
      </c>
      <c r="B1369" s="905" t="s">
        <v>3692</v>
      </c>
      <c r="C1369" s="971"/>
      <c r="D1369" s="971"/>
      <c r="E1369" s="984"/>
      <c r="F1369" s="971"/>
      <c r="G1369" s="971"/>
      <c r="H1369" s="971"/>
      <c r="I1369" s="971"/>
      <c r="J1369" s="971"/>
      <c r="K1369" s="587"/>
      <c r="L1369" s="971"/>
      <c r="M1369" s="828">
        <v>2</v>
      </c>
      <c r="N1369" s="985" t="s">
        <v>799</v>
      </c>
      <c r="O1369" s="1069">
        <f>'Part IX A-Scoring Criteria'!O51</f>
        <v>0</v>
      </c>
      <c r="P1369" s="1084"/>
      <c r="Q1369" s="994" t="str">
        <f>IF(OR($O1369=$M1369,$O1369=0,$O1369=""),"","* * Check Score! * *")</f>
        <v/>
      </c>
    </row>
    <row r="1370" spans="1:21" ht="15">
      <c r="A1370" s="951" t="s">
        <v>2253</v>
      </c>
      <c r="B1370" s="905" t="s">
        <v>3693</v>
      </c>
      <c r="C1370" s="971"/>
      <c r="D1370" s="971"/>
      <c r="E1370" s="984"/>
      <c r="F1370" s="971"/>
      <c r="G1370" s="971"/>
      <c r="H1370" s="971"/>
      <c r="I1370" s="971"/>
      <c r="J1370" s="971"/>
      <c r="K1370" s="587"/>
      <c r="L1370" s="971"/>
      <c r="M1370" s="828">
        <v>1</v>
      </c>
      <c r="N1370" s="985" t="s">
        <v>2253</v>
      </c>
      <c r="O1370" s="1069">
        <f>'Part IX A-Scoring Criteria'!O52</f>
        <v>0</v>
      </c>
      <c r="P1370" s="1084"/>
      <c r="Q1370" s="994"/>
    </row>
    <row r="1371" spans="1:21" ht="15">
      <c r="A1371" s="584" t="s">
        <v>3634</v>
      </c>
      <c r="B1371" s="905"/>
      <c r="C1371" s="971"/>
      <c r="D1371" s="971"/>
      <c r="E1371" s="984"/>
      <c r="F1371" s="971"/>
      <c r="G1371" s="971"/>
      <c r="H1371" s="971"/>
      <c r="I1371" s="971"/>
      <c r="J1371" s="971"/>
      <c r="K1371" s="587"/>
      <c r="L1371" s="971"/>
      <c r="M1371" s="828"/>
      <c r="N1371" s="828"/>
      <c r="O1371" s="828"/>
      <c r="P1371" s="828"/>
      <c r="Q1371" s="994"/>
    </row>
    <row r="1372" spans="1:21" ht="15">
      <c r="A1372" s="989" t="s">
        <v>3241</v>
      </c>
      <c r="B1372" s="905"/>
      <c r="C1372" s="971"/>
      <c r="D1372" s="971"/>
      <c r="E1372" s="984"/>
      <c r="F1372" s="971"/>
      <c r="G1372" s="971"/>
      <c r="H1372" s="971"/>
      <c r="I1372" s="971"/>
      <c r="J1372" s="971"/>
      <c r="K1372" s="587"/>
      <c r="L1372" s="971"/>
      <c r="M1372" s="828"/>
      <c r="N1372" s="828"/>
      <c r="O1372" s="828"/>
      <c r="P1372" s="828"/>
      <c r="Q1372" s="994"/>
    </row>
    <row r="1373" spans="1:21">
      <c r="A1373" s="951" t="s">
        <v>1857</v>
      </c>
      <c r="B1373" s="905" t="s">
        <v>3694</v>
      </c>
      <c r="C1373" s="905"/>
      <c r="D1373" s="905"/>
      <c r="E1373" s="905"/>
      <c r="F1373" s="905"/>
      <c r="G1373" s="905"/>
      <c r="H1373" s="905"/>
      <c r="I1373" s="905"/>
      <c r="J1373" s="905"/>
      <c r="K1373" s="905"/>
      <c r="L1373" s="905"/>
      <c r="M1373" s="828">
        <v>2</v>
      </c>
      <c r="N1373" s="985" t="s">
        <v>1857</v>
      </c>
      <c r="O1373" s="1084">
        <f>'Part IX A-Scoring Criteria'!O55</f>
        <v>0</v>
      </c>
      <c r="P1373" s="1084"/>
      <c r="Q1373" s="994"/>
    </row>
    <row r="1374" spans="1:21" ht="15">
      <c r="A1374" s="583"/>
      <c r="B1374" s="946" t="s">
        <v>269</v>
      </c>
      <c r="C1374" s="583"/>
      <c r="D1374" s="587"/>
      <c r="E1374" s="587"/>
      <c r="F1374" s="587"/>
      <c r="G1374" s="587"/>
      <c r="H1374" s="584"/>
      <c r="I1374" s="584"/>
      <c r="J1374" s="584"/>
      <c r="K1374" s="584"/>
      <c r="L1374" s="995"/>
      <c r="M1374" s="828"/>
      <c r="N1374" s="828"/>
      <c r="O1374" s="967"/>
      <c r="P1374" s="1084"/>
      <c r="Q1374" s="995"/>
    </row>
    <row r="1375" spans="1:21" ht="15.75">
      <c r="A1375" s="1575" t="str">
        <f>'Part IX A-Scoring Criteria'!A57</f>
        <v>The site has a public bus stop on the property.</v>
      </c>
      <c r="B1375" s="1575"/>
      <c r="C1375" s="1575"/>
      <c r="D1375" s="1575"/>
      <c r="E1375" s="1575"/>
      <c r="F1375" s="1575"/>
      <c r="G1375" s="1575"/>
      <c r="H1375" s="1575"/>
      <c r="I1375" s="1575"/>
      <c r="J1375" s="1575"/>
      <c r="K1375" s="1575"/>
      <c r="L1375" s="1575"/>
      <c r="M1375" s="1575"/>
      <c r="N1375" s="1575"/>
      <c r="O1375" s="1575"/>
      <c r="P1375" s="1575"/>
      <c r="Q1375" s="972" t="s">
        <v>1332</v>
      </c>
    </row>
    <row r="1376" spans="1:21" ht="15">
      <c r="A1376" s="583"/>
      <c r="B1376" s="946" t="s">
        <v>1996</v>
      </c>
      <c r="C1376" s="583"/>
      <c r="D1376" s="946"/>
      <c r="E1376" s="1062"/>
      <c r="F1376" s="1062"/>
      <c r="G1376" s="1062"/>
      <c r="H1376" s="1062"/>
      <c r="I1376" s="1062"/>
      <c r="J1376" s="1062"/>
      <c r="K1376" s="1062"/>
      <c r="L1376" s="1062"/>
      <c r="M1376" s="1062"/>
      <c r="N1376" s="973"/>
      <c r="O1376" s="1126"/>
      <c r="P1376" s="1084"/>
      <c r="Q1376" s="977"/>
    </row>
    <row r="1377" spans="1:21" ht="15.75">
      <c r="A1377" s="1575"/>
      <c r="B1377" s="1575"/>
      <c r="C1377" s="1575"/>
      <c r="D1377" s="1575"/>
      <c r="E1377" s="1575"/>
      <c r="F1377" s="1575"/>
      <c r="G1377" s="1575"/>
      <c r="H1377" s="1575"/>
      <c r="I1377" s="1575"/>
      <c r="J1377" s="1575"/>
      <c r="K1377" s="1575"/>
      <c r="L1377" s="1575"/>
      <c r="M1377" s="1575"/>
      <c r="N1377" s="1575"/>
      <c r="O1377" s="1575"/>
      <c r="P1377" s="1575"/>
      <c r="Q1377" s="972" t="s">
        <v>1332</v>
      </c>
    </row>
    <row r="1378" spans="1:21" ht="15">
      <c r="A1378" s="912"/>
      <c r="B1378" s="996"/>
      <c r="C1378" s="971"/>
      <c r="D1378" s="971"/>
      <c r="E1378" s="971"/>
      <c r="F1378" s="971"/>
      <c r="G1378" s="984"/>
      <c r="H1378" s="971"/>
      <c r="I1378" s="971"/>
      <c r="J1378" s="587"/>
      <c r="K1378" s="587"/>
      <c r="L1378" s="971"/>
      <c r="M1378" s="995"/>
      <c r="N1378" s="996"/>
      <c r="O1378" s="995"/>
      <c r="P1378" s="995"/>
      <c r="Q1378" s="971"/>
    </row>
    <row r="1379" spans="1:21" ht="15">
      <c r="A1379" s="968" t="s">
        <v>1302</v>
      </c>
      <c r="B1379" s="969" t="s">
        <v>2826</v>
      </c>
      <c r="C1379" s="971"/>
      <c r="D1379" s="984"/>
      <c r="E1379" s="584" t="s">
        <v>1472</v>
      </c>
      <c r="F1379" s="971"/>
      <c r="G1379" s="971"/>
      <c r="H1379" s="971"/>
      <c r="I1379" s="946" t="s">
        <v>2012</v>
      </c>
      <c r="J1379" s="971"/>
      <c r="K1379" s="971"/>
      <c r="L1379" s="971"/>
      <c r="M1379" s="1084">
        <v>2</v>
      </c>
      <c r="N1379" s="997" t="str">
        <f>IF(OR($O1379=$M1379,$O1379=0,$O1379=""),"","***")</f>
        <v/>
      </c>
      <c r="O1379" s="1069">
        <f>'Part IX A-Scoring Criteria'!O61</f>
        <v>0</v>
      </c>
      <c r="P1379" s="1084"/>
      <c r="Q1379" s="1084" t="s">
        <v>463</v>
      </c>
      <c r="U1379" s="967">
        <f>'Part IX A-Scoring Criteria'!O61</f>
        <v>0</v>
      </c>
    </row>
    <row r="1380" spans="1:21" ht="15">
      <c r="A1380" s="968"/>
      <c r="B1380" s="1082" t="s">
        <v>2811</v>
      </c>
      <c r="C1380" s="971"/>
      <c r="D1380" s="984"/>
      <c r="E1380" s="584"/>
      <c r="F1380" s="971"/>
      <c r="G1380" s="971"/>
      <c r="H1380" s="971"/>
      <c r="I1380" s="971"/>
      <c r="J1380" s="971"/>
      <c r="K1380" s="971"/>
      <c r="L1380" s="1618" t="str">
        <f>'Part IX A-Scoring Criteria'!L62</f>
        <v>N/A</v>
      </c>
      <c r="M1380" s="1618"/>
      <c r="N1380" s="1618"/>
      <c r="O1380" s="1618"/>
      <c r="P1380" s="944"/>
      <c r="Q1380" s="1084"/>
    </row>
    <row r="1381" spans="1:21" ht="15">
      <c r="A1381" s="968"/>
      <c r="B1381" s="1082" t="s">
        <v>3239</v>
      </c>
      <c r="C1381" s="971"/>
      <c r="D1381" s="984"/>
      <c r="E1381" s="584"/>
      <c r="F1381" s="971"/>
      <c r="G1381" s="971"/>
      <c r="H1381" s="971"/>
      <c r="I1381" s="971"/>
      <c r="J1381" s="971"/>
      <c r="K1381" s="971"/>
      <c r="L1381" s="1618">
        <f>'Part IX A-Scoring Criteria'!L63</f>
        <v>0</v>
      </c>
      <c r="M1381" s="1618"/>
      <c r="N1381" s="1618"/>
      <c r="O1381" s="1618"/>
      <c r="P1381" s="944"/>
      <c r="Q1381" s="1084"/>
    </row>
    <row r="1382" spans="1:21" ht="15">
      <c r="A1382" s="583"/>
      <c r="B1382" s="946" t="s">
        <v>269</v>
      </c>
      <c r="C1382" s="583"/>
      <c r="D1382" s="587"/>
      <c r="E1382" s="587"/>
      <c r="F1382" s="587"/>
      <c r="G1382" s="587"/>
      <c r="H1382" s="995"/>
      <c r="I1382" s="584"/>
      <c r="J1382" s="584"/>
      <c r="K1382" s="584"/>
      <c r="L1382" s="995"/>
      <c r="M1382" s="828"/>
      <c r="N1382" s="828"/>
      <c r="O1382" s="967"/>
      <c r="P1382" s="1084"/>
      <c r="Q1382" s="995"/>
    </row>
    <row r="1383" spans="1:21" ht="15.75">
      <c r="A1383" s="1575">
        <f>'Part IX A-Scoring Criteria'!A65</f>
        <v>0</v>
      </c>
      <c r="B1383" s="1575"/>
      <c r="C1383" s="1575"/>
      <c r="D1383" s="1575"/>
      <c r="E1383" s="1575"/>
      <c r="F1383" s="1575"/>
      <c r="G1383" s="1575"/>
      <c r="H1383" s="1575"/>
      <c r="I1383" s="1575"/>
      <c r="J1383" s="1575"/>
      <c r="K1383" s="1575"/>
      <c r="L1383" s="1575"/>
      <c r="M1383" s="1575"/>
      <c r="N1383" s="1575"/>
      <c r="O1383" s="1575"/>
      <c r="P1383" s="1575"/>
      <c r="Q1383" s="972" t="s">
        <v>1332</v>
      </c>
    </row>
    <row r="1384" spans="1:21" ht="15">
      <c r="A1384" s="583"/>
      <c r="B1384" s="946" t="s">
        <v>1996</v>
      </c>
      <c r="C1384" s="583"/>
      <c r="D1384" s="946"/>
      <c r="E1384" s="1062"/>
      <c r="F1384" s="1062"/>
      <c r="G1384" s="1062"/>
      <c r="H1384" s="1062"/>
      <c r="I1384" s="1062"/>
      <c r="J1384" s="1062"/>
      <c r="K1384" s="1062"/>
      <c r="L1384" s="1062"/>
      <c r="M1384" s="1062"/>
      <c r="N1384" s="973"/>
      <c r="O1384" s="1126"/>
      <c r="P1384" s="1084"/>
      <c r="Q1384" s="977"/>
    </row>
    <row r="1385" spans="1:21" ht="15.75">
      <c r="A1385" s="1575"/>
      <c r="B1385" s="1575"/>
      <c r="C1385" s="1575"/>
      <c r="D1385" s="1575"/>
      <c r="E1385" s="1575"/>
      <c r="F1385" s="1575"/>
      <c r="G1385" s="1575"/>
      <c r="H1385" s="1575"/>
      <c r="I1385" s="1575"/>
      <c r="J1385" s="1575"/>
      <c r="K1385" s="1575"/>
      <c r="L1385" s="1575"/>
      <c r="M1385" s="1575"/>
      <c r="N1385" s="1575"/>
      <c r="O1385" s="1575"/>
      <c r="P1385" s="1575"/>
      <c r="Q1385" s="972" t="s">
        <v>1332</v>
      </c>
    </row>
    <row r="1386" spans="1:21">
      <c r="N1386" s="832"/>
      <c r="O1386" s="1115"/>
      <c r="P1386" s="1115"/>
    </row>
    <row r="1387" spans="1:21" ht="15">
      <c r="A1387" s="968" t="s">
        <v>2014</v>
      </c>
      <c r="B1387" s="969" t="s">
        <v>225</v>
      </c>
      <c r="C1387" s="971"/>
      <c r="D1387" s="584"/>
      <c r="E1387" s="584"/>
      <c r="F1387" s="971"/>
      <c r="G1387" s="971"/>
      <c r="H1387" s="971"/>
      <c r="I1387" s="960" t="s">
        <v>3695</v>
      </c>
      <c r="J1387" s="1643" t="str">
        <f>'Part IX A-Scoring Criteria'!J69</f>
        <v>Earth Craft House Multifamily</v>
      </c>
      <c r="K1387" s="1643"/>
      <c r="L1387" s="1643"/>
      <c r="M1387" s="1084">
        <v>3</v>
      </c>
      <c r="N1387" s="997"/>
      <c r="O1387" s="828">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28">
        <f>IF(AND($J$70="Flexible",OR($J$69="Earth Craft Communities",$J$69="LEED-ND")),$M$70,IF(OR($J$69="Earth Craft House Multifamily",$J$69="Earth Craft House Single Family",$J$69="Earth Craft House Renovation",$J$69="LEED for Homes",$J$69="EF Green Communities",$J$69="NAHB Natl Green Bdlg Stds",$J$69="EnergyStar v3"),$M$77,0))</f>
        <v>0</v>
      </c>
      <c r="Q1387" s="1084" t="s">
        <v>463</v>
      </c>
      <c r="U1387" s="967">
        <f>'Part IX A-Scoring Criteria'!O69</f>
        <v>2</v>
      </c>
    </row>
    <row r="1388" spans="1:21" ht="15">
      <c r="A1388" s="951" t="s">
        <v>2118</v>
      </c>
      <c r="B1388" s="905" t="s">
        <v>2477</v>
      </c>
      <c r="D1388" s="583"/>
      <c r="H1388" s="905" t="s">
        <v>3248</v>
      </c>
      <c r="I1388" s="990"/>
      <c r="J1388" s="905" t="str">
        <f>'Part I-Project Information'!$H$85</f>
        <v>Flexible</v>
      </c>
      <c r="K1388" s="971"/>
      <c r="M1388" s="828">
        <v>3</v>
      </c>
      <c r="O1388" s="1061" t="s">
        <v>2681</v>
      </c>
      <c r="P1388" s="1061" t="s">
        <v>2681</v>
      </c>
    </row>
    <row r="1389" spans="1:21" ht="15">
      <c r="A1389" s="971"/>
      <c r="B1389" s="1066" t="s">
        <v>2917</v>
      </c>
      <c r="C1389" s="971"/>
      <c r="D1389" s="984"/>
      <c r="E1389" s="971"/>
      <c r="F1389" s="971"/>
      <c r="G1389" s="971"/>
      <c r="H1389" s="971"/>
      <c r="I1389" s="971"/>
      <c r="J1389" s="971"/>
      <c r="K1389" s="971"/>
      <c r="L1389" s="971"/>
      <c r="M1389" s="1084"/>
      <c r="N1389" s="985" t="s">
        <v>2118</v>
      </c>
      <c r="O1389" s="1124" t="str">
        <f>'Part IX A-Scoring Criteria'!O71</f>
        <v>No</v>
      </c>
      <c r="P1389" s="1124"/>
      <c r="Q1389" s="1084"/>
    </row>
    <row r="1390" spans="1:21">
      <c r="A1390" s="1115" t="str">
        <f>IF(J1387="Earth Craft Communities", "X","")</f>
        <v/>
      </c>
      <c r="B1390" s="998" t="s">
        <v>2122</v>
      </c>
      <c r="C1390" s="962" t="s">
        <v>2812</v>
      </c>
    </row>
    <row r="1391" spans="1:21">
      <c r="B1391" s="956"/>
      <c r="C1391" s="1575" t="s">
        <v>2814</v>
      </c>
      <c r="D1391" s="1575"/>
      <c r="E1391" s="1575"/>
      <c r="F1391" s="1575"/>
      <c r="G1391" s="1575"/>
      <c r="H1391" s="1575"/>
      <c r="I1391" s="1575"/>
      <c r="J1391" s="1575"/>
      <c r="K1391" s="1575"/>
      <c r="L1391" s="1575"/>
      <c r="M1391" s="911" t="str">
        <f>IF(AND($I$87="Stable Communities &lt; 10%",O1391=""), "X","")</f>
        <v/>
      </c>
      <c r="N1391" s="956" t="s">
        <v>2815</v>
      </c>
      <c r="O1391" s="1124" t="str">
        <f>'Part IX A-Scoring Criteria'!O73</f>
        <v>No</v>
      </c>
      <c r="P1391" s="1124"/>
    </row>
    <row r="1392" spans="1:21">
      <c r="A1392" s="1115" t="str">
        <f>IF(J1387="LEED-ND", "X","")</f>
        <v/>
      </c>
      <c r="B1392" s="998" t="s">
        <v>2124</v>
      </c>
      <c r="C1392" s="962" t="s">
        <v>2813</v>
      </c>
      <c r="M1392" s="912"/>
      <c r="O1392" s="1061" t="s">
        <v>2681</v>
      </c>
      <c r="P1392" s="1061" t="s">
        <v>2681</v>
      </c>
    </row>
    <row r="1393" spans="1:21">
      <c r="B1393" s="956"/>
      <c r="C1393" s="1575" t="s">
        <v>2989</v>
      </c>
      <c r="D1393" s="1575"/>
      <c r="E1393" s="1575"/>
      <c r="F1393" s="1575"/>
      <c r="G1393" s="1575"/>
      <c r="H1393" s="1575"/>
      <c r="I1393" s="1575"/>
      <c r="J1393" s="1575"/>
      <c r="K1393" s="1575"/>
      <c r="L1393" s="1575"/>
      <c r="M1393" s="911" t="str">
        <f>IF(AND($I$87="Stable Communities &lt; 10%",O1393=""), "X","")</f>
        <v/>
      </c>
      <c r="N1393" s="956" t="s">
        <v>2816</v>
      </c>
      <c r="O1393" s="1124" t="str">
        <f>'Part IX A-Scoring Criteria'!O75</f>
        <v>No</v>
      </c>
      <c r="P1393" s="1123"/>
    </row>
    <row r="1394" spans="1:21">
      <c r="B1394" s="956"/>
      <c r="E1394" s="950"/>
      <c r="F1394" s="950"/>
      <c r="I1394" s="950"/>
      <c r="J1394" s="950"/>
      <c r="K1394" s="950"/>
      <c r="M1394" s="911"/>
      <c r="N1394" s="911"/>
      <c r="O1394" s="911"/>
      <c r="P1394" s="911"/>
    </row>
    <row r="1395" spans="1:21">
      <c r="A1395" s="951" t="s">
        <v>2121</v>
      </c>
      <c r="B1395" s="905" t="s">
        <v>328</v>
      </c>
      <c r="D1395" s="583"/>
      <c r="E1395" s="583"/>
      <c r="F1395" s="583"/>
      <c r="M1395" s="828">
        <v>2</v>
      </c>
      <c r="O1395" s="1061" t="s">
        <v>2681</v>
      </c>
      <c r="P1395" s="1061" t="s">
        <v>2681</v>
      </c>
    </row>
    <row r="1396" spans="1:21" ht="15">
      <c r="A1396" s="1115" t="str">
        <f>IF(OR(J1387="Earth Craft House Single Family",J1387="Earth Craft House Multifamily",J1387="Earth Craft House Renovation",J1387="EF Green Communities",J1387="LEED for Homes",J1387="NAHB Natl Green Bdlg Stds",J1387="EnergyStar v3"), "X","")</f>
        <v>X</v>
      </c>
      <c r="B1396" s="999" t="s">
        <v>2122</v>
      </c>
      <c r="C1396" s="1077" t="s">
        <v>2993</v>
      </c>
      <c r="D1396" s="984"/>
      <c r="E1396" s="971"/>
      <c r="F1396" s="971"/>
      <c r="G1396" s="971"/>
      <c r="H1396" s="971"/>
      <c r="I1396" s="971"/>
      <c r="J1396" s="971"/>
      <c r="K1396" s="971"/>
      <c r="L1396" s="971"/>
      <c r="M1396" s="1084"/>
      <c r="N1396" s="999" t="s">
        <v>2122</v>
      </c>
      <c r="O1396" s="1124" t="str">
        <f>'Part IX A-Scoring Criteria'!O78</f>
        <v>Yes</v>
      </c>
      <c r="P1396" s="1124"/>
      <c r="Q1396" s="1084"/>
    </row>
    <row r="1397" spans="1:21" ht="15">
      <c r="A1397" s="1115" t="str">
        <f>IF(OR(J1387="Earth Craft House Single Family",J1387="Earth Craft House Multifamily",J1387="Earth Craft House Renovation",J1387="EF Green Communities",J1387="LEED for Homes",J1387="NAHB Natl Green Bdlg Stds",J1387="EnergyStar v3"), "X","")</f>
        <v>X</v>
      </c>
      <c r="B1397" s="999" t="s">
        <v>2124</v>
      </c>
      <c r="C1397" s="1077" t="s">
        <v>2990</v>
      </c>
      <c r="D1397" s="984"/>
      <c r="E1397" s="971"/>
      <c r="F1397" s="971"/>
      <c r="G1397" s="971"/>
      <c r="H1397" s="971"/>
      <c r="I1397" s="971"/>
      <c r="J1397" s="971"/>
      <c r="K1397" s="971"/>
      <c r="L1397" s="971"/>
      <c r="M1397" s="1084"/>
      <c r="N1397" s="999" t="s">
        <v>2124</v>
      </c>
      <c r="O1397" s="1124" t="str">
        <f>'Part IX A-Scoring Criteria'!O79</f>
        <v>Yes</v>
      </c>
      <c r="P1397" s="1124"/>
      <c r="Q1397" s="1084"/>
    </row>
    <row r="1398" spans="1:21" ht="15">
      <c r="A1398" s="1115" t="str">
        <f>IF(OR(J1387="Earth Craft House Single Family",J1387="Earth Craft House Multifamily",J1387="Earth Craft House Renovation",J1387="EF Green Communities",J1387="LEED for Homes",J1387="NAHB Natl Green Bdlg Stds",J1387="EnergyStar v3"), "X","")</f>
        <v>X</v>
      </c>
      <c r="B1398" s="999" t="s">
        <v>2707</v>
      </c>
      <c r="C1398" s="1077" t="s">
        <v>2991</v>
      </c>
      <c r="D1398" s="984"/>
      <c r="E1398" s="971"/>
      <c r="F1398" s="971"/>
      <c r="G1398" s="971"/>
      <c r="H1398" s="971"/>
      <c r="I1398" s="971"/>
      <c r="J1398" s="971"/>
      <c r="K1398" s="971"/>
      <c r="L1398" s="971"/>
      <c r="M1398" s="1084"/>
      <c r="N1398" s="999" t="s">
        <v>2707</v>
      </c>
      <c r="O1398" s="1124" t="str">
        <f>'Part IX A-Scoring Criteria'!O80</f>
        <v>Yes</v>
      </c>
      <c r="P1398" s="1124"/>
      <c r="Q1398" s="1084"/>
    </row>
    <row r="1399" spans="1:21" ht="15">
      <c r="A1399" s="1115" t="str">
        <f>IF(OR(J1387="Earth Craft House Single Family",J1387="Earth Craft House Multifamily",J1387="Earth Craft House Renovation",J1387="EF Green Communities",J1387="LEED for Homes",J1387="NAHB Natl Green Bdlg Stds",J1387="EnergyStar v3"), "X","")</f>
        <v>X</v>
      </c>
      <c r="B1399" s="999" t="s">
        <v>1301</v>
      </c>
      <c r="C1399" s="1077" t="s">
        <v>2992</v>
      </c>
      <c r="D1399" s="984"/>
      <c r="E1399" s="971"/>
      <c r="F1399" s="971"/>
      <c r="G1399" s="971"/>
      <c r="H1399" s="971"/>
      <c r="I1399" s="971"/>
      <c r="J1399" s="971"/>
      <c r="K1399" s="971"/>
      <c r="L1399" s="971"/>
      <c r="M1399" s="1084"/>
      <c r="N1399" s="999" t="s">
        <v>1301</v>
      </c>
      <c r="O1399" s="1124" t="str">
        <f>'Part IX A-Scoring Criteria'!O81</f>
        <v>Yes</v>
      </c>
      <c r="P1399" s="1124"/>
      <c r="Q1399" s="1084"/>
    </row>
    <row r="1400" spans="1:21" ht="15">
      <c r="A1400" s="583"/>
      <c r="B1400" s="946" t="s">
        <v>269</v>
      </c>
      <c r="C1400" s="583"/>
      <c r="D1400" s="587"/>
      <c r="E1400" s="587"/>
      <c r="F1400" s="587"/>
      <c r="G1400" s="587"/>
      <c r="H1400" s="995"/>
      <c r="I1400" s="995"/>
      <c r="J1400" s="995"/>
      <c r="K1400" s="584"/>
      <c r="L1400" s="995"/>
      <c r="M1400" s="828"/>
      <c r="N1400" s="828"/>
      <c r="O1400" s="967"/>
      <c r="P1400" s="1084"/>
      <c r="Q1400" s="995"/>
    </row>
    <row r="1401" spans="1:21" ht="15.75">
      <c r="A1401" s="1575">
        <f>'Part IX A-Scoring Criteria'!A83</f>
        <v>0</v>
      </c>
      <c r="B1401" s="1575"/>
      <c r="C1401" s="1575"/>
      <c r="D1401" s="1575"/>
      <c r="E1401" s="1575"/>
      <c r="F1401" s="1575"/>
      <c r="G1401" s="1575"/>
      <c r="H1401" s="1575"/>
      <c r="I1401" s="1575"/>
      <c r="J1401" s="1575"/>
      <c r="K1401" s="1575"/>
      <c r="L1401" s="1575"/>
      <c r="M1401" s="1575"/>
      <c r="N1401" s="1575"/>
      <c r="O1401" s="1575"/>
      <c r="P1401" s="1575"/>
      <c r="Q1401" s="972" t="s">
        <v>1332</v>
      </c>
    </row>
    <row r="1402" spans="1:21" ht="15">
      <c r="A1402" s="971"/>
      <c r="B1402" s="946" t="s">
        <v>1996</v>
      </c>
      <c r="C1402" s="583"/>
      <c r="D1402" s="947"/>
      <c r="E1402" s="1065"/>
      <c r="F1402" s="1065"/>
      <c r="G1402" s="1065"/>
      <c r="H1402" s="1065"/>
      <c r="I1402" s="1065"/>
      <c r="J1402" s="1065"/>
      <c r="K1402" s="1065"/>
      <c r="L1402" s="1065"/>
      <c r="M1402" s="1065"/>
      <c r="N1402" s="982"/>
      <c r="O1402" s="983"/>
      <c r="P1402" s="1084"/>
      <c r="Q1402" s="977"/>
    </row>
    <row r="1403" spans="1:21" ht="15.75">
      <c r="A1403" s="1713"/>
      <c r="B1403" s="1713"/>
      <c r="C1403" s="1713"/>
      <c r="D1403" s="1713"/>
      <c r="E1403" s="1713"/>
      <c r="F1403" s="1713"/>
      <c r="G1403" s="1713"/>
      <c r="H1403" s="1713"/>
      <c r="I1403" s="1713"/>
      <c r="J1403" s="1713"/>
      <c r="K1403" s="1713"/>
      <c r="L1403" s="1713"/>
      <c r="M1403" s="1713"/>
      <c r="N1403" s="1713"/>
      <c r="O1403" s="1713"/>
      <c r="P1403" s="1713"/>
      <c r="Q1403" s="972" t="s">
        <v>1332</v>
      </c>
    </row>
    <row r="1404" spans="1:21" ht="15">
      <c r="A1404" s="583"/>
      <c r="B1404" s="971"/>
      <c r="C1404" s="971"/>
      <c r="D1404" s="584"/>
      <c r="E1404" s="584"/>
      <c r="F1404" s="1084"/>
      <c r="G1404" s="1084"/>
      <c r="H1404" s="1084"/>
      <c r="I1404" s="1084"/>
      <c r="J1404" s="1083"/>
      <c r="K1404" s="1083"/>
      <c r="L1404" s="1083"/>
      <c r="M1404" s="1059"/>
      <c r="N1404" s="1084"/>
      <c r="O1404" s="1115"/>
      <c r="P1404" s="967"/>
      <c r="Q1404" s="971"/>
    </row>
    <row r="1405" spans="1:21" ht="15">
      <c r="A1405" s="968" t="s">
        <v>535</v>
      </c>
      <c r="B1405" s="969" t="s">
        <v>3240</v>
      </c>
      <c r="C1405" s="995"/>
      <c r="D1405" s="988"/>
      <c r="E1405" s="988"/>
      <c r="F1405" s="995"/>
      <c r="G1405" s="995"/>
      <c r="H1405" s="995"/>
      <c r="I1405" s="995"/>
      <c r="J1405" s="995"/>
      <c r="K1405" s="995"/>
      <c r="L1405" s="995"/>
      <c r="M1405" s="1084">
        <v>4</v>
      </c>
      <c r="N1405" s="828"/>
      <c r="O1405" s="1084">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1084"/>
      <c r="Q1405" s="1084" t="s">
        <v>463</v>
      </c>
      <c r="U1405" s="967">
        <f>'Part IX A-Scoring Criteria'!O87</f>
        <v>0</v>
      </c>
    </row>
    <row r="1406" spans="1:21">
      <c r="A1406" s="951"/>
      <c r="B1406" s="905" t="s">
        <v>3248</v>
      </c>
      <c r="C1406" s="829"/>
      <c r="D1406" s="829"/>
      <c r="E1406" s="905" t="str">
        <f>'Part I-Project Information'!$H$85</f>
        <v>Flexible</v>
      </c>
      <c r="M1406" s="828"/>
      <c r="O1406" s="1061" t="s">
        <v>2681</v>
      </c>
      <c r="P1406" s="1061" t="s">
        <v>2681</v>
      </c>
    </row>
    <row r="1407" spans="1:21">
      <c r="A1407" s="1115" t="str">
        <f>IF($I$87="Stable Communities &lt; 5%", "*","")</f>
        <v/>
      </c>
      <c r="B1407" s="998" t="s">
        <v>2122</v>
      </c>
      <c r="C1407" s="567" t="s">
        <v>2907</v>
      </c>
      <c r="M1407" s="832"/>
      <c r="O1407" s="1124" t="str">
        <f>'Part IX A-Scoring Criteria'!O89</f>
        <v>No</v>
      </c>
      <c r="P1407" s="1124"/>
    </row>
    <row r="1408" spans="1:21">
      <c r="B1408" s="998" t="s">
        <v>2124</v>
      </c>
      <c r="C1408" s="567" t="s">
        <v>3010</v>
      </c>
      <c r="D1408" s="1054">
        <f>'Part IX A-Scoring Criteria'!D90</f>
        <v>0</v>
      </c>
      <c r="E1408" s="567" t="s">
        <v>3011</v>
      </c>
      <c r="H1408" s="567" t="s">
        <v>2548</v>
      </c>
      <c r="K1408" s="584" t="s">
        <v>3009</v>
      </c>
      <c r="L1408" s="1055">
        <f>'Part IX A-Scoring Criteria'!L90</f>
        <v>0</v>
      </c>
      <c r="M1408" s="1084"/>
      <c r="N1408" s="958"/>
      <c r="O1408" s="1115"/>
      <c r="P1408" s="1115"/>
    </row>
    <row r="1409" spans="1:21">
      <c r="B1409" s="998" t="s">
        <v>2707</v>
      </c>
      <c r="C1409" s="567" t="s">
        <v>2549</v>
      </c>
      <c r="H1409" s="567" t="s">
        <v>2550</v>
      </c>
      <c r="K1409" s="1066" t="s">
        <v>2998</v>
      </c>
      <c r="L1409" s="567">
        <f>'Part IX A-Scoring Criteria'!L91</f>
        <v>0</v>
      </c>
      <c r="M1409" s="1084"/>
      <c r="N1409" s="832"/>
      <c r="O1409" s="1115"/>
      <c r="P1409" s="1115"/>
    </row>
    <row r="1410" spans="1:21">
      <c r="B1410" s="998" t="s">
        <v>1301</v>
      </c>
      <c r="C1410" s="567" t="s">
        <v>3398</v>
      </c>
      <c r="H1410" s="567"/>
      <c r="K1410" s="584" t="s">
        <v>3009</v>
      </c>
      <c r="L1410" s="1055">
        <f>'Part IX A-Scoring Criteria'!L92</f>
        <v>0</v>
      </c>
      <c r="M1410" s="1084"/>
      <c r="N1410" s="832"/>
      <c r="O1410" s="1115"/>
      <c r="P1410" s="1115"/>
    </row>
    <row r="1411" spans="1:21" ht="15">
      <c r="A1411" s="583"/>
      <c r="B1411" s="946" t="s">
        <v>269</v>
      </c>
      <c r="C1411" s="583"/>
      <c r="D1411" s="587"/>
      <c r="E1411" s="587"/>
      <c r="F1411" s="587"/>
      <c r="G1411" s="587"/>
      <c r="H1411" s="584"/>
      <c r="I1411" s="584"/>
      <c r="J1411" s="584"/>
      <c r="K1411" s="584"/>
      <c r="L1411" s="971"/>
      <c r="M1411" s="828"/>
      <c r="N1411" s="832"/>
      <c r="O1411" s="967"/>
      <c r="P1411" s="1115"/>
      <c r="Q1411" s="971"/>
    </row>
    <row r="1412" spans="1:21" ht="15.75">
      <c r="A1412" s="1575">
        <f>'Part IX A-Scoring Criteria'!A94</f>
        <v>0</v>
      </c>
      <c r="B1412" s="1575"/>
      <c r="C1412" s="1575"/>
      <c r="D1412" s="1575"/>
      <c r="E1412" s="1575"/>
      <c r="F1412" s="1575"/>
      <c r="G1412" s="1575"/>
      <c r="H1412" s="1575"/>
      <c r="I1412" s="1575"/>
      <c r="J1412" s="1575"/>
      <c r="K1412" s="1575"/>
      <c r="L1412" s="1575"/>
      <c r="M1412" s="1575"/>
      <c r="N1412" s="1575"/>
      <c r="O1412" s="1575"/>
      <c r="P1412" s="1575"/>
      <c r="Q1412" s="972" t="s">
        <v>1332</v>
      </c>
    </row>
    <row r="1413" spans="1:21" ht="15">
      <c r="A1413" s="583"/>
      <c r="B1413" s="947" t="s">
        <v>1996</v>
      </c>
      <c r="C1413" s="583"/>
      <c r="D1413" s="947"/>
      <c r="E1413" s="1065"/>
      <c r="F1413" s="1065"/>
      <c r="G1413" s="1065"/>
      <c r="H1413" s="1065"/>
      <c r="I1413" s="1065"/>
      <c r="J1413" s="1065"/>
      <c r="K1413" s="1065"/>
      <c r="L1413" s="1065"/>
      <c r="M1413" s="1065"/>
      <c r="N1413" s="982"/>
      <c r="O1413" s="983"/>
      <c r="P1413" s="1084"/>
      <c r="Q1413" s="977"/>
    </row>
    <row r="1414" spans="1:21" ht="15.75">
      <c r="A1414" s="1713"/>
      <c r="B1414" s="1713"/>
      <c r="C1414" s="1713"/>
      <c r="D1414" s="1713"/>
      <c r="E1414" s="1713"/>
      <c r="F1414" s="1713"/>
      <c r="G1414" s="1713"/>
      <c r="H1414" s="1713"/>
      <c r="I1414" s="1713"/>
      <c r="J1414" s="1713"/>
      <c r="K1414" s="1713"/>
      <c r="L1414" s="1713"/>
      <c r="M1414" s="1713"/>
      <c r="N1414" s="1713"/>
      <c r="O1414" s="1713"/>
      <c r="P1414" s="1713"/>
      <c r="Q1414" s="972" t="s">
        <v>1332</v>
      </c>
    </row>
    <row r="1415" spans="1:21" ht="15">
      <c r="A1415" s="583"/>
      <c r="B1415" s="971"/>
      <c r="C1415" s="971"/>
      <c r="D1415" s="584"/>
      <c r="E1415" s="584"/>
      <c r="F1415" s="1084"/>
      <c r="G1415" s="1084"/>
      <c r="H1415" s="1084"/>
      <c r="I1415" s="1084"/>
      <c r="J1415" s="1083"/>
      <c r="K1415" s="1083"/>
      <c r="L1415" s="1083"/>
      <c r="M1415" s="1059"/>
      <c r="N1415" s="1084"/>
      <c r="O1415" s="1115"/>
      <c r="P1415" s="967"/>
      <c r="Q1415" s="971"/>
    </row>
    <row r="1416" spans="1:21" ht="15">
      <c r="A1416" s="968" t="s">
        <v>536</v>
      </c>
      <c r="B1416" s="969" t="s">
        <v>3249</v>
      </c>
      <c r="C1416" s="995"/>
      <c r="D1416" s="988"/>
      <c r="E1416" s="988"/>
      <c r="F1416" s="995"/>
      <c r="G1416" s="995"/>
      <c r="H1416" s="915"/>
      <c r="I1416" s="995"/>
      <c r="J1416" s="1716" t="str">
        <f>'Part IX A-Scoring Criteria'!J98</f>
        <v>None</v>
      </c>
      <c r="K1416" s="1716"/>
      <c r="L1416" s="1716"/>
      <c r="M1416" s="1084">
        <v>3</v>
      </c>
      <c r="N1416" s="828"/>
      <c r="O1416" s="1084">
        <f>IF(J1416="Adopted Revitalization Plan",2,IF(J1416="Designated Military Zone",1,IF(J1416="Adptd Revital Plan &amp; Desig MZ",3,IF(J1416="HUD Choice Neighborhood",2,0))))</f>
        <v>0</v>
      </c>
      <c r="P1416" s="1084"/>
      <c r="Q1416" s="1084" t="s">
        <v>463</v>
      </c>
      <c r="U1416" s="967">
        <f>'Part IX A-Scoring Criteria'!O98</f>
        <v>0</v>
      </c>
    </row>
    <row r="1417" spans="1:21">
      <c r="A1417" s="951" t="s">
        <v>2118</v>
      </c>
      <c r="B1417" s="905" t="s">
        <v>3254</v>
      </c>
      <c r="E1417" s="583"/>
      <c r="F1417" s="941" t="s">
        <v>3255</v>
      </c>
      <c r="I1417" s="1626">
        <f>'Part IX A-Scoring Criteria'!I99</f>
        <v>0</v>
      </c>
      <c r="J1417" s="1626"/>
      <c r="K1417" s="1626"/>
      <c r="L1417" s="1626"/>
      <c r="M1417" s="1626"/>
      <c r="N1417" s="1626"/>
      <c r="O1417" s="1626"/>
      <c r="P1417" s="1626"/>
    </row>
    <row r="1418" spans="1:21" ht="15">
      <c r="A1418" s="951"/>
      <c r="B1418" s="567" t="s">
        <v>3593</v>
      </c>
      <c r="C1418" s="971"/>
      <c r="D1418" s="583"/>
      <c r="E1418" s="971"/>
      <c r="F1418" s="971"/>
      <c r="G1418" s="971"/>
      <c r="H1418" s="971"/>
      <c r="I1418" s="971"/>
      <c r="J1418" s="971"/>
      <c r="K1418" s="971"/>
      <c r="L1418" s="971"/>
      <c r="M1418" s="971"/>
      <c r="N1418" s="944"/>
      <c r="O1418" s="1124" t="str">
        <f>'Part IX A-Scoring Criteria'!O100</f>
        <v>No</v>
      </c>
      <c r="P1418" s="1124"/>
      <c r="Q1418" s="971"/>
    </row>
    <row r="1419" spans="1:21" ht="15">
      <c r="A1419" s="1084"/>
      <c r="B1419" s="1085" t="s">
        <v>3696</v>
      </c>
      <c r="C1419" s="971"/>
      <c r="D1419" s="971"/>
      <c r="E1419" s="1083"/>
      <c r="F1419" s="971"/>
      <c r="G1419" s="1066" t="s">
        <v>3320</v>
      </c>
      <c r="H1419" s="1717">
        <f>'Part I-Project Information'!O1345</f>
        <v>0</v>
      </c>
      <c r="I1419" s="1621"/>
      <c r="J1419" s="971"/>
      <c r="K1419" s="971"/>
      <c r="L1419" s="971"/>
      <c r="M1419" s="828">
        <v>2</v>
      </c>
      <c r="N1419" s="971"/>
      <c r="O1419" s="1061" t="s">
        <v>2681</v>
      </c>
      <c r="P1419" s="1061" t="s">
        <v>2681</v>
      </c>
      <c r="Q1419" s="971"/>
    </row>
    <row r="1420" spans="1:21" ht="15">
      <c r="A1420" s="1115"/>
      <c r="B1420" s="944" t="s">
        <v>2599</v>
      </c>
      <c r="C1420" s="567" t="s">
        <v>3310</v>
      </c>
      <c r="D1420" s="995"/>
      <c r="E1420" s="1083"/>
      <c r="F1420" s="971"/>
      <c r="G1420" s="986" t="s">
        <v>3596</v>
      </c>
      <c r="H1420" s="971"/>
      <c r="I1420" s="1081">
        <f>'Part IX A-Scoring Criteria'!I102</f>
        <v>0</v>
      </c>
      <c r="J1420" s="971"/>
      <c r="K1420" s="971"/>
      <c r="L1420" s="971"/>
      <c r="M1420" s="1115"/>
      <c r="N1420" s="944" t="s">
        <v>2599</v>
      </c>
      <c r="O1420" s="1124" t="str">
        <f>'Part IX A-Scoring Criteria'!O102</f>
        <v>N/a</v>
      </c>
      <c r="P1420" s="1124"/>
      <c r="Q1420" s="971"/>
    </row>
    <row r="1421" spans="1:21" ht="15">
      <c r="A1421" s="1115"/>
      <c r="B1421" s="944" t="s">
        <v>2600</v>
      </c>
      <c r="C1421" s="1066" t="s">
        <v>3311</v>
      </c>
      <c r="D1421" s="995"/>
      <c r="E1421" s="1083"/>
      <c r="F1421" s="971"/>
      <c r="G1421" s="986" t="s">
        <v>3582</v>
      </c>
      <c r="H1421" s="1718">
        <f>'Part IX A-Scoring Criteria'!H103</f>
        <v>0</v>
      </c>
      <c r="I1421" s="1718"/>
      <c r="J1421" s="971"/>
      <c r="K1421" s="986" t="s">
        <v>3591</v>
      </c>
      <c r="L1421" s="1719">
        <f>'Part IX A-Scoring Criteria'!L103</f>
        <v>0</v>
      </c>
      <c r="M1421" s="1719"/>
      <c r="N1421" s="944" t="s">
        <v>2600</v>
      </c>
      <c r="O1421" s="1124" t="str">
        <f>'Part IX A-Scoring Criteria'!O103</f>
        <v>N/a</v>
      </c>
      <c r="P1421" s="1124"/>
      <c r="Q1421" s="971"/>
    </row>
    <row r="1422" spans="1:21" ht="15">
      <c r="A1422" s="1115"/>
      <c r="B1422" s="944"/>
      <c r="C1422" s="1066"/>
      <c r="D1422" s="995"/>
      <c r="E1422" s="1083"/>
      <c r="F1422" s="971"/>
      <c r="G1422" s="986" t="s">
        <v>3307</v>
      </c>
      <c r="H1422" s="1718">
        <f>'Part IX A-Scoring Criteria'!H104</f>
        <v>0</v>
      </c>
      <c r="I1422" s="1718"/>
      <c r="J1422" s="971"/>
      <c r="K1422" s="986" t="s">
        <v>3306</v>
      </c>
      <c r="L1422" s="1719" t="str">
        <f>'Part IX A-Scoring Criteria'!L104</f>
        <v>&lt;&lt;Select event type&gt;&gt;</v>
      </c>
      <c r="M1422" s="1719"/>
      <c r="N1422" s="971"/>
      <c r="O1422" s="971"/>
      <c r="P1422" s="971"/>
      <c r="Q1422" s="971"/>
    </row>
    <row r="1423" spans="1:21" ht="13.5">
      <c r="B1423" s="944" t="s">
        <v>2601</v>
      </c>
      <c r="C1423" s="1066" t="s">
        <v>3312</v>
      </c>
      <c r="D1423" s="567"/>
      <c r="G1423" s="986" t="s">
        <v>3592</v>
      </c>
      <c r="L1423" s="1081">
        <f>'Part IX A-Scoring Criteria'!L105</f>
        <v>0</v>
      </c>
      <c r="M1423" s="1115"/>
      <c r="N1423" s="944" t="s">
        <v>2601</v>
      </c>
      <c r="O1423" s="1124" t="str">
        <f>'Part IX A-Scoring Criteria'!O105</f>
        <v>N/a</v>
      </c>
      <c r="P1423" s="1124"/>
    </row>
    <row r="1424" spans="1:21" ht="13.5">
      <c r="B1424" s="944"/>
      <c r="C1424" s="1066"/>
      <c r="D1424" s="567"/>
      <c r="G1424" s="986" t="s">
        <v>3697</v>
      </c>
      <c r="L1424" s="1718">
        <f>'Part IX A-Scoring Criteria'!L106</f>
        <v>0</v>
      </c>
      <c r="M1424" s="1718"/>
    </row>
    <row r="1425" spans="1:17" ht="13.5">
      <c r="B1425" s="944"/>
      <c r="C1425" s="1066" t="s">
        <v>3309</v>
      </c>
      <c r="D1425" s="567"/>
      <c r="G1425" s="986"/>
      <c r="K1425" s="856" t="s">
        <v>2946</v>
      </c>
      <c r="L1425" s="856">
        <f>'Part IX A-Scoring Criteria'!L107</f>
        <v>0</v>
      </c>
      <c r="M1425" s="1115"/>
      <c r="N1425" s="944"/>
      <c r="O1425" s="1124" t="str">
        <f>'Part IX A-Scoring Criteria'!O107</f>
        <v>N/a</v>
      </c>
      <c r="P1425" s="1124"/>
    </row>
    <row r="1426" spans="1:17">
      <c r="B1426" s="944" t="s">
        <v>2602</v>
      </c>
      <c r="C1426" s="584" t="s">
        <v>3313</v>
      </c>
      <c r="K1426" s="856" t="s">
        <v>2946</v>
      </c>
      <c r="L1426" s="856">
        <f>'Part IX A-Scoring Criteria'!L108</f>
        <v>0</v>
      </c>
      <c r="M1426" s="1115"/>
      <c r="N1426" s="944" t="s">
        <v>2602</v>
      </c>
      <c r="O1426" s="1124" t="str">
        <f>'Part IX A-Scoring Criteria'!O108</f>
        <v>N/a</v>
      </c>
      <c r="P1426" s="1124"/>
    </row>
    <row r="1427" spans="1:17">
      <c r="B1427" s="944" t="s">
        <v>2603</v>
      </c>
      <c r="C1427" s="584" t="s">
        <v>3314</v>
      </c>
      <c r="K1427" s="856" t="s">
        <v>2946</v>
      </c>
      <c r="L1427" s="856">
        <f>'Part IX A-Scoring Criteria'!L109</f>
        <v>0</v>
      </c>
      <c r="M1427" s="1115"/>
      <c r="N1427" s="944" t="s">
        <v>2603</v>
      </c>
      <c r="O1427" s="1124" t="str">
        <f>'Part IX A-Scoring Criteria'!O109</f>
        <v>N/a</v>
      </c>
      <c r="P1427" s="1124"/>
    </row>
    <row r="1428" spans="1:17">
      <c r="B1428" s="944" t="s">
        <v>2619</v>
      </c>
      <c r="C1428" s="584" t="s">
        <v>3317</v>
      </c>
      <c r="K1428" s="856" t="s">
        <v>2946</v>
      </c>
      <c r="L1428" s="856">
        <f>'Part IX A-Scoring Criteria'!L110</f>
        <v>0</v>
      </c>
      <c r="M1428" s="1115"/>
      <c r="N1428" s="944" t="s">
        <v>2619</v>
      </c>
      <c r="O1428" s="1124" t="str">
        <f>'Part IX A-Scoring Criteria'!O110</f>
        <v>N/a</v>
      </c>
      <c r="P1428" s="1124"/>
    </row>
    <row r="1429" spans="1:17">
      <c r="B1429" s="944"/>
      <c r="C1429" s="584" t="s">
        <v>3315</v>
      </c>
      <c r="K1429" s="1094"/>
      <c r="M1429" s="1115"/>
      <c r="N1429" s="944"/>
      <c r="O1429" s="1124" t="str">
        <f>'Part IX A-Scoring Criteria'!O111</f>
        <v>N/a</v>
      </c>
      <c r="P1429" s="1124"/>
    </row>
    <row r="1430" spans="1:17">
      <c r="B1430" s="944" t="s">
        <v>2620</v>
      </c>
      <c r="C1430" s="584" t="s">
        <v>3316</v>
      </c>
      <c r="D1430" s="567"/>
      <c r="K1430" s="856" t="s">
        <v>2946</v>
      </c>
      <c r="L1430" s="856">
        <f>'Part IX A-Scoring Criteria'!L112</f>
        <v>0</v>
      </c>
      <c r="M1430" s="1115"/>
      <c r="N1430" s="944" t="s">
        <v>2620</v>
      </c>
      <c r="O1430" s="1124" t="str">
        <f>'Part IX A-Scoring Criteria'!O112</f>
        <v>N/a</v>
      </c>
      <c r="P1430" s="1124"/>
    </row>
    <row r="1431" spans="1:17">
      <c r="B1431" s="944" t="s">
        <v>2621</v>
      </c>
      <c r="C1431" s="584" t="s">
        <v>3318</v>
      </c>
      <c r="K1431" s="856" t="s">
        <v>2946</v>
      </c>
      <c r="L1431" s="856">
        <f>'Part IX A-Scoring Criteria'!L113</f>
        <v>0</v>
      </c>
      <c r="M1431" s="1115"/>
      <c r="N1431" s="944" t="s">
        <v>2621</v>
      </c>
      <c r="O1431" s="1124" t="str">
        <f>'Part IX A-Scoring Criteria'!O113</f>
        <v>N/a</v>
      </c>
      <c r="P1431" s="1124"/>
    </row>
    <row r="1432" spans="1:17">
      <c r="B1432" s="944" t="s">
        <v>2622</v>
      </c>
      <c r="C1432" s="584" t="s">
        <v>3319</v>
      </c>
      <c r="K1432" s="856" t="s">
        <v>2946</v>
      </c>
      <c r="L1432" s="856">
        <f>'Part IX A-Scoring Criteria'!L114</f>
        <v>0</v>
      </c>
      <c r="M1432" s="1115"/>
      <c r="N1432" s="944" t="s">
        <v>2622</v>
      </c>
      <c r="O1432" s="1124" t="str">
        <f>'Part IX A-Scoring Criteria'!O114</f>
        <v>N/a</v>
      </c>
      <c r="P1432" s="1124"/>
    </row>
    <row r="1433" spans="1:17">
      <c r="B1433" s="944" t="s">
        <v>2623</v>
      </c>
      <c r="C1433" s="584" t="s">
        <v>3321</v>
      </c>
      <c r="K1433" s="856" t="s">
        <v>2946</v>
      </c>
      <c r="L1433" s="856">
        <f>'Part IX A-Scoring Criteria'!L115</f>
        <v>0</v>
      </c>
      <c r="M1433" s="1115"/>
      <c r="N1433" s="944" t="s">
        <v>2623</v>
      </c>
      <c r="O1433" s="1124" t="str">
        <f>'Part IX A-Scoring Criteria'!O115</f>
        <v>N/a</v>
      </c>
      <c r="P1433" s="1124"/>
    </row>
    <row r="1434" spans="1:17">
      <c r="A1434" s="951" t="s">
        <v>2121</v>
      </c>
      <c r="B1434" s="905" t="s">
        <v>3251</v>
      </c>
      <c r="D1434" s="583"/>
      <c r="M1434" s="832">
        <v>1</v>
      </c>
      <c r="O1434" s="1061" t="s">
        <v>2681</v>
      </c>
      <c r="P1434" s="1061" t="s">
        <v>2681</v>
      </c>
    </row>
    <row r="1435" spans="1:17" ht="13.5">
      <c r="A1435" s="945" t="s">
        <v>1440</v>
      </c>
      <c r="B1435" s="567" t="s">
        <v>3253</v>
      </c>
      <c r="O1435" s="1124" t="str">
        <f>'Part IX A-Scoring Criteria'!O117</f>
        <v>No</v>
      </c>
      <c r="P1435" s="1124"/>
      <c r="Q1435" s="986"/>
    </row>
    <row r="1436" spans="1:17">
      <c r="A1436" s="951" t="s">
        <v>799</v>
      </c>
      <c r="B1436" s="905" t="s">
        <v>3252</v>
      </c>
      <c r="C1436" s="905"/>
      <c r="D1436" s="583"/>
      <c r="M1436" s="828">
        <v>2</v>
      </c>
      <c r="O1436" s="1059" t="s">
        <v>2681</v>
      </c>
      <c r="P1436" s="1059" t="s">
        <v>2681</v>
      </c>
    </row>
    <row r="1437" spans="1:17">
      <c r="B1437" s="1575" t="s">
        <v>3528</v>
      </c>
      <c r="C1437" s="1575"/>
      <c r="D1437" s="1575"/>
      <c r="E1437" s="1575"/>
      <c r="F1437" s="1575"/>
      <c r="G1437" s="1575"/>
      <c r="H1437" s="1575"/>
      <c r="I1437" s="1575"/>
      <c r="J1437" s="1575"/>
      <c r="K1437" s="1575"/>
      <c r="L1437" s="1575"/>
      <c r="O1437" s="1124" t="str">
        <f>'Part IX A-Scoring Criteria'!O119</f>
        <v>No</v>
      </c>
      <c r="P1437" s="1124"/>
    </row>
    <row r="1438" spans="1:17" ht="15">
      <c r="A1438" s="583"/>
      <c r="B1438" s="946" t="s">
        <v>269</v>
      </c>
      <c r="C1438" s="583"/>
      <c r="D1438" s="587"/>
      <c r="E1438" s="587"/>
      <c r="F1438" s="587"/>
      <c r="G1438" s="587"/>
      <c r="H1438" s="584"/>
      <c r="I1438" s="584"/>
      <c r="J1438" s="584"/>
      <c r="K1438" s="584"/>
      <c r="L1438" s="971"/>
      <c r="M1438" s="828"/>
      <c r="N1438" s="832"/>
      <c r="O1438" s="967"/>
      <c r="P1438" s="1115"/>
      <c r="Q1438" s="971"/>
    </row>
    <row r="1439" spans="1:17" ht="15.75">
      <c r="A1439" s="1575">
        <f>'Part IX A-Scoring Criteria'!A121</f>
        <v>0</v>
      </c>
      <c r="B1439" s="1575"/>
      <c r="C1439" s="1575"/>
      <c r="D1439" s="1575"/>
      <c r="E1439" s="1575"/>
      <c r="F1439" s="1575"/>
      <c r="G1439" s="1575"/>
      <c r="H1439" s="1575"/>
      <c r="I1439" s="1575"/>
      <c r="J1439" s="1575"/>
      <c r="K1439" s="1575"/>
      <c r="L1439" s="1575"/>
      <c r="M1439" s="1575"/>
      <c r="N1439" s="1575"/>
      <c r="O1439" s="1575"/>
      <c r="P1439" s="1575"/>
      <c r="Q1439" s="972" t="s">
        <v>1332</v>
      </c>
    </row>
    <row r="1440" spans="1:17" ht="15">
      <c r="A1440" s="583"/>
      <c r="B1440" s="947" t="s">
        <v>1996</v>
      </c>
      <c r="C1440" s="583"/>
      <c r="D1440" s="947"/>
      <c r="E1440" s="1065"/>
      <c r="F1440" s="1065"/>
      <c r="G1440" s="1065"/>
      <c r="H1440" s="1065"/>
      <c r="I1440" s="1065"/>
      <c r="J1440" s="1065"/>
      <c r="K1440" s="1065"/>
      <c r="L1440" s="1065"/>
      <c r="M1440" s="1065"/>
      <c r="N1440" s="982"/>
      <c r="O1440" s="983"/>
      <c r="P1440" s="1084"/>
      <c r="Q1440" s="977"/>
    </row>
    <row r="1441" spans="1:21" ht="15.75">
      <c r="A1441" s="1713"/>
      <c r="B1441" s="1713"/>
      <c r="C1441" s="1713"/>
      <c r="D1441" s="1713"/>
      <c r="E1441" s="1713"/>
      <c r="F1441" s="1713"/>
      <c r="G1441" s="1713"/>
      <c r="H1441" s="1713"/>
      <c r="I1441" s="1713"/>
      <c r="J1441" s="1713"/>
      <c r="K1441" s="1713"/>
      <c r="L1441" s="1713"/>
      <c r="M1441" s="1713"/>
      <c r="N1441" s="1713"/>
      <c r="O1441" s="1713"/>
      <c r="P1441" s="1713"/>
      <c r="Q1441" s="972" t="s">
        <v>1332</v>
      </c>
    </row>
    <row r="1442" spans="1:21">
      <c r="N1442" s="832"/>
      <c r="O1442" s="1115"/>
      <c r="P1442" s="1115"/>
    </row>
    <row r="1443" spans="1:21" ht="15">
      <c r="A1443" s="968" t="s">
        <v>227</v>
      </c>
      <c r="B1443" s="969" t="s">
        <v>2624</v>
      </c>
      <c r="C1443" s="971"/>
      <c r="D1443" s="984"/>
      <c r="E1443" s="984"/>
      <c r="F1443" s="984"/>
      <c r="G1443" s="971"/>
      <c r="H1443" s="1000"/>
      <c r="I1443" s="971"/>
      <c r="J1443" s="1000" t="s">
        <v>419</v>
      </c>
      <c r="K1443" s="587"/>
      <c r="L1443" s="971"/>
      <c r="M1443" s="1084">
        <v>3</v>
      </c>
      <c r="N1443" s="828"/>
      <c r="O1443" s="1084">
        <f>IF(AND(J1444="Flexible",O1444=$M1444),$M1444,IF(O1450&gt;0,O1450,0))</f>
        <v>3</v>
      </c>
      <c r="P1443" s="1084">
        <f>MIN($M1443,(P1444+P1450))</f>
        <v>0</v>
      </c>
      <c r="Q1443" s="1084" t="s">
        <v>463</v>
      </c>
      <c r="U1443" s="967">
        <f>'Part IX A-Scoring Criteria'!O125</f>
        <v>3</v>
      </c>
    </row>
    <row r="1444" spans="1:21" ht="13.5">
      <c r="A1444" s="1070" t="s">
        <v>2118</v>
      </c>
      <c r="B1444" s="905" t="s">
        <v>2379</v>
      </c>
      <c r="D1444" s="583"/>
      <c r="E1444" s="583"/>
      <c r="F1444" s="583"/>
      <c r="G1444" s="1072" t="str">
        <f>IF(AND(O1444&lt;0,L1451&lt;0),"Select either A or B but not both!&gt;","")</f>
        <v/>
      </c>
      <c r="H1444" s="905" t="s">
        <v>3248</v>
      </c>
      <c r="I1444" s="829"/>
      <c r="J1444" s="905" t="str">
        <f>'Part I-Project Information'!$H$85</f>
        <v>Flexible</v>
      </c>
      <c r="M1444" s="828">
        <v>3</v>
      </c>
      <c r="N1444" s="944" t="s">
        <v>2118</v>
      </c>
      <c r="O1444" s="1084">
        <f>'Part IX A-Scoring Criteria'!O126</f>
        <v>0</v>
      </c>
      <c r="P1444" s="1084"/>
      <c r="Q1444" s="986" t="s">
        <v>2947</v>
      </c>
    </row>
    <row r="1445" spans="1:21">
      <c r="A1445" s="567"/>
      <c r="B1445" s="992" t="s">
        <v>2122</v>
      </c>
      <c r="C1445" s="1575" t="s">
        <v>3529</v>
      </c>
      <c r="D1445" s="1576"/>
      <c r="E1445" s="1576"/>
      <c r="F1445" s="1576"/>
      <c r="G1445" s="1576"/>
      <c r="H1445" s="1576"/>
      <c r="I1445" s="1576"/>
      <c r="J1445" s="1576"/>
      <c r="K1445" s="1576"/>
      <c r="L1445" s="1576"/>
      <c r="M1445" s="991"/>
      <c r="N1445" s="992" t="s">
        <v>2122</v>
      </c>
      <c r="O1445" s="1124" t="str">
        <f>'Part IX A-Scoring Criteria'!O127</f>
        <v>N/a</v>
      </c>
      <c r="P1445" s="1124"/>
      <c r="Q1445" s="567"/>
    </row>
    <row r="1446" spans="1:21">
      <c r="A1446" s="567"/>
      <c r="B1446" s="985"/>
      <c r="C1446" s="584" t="s">
        <v>1020</v>
      </c>
      <c r="D1446" s="567"/>
      <c r="E1446" s="567"/>
      <c r="F1446" s="567"/>
      <c r="G1446" s="567"/>
      <c r="H1446" s="1061" t="s">
        <v>2765</v>
      </c>
      <c r="I1446" s="830">
        <f>'Part IX A-Scoring Criteria'!I128</f>
        <v>0</v>
      </c>
      <c r="J1446" s="1061" t="s">
        <v>2450</v>
      </c>
      <c r="K1446" s="1589">
        <f>'Part IX A-Scoring Criteria'!K128</f>
        <v>0</v>
      </c>
      <c r="L1446" s="1589"/>
      <c r="M1446" s="1589"/>
      <c r="N1446" s="567"/>
      <c r="O1446" s="567"/>
      <c r="P1446" s="567"/>
      <c r="Q1446" s="567"/>
    </row>
    <row r="1447" spans="1:21">
      <c r="A1447" s="567"/>
      <c r="B1447" s="985" t="s">
        <v>2124</v>
      </c>
      <c r="C1447" s="584" t="s">
        <v>1021</v>
      </c>
      <c r="D1447" s="567"/>
      <c r="E1447" s="567"/>
      <c r="F1447" s="567"/>
      <c r="G1447" s="567"/>
      <c r="H1447" s="567"/>
      <c r="I1447" s="567"/>
      <c r="J1447" s="567"/>
      <c r="K1447" s="567"/>
      <c r="L1447" s="567"/>
      <c r="M1447" s="828"/>
      <c r="N1447" s="985" t="s">
        <v>2124</v>
      </c>
      <c r="O1447" s="1124" t="str">
        <f>'Part IX A-Scoring Criteria'!O129</f>
        <v>N/a</v>
      </c>
      <c r="P1447" s="1124"/>
      <c r="Q1447" s="567"/>
    </row>
    <row r="1448" spans="1:21">
      <c r="A1448" s="567"/>
      <c r="B1448" s="985" t="s">
        <v>2707</v>
      </c>
      <c r="C1448" s="584" t="s">
        <v>1022</v>
      </c>
      <c r="D1448" s="567"/>
      <c r="E1448" s="567"/>
      <c r="F1448" s="567"/>
      <c r="G1448" s="567"/>
      <c r="H1448" s="567"/>
      <c r="I1448" s="567"/>
      <c r="J1448" s="567"/>
      <c r="K1448" s="567"/>
      <c r="L1448" s="567"/>
      <c r="M1448" s="828"/>
      <c r="N1448" s="985" t="s">
        <v>2707</v>
      </c>
      <c r="O1448" s="1124" t="str">
        <f>'Part IX A-Scoring Criteria'!O130</f>
        <v>N/a</v>
      </c>
      <c r="P1448" s="1124"/>
      <c r="Q1448" s="567"/>
    </row>
    <row r="1449" spans="1:21">
      <c r="A1449" s="945" t="s">
        <v>1440</v>
      </c>
      <c r="B1449" s="985" t="s">
        <v>1301</v>
      </c>
      <c r="C1449" s="584" t="s">
        <v>1023</v>
      </c>
      <c r="D1449" s="567"/>
      <c r="E1449" s="567"/>
      <c r="F1449" s="567"/>
      <c r="G1449" s="567"/>
      <c r="H1449" s="567"/>
      <c r="I1449" s="567"/>
      <c r="J1449" s="567"/>
      <c r="K1449" s="567"/>
      <c r="L1449" s="567"/>
      <c r="M1449" s="828"/>
      <c r="N1449" s="985" t="s">
        <v>1301</v>
      </c>
      <c r="O1449" s="1124" t="str">
        <f>'Part IX A-Scoring Criteria'!O131</f>
        <v>N/a</v>
      </c>
      <c r="P1449" s="1124"/>
      <c r="Q1449" s="567"/>
    </row>
    <row r="1450" spans="1:21" ht="13.5">
      <c r="A1450" s="1070" t="s">
        <v>2121</v>
      </c>
      <c r="B1450" s="905" t="s">
        <v>2380</v>
      </c>
      <c r="E1450" s="986" t="s">
        <v>3155</v>
      </c>
      <c r="M1450" s="828">
        <v>3</v>
      </c>
      <c r="N1450" s="944" t="s">
        <v>2121</v>
      </c>
      <c r="O1450" s="828">
        <f>IF($L1451=5,3,IF($L1451=4,2,0))</f>
        <v>3</v>
      </c>
      <c r="P1450" s="1084"/>
    </row>
    <row r="1451" spans="1:21" ht="15">
      <c r="B1451" s="1083" t="s">
        <v>3322</v>
      </c>
      <c r="D1451" s="583"/>
      <c r="E1451" s="583"/>
      <c r="F1451" s="583"/>
      <c r="G1451" s="1083"/>
      <c r="H1451" s="1083"/>
      <c r="I1451" s="1083"/>
      <c r="J1451" s="1083"/>
      <c r="L1451" s="1059">
        <f>'Part IX A-Scoring Criteria'!L133</f>
        <v>5</v>
      </c>
      <c r="M1451" s="584" t="s">
        <v>3323</v>
      </c>
      <c r="N1451" s="832"/>
      <c r="O1451" s="995"/>
      <c r="P1451" s="995"/>
    </row>
    <row r="1452" spans="1:21" ht="15">
      <c r="B1452" s="1083" t="s">
        <v>3324</v>
      </c>
      <c r="D1452" s="583"/>
      <c r="E1452" s="583"/>
      <c r="F1452" s="583"/>
      <c r="G1452" s="1083"/>
      <c r="H1452" s="1083"/>
      <c r="I1452" s="1083"/>
      <c r="J1452" s="1083"/>
      <c r="N1452" s="584"/>
      <c r="O1452" s="995"/>
      <c r="P1452" s="995"/>
    </row>
    <row r="1453" spans="1:21" ht="15">
      <c r="A1453" s="583"/>
      <c r="B1453" s="946" t="s">
        <v>269</v>
      </c>
      <c r="C1453" s="583"/>
      <c r="D1453" s="587"/>
      <c r="E1453" s="587"/>
      <c r="F1453" s="587"/>
      <c r="G1453" s="587"/>
      <c r="H1453" s="584"/>
      <c r="I1453" s="584"/>
      <c r="J1453" s="584"/>
      <c r="K1453" s="584"/>
      <c r="L1453" s="971"/>
      <c r="M1453" s="828"/>
      <c r="N1453" s="832"/>
      <c r="O1453" s="967"/>
      <c r="P1453" s="1115"/>
      <c r="Q1453" s="971"/>
    </row>
    <row r="1454" spans="1:21" ht="15.75">
      <c r="A1454" s="1575">
        <f>'Part IX A-Scoring Criteria'!A136</f>
        <v>0</v>
      </c>
      <c r="B1454" s="1575"/>
      <c r="C1454" s="1575"/>
      <c r="D1454" s="1575"/>
      <c r="E1454" s="1575"/>
      <c r="F1454" s="1575"/>
      <c r="G1454" s="1575"/>
      <c r="H1454" s="1575"/>
      <c r="I1454" s="1575"/>
      <c r="J1454" s="1575"/>
      <c r="K1454" s="1575"/>
      <c r="L1454" s="1575"/>
      <c r="M1454" s="1575"/>
      <c r="N1454" s="1575"/>
      <c r="O1454" s="1575"/>
      <c r="P1454" s="1575"/>
      <c r="Q1454" s="972" t="s">
        <v>1332</v>
      </c>
    </row>
    <row r="1455" spans="1:21" ht="15">
      <c r="A1455" s="971"/>
      <c r="B1455" s="947" t="s">
        <v>1996</v>
      </c>
      <c r="C1455" s="583"/>
      <c r="D1455" s="947"/>
      <c r="E1455" s="1065"/>
      <c r="F1455" s="1065"/>
      <c r="G1455" s="1065"/>
      <c r="H1455" s="1065"/>
      <c r="I1455" s="1065"/>
      <c r="J1455" s="1065"/>
      <c r="K1455" s="1065"/>
      <c r="L1455" s="1065"/>
      <c r="M1455" s="1065"/>
      <c r="N1455" s="982"/>
      <c r="O1455" s="983"/>
      <c r="P1455" s="1084"/>
      <c r="Q1455" s="977"/>
    </row>
    <row r="1456" spans="1:21" ht="15.75">
      <c r="A1456" s="1575"/>
      <c r="B1456" s="1575"/>
      <c r="C1456" s="1575"/>
      <c r="D1456" s="1575"/>
      <c r="E1456" s="1575"/>
      <c r="F1456" s="1575"/>
      <c r="G1456" s="1575"/>
      <c r="H1456" s="1575"/>
      <c r="I1456" s="1575"/>
      <c r="J1456" s="1575"/>
      <c r="K1456" s="1575"/>
      <c r="L1456" s="1575"/>
      <c r="M1456" s="1575"/>
      <c r="N1456" s="1575"/>
      <c r="O1456" s="1575"/>
      <c r="P1456" s="1575"/>
      <c r="Q1456" s="972" t="s">
        <v>1332</v>
      </c>
    </row>
    <row r="1457" spans="1:21">
      <c r="N1457" s="832"/>
      <c r="O1457" s="1115"/>
      <c r="P1457" s="1115"/>
    </row>
    <row r="1458" spans="1:21" ht="15">
      <c r="A1458" s="968" t="s">
        <v>228</v>
      </c>
      <c r="B1458" s="969" t="s">
        <v>2625</v>
      </c>
      <c r="C1458" s="971"/>
      <c r="D1458" s="971"/>
      <c r="E1458" s="984"/>
      <c r="F1458" s="984"/>
      <c r="G1458" s="971"/>
      <c r="H1458" s="1000"/>
      <c r="I1458" s="971"/>
      <c r="J1458" s="971"/>
      <c r="K1458" s="587"/>
      <c r="L1458" s="994" t="str">
        <f>IF(OR($O1458=$M1458,$O1458=0,$O1458=""),"","* * Check Score! * *")</f>
        <v/>
      </c>
      <c r="M1458" s="1084">
        <v>2</v>
      </c>
      <c r="N1458" s="997" t="str">
        <f>IF(OR($O1458=$M1458,$O1458=0,$O1458=""),"","***")</f>
        <v/>
      </c>
      <c r="O1458" s="1069">
        <f>'Part IX A-Scoring Criteria'!O140</f>
        <v>2</v>
      </c>
      <c r="P1458" s="1084"/>
      <c r="Q1458" s="1084" t="s">
        <v>463</v>
      </c>
      <c r="U1458" s="967">
        <f>'Part IX A-Scoring Criteria'!O140</f>
        <v>2</v>
      </c>
    </row>
    <row r="1459" spans="1:21">
      <c r="B1459" s="567" t="s">
        <v>1783</v>
      </c>
      <c r="M1459" s="912"/>
      <c r="P1459" s="1061" t="s">
        <v>2681</v>
      </c>
    </row>
    <row r="1460" spans="1:21">
      <c r="A1460" s="955" t="s">
        <v>2118</v>
      </c>
      <c r="B1460" s="1581" t="s">
        <v>2824</v>
      </c>
      <c r="C1460" s="1605"/>
      <c r="D1460" s="1605"/>
      <c r="E1460" s="1605"/>
      <c r="F1460" s="1605"/>
      <c r="G1460" s="1605"/>
      <c r="H1460" s="1605"/>
      <c r="I1460" s="1605"/>
      <c r="J1460" s="1605"/>
      <c r="K1460" s="1605"/>
      <c r="L1460" s="1605"/>
      <c r="M1460" s="1605"/>
      <c r="N1460" s="1605"/>
      <c r="O1460" s="956" t="s">
        <v>2599</v>
      </c>
      <c r="P1460" s="1123"/>
      <c r="Q1460" s="1074"/>
    </row>
    <row r="1461" spans="1:21">
      <c r="A1461" s="955" t="s">
        <v>2121</v>
      </c>
      <c r="B1461" s="1581" t="s">
        <v>2994</v>
      </c>
      <c r="C1461" s="1605"/>
      <c r="D1461" s="1605"/>
      <c r="E1461" s="1605"/>
      <c r="F1461" s="1605"/>
      <c r="G1461" s="1605"/>
      <c r="H1461" s="1605"/>
      <c r="I1461" s="1605"/>
      <c r="J1461" s="1605"/>
      <c r="K1461" s="1605"/>
      <c r="L1461" s="1605"/>
      <c r="M1461" s="1605"/>
      <c r="N1461" s="1605"/>
      <c r="O1461" s="956" t="s">
        <v>2600</v>
      </c>
      <c r="P1461" s="1123"/>
      <c r="Q1461" s="1074"/>
    </row>
    <row r="1462" spans="1:21">
      <c r="A1462" s="955" t="s">
        <v>799</v>
      </c>
      <c r="B1462" s="950" t="s">
        <v>1784</v>
      </c>
      <c r="C1462" s="1074"/>
      <c r="D1462" s="1074"/>
      <c r="E1462" s="1074"/>
      <c r="F1462" s="1074"/>
      <c r="G1462" s="1074"/>
      <c r="H1462" s="1074"/>
      <c r="I1462" s="1074"/>
      <c r="J1462" s="1074"/>
      <c r="K1462" s="1074"/>
      <c r="L1462" s="1074"/>
      <c r="M1462" s="1001"/>
      <c r="N1462" s="956"/>
      <c r="O1462" s="956" t="s">
        <v>2601</v>
      </c>
      <c r="P1462" s="1123"/>
      <c r="Q1462" s="1074"/>
    </row>
    <row r="1463" spans="1:21" ht="15">
      <c r="A1463" s="956"/>
      <c r="B1463" s="946" t="s">
        <v>269</v>
      </c>
      <c r="C1463" s="583"/>
      <c r="D1463" s="587"/>
      <c r="E1463" s="587"/>
      <c r="F1463" s="587"/>
      <c r="G1463" s="587"/>
      <c r="H1463" s="584"/>
      <c r="I1463" s="584"/>
      <c r="J1463" s="584"/>
      <c r="K1463" s="584"/>
      <c r="L1463" s="971"/>
      <c r="M1463" s="828"/>
      <c r="N1463" s="832"/>
      <c r="O1463" s="967"/>
      <c r="P1463" s="1115"/>
      <c r="Q1463" s="971"/>
    </row>
    <row r="1464" spans="1:21" ht="15.75">
      <c r="A1464" s="1575">
        <f>'Part IX A-Scoring Criteria'!A146</f>
        <v>0</v>
      </c>
      <c r="B1464" s="1575"/>
      <c r="C1464" s="1575"/>
      <c r="D1464" s="1575"/>
      <c r="E1464" s="1575"/>
      <c r="F1464" s="1575"/>
      <c r="G1464" s="1575"/>
      <c r="H1464" s="1575"/>
      <c r="I1464" s="1575"/>
      <c r="J1464" s="1575"/>
      <c r="K1464" s="1575"/>
      <c r="L1464" s="1575"/>
      <c r="M1464" s="1575"/>
      <c r="N1464" s="1575"/>
      <c r="O1464" s="1575"/>
      <c r="P1464" s="1575"/>
      <c r="Q1464" s="972" t="s">
        <v>1332</v>
      </c>
    </row>
    <row r="1465" spans="1:21" ht="15">
      <c r="A1465" s="583"/>
      <c r="B1465" s="947" t="s">
        <v>1996</v>
      </c>
      <c r="C1465" s="583"/>
      <c r="D1465" s="947"/>
      <c r="E1465" s="1065"/>
      <c r="F1465" s="1065"/>
      <c r="G1465" s="1065"/>
      <c r="H1465" s="1065"/>
      <c r="I1465" s="1065"/>
      <c r="J1465" s="1065"/>
      <c r="K1465" s="1065"/>
      <c r="L1465" s="1065"/>
      <c r="M1465" s="1065"/>
      <c r="N1465" s="982"/>
      <c r="O1465" s="983"/>
      <c r="P1465" s="1084"/>
      <c r="Q1465" s="977"/>
    </row>
    <row r="1466" spans="1:21" ht="15.75">
      <c r="A1466" s="1575"/>
      <c r="B1466" s="1575"/>
      <c r="C1466" s="1575"/>
      <c r="D1466" s="1575"/>
      <c r="E1466" s="1575"/>
      <c r="F1466" s="1575"/>
      <c r="G1466" s="1575"/>
      <c r="H1466" s="1575"/>
      <c r="I1466" s="1575"/>
      <c r="J1466" s="1575"/>
      <c r="K1466" s="1575"/>
      <c r="L1466" s="1575"/>
      <c r="M1466" s="1575"/>
      <c r="N1466" s="1575"/>
      <c r="O1466" s="1575"/>
      <c r="P1466" s="1575"/>
      <c r="Q1466" s="972" t="s">
        <v>1332</v>
      </c>
    </row>
    <row r="1467" spans="1:21">
      <c r="N1467" s="832"/>
      <c r="O1467" s="1115"/>
      <c r="P1467" s="1115"/>
    </row>
    <row r="1468" spans="1:21" ht="15">
      <c r="A1468" s="1002" t="s">
        <v>229</v>
      </c>
      <c r="B1468" s="969" t="s">
        <v>3325</v>
      </c>
      <c r="C1468" s="971"/>
      <c r="D1468" s="984"/>
      <c r="E1468" s="984"/>
      <c r="F1468" s="984"/>
      <c r="G1468" s="971"/>
      <c r="H1468" s="584"/>
      <c r="I1468" s="971"/>
      <c r="J1468" s="1000" t="s">
        <v>419</v>
      </c>
      <c r="K1468" s="587"/>
      <c r="L1468" s="971"/>
      <c r="M1468" s="1084">
        <v>1</v>
      </c>
      <c r="N1468" s="828"/>
      <c r="O1468" s="1084">
        <f>MIN($M1468,SUM(O1469:O1470))</f>
        <v>1</v>
      </c>
      <c r="P1468" s="1084">
        <f>MIN($M1468,SUM(P1469:P1470))</f>
        <v>0</v>
      </c>
      <c r="Q1468" s="1084" t="s">
        <v>463</v>
      </c>
      <c r="U1468" s="967">
        <f>'Part IX A-Scoring Criteria'!O150</f>
        <v>1</v>
      </c>
    </row>
    <row r="1469" spans="1:21" ht="15">
      <c r="A1469" s="951" t="s">
        <v>2118</v>
      </c>
      <c r="B1469" s="905" t="s">
        <v>2381</v>
      </c>
      <c r="C1469" s="995"/>
      <c r="D1469" s="1000"/>
      <c r="E1469" s="1000"/>
      <c r="F1469" s="965"/>
      <c r="H1469" s="995"/>
      <c r="I1469" s="995"/>
      <c r="J1469" s="995"/>
      <c r="K1469" s="944" t="s">
        <v>2922</v>
      </c>
      <c r="L1469" s="1124" t="str">
        <f>'Part IX A-Scoring Criteria'!L151</f>
        <v>Yes</v>
      </c>
      <c r="M1469" s="828">
        <v>1</v>
      </c>
      <c r="N1469" s="944" t="s">
        <v>2118</v>
      </c>
      <c r="O1469" s="1069">
        <f>'Part IX A-Scoring Criteria'!O151</f>
        <v>1</v>
      </c>
      <c r="P1469" s="1084"/>
      <c r="Q1469" s="986"/>
    </row>
    <row r="1470" spans="1:21" ht="15">
      <c r="A1470" s="951" t="s">
        <v>2121</v>
      </c>
      <c r="B1470" s="905" t="s">
        <v>2382</v>
      </c>
      <c r="C1470" s="971"/>
      <c r="D1470" s="584"/>
      <c r="E1470" s="971"/>
      <c r="F1470" s="971"/>
      <c r="G1470" s="971"/>
      <c r="H1470" s="1059" t="s">
        <v>2908</v>
      </c>
      <c r="I1470" s="971"/>
      <c r="J1470" s="971"/>
      <c r="K1470" s="584"/>
      <c r="L1470" s="1124" t="str">
        <f>'Part IX A-Scoring Criteria'!L152</f>
        <v>No</v>
      </c>
      <c r="M1470" s="828">
        <v>1</v>
      </c>
      <c r="N1470" s="944" t="s">
        <v>2121</v>
      </c>
      <c r="O1470" s="1069">
        <f>'Part IX A-Scoring Criteria'!O152</f>
        <v>0</v>
      </c>
      <c r="P1470" s="1084"/>
      <c r="Q1470" s="986"/>
    </row>
    <row r="1471" spans="1:21" ht="15">
      <c r="A1471" s="583"/>
      <c r="B1471" s="946" t="s">
        <v>269</v>
      </c>
      <c r="C1471" s="583"/>
      <c r="D1471" s="587"/>
      <c r="E1471" s="587"/>
      <c r="F1471" s="587"/>
      <c r="G1471" s="587"/>
      <c r="H1471" s="584"/>
      <c r="I1471" s="584"/>
      <c r="J1471" s="584"/>
      <c r="K1471" s="584"/>
      <c r="L1471" s="971"/>
      <c r="M1471" s="828"/>
      <c r="N1471" s="832"/>
      <c r="O1471" s="967"/>
      <c r="P1471" s="1115"/>
      <c r="Q1471" s="971"/>
    </row>
    <row r="1472" spans="1:21" ht="15.75">
      <c r="A1472" s="1575">
        <f>'Part IX A-Scoring Criteria'!A154</f>
        <v>0</v>
      </c>
      <c r="B1472" s="1575"/>
      <c r="C1472" s="1575"/>
      <c r="D1472" s="1575"/>
      <c r="E1472" s="1575"/>
      <c r="F1472" s="1575"/>
      <c r="G1472" s="1575"/>
      <c r="H1472" s="1575"/>
      <c r="I1472" s="1575"/>
      <c r="J1472" s="1575"/>
      <c r="K1472" s="1575"/>
      <c r="L1472" s="1575"/>
      <c r="M1472" s="1575"/>
      <c r="N1472" s="1575"/>
      <c r="O1472" s="1575"/>
      <c r="P1472" s="1575"/>
      <c r="Q1472" s="972" t="s">
        <v>1332</v>
      </c>
    </row>
    <row r="1473" spans="1:21" ht="15">
      <c r="A1473" s="583"/>
      <c r="B1473" s="947" t="s">
        <v>1996</v>
      </c>
      <c r="C1473" s="583"/>
      <c r="D1473" s="947"/>
      <c r="E1473" s="1065"/>
      <c r="F1473" s="1065"/>
      <c r="G1473" s="1065"/>
      <c r="H1473" s="1065"/>
      <c r="I1473" s="1065"/>
      <c r="J1473" s="1065"/>
      <c r="K1473" s="1065"/>
      <c r="L1473" s="1065"/>
      <c r="M1473" s="1065"/>
      <c r="N1473" s="982"/>
      <c r="O1473" s="983"/>
      <c r="P1473" s="1084"/>
      <c r="Q1473" s="977"/>
    </row>
    <row r="1474" spans="1:21" ht="15.75">
      <c r="A1474" s="1575"/>
      <c r="B1474" s="1575"/>
      <c r="C1474" s="1575"/>
      <c r="D1474" s="1575"/>
      <c r="E1474" s="1575"/>
      <c r="F1474" s="1575"/>
      <c r="G1474" s="1575"/>
      <c r="H1474" s="1575"/>
      <c r="I1474" s="1575"/>
      <c r="J1474" s="1575"/>
      <c r="K1474" s="1575"/>
      <c r="L1474" s="1575"/>
      <c r="M1474" s="1575"/>
      <c r="N1474" s="1575"/>
      <c r="O1474" s="1575"/>
      <c r="P1474" s="1575"/>
      <c r="Q1474" s="972" t="s">
        <v>1332</v>
      </c>
    </row>
    <row r="1475" spans="1:21" ht="15">
      <c r="A1475" s="583"/>
      <c r="B1475" s="583"/>
      <c r="C1475" s="1065"/>
      <c r="D1475" s="1065"/>
      <c r="E1475" s="1065"/>
      <c r="F1475" s="1065"/>
      <c r="G1475" s="1065"/>
      <c r="H1475" s="1065"/>
      <c r="I1475" s="1065"/>
      <c r="J1475" s="1065"/>
      <c r="K1475" s="1065"/>
      <c r="L1475" s="1065"/>
      <c r="M1475" s="1065"/>
      <c r="N1475" s="982"/>
      <c r="O1475" s="983"/>
      <c r="P1475" s="1084"/>
      <c r="Q1475" s="971"/>
    </row>
    <row r="1476" spans="1:21" ht="15">
      <c r="A1476" s="1002" t="s">
        <v>247</v>
      </c>
      <c r="B1476" s="975" t="s">
        <v>2900</v>
      </c>
      <c r="C1476" s="976"/>
      <c r="D1476" s="959"/>
      <c r="E1476" s="584"/>
      <c r="F1476" s="971"/>
      <c r="G1476" s="971"/>
      <c r="H1476" s="971"/>
      <c r="I1476" s="971"/>
      <c r="J1476" s="971"/>
      <c r="K1476" s="971"/>
      <c r="L1476" s="971"/>
      <c r="M1476" s="1084">
        <v>3</v>
      </c>
      <c r="N1476" s="828"/>
      <c r="O1476" s="828"/>
      <c r="P1476" s="1084"/>
      <c r="Q1476" s="1084" t="s">
        <v>463</v>
      </c>
      <c r="U1476" s="967">
        <f>'Part IX A-Scoring Criteria'!O158</f>
        <v>0</v>
      </c>
    </row>
    <row r="1477" spans="1:21" ht="15">
      <c r="A1477" s="1002"/>
      <c r="B1477" s="856" t="s">
        <v>2912</v>
      </c>
      <c r="C1477" s="976"/>
      <c r="D1477" s="959"/>
      <c r="E1477" s="584"/>
      <c r="F1477" s="971"/>
      <c r="G1477" s="831" t="str">
        <f>'Part I-Project Information'!$H$81</f>
        <v>No</v>
      </c>
      <c r="H1477" s="971"/>
      <c r="I1477" s="971"/>
      <c r="J1477" s="1000"/>
      <c r="K1477" s="971"/>
      <c r="L1477" s="971"/>
      <c r="M1477" s="1084"/>
      <c r="N1477" s="1084"/>
      <c r="O1477" s="1061" t="s">
        <v>2681</v>
      </c>
      <c r="P1477" s="1061" t="s">
        <v>2681</v>
      </c>
      <c r="Q1477" s="1084"/>
    </row>
    <row r="1478" spans="1:21" ht="15">
      <c r="A1478" s="951"/>
      <c r="B1478" s="567" t="s">
        <v>2503</v>
      </c>
      <c r="C1478" s="971"/>
      <c r="D1478" s="583"/>
      <c r="E1478" s="971"/>
      <c r="F1478" s="971"/>
      <c r="G1478" s="971"/>
      <c r="H1478" s="971"/>
      <c r="I1478" s="971"/>
      <c r="J1478" s="971"/>
      <c r="K1478" s="971"/>
      <c r="L1478" s="971"/>
      <c r="M1478" s="971"/>
      <c r="N1478" s="944"/>
      <c r="O1478" s="1069" t="str">
        <f>'Part IX A-Scoring Criteria'!O160</f>
        <v>No</v>
      </c>
      <c r="P1478" s="1124"/>
      <c r="Q1478" s="971"/>
    </row>
    <row r="1479" spans="1:21" ht="15">
      <c r="A1479" s="951"/>
      <c r="B1479" s="567" t="s">
        <v>3543</v>
      </c>
      <c r="C1479" s="971"/>
      <c r="D1479" s="583"/>
      <c r="E1479" s="971"/>
      <c r="F1479" s="971"/>
      <c r="G1479" s="971"/>
      <c r="H1479" s="971"/>
      <c r="I1479" s="971"/>
      <c r="J1479" s="971"/>
      <c r="K1479" s="971"/>
      <c r="L1479" s="971"/>
      <c r="M1479" s="971"/>
      <c r="N1479" s="944"/>
      <c r="O1479" s="1069" t="str">
        <f>'Part IX A-Scoring Criteria'!O161</f>
        <v>N/a</v>
      </c>
      <c r="P1479" s="1124"/>
      <c r="Q1479" s="971"/>
    </row>
    <row r="1480" spans="1:21" ht="15">
      <c r="A1480" s="583"/>
      <c r="B1480" s="946" t="s">
        <v>269</v>
      </c>
      <c r="C1480" s="583"/>
      <c r="D1480" s="587"/>
      <c r="E1480" s="587"/>
      <c r="F1480" s="587"/>
      <c r="G1480" s="587"/>
      <c r="H1480" s="584"/>
      <c r="I1480" s="584"/>
      <c r="J1480" s="584"/>
      <c r="K1480" s="584"/>
      <c r="L1480" s="971"/>
      <c r="M1480" s="828"/>
      <c r="N1480" s="832"/>
      <c r="O1480" s="967"/>
      <c r="P1480" s="1115"/>
      <c r="Q1480" s="971"/>
    </row>
    <row r="1481" spans="1:21" ht="15.75">
      <c r="A1481" s="1575">
        <f>'Part IX A-Scoring Criteria'!A163</f>
        <v>0</v>
      </c>
      <c r="B1481" s="1575"/>
      <c r="C1481" s="1575"/>
      <c r="D1481" s="1575"/>
      <c r="E1481" s="1575"/>
      <c r="F1481" s="1575"/>
      <c r="G1481" s="1575"/>
      <c r="H1481" s="1575"/>
      <c r="I1481" s="1575"/>
      <c r="J1481" s="1575"/>
      <c r="K1481" s="1575"/>
      <c r="L1481" s="1575"/>
      <c r="M1481" s="1575"/>
      <c r="N1481" s="1575"/>
      <c r="O1481" s="1575"/>
      <c r="P1481" s="1575"/>
      <c r="Q1481" s="972" t="s">
        <v>1332</v>
      </c>
    </row>
    <row r="1482" spans="1:21" ht="15">
      <c r="A1482" s="971"/>
      <c r="B1482" s="947" t="s">
        <v>1996</v>
      </c>
      <c r="C1482" s="583"/>
      <c r="D1482" s="947"/>
      <c r="E1482" s="1065"/>
      <c r="F1482" s="1065"/>
      <c r="G1482" s="1065"/>
      <c r="H1482" s="1065"/>
      <c r="I1482" s="1065"/>
      <c r="J1482" s="1065"/>
      <c r="K1482" s="1065"/>
      <c r="L1482" s="1065"/>
      <c r="M1482" s="1065"/>
      <c r="N1482" s="982"/>
      <c r="O1482" s="983"/>
      <c r="P1482" s="1084"/>
      <c r="Q1482" s="977"/>
    </row>
    <row r="1483" spans="1:21" ht="15.75">
      <c r="A1483" s="1575"/>
      <c r="B1483" s="1575"/>
      <c r="C1483" s="1575"/>
      <c r="D1483" s="1575"/>
      <c r="E1483" s="1575"/>
      <c r="F1483" s="1575"/>
      <c r="G1483" s="1575"/>
      <c r="H1483" s="1575"/>
      <c r="I1483" s="1575"/>
      <c r="J1483" s="1575"/>
      <c r="K1483" s="1575"/>
      <c r="L1483" s="1575"/>
      <c r="M1483" s="1575"/>
      <c r="N1483" s="1575"/>
      <c r="O1483" s="1575"/>
      <c r="P1483" s="1575"/>
      <c r="Q1483" s="972" t="s">
        <v>1332</v>
      </c>
    </row>
    <row r="1484" spans="1:21">
      <c r="N1484" s="832"/>
      <c r="O1484" s="1115"/>
      <c r="P1484" s="1115"/>
    </row>
    <row r="1485" spans="1:21" ht="15">
      <c r="A1485" s="968" t="s">
        <v>248</v>
      </c>
      <c r="B1485" s="969" t="s">
        <v>3326</v>
      </c>
      <c r="C1485" s="1003"/>
      <c r="D1485" s="1003"/>
      <c r="E1485" s="1083" t="s">
        <v>3215</v>
      </c>
      <c r="F1485" s="1003"/>
      <c r="G1485" s="984"/>
      <c r="H1485" s="567"/>
      <c r="I1485" s="1003"/>
      <c r="J1485" s="1003"/>
      <c r="K1485" s="1084">
        <f>'Part VI-Revenues &amp; Expenses'!$M$62</f>
        <v>75</v>
      </c>
      <c r="L1485" s="1082" t="s">
        <v>1917</v>
      </c>
      <c r="M1485" s="1084">
        <v>3</v>
      </c>
      <c r="N1485" s="997" t="str">
        <f>IF(OR($O1485=$M1485,$O1485=0,$O1485=""),"","***")</f>
        <v/>
      </c>
      <c r="O1485" s="1069">
        <f>'Part IX A-Scoring Criteria'!O167</f>
        <v>0</v>
      </c>
      <c r="P1485" s="1084"/>
      <c r="Q1485" s="1084" t="s">
        <v>463</v>
      </c>
      <c r="U1485" s="967">
        <f>'Part IX A-Scoring Criteria'!O167</f>
        <v>0</v>
      </c>
    </row>
    <row r="1486" spans="1:21" ht="15">
      <c r="A1486" s="968"/>
      <c r="B1486" s="905" t="s">
        <v>3248</v>
      </c>
      <c r="C1486" s="829"/>
      <c r="D1486" s="1003"/>
      <c r="E1486" s="1004" t="str">
        <f>'Part I-Project Information'!$H$85</f>
        <v>Flexible</v>
      </c>
      <c r="F1486" s="1003"/>
      <c r="G1486" s="1083" t="str">
        <f>IF(E1486="Flexible","(NOTE: Only Rural pool applicants are eligible for this section.)","")</f>
        <v>(NOTE: Only Rural pool applicants are eligible for this section.)</v>
      </c>
      <c r="H1486" s="567"/>
      <c r="I1486" s="1005"/>
      <c r="J1486" s="1082"/>
      <c r="K1486" s="1006">
        <f>'Part VI-Revenues &amp; Expenses'!$M$74/'Part VI-Revenues &amp; Expenses'!$M$62</f>
        <v>0</v>
      </c>
      <c r="L1486" s="1082" t="s">
        <v>3205</v>
      </c>
      <c r="M1486" s="1084"/>
      <c r="N1486" s="997"/>
      <c r="O1486" s="997"/>
      <c r="P1486" s="997"/>
      <c r="Q1486" s="1084"/>
    </row>
    <row r="1487" spans="1:21" ht="15">
      <c r="A1487" s="968"/>
      <c r="B1487" s="1584" t="s">
        <v>2969</v>
      </c>
      <c r="C1487" s="1584"/>
      <c r="D1487" s="1584"/>
      <c r="E1487" s="1584"/>
      <c r="F1487" s="1584"/>
      <c r="G1487" s="1584"/>
      <c r="H1487" s="1584"/>
      <c r="I1487" s="1584"/>
      <c r="J1487" s="1584"/>
      <c r="K1487" s="1584"/>
      <c r="L1487" s="1584"/>
      <c r="M1487" s="1584"/>
      <c r="N1487" s="1084"/>
      <c r="O1487" s="1003"/>
      <c r="P1487" s="1003"/>
      <c r="Q1487" s="1003"/>
    </row>
    <row r="1488" spans="1:21" ht="15">
      <c r="A1488" s="583"/>
      <c r="B1488" s="946" t="s">
        <v>269</v>
      </c>
      <c r="C1488" s="583"/>
      <c r="D1488" s="587"/>
      <c r="E1488" s="587"/>
      <c r="F1488" s="587"/>
      <c r="G1488" s="587"/>
      <c r="H1488" s="584"/>
      <c r="I1488" s="584"/>
      <c r="J1488" s="947" t="s">
        <v>1996</v>
      </c>
      <c r="K1488" s="971"/>
      <c r="L1488" s="971"/>
      <c r="M1488" s="828"/>
      <c r="N1488" s="832"/>
      <c r="O1488" s="967"/>
      <c r="P1488" s="1115"/>
      <c r="Q1488" s="971"/>
    </row>
    <row r="1489" spans="1:21" ht="15.75">
      <c r="A1489" s="1575">
        <f>'Part IX A-Scoring Criteria'!A171</f>
        <v>0</v>
      </c>
      <c r="B1489" s="1575"/>
      <c r="C1489" s="1575"/>
      <c r="D1489" s="1575"/>
      <c r="E1489" s="1575"/>
      <c r="F1489" s="1575"/>
      <c r="G1489" s="1575"/>
      <c r="H1489" s="1575"/>
      <c r="I1489" s="1575"/>
      <c r="J1489" s="1575"/>
      <c r="K1489" s="1575"/>
      <c r="L1489" s="1575"/>
      <c r="M1489" s="1575"/>
      <c r="N1489" s="1575"/>
      <c r="O1489" s="1575"/>
      <c r="P1489" s="1575"/>
      <c r="Q1489" s="972" t="s">
        <v>1332</v>
      </c>
    </row>
    <row r="1490" spans="1:21" ht="15">
      <c r="A1490" s="583"/>
      <c r="B1490" s="971"/>
      <c r="C1490" s="1065"/>
      <c r="D1490" s="1065"/>
      <c r="E1490" s="1065"/>
      <c r="F1490" s="1065"/>
      <c r="G1490" s="1065"/>
      <c r="H1490" s="1065"/>
      <c r="I1490" s="1065"/>
      <c r="J1490" s="1065"/>
      <c r="K1490" s="1065"/>
      <c r="L1490" s="1065"/>
      <c r="M1490" s="1065"/>
      <c r="N1490" s="982"/>
      <c r="O1490" s="983"/>
      <c r="P1490" s="1084"/>
      <c r="Q1490" s="971"/>
    </row>
    <row r="1491" spans="1:21" ht="15">
      <c r="A1491" s="968" t="s">
        <v>1494</v>
      </c>
      <c r="B1491" s="975" t="s">
        <v>1786</v>
      </c>
      <c r="C1491" s="971"/>
      <c r="D1491" s="976"/>
      <c r="E1491" s="976"/>
      <c r="F1491" s="971"/>
      <c r="G1491" s="584"/>
      <c r="H1491" s="584"/>
      <c r="I1491" s="584"/>
      <c r="J1491" s="971"/>
      <c r="K1491" s="1059"/>
      <c r="L1491" s="994" t="str">
        <f>IF(OR($O1491=$M1491,$O1491=0,$O1491=""),"","* * Check Score! * *")</f>
        <v/>
      </c>
      <c r="M1491" s="1084">
        <v>1</v>
      </c>
      <c r="N1491" s="997" t="str">
        <f>IF(OR($O1491=$M1491,$O1491=0,$O1491=""),"","***")</f>
        <v/>
      </c>
      <c r="O1491" s="1069">
        <f>'Part IX A-Scoring Criteria'!O173</f>
        <v>1</v>
      </c>
      <c r="P1491" s="1084"/>
      <c r="Q1491" s="1084" t="s">
        <v>463</v>
      </c>
      <c r="U1491" s="967">
        <f>'Part IX A-Scoring Criteria'!O173</f>
        <v>1</v>
      </c>
    </row>
    <row r="1492" spans="1:21" ht="15">
      <c r="A1492" s="971"/>
      <c r="B1492" s="1085" t="s">
        <v>3327</v>
      </c>
      <c r="C1492" s="971"/>
      <c r="D1492" s="995"/>
      <c r="E1492" s="976"/>
      <c r="F1492" s="584"/>
      <c r="G1492" s="584"/>
      <c r="H1492" s="584"/>
      <c r="I1492" s="1124"/>
      <c r="J1492" s="971"/>
      <c r="K1492" s="971"/>
      <c r="L1492" s="971"/>
      <c r="M1492" s="971"/>
      <c r="N1492" s="971"/>
      <c r="O1492" s="1061" t="s">
        <v>2681</v>
      </c>
      <c r="P1492" s="1061" t="s">
        <v>2681</v>
      </c>
      <c r="Q1492" s="971"/>
    </row>
    <row r="1493" spans="1:21">
      <c r="A1493" s="951" t="s">
        <v>2118</v>
      </c>
      <c r="B1493" s="584" t="s">
        <v>3530</v>
      </c>
      <c r="C1493" s="567"/>
      <c r="D1493" s="584"/>
      <c r="E1493" s="584"/>
      <c r="F1493" s="584"/>
      <c r="G1493" s="567"/>
      <c r="H1493" s="567"/>
      <c r="I1493" s="567"/>
      <c r="J1493" s="1590" t="str">
        <f>'Part IX A-Scoring Criteria'!J175</f>
        <v>Rome</v>
      </c>
      <c r="K1493" s="1590"/>
      <c r="L1493" s="1590"/>
      <c r="M1493" s="567"/>
      <c r="N1493" s="944" t="s">
        <v>2118</v>
      </c>
      <c r="O1493" s="1069" t="str">
        <f>'Part IX A-Scoring Criteria'!O175</f>
        <v>Yes</v>
      </c>
      <c r="P1493" s="1124"/>
      <c r="Q1493" s="567"/>
    </row>
    <row r="1494" spans="1:21">
      <c r="A1494" s="951" t="s">
        <v>2121</v>
      </c>
      <c r="B1494" s="584" t="s">
        <v>3531</v>
      </c>
      <c r="C1494" s="567"/>
      <c r="D1494" s="584"/>
      <c r="E1494" s="584"/>
      <c r="F1494" s="584"/>
      <c r="G1494" s="584"/>
      <c r="H1494" s="567"/>
      <c r="I1494" s="567"/>
      <c r="J1494" s="567"/>
      <c r="K1494" s="567"/>
      <c r="L1494" s="584"/>
      <c r="M1494" s="584"/>
      <c r="N1494" s="944" t="s">
        <v>2121</v>
      </c>
      <c r="O1494" s="1069" t="str">
        <f>'Part IX A-Scoring Criteria'!O176</f>
        <v>Yes</v>
      </c>
      <c r="P1494" s="1124"/>
      <c r="Q1494" s="567"/>
    </row>
    <row r="1495" spans="1:21">
      <c r="A1495" s="951" t="s">
        <v>799</v>
      </c>
      <c r="B1495" s="584" t="s">
        <v>3532</v>
      </c>
      <c r="C1495" s="567"/>
      <c r="D1495" s="584"/>
      <c r="E1495" s="584"/>
      <c r="F1495" s="584"/>
      <c r="G1495" s="584"/>
      <c r="H1495" s="584"/>
      <c r="I1495" s="567"/>
      <c r="J1495" s="567"/>
      <c r="K1495" s="567"/>
      <c r="L1495" s="584"/>
      <c r="M1495" s="584"/>
      <c r="N1495" s="944" t="s">
        <v>799</v>
      </c>
      <c r="O1495" s="1069" t="str">
        <f>'Part IX A-Scoring Criteria'!O177</f>
        <v>Yes</v>
      </c>
      <c r="P1495" s="1124"/>
      <c r="Q1495" s="567"/>
    </row>
    <row r="1496" spans="1:21">
      <c r="A1496" s="951" t="s">
        <v>2253</v>
      </c>
      <c r="B1496" s="584" t="s">
        <v>3533</v>
      </c>
      <c r="C1496" s="567"/>
      <c r="D1496" s="584"/>
      <c r="E1496" s="584"/>
      <c r="F1496" s="584"/>
      <c r="G1496" s="584"/>
      <c r="H1496" s="584"/>
      <c r="I1496" s="584"/>
      <c r="J1496" s="584"/>
      <c r="K1496" s="584"/>
      <c r="L1496" s="584"/>
      <c r="M1496" s="584"/>
      <c r="N1496" s="944" t="s">
        <v>2253</v>
      </c>
      <c r="O1496" s="1069" t="str">
        <f>'Part IX A-Scoring Criteria'!O178</f>
        <v>Yes</v>
      </c>
      <c r="P1496" s="1124"/>
      <c r="Q1496" s="567"/>
    </row>
    <row r="1497" spans="1:21">
      <c r="A1497" s="1007" t="s">
        <v>3534</v>
      </c>
      <c r="B1497" s="584"/>
      <c r="C1497" s="567"/>
      <c r="D1497" s="584"/>
      <c r="E1497" s="584"/>
      <c r="F1497" s="584"/>
      <c r="G1497" s="584"/>
      <c r="H1497" s="584"/>
      <c r="I1497" s="584"/>
      <c r="J1497" s="584"/>
      <c r="K1497" s="584"/>
      <c r="L1497" s="584"/>
      <c r="M1497" s="584"/>
      <c r="N1497" s="944"/>
      <c r="O1497" s="944"/>
      <c r="P1497" s="944"/>
      <c r="Q1497" s="567"/>
    </row>
    <row r="1498" spans="1:21" ht="15">
      <c r="A1498" s="583"/>
      <c r="B1498" s="946" t="s">
        <v>269</v>
      </c>
      <c r="C1498" s="583"/>
      <c r="D1498" s="587"/>
      <c r="E1498" s="587"/>
      <c r="F1498" s="587"/>
      <c r="G1498" s="587"/>
      <c r="H1498" s="584"/>
      <c r="I1498" s="584"/>
      <c r="J1498" s="947" t="s">
        <v>1996</v>
      </c>
      <c r="K1498" s="971"/>
      <c r="L1498" s="971"/>
      <c r="M1498" s="828"/>
      <c r="N1498" s="832"/>
      <c r="O1498" s="967"/>
      <c r="P1498" s="1115"/>
      <c r="Q1498" s="971"/>
    </row>
    <row r="1499" spans="1:21" ht="15.75">
      <c r="A1499" s="1575">
        <f>'Part IX A-Scoring Criteria'!A181</f>
        <v>0</v>
      </c>
      <c r="B1499" s="1575"/>
      <c r="C1499" s="1575"/>
      <c r="D1499" s="1575"/>
      <c r="E1499" s="1575"/>
      <c r="F1499" s="1575"/>
      <c r="G1499" s="1575"/>
      <c r="H1499" s="1575"/>
      <c r="I1499" s="1575"/>
      <c r="J1499" s="1575"/>
      <c r="K1499" s="1575"/>
      <c r="L1499" s="1575"/>
      <c r="M1499" s="1575"/>
      <c r="N1499" s="1575"/>
      <c r="O1499" s="1575"/>
      <c r="P1499" s="1575"/>
      <c r="Q1499" s="972" t="s">
        <v>1332</v>
      </c>
    </row>
    <row r="1500" spans="1:21">
      <c r="N1500" s="832"/>
      <c r="O1500" s="1115"/>
      <c r="P1500" s="1115"/>
    </row>
    <row r="1501" spans="1:21" ht="15">
      <c r="A1501" s="968" t="s">
        <v>1785</v>
      </c>
      <c r="B1501" s="975" t="s">
        <v>3330</v>
      </c>
      <c r="C1501" s="971"/>
      <c r="D1501" s="976"/>
      <c r="E1501" s="976"/>
      <c r="F1501" s="584"/>
      <c r="G1501" s="584"/>
      <c r="H1501" s="584"/>
      <c r="I1501" s="905" t="s">
        <v>3248</v>
      </c>
      <c r="J1501" s="829"/>
      <c r="K1501" s="1003"/>
      <c r="L1501" s="905" t="str">
        <f>'Part I-Project Information'!$H$85</f>
        <v>Flexible</v>
      </c>
      <c r="M1501" s="967">
        <v>7</v>
      </c>
      <c r="N1501" s="828"/>
      <c r="O1501" s="967">
        <f>O1508+O1525+O1527</f>
        <v>3</v>
      </c>
      <c r="P1501" s="967">
        <f>P1508+P1525+P1527</f>
        <v>0</v>
      </c>
      <c r="Q1501" s="1084" t="s">
        <v>463</v>
      </c>
      <c r="U1501" s="967">
        <f>'Part IX A-Scoring Criteria'!O183</f>
        <v>3</v>
      </c>
    </row>
    <row r="1502" spans="1:21" ht="15">
      <c r="A1502" s="583"/>
      <c r="B1502" s="1085" t="s">
        <v>3544</v>
      </c>
      <c r="C1502" s="971"/>
      <c r="D1502" s="971"/>
      <c r="E1502" s="976"/>
      <c r="F1502" s="584"/>
      <c r="G1502" s="584"/>
      <c r="H1502" s="584"/>
      <c r="I1502" s="584"/>
      <c r="J1502" s="971"/>
      <c r="K1502" s="1059"/>
      <c r="L1502" s="1008"/>
      <c r="M1502" s="971"/>
      <c r="N1502" s="971"/>
      <c r="O1502" s="1061" t="s">
        <v>2681</v>
      </c>
      <c r="P1502" s="1061" t="s">
        <v>2681</v>
      </c>
      <c r="Q1502" s="971"/>
    </row>
    <row r="1503" spans="1:21" ht="15">
      <c r="A1503" s="567"/>
      <c r="B1503" s="1009" t="s">
        <v>2122</v>
      </c>
      <c r="C1503" s="567" t="s">
        <v>3328</v>
      </c>
      <c r="D1503" s="567"/>
      <c r="E1503" s="976"/>
      <c r="F1503" s="584"/>
      <c r="G1503" s="584"/>
      <c r="H1503" s="584"/>
      <c r="I1503" s="584"/>
      <c r="J1503" s="971"/>
      <c r="K1503" s="1059"/>
      <c r="L1503" s="1008" t="str">
        <f>IF(M1503&gt;14,"Over limit!","")</f>
        <v/>
      </c>
      <c r="M1503" s="567"/>
      <c r="N1503" s="985" t="s">
        <v>2122</v>
      </c>
      <c r="O1503" s="1069" t="str">
        <f>'Part IX A-Scoring Criteria'!O185</f>
        <v>Yes</v>
      </c>
      <c r="P1503" s="1124"/>
      <c r="Q1503" s="567"/>
    </row>
    <row r="1504" spans="1:21">
      <c r="A1504" s="567"/>
      <c r="B1504" s="1009" t="s">
        <v>2124</v>
      </c>
      <c r="C1504" s="567" t="s">
        <v>602</v>
      </c>
      <c r="D1504" s="567"/>
      <c r="E1504" s="567"/>
      <c r="F1504" s="567"/>
      <c r="G1504" s="567"/>
      <c r="H1504" s="567"/>
      <c r="I1504" s="567"/>
      <c r="J1504" s="567"/>
      <c r="K1504" s="567"/>
      <c r="L1504" s="567"/>
      <c r="M1504" s="567"/>
      <c r="N1504" s="985" t="s">
        <v>2124</v>
      </c>
      <c r="O1504" s="1069" t="str">
        <f>'Part IX A-Scoring Criteria'!O186</f>
        <v>Yes</v>
      </c>
      <c r="P1504" s="1124"/>
      <c r="Q1504" s="567"/>
    </row>
    <row r="1505" spans="1:17">
      <c r="A1505" s="567"/>
      <c r="B1505" s="1009" t="s">
        <v>2707</v>
      </c>
      <c r="C1505" s="567" t="s">
        <v>603</v>
      </c>
      <c r="D1505" s="567"/>
      <c r="E1505" s="567"/>
      <c r="F1505" s="567"/>
      <c r="G1505" s="567"/>
      <c r="H1505" s="567"/>
      <c r="I1505" s="567"/>
      <c r="J1505" s="567"/>
      <c r="K1505" s="567"/>
      <c r="L1505" s="567"/>
      <c r="M1505" s="567"/>
      <c r="N1505" s="985" t="s">
        <v>2707</v>
      </c>
      <c r="O1505" s="1069" t="str">
        <f>'Part IX A-Scoring Criteria'!O187</f>
        <v>Yes</v>
      </c>
      <c r="P1505" s="1124"/>
      <c r="Q1505" s="567"/>
    </row>
    <row r="1506" spans="1:17">
      <c r="A1506" s="567"/>
      <c r="B1506" s="1009" t="s">
        <v>1301</v>
      </c>
      <c r="C1506" s="567" t="s">
        <v>604</v>
      </c>
      <c r="D1506" s="567"/>
      <c r="E1506" s="567"/>
      <c r="F1506" s="567"/>
      <c r="G1506" s="567"/>
      <c r="H1506" s="567"/>
      <c r="I1506" s="567"/>
      <c r="J1506" s="567"/>
      <c r="K1506" s="567"/>
      <c r="L1506" s="567"/>
      <c r="M1506" s="567"/>
      <c r="N1506" s="985" t="s">
        <v>1301</v>
      </c>
      <c r="O1506" s="1069" t="str">
        <f>'Part IX A-Scoring Criteria'!O188</f>
        <v>Yes</v>
      </c>
      <c r="P1506" s="1124"/>
      <c r="Q1506" s="567"/>
    </row>
    <row r="1507" spans="1:17">
      <c r="A1507" s="567"/>
      <c r="B1507" s="1009" t="s">
        <v>1302</v>
      </c>
      <c r="C1507" s="567" t="s">
        <v>612</v>
      </c>
      <c r="D1507" s="567"/>
      <c r="E1507" s="567"/>
      <c r="F1507" s="567"/>
      <c r="G1507" s="567"/>
      <c r="H1507" s="567"/>
      <c r="I1507" s="567"/>
      <c r="J1507" s="567"/>
      <c r="K1507" s="567"/>
      <c r="L1507" s="567"/>
      <c r="M1507" s="567"/>
      <c r="N1507" s="985" t="s">
        <v>1302</v>
      </c>
      <c r="O1507" s="1069" t="str">
        <f>'Part IX A-Scoring Criteria'!O189</f>
        <v>Yes</v>
      </c>
      <c r="P1507" s="1124"/>
      <c r="Q1507" s="567"/>
    </row>
    <row r="1508" spans="1:17" ht="15">
      <c r="A1508" s="951" t="s">
        <v>2118</v>
      </c>
      <c r="B1508" s="1007" t="s">
        <v>1973</v>
      </c>
      <c r="C1508" s="971"/>
      <c r="D1508" s="1083"/>
      <c r="E1508" s="1083"/>
      <c r="F1508" s="583"/>
      <c r="G1508" s="995"/>
      <c r="H1508" s="995"/>
      <c r="I1508" s="995"/>
      <c r="J1508" s="1083"/>
      <c r="K1508" s="995"/>
      <c r="L1508" s="583"/>
      <c r="M1508" s="828">
        <v>4</v>
      </c>
      <c r="N1508" s="944" t="s">
        <v>2118</v>
      </c>
      <c r="O1508" s="924">
        <f>IF(AND($L1501="Flexible",$I1524&gt;=0.15), 4,IF(AND($L1501="Flexible",$I1524&gt;=0.1), 3,IF(AND($L1501="Flexible",$I1524&gt;=0.05), 2,IF(AND($L1501="Flexible",$I1524&gt;=0.02), 1,IF(AND($L1501="Rural",$I1524&gt;=0.1), 4,IF(AND($L1501="Rural",$I1524&gt;=0.05), 2,IF(AND($L1501="Rural",$I1524&gt;=0.02), 1,0)))))))</f>
        <v>2</v>
      </c>
      <c r="P1508" s="924">
        <f>IF(AND($L1501="Flexible",$L1524&gt;=0.15), 4,IF(AND($L1501="Flexible",$L1524&gt;=0.1), 3,IF(AND($L1501="Flexible",$L1524&gt;=0.05), 2,IF(AND($L1501="Flexible",$L1524&gt;=0.02), 1,IF(AND($L1501="Rural",$L1524&gt;=0.1), 4,IF(AND($L1501="Rural",$L1524&gt;=0.05), 2,IF(AND($L1501="Rural",$L1524&gt;=0.02), 1,0)))))))</f>
        <v>0</v>
      </c>
      <c r="Q1508" s="971"/>
    </row>
    <row r="1509" spans="1:17">
      <c r="B1509" s="998" t="s">
        <v>2122</v>
      </c>
      <c r="C1509" s="962" t="s">
        <v>2818</v>
      </c>
      <c r="I1509" s="1720" t="s">
        <v>2126</v>
      </c>
      <c r="J1509" s="1720"/>
      <c r="L1509" s="1078" t="s">
        <v>2126</v>
      </c>
      <c r="N1509" s="985" t="s">
        <v>2122</v>
      </c>
      <c r="O1509" s="1115"/>
      <c r="P1509" s="1115"/>
    </row>
    <row r="1510" spans="1:17" ht="15">
      <c r="A1510" s="912"/>
      <c r="B1510" s="1010"/>
      <c r="C1510" s="944" t="s">
        <v>2599</v>
      </c>
      <c r="D1510" s="584" t="s">
        <v>1580</v>
      </c>
      <c r="E1510" s="971"/>
      <c r="F1510" s="971"/>
      <c r="G1510" s="971"/>
      <c r="H1510" s="567"/>
      <c r="I1510" s="1721">
        <f>'Part IX A-Scoring Criteria'!I192</f>
        <v>0</v>
      </c>
      <c r="J1510" s="1721"/>
      <c r="K1510" s="959"/>
      <c r="L1510" s="1079">
        <f>'Part IX A-Scoring Criteria'!L192</f>
        <v>0</v>
      </c>
      <c r="M1510" s="828"/>
      <c r="N1510" s="944" t="s">
        <v>2599</v>
      </c>
      <c r="O1510" s="1069" t="str">
        <f>'Part IX A-Scoring Criteria'!O192</f>
        <v>N/a</v>
      </c>
      <c r="P1510" s="1124"/>
      <c r="Q1510" s="971"/>
    </row>
    <row r="1511" spans="1:17">
      <c r="A1511" s="931"/>
      <c r="B1511" s="832"/>
      <c r="C1511" s="956" t="s">
        <v>2600</v>
      </c>
      <c r="D1511" s="584" t="s">
        <v>1581</v>
      </c>
      <c r="H1511" s="567"/>
      <c r="I1511" s="1721">
        <f>'Part IX A-Scoring Criteria'!I193</f>
        <v>0</v>
      </c>
      <c r="J1511" s="1721"/>
      <c r="L1511" s="1079">
        <f>'Part IX A-Scoring Criteria'!L193</f>
        <v>0</v>
      </c>
      <c r="M1511" s="828"/>
      <c r="N1511" s="956" t="s">
        <v>2600</v>
      </c>
      <c r="O1511" s="1069" t="str">
        <f>'Part IX A-Scoring Criteria'!O193</f>
        <v>N/a</v>
      </c>
      <c r="P1511" s="1124"/>
    </row>
    <row r="1512" spans="1:17">
      <c r="B1512" s="1009"/>
      <c r="C1512" s="944" t="s">
        <v>2601</v>
      </c>
      <c r="D1512" s="584" t="s">
        <v>2817</v>
      </c>
      <c r="H1512" s="567"/>
      <c r="I1512" s="1721">
        <f>'Part IX A-Scoring Criteria'!I194</f>
        <v>0</v>
      </c>
      <c r="J1512" s="1721"/>
      <c r="L1512" s="1079">
        <f>'Part IX A-Scoring Criteria'!L194</f>
        <v>0</v>
      </c>
      <c r="M1512" s="828"/>
      <c r="N1512" s="944" t="s">
        <v>2601</v>
      </c>
      <c r="O1512" s="1069" t="str">
        <f>'Part IX A-Scoring Criteria'!O194</f>
        <v>N/a</v>
      </c>
      <c r="P1512" s="1124"/>
    </row>
    <row r="1513" spans="1:17">
      <c r="A1513" s="931"/>
      <c r="B1513" s="1009"/>
      <c r="C1513" s="944" t="s">
        <v>2602</v>
      </c>
      <c r="D1513" s="584" t="s">
        <v>3329</v>
      </c>
      <c r="I1513" s="1721">
        <f>'Part IX A-Scoring Criteria'!I195</f>
        <v>0</v>
      </c>
      <c r="J1513" s="1721"/>
      <c r="L1513" s="1079">
        <f>'Part IX A-Scoring Criteria'!L195</f>
        <v>0</v>
      </c>
      <c r="M1513" s="828"/>
      <c r="N1513" s="944" t="s">
        <v>2602</v>
      </c>
      <c r="O1513" s="1069" t="str">
        <f>'Part IX A-Scoring Criteria'!O195</f>
        <v>N/a</v>
      </c>
      <c r="P1513" s="1124"/>
    </row>
    <row r="1514" spans="1:17" ht="15">
      <c r="A1514" s="912"/>
      <c r="B1514" s="1009"/>
      <c r="C1514" s="956" t="s">
        <v>2603</v>
      </c>
      <c r="D1514" s="584" t="s">
        <v>1582</v>
      </c>
      <c r="E1514" s="971"/>
      <c r="F1514" s="971"/>
      <c r="G1514" s="971"/>
      <c r="H1514" s="567"/>
      <c r="I1514" s="1721">
        <f>'Part IX A-Scoring Criteria'!I196</f>
        <v>0</v>
      </c>
      <c r="J1514" s="1721"/>
      <c r="K1514" s="959"/>
      <c r="L1514" s="1079">
        <f>'Part IX A-Scoring Criteria'!L196</f>
        <v>0</v>
      </c>
      <c r="M1514" s="828"/>
      <c r="N1514" s="956" t="s">
        <v>2603</v>
      </c>
      <c r="O1514" s="1069" t="str">
        <f>'Part IX A-Scoring Criteria'!O196</f>
        <v>N/a</v>
      </c>
      <c r="P1514" s="1124"/>
      <c r="Q1514" s="971"/>
    </row>
    <row r="1515" spans="1:17">
      <c r="B1515" s="1009"/>
      <c r="C1515" s="944" t="s">
        <v>2619</v>
      </c>
      <c r="D1515" s="584" t="s">
        <v>1583</v>
      </c>
      <c r="H1515" s="567"/>
      <c r="I1515" s="1721">
        <f>'Part IX A-Scoring Criteria'!I197</f>
        <v>0</v>
      </c>
      <c r="J1515" s="1721"/>
      <c r="L1515" s="1079">
        <f>'Part IX A-Scoring Criteria'!L197</f>
        <v>0</v>
      </c>
      <c r="M1515" s="828"/>
      <c r="N1515" s="944" t="s">
        <v>2619</v>
      </c>
      <c r="O1515" s="1069" t="str">
        <f>'Part IX A-Scoring Criteria'!O197</f>
        <v>N/a</v>
      </c>
      <c r="P1515" s="1124"/>
    </row>
    <row r="1516" spans="1:17">
      <c r="A1516" s="931"/>
      <c r="B1516" s="1009"/>
      <c r="C1516" s="944" t="s">
        <v>2620</v>
      </c>
      <c r="D1516" s="584" t="s">
        <v>1584</v>
      </c>
      <c r="H1516" s="567"/>
      <c r="I1516" s="1721">
        <f>'Part IX A-Scoring Criteria'!I198</f>
        <v>0</v>
      </c>
      <c r="J1516" s="1721"/>
      <c r="L1516" s="1079">
        <f>'Part IX A-Scoring Criteria'!L198</f>
        <v>0</v>
      </c>
      <c r="M1516" s="828"/>
      <c r="N1516" s="944" t="s">
        <v>2620</v>
      </c>
      <c r="O1516" s="1069" t="str">
        <f>'Part IX A-Scoring Criteria'!O198</f>
        <v>N/a</v>
      </c>
      <c r="P1516" s="1124"/>
    </row>
    <row r="1517" spans="1:17">
      <c r="B1517" s="1009"/>
      <c r="C1517" s="944" t="s">
        <v>2621</v>
      </c>
      <c r="D1517" s="584" t="s">
        <v>2995</v>
      </c>
      <c r="H1517" s="567"/>
      <c r="I1517" s="1721">
        <f>'Part IX A-Scoring Criteria'!I199</f>
        <v>0</v>
      </c>
      <c r="J1517" s="1721"/>
      <c r="L1517" s="1079">
        <f>'Part IX A-Scoring Criteria'!L199</f>
        <v>0</v>
      </c>
      <c r="M1517" s="828"/>
      <c r="N1517" s="944" t="s">
        <v>2621</v>
      </c>
      <c r="O1517" s="1069" t="str">
        <f>'Part IX A-Scoring Criteria'!O199</f>
        <v>N/a</v>
      </c>
      <c r="P1517" s="1124"/>
    </row>
    <row r="1518" spans="1:17">
      <c r="A1518" s="931"/>
      <c r="B1518" s="1009"/>
      <c r="C1518" s="944" t="s">
        <v>2622</v>
      </c>
      <c r="D1518" s="584" t="s">
        <v>3535</v>
      </c>
      <c r="H1518" s="567"/>
      <c r="I1518" s="1721">
        <f>'Part IX A-Scoring Criteria'!I200</f>
        <v>0</v>
      </c>
      <c r="J1518" s="1721"/>
      <c r="L1518" s="1079">
        <f>'Part IX A-Scoring Criteria'!L200</f>
        <v>0</v>
      </c>
      <c r="M1518" s="828"/>
      <c r="N1518" s="944" t="s">
        <v>2622</v>
      </c>
      <c r="O1518" s="1069" t="str">
        <f>'Part IX A-Scoring Criteria'!O200</f>
        <v>N/a</v>
      </c>
      <c r="P1518" s="1124"/>
    </row>
    <row r="1519" spans="1:17">
      <c r="A1519" s="931"/>
      <c r="B1519" s="1009"/>
      <c r="C1519" s="944" t="s">
        <v>2623</v>
      </c>
      <c r="D1519" s="584" t="s">
        <v>3536</v>
      </c>
      <c r="H1519" s="567"/>
      <c r="I1519" s="1721">
        <f>'Part IX A-Scoring Criteria'!I201</f>
        <v>0</v>
      </c>
      <c r="J1519" s="1721"/>
      <c r="L1519" s="1079">
        <f>'Part IX A-Scoring Criteria'!L201</f>
        <v>0</v>
      </c>
      <c r="M1519" s="828"/>
      <c r="N1519" s="944" t="s">
        <v>2623</v>
      </c>
      <c r="O1519" s="1069" t="str">
        <f>'Part IX A-Scoring Criteria'!O201</f>
        <v>N/a</v>
      </c>
      <c r="P1519" s="1124"/>
    </row>
    <row r="1520" spans="1:17">
      <c r="A1520" s="931"/>
      <c r="B1520" s="1009"/>
      <c r="C1520" s="944" t="s">
        <v>634</v>
      </c>
      <c r="D1520" s="584" t="s">
        <v>3537</v>
      </c>
      <c r="H1520" s="567"/>
      <c r="I1520" s="1721">
        <f>'Part IX A-Scoring Criteria'!I202</f>
        <v>592166</v>
      </c>
      <c r="J1520" s="1721"/>
      <c r="L1520" s="1079">
        <f>'Part IX A-Scoring Criteria'!L202</f>
        <v>0</v>
      </c>
      <c r="M1520" s="828"/>
      <c r="N1520" s="944" t="s">
        <v>634</v>
      </c>
      <c r="O1520" s="1069" t="str">
        <f>'Part IX A-Scoring Criteria'!O202</f>
        <v>Yes</v>
      </c>
      <c r="P1520" s="1124"/>
    </row>
    <row r="1521" spans="1:21">
      <c r="A1521" s="931"/>
      <c r="B1521" s="1009"/>
      <c r="D1521" s="1083" t="s">
        <v>2820</v>
      </c>
      <c r="H1521" s="567"/>
      <c r="I1521" s="1721">
        <f>SUM(I1510:J1520)</f>
        <v>592166</v>
      </c>
      <c r="J1521" s="1721"/>
      <c r="L1521" s="1079">
        <f>SUM($L1510:$L1520)</f>
        <v>0</v>
      </c>
      <c r="M1521" s="1011"/>
      <c r="N1521" s="994"/>
      <c r="O1521" s="994"/>
      <c r="P1521" s="994"/>
    </row>
    <row r="1522" spans="1:21" ht="15">
      <c r="A1522" s="583"/>
      <c r="B1522" s="1010"/>
      <c r="C1522" s="971"/>
      <c r="D1522" s="584"/>
      <c r="E1522" s="584"/>
      <c r="F1522" s="1084"/>
      <c r="G1522" s="1084"/>
      <c r="H1522" s="1084"/>
      <c r="I1522" s="1084"/>
      <c r="J1522" s="1083"/>
      <c r="K1522" s="1083"/>
      <c r="L1522" s="1083"/>
      <c r="M1522" s="1059"/>
      <c r="N1522" s="1084"/>
      <c r="O1522" s="1115"/>
      <c r="P1522" s="967"/>
      <c r="Q1522" s="971"/>
    </row>
    <row r="1523" spans="1:21">
      <c r="B1523" s="998" t="s">
        <v>2124</v>
      </c>
      <c r="C1523" s="962" t="s">
        <v>2819</v>
      </c>
      <c r="D1523" s="1083" t="s">
        <v>2821</v>
      </c>
      <c r="I1523" s="1721">
        <f>'Part IV-Uses of Funds'!$G$130</f>
        <v>11249495</v>
      </c>
      <c r="J1523" s="1721"/>
    </row>
    <row r="1524" spans="1:21">
      <c r="B1524" s="985"/>
      <c r="C1524" s="1012"/>
      <c r="D1524" s="1066" t="s">
        <v>2822</v>
      </c>
      <c r="G1524" s="1079"/>
      <c r="H1524" s="1079"/>
      <c r="I1524" s="1722">
        <f>IF($I1523=0,0,$I1521/$I1523)</f>
        <v>5.2639340699293616E-2</v>
      </c>
      <c r="J1524" s="1722"/>
      <c r="L1524" s="1073">
        <f>IF($I1523=0,0,$L1521/$I1523)</f>
        <v>0</v>
      </c>
    </row>
    <row r="1525" spans="1:21" ht="15">
      <c r="A1525" s="951" t="s">
        <v>2121</v>
      </c>
      <c r="B1525" s="1007" t="s">
        <v>2909</v>
      </c>
      <c r="C1525" s="971"/>
      <c r="D1525" s="584"/>
      <c r="E1525" s="584"/>
      <c r="F1525" s="1084"/>
      <c r="G1525" s="971"/>
      <c r="H1525" s="584"/>
      <c r="I1525" s="1084"/>
      <c r="J1525" s="1083"/>
      <c r="K1525" s="1083"/>
      <c r="L1525" s="1083"/>
      <c r="M1525" s="828">
        <v>1</v>
      </c>
      <c r="N1525" s="944" t="s">
        <v>2121</v>
      </c>
      <c r="O1525" s="1069">
        <f>'Part IX A-Scoring Criteria'!O207</f>
        <v>1</v>
      </c>
      <c r="P1525" s="1084"/>
      <c r="Q1525" s="986" t="s">
        <v>2947</v>
      </c>
    </row>
    <row r="1526" spans="1:21" ht="15">
      <c r="A1526" s="951"/>
      <c r="B1526" s="584" t="s">
        <v>3331</v>
      </c>
      <c r="C1526" s="584"/>
      <c r="D1526" s="584"/>
      <c r="E1526" s="584"/>
      <c r="F1526" s="584"/>
      <c r="G1526" s="584"/>
      <c r="H1526" s="584"/>
      <c r="I1526" s="584"/>
      <c r="J1526" s="584"/>
      <c r="K1526" s="584"/>
      <c r="L1526" s="584"/>
      <c r="M1526" s="584"/>
      <c r="N1526" s="584"/>
      <c r="O1526" s="1069" t="str">
        <f>'Part IX A-Scoring Criteria'!O208</f>
        <v>Yes</v>
      </c>
      <c r="P1526" s="1124"/>
      <c r="Q1526" s="971"/>
    </row>
    <row r="1527" spans="1:21" ht="15">
      <c r="A1527" s="951" t="s">
        <v>799</v>
      </c>
      <c r="B1527" s="1007" t="s">
        <v>686</v>
      </c>
      <c r="C1527" s="971"/>
      <c r="D1527" s="584"/>
      <c r="E1527" s="584"/>
      <c r="F1527" s="1084"/>
      <c r="G1527" s="1084"/>
      <c r="H1527" s="1084"/>
      <c r="I1527" s="1084"/>
      <c r="J1527" s="1083"/>
      <c r="K1527" s="1083"/>
      <c r="L1527" s="1083"/>
      <c r="M1527" s="828">
        <v>2</v>
      </c>
      <c r="N1527" s="944" t="s">
        <v>799</v>
      </c>
      <c r="O1527" s="924">
        <f>IF(AND($L1501="Flexible",$K1528&gt;=0.1), 2,IF(AND($L1501="Flexible",$K1528&gt;=0.05), 1,IF(AND($L1501="Rural",$K1528&gt;=0.05), 2,0)))</f>
        <v>0</v>
      </c>
      <c r="P1527" s="924">
        <f>IF(AND($L1501="Flexible",$M1528&gt;=0.1), 2,IF(AND($L1501="Flexible",$M1528&gt;=0.05), 1,IF(AND($L1501="Rural",$M1528&gt;=0.05), 2,0)))</f>
        <v>0</v>
      </c>
      <c r="Q1527" s="971"/>
    </row>
    <row r="1528" spans="1:21">
      <c r="B1528" s="584" t="s">
        <v>3635</v>
      </c>
      <c r="E1528" s="1061"/>
      <c r="I1528" s="1723">
        <f>'Part IX A-Scoring Criteria'!I210</f>
        <v>0</v>
      </c>
      <c r="J1528" s="1723"/>
      <c r="K1528" s="1073">
        <f>IF($I1528=0,0,$I1528/$I1523)</f>
        <v>0</v>
      </c>
      <c r="L1528" s="1079"/>
      <c r="M1528" s="1722">
        <f>IF($L1528=0,0,$L1528/$I1523)</f>
        <v>0</v>
      </c>
      <c r="N1528" s="1722"/>
      <c r="O1528" s="985"/>
      <c r="P1528" s="985"/>
    </row>
    <row r="1529" spans="1:21" ht="15">
      <c r="A1529" s="912"/>
      <c r="B1529" s="584" t="s">
        <v>3381</v>
      </c>
      <c r="C1529" s="971"/>
      <c r="D1529" s="971"/>
      <c r="E1529" s="1584">
        <f>'Part IX A-Scoring Criteria'!E211</f>
        <v>0</v>
      </c>
      <c r="F1529" s="1584"/>
      <c r="G1529" s="1584"/>
      <c r="H1529" s="1584"/>
      <c r="I1529" s="1584"/>
      <c r="J1529" s="1584"/>
      <c r="K1529" s="1061" t="s">
        <v>1382</v>
      </c>
      <c r="L1529" s="1621" t="str">
        <f>'Part IX A-Scoring Criteria'!L211</f>
        <v>&lt;Select unrelated 3rd party type&gt;</v>
      </c>
      <c r="M1529" s="1621"/>
      <c r="N1529" s="1621"/>
      <c r="O1529" s="971"/>
      <c r="P1529" s="971"/>
      <c r="Q1529" s="971"/>
    </row>
    <row r="1530" spans="1:21">
      <c r="A1530" s="931"/>
      <c r="B1530" s="950" t="s">
        <v>2509</v>
      </c>
      <c r="D1530" s="1074"/>
      <c r="E1530" s="1582">
        <f>'Part IX A-Scoring Criteria'!E212</f>
        <v>0</v>
      </c>
      <c r="F1530" s="1724"/>
      <c r="G1530" s="1724"/>
      <c r="H1530" s="1724"/>
      <c r="I1530" s="1724"/>
      <c r="J1530" s="1724"/>
      <c r="K1530" s="1724"/>
      <c r="L1530" s="1724"/>
      <c r="M1530" s="1724"/>
      <c r="N1530" s="1724"/>
      <c r="O1530" s="1724"/>
      <c r="P1530" s="1724"/>
    </row>
    <row r="1531" spans="1:21" ht="15">
      <c r="A1531" s="583"/>
      <c r="B1531" s="946" t="s">
        <v>269</v>
      </c>
      <c r="C1531" s="583"/>
      <c r="D1531" s="587"/>
      <c r="E1531" s="587"/>
      <c r="F1531" s="587"/>
      <c r="G1531" s="587"/>
      <c r="H1531" s="584"/>
      <c r="I1531" s="584"/>
      <c r="J1531" s="584"/>
      <c r="K1531" s="584"/>
      <c r="L1531" s="971"/>
      <c r="M1531" s="828"/>
      <c r="N1531" s="832"/>
      <c r="O1531" s="967"/>
      <c r="P1531" s="1115"/>
      <c r="Q1531" s="971"/>
    </row>
    <row r="1532" spans="1:21" ht="15.75">
      <c r="A1532" s="1575">
        <f>'Part IX A-Scoring Criteria'!A214</f>
        <v>0</v>
      </c>
      <c r="B1532" s="1575"/>
      <c r="C1532" s="1575"/>
      <c r="D1532" s="1575"/>
      <c r="E1532" s="1575"/>
      <c r="F1532" s="1575"/>
      <c r="G1532" s="1575"/>
      <c r="H1532" s="1575"/>
      <c r="I1532" s="1575"/>
      <c r="J1532" s="1575"/>
      <c r="K1532" s="1575"/>
      <c r="L1532" s="1575"/>
      <c r="M1532" s="1575"/>
      <c r="N1532" s="1575"/>
      <c r="O1532" s="1575"/>
      <c r="P1532" s="1575"/>
      <c r="Q1532" s="972" t="s">
        <v>1332</v>
      </c>
    </row>
    <row r="1533" spans="1:21" ht="15">
      <c r="A1533" s="583"/>
      <c r="B1533" s="946" t="s">
        <v>1996</v>
      </c>
      <c r="C1533" s="583"/>
      <c r="D1533" s="946"/>
      <c r="E1533" s="1062"/>
      <c r="F1533" s="1062"/>
      <c r="G1533" s="1062"/>
      <c r="H1533" s="1062"/>
      <c r="I1533" s="1062"/>
      <c r="J1533" s="1062"/>
      <c r="K1533" s="1062"/>
      <c r="L1533" s="1062"/>
      <c r="M1533" s="1062"/>
      <c r="N1533" s="973"/>
      <c r="O1533" s="1126"/>
      <c r="P1533" s="1084"/>
      <c r="Q1533" s="977"/>
    </row>
    <row r="1534" spans="1:21" ht="15.75">
      <c r="A1534" s="1575"/>
      <c r="B1534" s="1575"/>
      <c r="C1534" s="1575"/>
      <c r="D1534" s="1575"/>
      <c r="E1534" s="1575"/>
      <c r="F1534" s="1575"/>
      <c r="G1534" s="1575"/>
      <c r="H1534" s="1575"/>
      <c r="I1534" s="1575"/>
      <c r="J1534" s="1575"/>
      <c r="K1534" s="1575"/>
      <c r="L1534" s="1575"/>
      <c r="M1534" s="1575"/>
      <c r="N1534" s="1575"/>
      <c r="O1534" s="1575"/>
      <c r="P1534" s="1575"/>
      <c r="Q1534" s="972" t="s">
        <v>1332</v>
      </c>
    </row>
    <row r="1535" spans="1:21">
      <c r="N1535" s="832"/>
      <c r="O1535" s="1115"/>
      <c r="P1535" s="1115"/>
    </row>
    <row r="1536" spans="1:21" ht="15">
      <c r="A1536" s="968" t="s">
        <v>1787</v>
      </c>
      <c r="B1536" s="969" t="s">
        <v>1790</v>
      </c>
      <c r="C1536" s="944"/>
      <c r="D1536" s="971"/>
      <c r="E1536" s="984"/>
      <c r="F1536" s="971"/>
      <c r="G1536" s="584"/>
      <c r="H1536" s="584"/>
      <c r="I1536" s="584"/>
      <c r="J1536" s="587"/>
      <c r="K1536" s="587"/>
      <c r="L1536" s="994" t="str">
        <f>IF(OR($O1536=$M1536,$O1536=0,$O1536=""),"","* * Check Score! * *")</f>
        <v/>
      </c>
      <c r="M1536" s="1084">
        <v>3</v>
      </c>
      <c r="N1536" s="995"/>
      <c r="O1536" s="828"/>
      <c r="P1536" s="1084"/>
      <c r="Q1536" s="1084" t="s">
        <v>463</v>
      </c>
      <c r="U1536" s="967">
        <f>'Part IX A-Scoring Criteria'!O218</f>
        <v>0</v>
      </c>
    </row>
    <row r="1537" spans="1:21" s="971" customFormat="1" ht="12" customHeight="1">
      <c r="A1537" s="951" t="s">
        <v>2118</v>
      </c>
      <c r="B1537" s="905" t="s">
        <v>2997</v>
      </c>
      <c r="D1537" s="583"/>
      <c r="G1537" s="567" t="s">
        <v>2503</v>
      </c>
      <c r="M1537" s="828">
        <v>3</v>
      </c>
      <c r="N1537" s="944" t="s">
        <v>2118</v>
      </c>
      <c r="O1537" s="1069">
        <f>'Part IX A-Scoring Criteria'!O219</f>
        <v>0</v>
      </c>
      <c r="P1537" s="1124"/>
      <c r="R1537" s="994"/>
    </row>
    <row r="1538" spans="1:21" s="971" customFormat="1" ht="23.25" customHeight="1">
      <c r="A1538" s="976" t="s">
        <v>1440</v>
      </c>
      <c r="B1538" s="1725" t="s">
        <v>3600</v>
      </c>
      <c r="C1538" s="1726"/>
      <c r="D1538" s="1726"/>
      <c r="E1538" s="1726"/>
      <c r="F1538" s="1726"/>
      <c r="G1538" s="1726"/>
      <c r="H1538" s="1726"/>
      <c r="I1538" s="1726"/>
      <c r="J1538" s="1726"/>
      <c r="K1538" s="1726"/>
      <c r="L1538" s="1726"/>
      <c r="M1538" s="828"/>
      <c r="N1538" s="832"/>
      <c r="O1538" s="1069">
        <f>'Part IX A-Scoring Criteria'!O220</f>
        <v>0</v>
      </c>
      <c r="P1538" s="1124"/>
    </row>
    <row r="1539" spans="1:21" s="950" customFormat="1" ht="3" customHeight="1">
      <c r="B1539" s="999"/>
      <c r="C1539" s="1068"/>
      <c r="D1539" s="1068"/>
      <c r="E1539" s="1068"/>
      <c r="F1539" s="1068"/>
      <c r="G1539" s="1068"/>
      <c r="H1539" s="1068"/>
      <c r="I1539" s="1068"/>
      <c r="J1539" s="1068"/>
      <c r="K1539" s="1068"/>
      <c r="L1539" s="1068"/>
      <c r="M1539" s="1068"/>
      <c r="N1539" s="1068"/>
      <c r="O1539" s="1068"/>
      <c r="P1539" s="1068"/>
    </row>
    <row r="1540" spans="1:21" s="971" customFormat="1" ht="12" customHeight="1">
      <c r="A1540" s="951" t="s">
        <v>2121</v>
      </c>
      <c r="B1540" s="905" t="s">
        <v>2996</v>
      </c>
      <c r="D1540" s="583"/>
      <c r="E1540" s="583"/>
      <c r="F1540" s="583"/>
      <c r="G1540" s="905" t="s">
        <v>3248</v>
      </c>
      <c r="I1540" s="1070" t="str">
        <f>'Part I-Project Information'!$H$85</f>
        <v>Flexible</v>
      </c>
      <c r="R1540" s="994"/>
    </row>
    <row r="1541" spans="1:21" s="971" customFormat="1" ht="12" customHeight="1">
      <c r="A1541" s="951"/>
      <c r="B1541" s="567" t="s">
        <v>2503</v>
      </c>
      <c r="D1541" s="583"/>
      <c r="M1541" s="1010">
        <v>3</v>
      </c>
      <c r="N1541" s="944" t="s">
        <v>2121</v>
      </c>
      <c r="O1541" s="1069">
        <f>'Part IX A-Scoring Criteria'!O223</f>
        <v>0</v>
      </c>
      <c r="P1541" s="1124"/>
      <c r="R1541" s="994"/>
    </row>
    <row r="1542" spans="1:21" s="971" customFormat="1" ht="23.25" customHeight="1">
      <c r="A1542" s="976"/>
      <c r="B1542" s="1725" t="s">
        <v>3600</v>
      </c>
      <c r="C1542" s="1726"/>
      <c r="D1542" s="1726"/>
      <c r="E1542" s="1726"/>
      <c r="F1542" s="1726"/>
      <c r="G1542" s="1726"/>
      <c r="H1542" s="1726"/>
      <c r="I1542" s="1726"/>
      <c r="J1542" s="1726"/>
      <c r="K1542" s="1726"/>
      <c r="L1542" s="1726"/>
      <c r="M1542" s="828"/>
      <c r="N1542" s="832"/>
      <c r="O1542" s="1069">
        <f>'Part IX A-Scoring Criteria'!O224</f>
        <v>0</v>
      </c>
      <c r="P1542" s="1124"/>
    </row>
    <row r="1543" spans="1:21" ht="15">
      <c r="A1543" s="583"/>
      <c r="B1543" s="946" t="s">
        <v>269</v>
      </c>
      <c r="C1543" s="583"/>
      <c r="D1543" s="587"/>
      <c r="E1543" s="587"/>
      <c r="F1543" s="587"/>
      <c r="G1543" s="587"/>
      <c r="H1543" s="584"/>
      <c r="I1543" s="584"/>
      <c r="J1543" s="584"/>
      <c r="K1543" s="584"/>
      <c r="L1543" s="971"/>
      <c r="M1543" s="828"/>
      <c r="N1543" s="832"/>
      <c r="O1543" s="967"/>
      <c r="P1543" s="1115"/>
      <c r="Q1543" s="971"/>
    </row>
    <row r="1544" spans="1:21" ht="15.75">
      <c r="A1544" s="1575">
        <f>'Part IX A-Scoring Criteria'!A226</f>
        <v>0</v>
      </c>
      <c r="B1544" s="1575"/>
      <c r="C1544" s="1575"/>
      <c r="D1544" s="1575"/>
      <c r="E1544" s="1575"/>
      <c r="F1544" s="1575"/>
      <c r="G1544" s="1575"/>
      <c r="H1544" s="1575"/>
      <c r="I1544" s="1575"/>
      <c r="J1544" s="1575"/>
      <c r="K1544" s="1575"/>
      <c r="L1544" s="1575"/>
      <c r="M1544" s="1575"/>
      <c r="N1544" s="1575"/>
      <c r="O1544" s="1575"/>
      <c r="P1544" s="1575"/>
      <c r="Q1544" s="972" t="s">
        <v>1332</v>
      </c>
    </row>
    <row r="1545" spans="1:21" ht="15">
      <c r="A1545" s="583"/>
      <c r="B1545" s="946" t="s">
        <v>1996</v>
      </c>
      <c r="C1545" s="583"/>
      <c r="D1545" s="946"/>
      <c r="E1545" s="1062"/>
      <c r="F1545" s="1062"/>
      <c r="G1545" s="1062"/>
      <c r="H1545" s="1062"/>
      <c r="I1545" s="1062"/>
      <c r="J1545" s="1062"/>
      <c r="K1545" s="1062"/>
      <c r="L1545" s="1062"/>
      <c r="M1545" s="1062"/>
      <c r="N1545" s="973"/>
      <c r="O1545" s="1126"/>
      <c r="P1545" s="1084"/>
      <c r="Q1545" s="977"/>
    </row>
    <row r="1546" spans="1:21" ht="15.75">
      <c r="A1546" s="1575"/>
      <c r="B1546" s="1575"/>
      <c r="C1546" s="1575"/>
      <c r="D1546" s="1575"/>
      <c r="E1546" s="1575"/>
      <c r="F1546" s="1575"/>
      <c r="G1546" s="1575"/>
      <c r="H1546" s="1575"/>
      <c r="I1546" s="1575"/>
      <c r="J1546" s="1575"/>
      <c r="K1546" s="1575"/>
      <c r="L1546" s="1575"/>
      <c r="M1546" s="1575"/>
      <c r="N1546" s="1575"/>
      <c r="O1546" s="1575"/>
      <c r="P1546" s="1575"/>
      <c r="Q1546" s="972" t="s">
        <v>1332</v>
      </c>
    </row>
    <row r="1547" spans="1:21" ht="15">
      <c r="A1547" s="583"/>
      <c r="B1547" s="583"/>
      <c r="C1547" s="1065"/>
      <c r="D1547" s="1065"/>
      <c r="E1547" s="1065"/>
      <c r="F1547" s="1065"/>
      <c r="G1547" s="1065"/>
      <c r="H1547" s="1065"/>
      <c r="I1547" s="1065"/>
      <c r="J1547" s="1065"/>
      <c r="K1547" s="1065"/>
      <c r="L1547" s="1065"/>
      <c r="M1547" s="1065"/>
      <c r="N1547" s="982"/>
      <c r="O1547" s="983"/>
      <c r="P1547" s="1084"/>
      <c r="Q1547" s="971"/>
    </row>
    <row r="1548" spans="1:21" ht="15">
      <c r="A1548" s="1002" t="s">
        <v>1788</v>
      </c>
      <c r="B1548" s="975" t="s">
        <v>2970</v>
      </c>
      <c r="C1548" s="976"/>
      <c r="D1548" s="959"/>
      <c r="E1548" s="584"/>
      <c r="F1548" s="971"/>
      <c r="G1548" s="971"/>
      <c r="H1548" s="971"/>
      <c r="I1548" s="971"/>
      <c r="J1548" s="1000"/>
      <c r="K1548" s="971"/>
      <c r="L1548" s="971"/>
      <c r="M1548" s="1084">
        <v>3</v>
      </c>
      <c r="N1548" s="828"/>
      <c r="O1548" s="1084">
        <f>MIN($M1548,O1549+O1553)</f>
        <v>3</v>
      </c>
      <c r="P1548" s="1084">
        <f>MIN($M1548,P1549+P1553)</f>
        <v>0</v>
      </c>
      <c r="Q1548" s="1084" t="s">
        <v>463</v>
      </c>
      <c r="U1548" s="967">
        <f>'Part IX A-Scoring Criteria'!O230</f>
        <v>3</v>
      </c>
    </row>
    <row r="1549" spans="1:21" ht="15">
      <c r="A1549" s="951" t="s">
        <v>2118</v>
      </c>
      <c r="B1549" s="905" t="s">
        <v>3333</v>
      </c>
      <c r="C1549" s="971"/>
      <c r="D1549" s="583"/>
      <c r="E1549" s="583"/>
      <c r="F1549" s="583"/>
      <c r="G1549" s="971"/>
      <c r="H1549" s="971"/>
      <c r="I1549" s="971"/>
      <c r="J1549" s="958" t="s">
        <v>3545</v>
      </c>
      <c r="K1549" s="1013">
        <f>'Part VI-Revenues &amp; Expenses'!$I$57/'Part VI-Revenues &amp; Expenses'!$M$58</f>
        <v>0</v>
      </c>
      <c r="L1549" s="994" t="str">
        <f>IF(OR($O1549=$M1549,$O1549=0,$O1549=""),"","* * Check Score! * *")</f>
        <v/>
      </c>
      <c r="M1549" s="828">
        <v>3</v>
      </c>
      <c r="N1549" s="944" t="s">
        <v>2118</v>
      </c>
      <c r="O1549" s="1069">
        <f>'Part IX A-Scoring Criteria'!O231</f>
        <v>3</v>
      </c>
      <c r="P1549" s="1084"/>
      <c r="Q1549" s="986" t="s">
        <v>2947</v>
      </c>
    </row>
    <row r="1550" spans="1:21">
      <c r="A1550" s="955"/>
      <c r="B1550" s="999" t="s">
        <v>2122</v>
      </c>
      <c r="C1550" s="1581" t="s">
        <v>3334</v>
      </c>
      <c r="D1550" s="1581"/>
      <c r="E1550" s="1581"/>
      <c r="F1550" s="1581"/>
      <c r="G1550" s="1581"/>
      <c r="H1550" s="1581"/>
      <c r="I1550" s="1581"/>
      <c r="J1550" s="1581"/>
      <c r="K1550" s="1581"/>
      <c r="L1550" s="1581"/>
      <c r="M1550" s="1581"/>
      <c r="N1550" s="992" t="s">
        <v>2122</v>
      </c>
      <c r="O1550" s="1069" t="str">
        <f>'Part IX A-Scoring Criteria'!O232</f>
        <v>Agree</v>
      </c>
      <c r="P1550" s="1069"/>
      <c r="Q1550" s="1069"/>
    </row>
    <row r="1551" spans="1:21">
      <c r="A1551" s="976" t="s">
        <v>1440</v>
      </c>
      <c r="B1551" s="999" t="s">
        <v>2124</v>
      </c>
      <c r="C1551" s="1581" t="s">
        <v>3335</v>
      </c>
      <c r="D1551" s="1581"/>
      <c r="E1551" s="1581"/>
      <c r="F1551" s="1581"/>
      <c r="G1551" s="1581"/>
      <c r="H1551" s="1581"/>
      <c r="I1551" s="1581"/>
      <c r="J1551" s="1581"/>
      <c r="K1551" s="1581"/>
      <c r="L1551" s="1581"/>
      <c r="M1551" s="1581"/>
      <c r="N1551" s="992" t="s">
        <v>2124</v>
      </c>
      <c r="O1551" s="1069" t="str">
        <f>'Part IX A-Scoring Criteria'!O233</f>
        <v>No</v>
      </c>
      <c r="P1551" s="1124"/>
      <c r="Q1551" s="950"/>
    </row>
    <row r="1552" spans="1:21">
      <c r="A1552" s="950"/>
      <c r="B1552" s="999"/>
      <c r="C1552" s="1068"/>
      <c r="D1552" s="1068"/>
      <c r="E1552" s="1068"/>
      <c r="F1552" s="1068"/>
      <c r="G1552" s="1068"/>
      <c r="H1552" s="1068"/>
      <c r="I1552" s="1068"/>
      <c r="J1552" s="1068"/>
      <c r="K1552" s="1068"/>
      <c r="L1552" s="1068"/>
      <c r="M1552" s="1068"/>
      <c r="N1552" s="1068"/>
      <c r="O1552" s="1068"/>
      <c r="P1552" s="1068"/>
      <c r="Q1552" s="950"/>
    </row>
    <row r="1553" spans="1:21" ht="15">
      <c r="A1553" s="951" t="s">
        <v>2121</v>
      </c>
      <c r="B1553" s="905" t="s">
        <v>2971</v>
      </c>
      <c r="C1553" s="971"/>
      <c r="D1553" s="1083"/>
      <c r="E1553" s="971"/>
      <c r="F1553" s="584" t="s">
        <v>3336</v>
      </c>
      <c r="G1553" s="971"/>
      <c r="H1553" s="1621" t="str">
        <f>'Part IX A-Scoring Criteria'!H235</f>
        <v>&lt;&lt;Select applicable documentation&gt;&gt;</v>
      </c>
      <c r="I1553" s="1621"/>
      <c r="J1553" s="1621"/>
      <c r="K1553" s="1621"/>
      <c r="L1553" s="994" t="str">
        <f>IF(OR($O1553=$M1553,$O1553=0,$O1553=""),"","* * Check Score! * *")</f>
        <v/>
      </c>
      <c r="M1553" s="828">
        <v>3</v>
      </c>
      <c r="N1553" s="944" t="s">
        <v>2121</v>
      </c>
      <c r="O1553" s="1069">
        <f>'Part IX A-Scoring Criteria'!O235</f>
        <v>0</v>
      </c>
      <c r="P1553" s="1084"/>
      <c r="Q1553" s="986" t="s">
        <v>2947</v>
      </c>
    </row>
    <row r="1554" spans="1:21" ht="15">
      <c r="A1554" s="583"/>
      <c r="B1554" s="946" t="s">
        <v>269</v>
      </c>
      <c r="C1554" s="583"/>
      <c r="D1554" s="587"/>
      <c r="E1554" s="587"/>
      <c r="F1554" s="587"/>
      <c r="G1554" s="587"/>
      <c r="H1554" s="584"/>
      <c r="I1554" s="584"/>
      <c r="J1554" s="584"/>
      <c r="K1554" s="584"/>
      <c r="L1554" s="971"/>
      <c r="M1554" s="828"/>
      <c r="N1554" s="832"/>
      <c r="O1554" s="967"/>
      <c r="P1554" s="1115"/>
      <c r="Q1554" s="971"/>
    </row>
    <row r="1555" spans="1:21" ht="15.75">
      <c r="A1555" s="1575">
        <f>'Part IX A-Scoring Criteria'!A237</f>
        <v>0</v>
      </c>
      <c r="B1555" s="1575"/>
      <c r="C1555" s="1575"/>
      <c r="D1555" s="1575"/>
      <c r="E1555" s="1575"/>
      <c r="F1555" s="1575"/>
      <c r="G1555" s="1575"/>
      <c r="H1555" s="1575"/>
      <c r="I1555" s="1575"/>
      <c r="J1555" s="1575"/>
      <c r="K1555" s="1575"/>
      <c r="L1555" s="1575"/>
      <c r="M1555" s="1575"/>
      <c r="N1555" s="1575"/>
      <c r="O1555" s="1575"/>
      <c r="P1555" s="1575"/>
      <c r="Q1555" s="972" t="s">
        <v>1332</v>
      </c>
    </row>
    <row r="1556" spans="1:21" ht="15">
      <c r="A1556" s="971"/>
      <c r="B1556" s="947" t="s">
        <v>1996</v>
      </c>
      <c r="C1556" s="583"/>
      <c r="D1556" s="947"/>
      <c r="E1556" s="1065"/>
      <c r="F1556" s="1065"/>
      <c r="G1556" s="1065"/>
      <c r="H1556" s="1065"/>
      <c r="I1556" s="1065"/>
      <c r="J1556" s="1065"/>
      <c r="K1556" s="1065"/>
      <c r="L1556" s="1065"/>
      <c r="M1556" s="1065"/>
      <c r="N1556" s="982"/>
      <c r="O1556" s="983"/>
      <c r="P1556" s="1084"/>
      <c r="Q1556" s="977"/>
    </row>
    <row r="1557" spans="1:21" ht="15.75">
      <c r="A1557" s="1575"/>
      <c r="B1557" s="1575"/>
      <c r="C1557" s="1575"/>
      <c r="D1557" s="1575"/>
      <c r="E1557" s="1575"/>
      <c r="F1557" s="1575"/>
      <c r="G1557" s="1575"/>
      <c r="H1557" s="1575"/>
      <c r="I1557" s="1575"/>
      <c r="J1557" s="1575"/>
      <c r="K1557" s="1575"/>
      <c r="L1557" s="1575"/>
      <c r="M1557" s="1575"/>
      <c r="N1557" s="1575"/>
      <c r="O1557" s="1575"/>
      <c r="P1557" s="1575"/>
      <c r="Q1557" s="972" t="s">
        <v>1332</v>
      </c>
    </row>
    <row r="1558" spans="1:21" ht="15">
      <c r="A1558" s="583"/>
      <c r="B1558" s="583"/>
      <c r="C1558" s="1065"/>
      <c r="D1558" s="1065"/>
      <c r="E1558" s="1065"/>
      <c r="F1558" s="1065"/>
      <c r="G1558" s="1065"/>
      <c r="H1558" s="1065"/>
      <c r="I1558" s="1065"/>
      <c r="J1558" s="1065"/>
      <c r="K1558" s="1065"/>
      <c r="L1558" s="1065"/>
      <c r="M1558" s="1065"/>
      <c r="N1558" s="982"/>
      <c r="O1558" s="983"/>
      <c r="P1558" s="1084"/>
      <c r="Q1558" s="971"/>
    </row>
    <row r="1559" spans="1:21" ht="15">
      <c r="A1559" s="968" t="s">
        <v>1789</v>
      </c>
      <c r="B1559" s="969" t="s">
        <v>2972</v>
      </c>
      <c r="C1559" s="971"/>
      <c r="D1559" s="1083"/>
      <c r="E1559" s="971"/>
      <c r="F1559" s="1083"/>
      <c r="G1559" s="995"/>
      <c r="H1559" s="1000" t="s">
        <v>419</v>
      </c>
      <c r="I1559" s="971"/>
      <c r="J1559" s="971"/>
      <c r="K1559" s="995"/>
      <c r="L1559" s="584"/>
      <c r="M1559" s="1084">
        <v>2</v>
      </c>
      <c r="N1559" s="944"/>
      <c r="O1559" s="828">
        <f>MIN($M1559,O1560+O1564)</f>
        <v>0</v>
      </c>
      <c r="P1559" s="828">
        <f>MIN($M1559,P1560+P1564)</f>
        <v>0</v>
      </c>
      <c r="Q1559" s="1084" t="s">
        <v>463</v>
      </c>
      <c r="U1559" s="967">
        <f>'Part IX A-Scoring Criteria'!O241</f>
        <v>0</v>
      </c>
    </row>
    <row r="1560" spans="1:21" ht="15">
      <c r="A1560" s="1014" t="s">
        <v>2118</v>
      </c>
      <c r="B1560" s="950" t="s">
        <v>3338</v>
      </c>
      <c r="C1560" s="1015"/>
      <c r="D1560" s="950"/>
      <c r="E1560" s="1727" t="str">
        <f>'Part IX A-Scoring Criteria'!E242</f>
        <v>&lt;&lt;Select applicable status&gt;&gt;</v>
      </c>
      <c r="F1560" s="1727"/>
      <c r="G1560" s="1727"/>
      <c r="H1560" s="1727"/>
      <c r="I1560" s="1015"/>
      <c r="J1560" s="950" t="s">
        <v>3342</v>
      </c>
      <c r="K1560" s="1015"/>
      <c r="L1560" s="1016">
        <f>'Part III-Sources of Funds'!$H$42</f>
        <v>0</v>
      </c>
      <c r="M1560" s="991">
        <v>2</v>
      </c>
      <c r="N1560" s="956" t="s">
        <v>2118</v>
      </c>
      <c r="O1560" s="1069">
        <f>'Part IX A-Scoring Criteria'!O242</f>
        <v>0</v>
      </c>
      <c r="P1560" s="1084"/>
      <c r="Q1560" s="844" t="s">
        <v>2947</v>
      </c>
    </row>
    <row r="1561" spans="1:21" ht="15">
      <c r="A1561" s="1069"/>
      <c r="B1561" s="1017"/>
      <c r="C1561" s="1015"/>
      <c r="D1561" s="1015"/>
      <c r="E1561" s="1015"/>
      <c r="F1561" s="1015"/>
      <c r="G1561" s="1015"/>
      <c r="H1561" s="1015"/>
      <c r="I1561" s="1015"/>
      <c r="J1561" s="950" t="s">
        <v>3341</v>
      </c>
      <c r="K1561" s="950"/>
      <c r="L1561" s="1016">
        <f>'Part VI-Revenues &amp; Expenses'!$M$81</f>
        <v>0</v>
      </c>
      <c r="M1561" s="991"/>
      <c r="N1561" s="991"/>
      <c r="O1561" s="991"/>
      <c r="P1561" s="991"/>
      <c r="Q1561" s="844"/>
    </row>
    <row r="1562" spans="1:21" ht="15">
      <c r="A1562" s="1069"/>
      <c r="B1562" s="1017"/>
      <c r="C1562" s="1015"/>
      <c r="D1562" s="1015"/>
      <c r="E1562" s="1015"/>
      <c r="F1562" s="957"/>
      <c r="G1562" s="1070"/>
      <c r="H1562" s="1059"/>
      <c r="I1562" s="1070"/>
      <c r="J1562" s="1077" t="s">
        <v>3339</v>
      </c>
      <c r="K1562" s="1015"/>
      <c r="L1562" s="1016">
        <f>'Part VI-Revenues &amp; Expenses'!$M$62</f>
        <v>75</v>
      </c>
      <c r="M1562" s="991"/>
      <c r="N1562" s="991"/>
      <c r="O1562" s="991"/>
      <c r="P1562" s="991"/>
      <c r="Q1562" s="844"/>
    </row>
    <row r="1563" spans="1:21" ht="15">
      <c r="A1563" s="940" t="s">
        <v>1440</v>
      </c>
      <c r="B1563" s="1017"/>
      <c r="C1563" s="1015"/>
      <c r="D1563" s="1015"/>
      <c r="E1563" s="1015"/>
      <c r="F1563" s="957"/>
      <c r="G1563" s="1070"/>
      <c r="H1563" s="1059"/>
      <c r="I1563" s="1070"/>
      <c r="J1563" s="1083" t="s">
        <v>3340</v>
      </c>
      <c r="K1563" s="1015"/>
      <c r="L1563" s="1070">
        <f>L1561/L1562</f>
        <v>0</v>
      </c>
      <c r="M1563" s="991"/>
      <c r="N1563" s="991"/>
      <c r="O1563" s="991"/>
      <c r="P1563" s="991"/>
      <c r="Q1563" s="844"/>
    </row>
    <row r="1564" spans="1:21">
      <c r="A1564" s="1014" t="s">
        <v>2121</v>
      </c>
      <c r="B1564" s="1575" t="s">
        <v>3014</v>
      </c>
      <c r="C1564" s="1575"/>
      <c r="D1564" s="1575"/>
      <c r="E1564" s="1575"/>
      <c r="F1564" s="1575"/>
      <c r="G1564" s="1575"/>
      <c r="H1564" s="1575"/>
      <c r="I1564" s="1575"/>
      <c r="J1564" s="1575"/>
      <c r="K1564" s="1575"/>
      <c r="L1564" s="1575"/>
      <c r="M1564" s="991">
        <v>1</v>
      </c>
      <c r="N1564" s="956" t="s">
        <v>2121</v>
      </c>
      <c r="O1564" s="1069">
        <f>'Part IX A-Scoring Criteria'!O246</f>
        <v>0</v>
      </c>
      <c r="P1564" s="1084"/>
      <c r="Q1564" s="844" t="s">
        <v>2947</v>
      </c>
    </row>
    <row r="1565" spans="1:21" ht="15">
      <c r="A1565" s="583"/>
      <c r="B1565" s="946" t="s">
        <v>269</v>
      </c>
      <c r="C1565" s="583"/>
      <c r="D1565" s="587"/>
      <c r="E1565" s="587"/>
      <c r="F1565" s="587"/>
      <c r="G1565" s="587"/>
      <c r="H1565" s="584"/>
      <c r="I1565" s="584"/>
      <c r="J1565" s="584"/>
      <c r="K1565" s="584"/>
      <c r="L1565" s="971"/>
      <c r="M1565" s="828"/>
      <c r="N1565" s="832"/>
      <c r="O1565" s="967"/>
      <c r="P1565" s="1115"/>
      <c r="Q1565" s="971"/>
    </row>
    <row r="1566" spans="1:21" ht="15.75">
      <c r="A1566" s="1575">
        <f>'Part IX A-Scoring Criteria'!A248</f>
        <v>0</v>
      </c>
      <c r="B1566" s="1575"/>
      <c r="C1566" s="1575"/>
      <c r="D1566" s="1575"/>
      <c r="E1566" s="1575"/>
      <c r="F1566" s="1575"/>
      <c r="G1566" s="1575"/>
      <c r="H1566" s="1575"/>
      <c r="I1566" s="1575"/>
      <c r="J1566" s="1575"/>
      <c r="K1566" s="1575"/>
      <c r="L1566" s="1575"/>
      <c r="M1566" s="1575"/>
      <c r="N1566" s="1575"/>
      <c r="O1566" s="1575"/>
      <c r="P1566" s="1575"/>
      <c r="Q1566" s="972" t="s">
        <v>1332</v>
      </c>
    </row>
    <row r="1567" spans="1:21" ht="15">
      <c r="A1567" s="971"/>
      <c r="B1567" s="947" t="s">
        <v>1996</v>
      </c>
      <c r="C1567" s="583"/>
      <c r="D1567" s="947"/>
      <c r="E1567" s="1065"/>
      <c r="F1567" s="1065"/>
      <c r="G1567" s="1065"/>
      <c r="H1567" s="1065"/>
      <c r="I1567" s="1065"/>
      <c r="J1567" s="1065"/>
      <c r="K1567" s="1065"/>
      <c r="L1567" s="1065"/>
      <c r="M1567" s="1065"/>
      <c r="N1567" s="982"/>
      <c r="O1567" s="983"/>
      <c r="P1567" s="1084"/>
      <c r="Q1567" s="977"/>
    </row>
    <row r="1568" spans="1:21" ht="15.75">
      <c r="A1568" s="1575"/>
      <c r="B1568" s="1575"/>
      <c r="C1568" s="1575"/>
      <c r="D1568" s="1575"/>
      <c r="E1568" s="1575"/>
      <c r="F1568" s="1575"/>
      <c r="G1568" s="1575"/>
      <c r="H1568" s="1575"/>
      <c r="I1568" s="1575"/>
      <c r="J1568" s="1575"/>
      <c r="K1568" s="1575"/>
      <c r="L1568" s="1575"/>
      <c r="M1568" s="1575"/>
      <c r="N1568" s="1575"/>
      <c r="O1568" s="1575"/>
      <c r="P1568" s="1575"/>
      <c r="Q1568" s="972" t="s">
        <v>1332</v>
      </c>
    </row>
    <row r="1569" spans="1:21" ht="15">
      <c r="A1569" s="583"/>
      <c r="B1569" s="583"/>
      <c r="C1569" s="1065"/>
      <c r="D1569" s="1065"/>
      <c r="E1569" s="1065"/>
      <c r="F1569" s="1065"/>
      <c r="G1569" s="1065"/>
      <c r="H1569" s="1065"/>
      <c r="I1569" s="1065"/>
      <c r="J1569" s="1065"/>
      <c r="K1569" s="1065"/>
      <c r="L1569" s="1065"/>
      <c r="M1569" s="1065"/>
      <c r="N1569" s="982"/>
      <c r="O1569" s="983"/>
      <c r="P1569" s="1084"/>
      <c r="Q1569" s="971"/>
    </row>
    <row r="1570" spans="1:21" ht="15">
      <c r="A1570" s="1002" t="s">
        <v>1791</v>
      </c>
      <c r="B1570" s="969" t="s">
        <v>2823</v>
      </c>
      <c r="C1570" s="971"/>
      <c r="D1570" s="984"/>
      <c r="E1570" s="984"/>
      <c r="F1570" s="971"/>
      <c r="G1570" s="971"/>
      <c r="H1570" s="971"/>
      <c r="I1570" s="1120" t="s">
        <v>3698</v>
      </c>
      <c r="J1570" s="984"/>
      <c r="K1570" s="984"/>
      <c r="L1570" s="971"/>
      <c r="M1570" s="1005">
        <v>5</v>
      </c>
      <c r="N1570" s="971"/>
      <c r="O1570" s="971"/>
      <c r="P1570" s="1084"/>
      <c r="Q1570" s="1084" t="s">
        <v>463</v>
      </c>
      <c r="U1570" s="967">
        <f>'Part IX A-Scoring Criteria'!O252</f>
        <v>0</v>
      </c>
    </row>
    <row r="1571" spans="1:21" ht="15">
      <c r="A1571" s="1002"/>
      <c r="B1571" s="971"/>
      <c r="C1571" s="971"/>
      <c r="D1571" s="1590" t="s">
        <v>3379</v>
      </c>
      <c r="E1571" s="1590"/>
      <c r="F1571" s="1728">
        <f>'Part IV-Uses of Funds'!J1489</f>
        <v>0</v>
      </c>
      <c r="G1571" s="1616"/>
      <c r="H1571" s="971"/>
      <c r="I1571" s="971"/>
      <c r="J1571" s="971"/>
      <c r="K1571" s="971"/>
      <c r="L1571" s="971"/>
      <c r="M1571" s="1005"/>
      <c r="N1571" s="971"/>
      <c r="O1571" s="971"/>
      <c r="P1571" s="971"/>
      <c r="Q1571" s="1084"/>
    </row>
    <row r="1572" spans="1:21" ht="15">
      <c r="A1572" s="1002"/>
      <c r="B1572" s="971"/>
      <c r="C1572" s="971"/>
      <c r="D1572" s="971"/>
      <c r="E1572" s="971"/>
      <c r="F1572" s="971"/>
      <c r="G1572" s="971"/>
      <c r="H1572" s="984"/>
      <c r="I1572" s="1120" t="s">
        <v>3699</v>
      </c>
      <c r="J1572" s="984"/>
      <c r="K1572" s="984"/>
      <c r="L1572" s="971"/>
      <c r="M1572" s="828">
        <v>18</v>
      </c>
      <c r="N1572" s="828"/>
      <c r="O1572" s="1084">
        <f>MIN($M1572,(O1573+O1576+O1579+O1581+O1584+O1587))</f>
        <v>7</v>
      </c>
      <c r="P1572" s="1084">
        <f>MIN($M1572,(P1573+P1576+P1579+P1581+P1584+P1587))</f>
        <v>0</v>
      </c>
      <c r="Q1572" s="1084"/>
    </row>
    <row r="1573" spans="1:21">
      <c r="A1573" s="1002"/>
      <c r="B1573" s="951" t="s">
        <v>2118</v>
      </c>
      <c r="C1573" s="1729" t="s">
        <v>3343</v>
      </c>
      <c r="D1573" s="1729"/>
      <c r="E1573" s="1729"/>
      <c r="F1573" s="1729"/>
      <c r="G1573" s="1729"/>
      <c r="H1573" s="1729"/>
      <c r="I1573" s="1729"/>
      <c r="J1573" s="1729"/>
      <c r="K1573" s="1729"/>
      <c r="L1573" s="1729"/>
      <c r="M1573" s="991">
        <v>6</v>
      </c>
      <c r="N1573" s="984"/>
      <c r="O1573" s="1730">
        <f>'Part IX A-Scoring Criteria'!O255</f>
        <v>0</v>
      </c>
      <c r="P1573" s="1730"/>
      <c r="Q1573" s="844"/>
    </row>
    <row r="1574" spans="1:21">
      <c r="A1574" s="940" t="s">
        <v>1440</v>
      </c>
      <c r="B1574" s="955" t="s">
        <v>2121</v>
      </c>
      <c r="C1574" s="1581" t="s">
        <v>3595</v>
      </c>
      <c r="D1574" s="1581"/>
      <c r="E1574" s="1581"/>
      <c r="F1574" s="1581"/>
      <c r="G1574" s="1581"/>
      <c r="H1574" s="1581"/>
      <c r="I1574" s="1581"/>
      <c r="J1574" s="1581"/>
      <c r="K1574" s="1581"/>
      <c r="L1574" s="1581"/>
      <c r="M1574" s="991">
        <v>5</v>
      </c>
      <c r="N1574" s="1018"/>
      <c r="O1574" s="1730"/>
      <c r="P1574" s="1730"/>
      <c r="Q1574" s="844" t="s">
        <v>2947</v>
      </c>
    </row>
    <row r="1575" spans="1:21" ht="15">
      <c r="A1575" s="583"/>
      <c r="B1575" s="583"/>
      <c r="C1575" s="1065"/>
      <c r="D1575" s="1065"/>
      <c r="E1575" s="1065"/>
      <c r="F1575" s="1065"/>
      <c r="G1575" s="1065"/>
      <c r="H1575" s="1065"/>
      <c r="I1575" s="1065"/>
      <c r="J1575" s="1065"/>
      <c r="K1575" s="1065"/>
      <c r="L1575" s="1065"/>
      <c r="M1575" s="1065"/>
      <c r="N1575" s="982"/>
      <c r="O1575" s="983"/>
      <c r="P1575" s="1084"/>
      <c r="Q1575" s="971"/>
    </row>
    <row r="1576" spans="1:21">
      <c r="A1576" s="1019"/>
      <c r="B1576" s="955" t="s">
        <v>799</v>
      </c>
      <c r="C1576" s="1581" t="s">
        <v>3345</v>
      </c>
      <c r="D1576" s="1581"/>
      <c r="E1576" s="1581"/>
      <c r="F1576" s="1581"/>
      <c r="G1576" s="1581"/>
      <c r="H1576" s="1581"/>
      <c r="I1576" s="1581"/>
      <c r="J1576" s="1581"/>
      <c r="K1576" s="1581"/>
      <c r="L1576" s="1581"/>
      <c r="M1576" s="991">
        <v>4</v>
      </c>
      <c r="N1576" s="1018"/>
      <c r="O1576" s="1730">
        <f>'Part IX A-Scoring Criteria'!O258</f>
        <v>2</v>
      </c>
      <c r="P1576" s="1730"/>
      <c r="Q1576" s="844" t="s">
        <v>2947</v>
      </c>
    </row>
    <row r="1577" spans="1:21">
      <c r="A1577" s="940" t="s">
        <v>1440</v>
      </c>
      <c r="B1577" s="955"/>
      <c r="C1577" s="1581" t="s">
        <v>3344</v>
      </c>
      <c r="D1577" s="1581"/>
      <c r="E1577" s="1581"/>
      <c r="F1577" s="1581"/>
      <c r="G1577" s="1581"/>
      <c r="H1577" s="1581"/>
      <c r="I1577" s="1581"/>
      <c r="J1577" s="1581"/>
      <c r="K1577" s="1581"/>
      <c r="L1577" s="1581"/>
      <c r="M1577" s="991">
        <v>2</v>
      </c>
      <c r="N1577" s="1018"/>
      <c r="O1577" s="1730"/>
      <c r="P1577" s="1730"/>
      <c r="Q1577" s="567"/>
    </row>
    <row r="1578" spans="1:21" ht="15">
      <c r="A1578" s="583"/>
      <c r="B1578" s="583"/>
      <c r="C1578" s="1065"/>
      <c r="D1578" s="1065"/>
      <c r="E1578" s="1065"/>
      <c r="F1578" s="1065"/>
      <c r="G1578" s="1065"/>
      <c r="H1578" s="1065"/>
      <c r="I1578" s="1065"/>
      <c r="J1578" s="1065"/>
      <c r="K1578" s="1065"/>
      <c r="L1578" s="1065"/>
      <c r="M1578" s="1065"/>
      <c r="N1578" s="982"/>
      <c r="O1578" s="983"/>
      <c r="P1578" s="1084"/>
      <c r="Q1578" s="971"/>
    </row>
    <row r="1579" spans="1:21">
      <c r="A1579" s="1019"/>
      <c r="B1579" s="955" t="s">
        <v>2253</v>
      </c>
      <c r="C1579" s="1581" t="s">
        <v>3346</v>
      </c>
      <c r="D1579" s="1581"/>
      <c r="E1579" s="1581"/>
      <c r="F1579" s="1581"/>
      <c r="G1579" s="1581"/>
      <c r="H1579" s="1581"/>
      <c r="I1579" s="1581"/>
      <c r="J1579" s="1581"/>
      <c r="K1579" s="1581"/>
      <c r="L1579" s="1581"/>
      <c r="M1579" s="991">
        <v>1</v>
      </c>
      <c r="N1579" s="1018"/>
      <c r="O1579" s="1069">
        <f>'Part IX A-Scoring Criteria'!O261</f>
        <v>1</v>
      </c>
      <c r="P1579" s="1069"/>
      <c r="Q1579" s="844" t="s">
        <v>2947</v>
      </c>
    </row>
    <row r="1580" spans="1:21" ht="15">
      <c r="A1580" s="583"/>
      <c r="B1580" s="583"/>
      <c r="C1580" s="1065"/>
      <c r="D1580" s="1065"/>
      <c r="E1580" s="1065"/>
      <c r="F1580" s="1065"/>
      <c r="G1580" s="1065"/>
      <c r="H1580" s="1065"/>
      <c r="I1580" s="1065"/>
      <c r="J1580" s="1065"/>
      <c r="K1580" s="1065"/>
      <c r="L1580" s="1065"/>
      <c r="M1580" s="1065"/>
      <c r="N1580" s="982"/>
      <c r="O1580" s="983"/>
      <c r="P1580" s="1084"/>
      <c r="Q1580" s="971"/>
    </row>
    <row r="1581" spans="1:21">
      <c r="A1581" s="1002"/>
      <c r="B1581" s="955" t="s">
        <v>1857</v>
      </c>
      <c r="C1581" s="1581" t="s">
        <v>3349</v>
      </c>
      <c r="D1581" s="1581"/>
      <c r="E1581" s="1581"/>
      <c r="F1581" s="1581"/>
      <c r="G1581" s="1581"/>
      <c r="H1581" s="1581"/>
      <c r="I1581" s="1581"/>
      <c r="J1581" s="1581"/>
      <c r="K1581" s="1581"/>
      <c r="L1581" s="1581"/>
      <c r="M1581" s="991">
        <v>2</v>
      </c>
      <c r="N1581" s="984"/>
      <c r="O1581" s="1730">
        <f>'Part IX A-Scoring Criteria'!O263</f>
        <v>2</v>
      </c>
      <c r="P1581" s="1730"/>
      <c r="Q1581" s="844" t="s">
        <v>2947</v>
      </c>
    </row>
    <row r="1582" spans="1:21">
      <c r="A1582" s="940" t="s">
        <v>1440</v>
      </c>
      <c r="B1582" s="951"/>
      <c r="C1582" s="1729" t="s">
        <v>3347</v>
      </c>
      <c r="D1582" s="1729"/>
      <c r="E1582" s="1729"/>
      <c r="F1582" s="1729"/>
      <c r="G1582" s="1729"/>
      <c r="H1582" s="1729"/>
      <c r="I1582" s="1729"/>
      <c r="J1582" s="1729"/>
      <c r="K1582" s="1729"/>
      <c r="L1582" s="1729"/>
      <c r="M1582" s="832">
        <v>1</v>
      </c>
      <c r="N1582" s="984"/>
      <c r="O1582" s="1730"/>
      <c r="P1582" s="1730"/>
      <c r="Q1582" s="567"/>
    </row>
    <row r="1583" spans="1:21" ht="15">
      <c r="A1583" s="583"/>
      <c r="B1583" s="583"/>
      <c r="C1583" s="1065"/>
      <c r="D1583" s="1065"/>
      <c r="E1583" s="1065"/>
      <c r="F1583" s="1065"/>
      <c r="G1583" s="1065"/>
      <c r="H1583" s="1065"/>
      <c r="I1583" s="1065"/>
      <c r="J1583" s="1065"/>
      <c r="K1583" s="1065"/>
      <c r="L1583" s="1065"/>
      <c r="M1583" s="1065"/>
      <c r="N1583" s="982"/>
      <c r="O1583" s="983"/>
      <c r="P1583" s="1084"/>
      <c r="Q1583" s="971"/>
    </row>
    <row r="1584" spans="1:21">
      <c r="A1584" s="1019"/>
      <c r="B1584" s="955" t="s">
        <v>1858</v>
      </c>
      <c r="C1584" s="1581" t="s">
        <v>3348</v>
      </c>
      <c r="D1584" s="1581"/>
      <c r="E1584" s="1581"/>
      <c r="F1584" s="1581"/>
      <c r="G1584" s="1581"/>
      <c r="H1584" s="1581"/>
      <c r="I1584" s="1581"/>
      <c r="J1584" s="1581"/>
      <c r="K1584" s="1581"/>
      <c r="L1584" s="1581"/>
      <c r="M1584" s="991">
        <v>3</v>
      </c>
      <c r="N1584" s="1018"/>
      <c r="O1584" s="1730">
        <f>'Part IX A-Scoring Criteria'!O266</f>
        <v>0</v>
      </c>
      <c r="P1584" s="1730"/>
      <c r="Q1584" s="844" t="s">
        <v>2947</v>
      </c>
    </row>
    <row r="1585" spans="1:21">
      <c r="A1585" s="940" t="s">
        <v>1440</v>
      </c>
      <c r="B1585" s="955"/>
      <c r="C1585" s="1581" t="s">
        <v>3350</v>
      </c>
      <c r="D1585" s="1581"/>
      <c r="E1585" s="1581"/>
      <c r="F1585" s="1581"/>
      <c r="G1585" s="1581"/>
      <c r="H1585" s="1581"/>
      <c r="I1585" s="1581"/>
      <c r="J1585" s="1581"/>
      <c r="K1585" s="1581"/>
      <c r="L1585" s="1581"/>
      <c r="M1585" s="991">
        <v>1</v>
      </c>
      <c r="N1585" s="1018"/>
      <c r="O1585" s="1730"/>
      <c r="P1585" s="1730"/>
      <c r="Q1585" s="844"/>
    </row>
    <row r="1586" spans="1:21" ht="15">
      <c r="A1586" s="583"/>
      <c r="B1586" s="583"/>
      <c r="C1586" s="1065"/>
      <c r="D1586" s="1065"/>
      <c r="E1586" s="1065"/>
      <c r="F1586" s="1065"/>
      <c r="G1586" s="1065"/>
      <c r="H1586" s="1065"/>
      <c r="I1586" s="1065"/>
      <c r="J1586" s="1065"/>
      <c r="K1586" s="1065"/>
      <c r="L1586" s="1065"/>
      <c r="M1586" s="1065"/>
      <c r="N1586" s="982"/>
      <c r="O1586" s="983"/>
      <c r="P1586" s="1084"/>
      <c r="Q1586" s="971"/>
    </row>
    <row r="1587" spans="1:21">
      <c r="A1587" s="1002"/>
      <c r="B1587" s="951" t="s">
        <v>2081</v>
      </c>
      <c r="C1587" s="1729" t="s">
        <v>3351</v>
      </c>
      <c r="D1587" s="1729"/>
      <c r="E1587" s="1729"/>
      <c r="F1587" s="1729"/>
      <c r="G1587" s="1729"/>
      <c r="H1587" s="1729"/>
      <c r="I1587" s="1729"/>
      <c r="J1587" s="1729"/>
      <c r="K1587" s="1729"/>
      <c r="L1587" s="1729"/>
      <c r="M1587" s="830">
        <v>2</v>
      </c>
      <c r="N1587" s="984"/>
      <c r="O1587" s="1069">
        <f>'Part IX A-Scoring Criteria'!O269</f>
        <v>2</v>
      </c>
      <c r="P1587" s="1069"/>
      <c r="Q1587" s="844" t="s">
        <v>2947</v>
      </c>
    </row>
    <row r="1588" spans="1:21" ht="15">
      <c r="A1588" s="583"/>
      <c r="B1588" s="583"/>
      <c r="C1588" s="1065"/>
      <c r="D1588" s="1065"/>
      <c r="E1588" s="1065"/>
      <c r="F1588" s="1065"/>
      <c r="G1588" s="1065"/>
      <c r="H1588" s="1065"/>
      <c r="I1588" s="1065"/>
      <c r="J1588" s="1065"/>
      <c r="K1588" s="1065"/>
      <c r="L1588" s="1065"/>
      <c r="M1588" s="1065"/>
      <c r="N1588" s="982"/>
      <c r="O1588" s="983"/>
      <c r="P1588" s="1084"/>
      <c r="Q1588" s="971"/>
    </row>
    <row r="1589" spans="1:21" ht="15">
      <c r="A1589" s="583"/>
      <c r="B1589" s="946" t="s">
        <v>269</v>
      </c>
      <c r="C1589" s="583"/>
      <c r="D1589" s="587"/>
      <c r="E1589" s="587"/>
      <c r="F1589" s="587"/>
      <c r="G1589" s="587"/>
      <c r="H1589" s="584"/>
      <c r="I1589" s="584"/>
      <c r="J1589" s="584"/>
      <c r="K1589" s="584"/>
      <c r="L1589" s="971"/>
      <c r="M1589" s="828"/>
      <c r="N1589" s="832"/>
      <c r="O1589" s="967"/>
      <c r="P1589" s="1115"/>
      <c r="Q1589" s="971"/>
    </row>
    <row r="1590" spans="1:21" ht="15.75">
      <c r="A1590" s="1575">
        <f>'Part IX A-Scoring Criteria'!A272</f>
        <v>0</v>
      </c>
      <c r="B1590" s="1575"/>
      <c r="C1590" s="1575"/>
      <c r="D1590" s="1575"/>
      <c r="E1590" s="1575"/>
      <c r="F1590" s="1575"/>
      <c r="G1590" s="1575"/>
      <c r="H1590" s="1575"/>
      <c r="I1590" s="1575"/>
      <c r="J1590" s="1575"/>
      <c r="K1590" s="1575"/>
      <c r="L1590" s="1575"/>
      <c r="M1590" s="1575"/>
      <c r="N1590" s="1575"/>
      <c r="O1590" s="1575"/>
      <c r="P1590" s="1575"/>
      <c r="Q1590" s="972" t="s">
        <v>1332</v>
      </c>
    </row>
    <row r="1591" spans="1:21" ht="15">
      <c r="A1591" s="583"/>
      <c r="B1591" s="947" t="s">
        <v>1996</v>
      </c>
      <c r="C1591" s="583"/>
      <c r="D1591" s="947"/>
      <c r="E1591" s="1065"/>
      <c r="F1591" s="1065"/>
      <c r="G1591" s="1065"/>
      <c r="H1591" s="1065"/>
      <c r="I1591" s="1065"/>
      <c r="J1591" s="1065"/>
      <c r="K1591" s="1065"/>
      <c r="L1591" s="1065"/>
      <c r="M1591" s="1065"/>
      <c r="N1591" s="982"/>
      <c r="O1591" s="983"/>
      <c r="P1591" s="1084"/>
      <c r="Q1591" s="977"/>
    </row>
    <row r="1592" spans="1:21" ht="15.75">
      <c r="A1592" s="1575"/>
      <c r="B1592" s="1575"/>
      <c r="C1592" s="1575"/>
      <c r="D1592" s="1575"/>
      <c r="E1592" s="1575"/>
      <c r="F1592" s="1575"/>
      <c r="G1592" s="1575"/>
      <c r="H1592" s="1575"/>
      <c r="I1592" s="1575"/>
      <c r="J1592" s="1575"/>
      <c r="K1592" s="1575"/>
      <c r="L1592" s="1575"/>
      <c r="M1592" s="1575"/>
      <c r="N1592" s="1575"/>
      <c r="O1592" s="1575"/>
      <c r="P1592" s="1575"/>
      <c r="Q1592" s="972" t="s">
        <v>1332</v>
      </c>
    </row>
    <row r="1593" spans="1:21" ht="15">
      <c r="A1593" s="583"/>
      <c r="B1593" s="971"/>
      <c r="C1593" s="1065"/>
      <c r="D1593" s="1065"/>
      <c r="E1593" s="1065"/>
      <c r="F1593" s="1065"/>
      <c r="G1593" s="1065"/>
      <c r="H1593" s="1065"/>
      <c r="I1593" s="1065"/>
      <c r="J1593" s="1065"/>
      <c r="K1593" s="1065"/>
      <c r="L1593" s="1065"/>
      <c r="M1593" s="1065"/>
      <c r="N1593" s="982"/>
      <c r="O1593" s="983"/>
      <c r="P1593" s="1084"/>
      <c r="Q1593" s="971"/>
    </row>
    <row r="1594" spans="1:21" ht="15">
      <c r="A1594" s="1002" t="s">
        <v>3352</v>
      </c>
      <c r="B1594" s="969" t="s">
        <v>3353</v>
      </c>
      <c r="C1594" s="971"/>
      <c r="D1594" s="984"/>
      <c r="E1594" s="984"/>
      <c r="F1594" s="984"/>
      <c r="G1594" s="984"/>
      <c r="H1594" s="984"/>
      <c r="I1594" s="984"/>
      <c r="J1594" s="984"/>
      <c r="K1594" s="984"/>
      <c r="L1594" s="984"/>
      <c r="M1594" s="828">
        <v>1</v>
      </c>
      <c r="N1594" s="985"/>
      <c r="O1594" s="1069">
        <f>'Part IX A-Scoring Criteria'!O276</f>
        <v>0</v>
      </c>
      <c r="P1594" s="1084"/>
      <c r="Q1594" s="1084" t="s">
        <v>463</v>
      </c>
      <c r="U1594" s="967">
        <f>'Part IX A-Scoring Criteria'!O276</f>
        <v>0</v>
      </c>
    </row>
    <row r="1595" spans="1:21" ht="15" customHeight="1">
      <c r="A1595" s="951"/>
      <c r="B1595" s="1732" t="s">
        <v>3598</v>
      </c>
      <c r="C1595" s="1732"/>
      <c r="D1595" s="1732"/>
      <c r="E1595" s="1732"/>
      <c r="F1595" s="1732"/>
      <c r="G1595" s="1732"/>
      <c r="H1595" s="1732"/>
      <c r="I1595" s="1732"/>
      <c r="J1595" s="1732"/>
      <c r="K1595" s="1732"/>
      <c r="L1595" s="1732"/>
      <c r="M1595" s="1732"/>
      <c r="N1595" s="1732"/>
      <c r="O1595" s="1124" t="str">
        <f>'Part IX A-Scoring Criteria'!O277</f>
        <v>No</v>
      </c>
      <c r="P1595" s="1124"/>
      <c r="Q1595" s="971"/>
    </row>
    <row r="1596" spans="1:21" ht="15">
      <c r="A1596" s="951"/>
      <c r="B1596" s="1020"/>
      <c r="C1596" s="1020"/>
      <c r="D1596" s="1020"/>
      <c r="E1596" s="1020"/>
      <c r="F1596" s="1020"/>
      <c r="G1596" s="1020"/>
      <c r="H1596" s="1020"/>
      <c r="I1596" s="1020"/>
      <c r="J1596" s="1020"/>
      <c r="K1596" s="1020"/>
      <c r="L1596" s="1020"/>
      <c r="M1596" s="1020"/>
      <c r="N1596" s="971"/>
      <c r="O1596" s="971"/>
      <c r="P1596" s="971"/>
      <c r="Q1596" s="971"/>
    </row>
    <row r="1597" spans="1:21" ht="15">
      <c r="A1597" s="951"/>
      <c r="B1597" s="971"/>
      <c r="C1597" s="1071"/>
      <c r="D1597" s="1071"/>
      <c r="E1597" s="1071"/>
      <c r="F1597" s="994"/>
      <c r="G1597" s="971"/>
      <c r="H1597" s="1071"/>
      <c r="I1597" s="1071"/>
      <c r="J1597" s="1071"/>
      <c r="K1597" s="1071"/>
      <c r="L1597" s="1071"/>
      <c r="M1597" s="1071"/>
      <c r="N1597" s="971"/>
      <c r="O1597" s="971"/>
      <c r="P1597" s="971"/>
      <c r="Q1597" s="971"/>
    </row>
    <row r="1598" spans="1:21" ht="15" customHeight="1">
      <c r="A1598" s="951"/>
      <c r="B1598" s="1083" t="s">
        <v>3364</v>
      </c>
      <c r="C1598" s="1062"/>
      <c r="D1598" s="1584">
        <f>'Part IX A-Scoring Criteria'!D280</f>
        <v>0</v>
      </c>
      <c r="E1598" s="1584"/>
      <c r="F1598" s="1584"/>
      <c r="G1598" s="1584"/>
      <c r="H1598" s="1059" t="s">
        <v>3366</v>
      </c>
      <c r="I1598" s="1063">
        <f>'Part IX A-Scoring Criteria'!I280</f>
        <v>0</v>
      </c>
      <c r="J1598" s="1063" t="s">
        <v>3365</v>
      </c>
      <c r="K1598" s="1584">
        <f>'Part IX A-Scoring Criteria'!K280</f>
        <v>0</v>
      </c>
      <c r="L1598" s="1584"/>
      <c r="M1598" s="1584"/>
      <c r="N1598" s="1584"/>
      <c r="O1598" s="1584"/>
      <c r="P1598" s="1020"/>
      <c r="Q1598" s="971"/>
    </row>
    <row r="1599" spans="1:21" ht="15">
      <c r="A1599" s="951"/>
      <c r="B1599" s="971"/>
      <c r="C1599" s="1071"/>
      <c r="D1599" s="1071"/>
      <c r="E1599" s="1071"/>
      <c r="F1599" s="994"/>
      <c r="G1599" s="971"/>
      <c r="H1599" s="1071"/>
      <c r="I1599" s="1071"/>
      <c r="J1599" s="1071"/>
      <c r="K1599" s="1071"/>
      <c r="L1599" s="1071"/>
      <c r="M1599" s="971"/>
      <c r="N1599" s="1020"/>
      <c r="O1599" s="1020"/>
      <c r="P1599" s="1020"/>
      <c r="Q1599" s="971"/>
    </row>
    <row r="1600" spans="1:21" ht="13.5" customHeight="1">
      <c r="A1600" s="945"/>
      <c r="B1600" s="1625" t="s">
        <v>3404</v>
      </c>
      <c r="C1600" s="1625"/>
      <c r="D1600" s="1625"/>
      <c r="E1600" s="1583" t="s">
        <v>3636</v>
      </c>
      <c r="F1600" s="1583"/>
      <c r="G1600" s="584"/>
      <c r="H1600" s="584"/>
      <c r="I1600" s="1731" t="s">
        <v>3637</v>
      </c>
      <c r="J1600" s="1731"/>
      <c r="K1600" s="584"/>
      <c r="L1600" s="584"/>
      <c r="M1600" s="1736" t="s">
        <v>3405</v>
      </c>
      <c r="N1600" s="1736"/>
      <c r="O1600" s="1736"/>
      <c r="P1600" s="1736"/>
      <c r="Q1600" s="567"/>
    </row>
    <row r="1601" spans="1:17">
      <c r="A1601" s="945"/>
      <c r="B1601" s="584" t="s">
        <v>3402</v>
      </c>
      <c r="C1601" s="844"/>
      <c r="D1601" s="844"/>
      <c r="E1601" s="1100" t="s">
        <v>3358</v>
      </c>
      <c r="F1601" s="1100" t="s">
        <v>3359</v>
      </c>
      <c r="G1601" s="1059" t="s">
        <v>3401</v>
      </c>
      <c r="H1601" s="584"/>
      <c r="I1601" s="1100" t="s">
        <v>3358</v>
      </c>
      <c r="J1601" s="1100" t="s">
        <v>3359</v>
      </c>
      <c r="K1601" s="1059" t="s">
        <v>3401</v>
      </c>
      <c r="L1601" s="584"/>
      <c r="M1601" s="1590" t="s">
        <v>3402</v>
      </c>
      <c r="N1601" s="1590"/>
      <c r="O1601" s="584" t="s">
        <v>3403</v>
      </c>
      <c r="P1601" s="584" t="s">
        <v>3406</v>
      </c>
      <c r="Q1601" s="567"/>
    </row>
    <row r="1602" spans="1:17">
      <c r="A1602" s="945"/>
      <c r="B1602" s="1066" t="s">
        <v>3354</v>
      </c>
      <c r="C1602" s="567"/>
      <c r="D1602" s="567"/>
      <c r="E1602" s="1021">
        <f>'Part IX A-Scoring Criteria'!E284</f>
        <v>0</v>
      </c>
      <c r="F1602" s="1021">
        <f>'Part IX A-Scoring Criteria'!F284</f>
        <v>0</v>
      </c>
      <c r="G1602" s="1013">
        <f>E1602+F1602</f>
        <v>0</v>
      </c>
      <c r="H1602" s="567"/>
      <c r="I1602" s="1021">
        <f>'Part IX A-Scoring Criteria'!I284</f>
        <v>0</v>
      </c>
      <c r="J1602" s="1021">
        <f>'Part IX A-Scoring Criteria'!J284</f>
        <v>0</v>
      </c>
      <c r="K1602" s="1013">
        <f>I1602+J1602</f>
        <v>0</v>
      </c>
      <c r="L1602" s="567"/>
      <c r="M1602" s="1589" t="str">
        <f>IF(AND(G1602=0,K1602=0),"n/a",IF(G1602&gt;K1602,"Yes", "No"))</f>
        <v>n/a</v>
      </c>
      <c r="N1602" s="1589"/>
      <c r="O1602" s="1590" t="str">
        <f>IF(AND(M1602="n/a",M1603="n/a",M1604="n/a",M1605="n/a",M1606="n/a"),"n/a",IF(AND(M1602="Yes",M1603="Yes",M1604="Yes",M1605="Yes",M1606="Yes"),"Yes",IF(OR(M1602="No",M1603="No",M1604="No",M1605="No",M1606="No"), "No", "No")))</f>
        <v>n/a</v>
      </c>
      <c r="P1602" s="567"/>
      <c r="Q1602" s="567"/>
    </row>
    <row r="1603" spans="1:17">
      <c r="A1603" s="945"/>
      <c r="B1603" s="1066" t="s">
        <v>3360</v>
      </c>
      <c r="C1603" s="567"/>
      <c r="D1603" s="567"/>
      <c r="E1603" s="1021">
        <f>'Part IX A-Scoring Criteria'!E285</f>
        <v>0</v>
      </c>
      <c r="F1603" s="1021">
        <f>'Part IX A-Scoring Criteria'!F285</f>
        <v>0</v>
      </c>
      <c r="G1603" s="1013">
        <f>E1603+F1603</f>
        <v>0</v>
      </c>
      <c r="H1603" s="567"/>
      <c r="I1603" s="1021">
        <f>'Part IX A-Scoring Criteria'!I285</f>
        <v>0</v>
      </c>
      <c r="J1603" s="1021">
        <f>'Part IX A-Scoring Criteria'!J285</f>
        <v>0</v>
      </c>
      <c r="K1603" s="1013">
        <f>I1603+J1603</f>
        <v>0</v>
      </c>
      <c r="L1603" s="567"/>
      <c r="M1603" s="1589" t="str">
        <f>IF(AND(G1603=0,K1603=0),"n/a",IF(G1603&gt;K1603,"Yes", "No"))</f>
        <v>n/a</v>
      </c>
      <c r="N1603" s="1589"/>
      <c r="O1603" s="1590"/>
      <c r="P1603" s="567"/>
      <c r="Q1603" s="567"/>
    </row>
    <row r="1604" spans="1:17">
      <c r="A1604" s="945"/>
      <c r="B1604" s="1066" t="s">
        <v>3355</v>
      </c>
      <c r="C1604" s="567"/>
      <c r="D1604" s="567"/>
      <c r="E1604" s="1021">
        <f>'Part IX A-Scoring Criteria'!E286</f>
        <v>0</v>
      </c>
      <c r="F1604" s="1021">
        <f>'Part IX A-Scoring Criteria'!F286</f>
        <v>0</v>
      </c>
      <c r="G1604" s="1013">
        <f>E1604+F1604</f>
        <v>0</v>
      </c>
      <c r="H1604" s="567"/>
      <c r="I1604" s="1021">
        <f>'Part IX A-Scoring Criteria'!I286</f>
        <v>0</v>
      </c>
      <c r="J1604" s="1021">
        <f>'Part IX A-Scoring Criteria'!J286</f>
        <v>0</v>
      </c>
      <c r="K1604" s="1013">
        <f>I1604+J1604</f>
        <v>0</v>
      </c>
      <c r="L1604" s="567"/>
      <c r="M1604" s="1589" t="str">
        <f>IF(AND(G1604=0,K1604=0),"n/a",IF(G1604&gt;K1604,"Yes", "No"))</f>
        <v>n/a</v>
      </c>
      <c r="N1604" s="1589"/>
      <c r="O1604" s="1590"/>
      <c r="P1604" s="567"/>
      <c r="Q1604" s="567"/>
    </row>
    <row r="1605" spans="1:17">
      <c r="A1605" s="945"/>
      <c r="B1605" s="1066" t="s">
        <v>3356</v>
      </c>
      <c r="C1605" s="567"/>
      <c r="D1605" s="567"/>
      <c r="E1605" s="1021">
        <f>'Part IX A-Scoring Criteria'!E287</f>
        <v>0</v>
      </c>
      <c r="F1605" s="1021">
        <f>'Part IX A-Scoring Criteria'!F287</f>
        <v>0</v>
      </c>
      <c r="G1605" s="1013">
        <f>E1605+F1605</f>
        <v>0</v>
      </c>
      <c r="H1605" s="567"/>
      <c r="I1605" s="1021">
        <f>'Part IX A-Scoring Criteria'!I287</f>
        <v>0</v>
      </c>
      <c r="J1605" s="1021">
        <f>'Part IX A-Scoring Criteria'!J287</f>
        <v>0</v>
      </c>
      <c r="K1605" s="1013">
        <f>I1605+J1605</f>
        <v>0</v>
      </c>
      <c r="L1605" s="567"/>
      <c r="M1605" s="1589" t="str">
        <f>IF(AND(G1605=0,K1605=0),"n/a",IF(G1605&gt;K1605,"Yes", "No"))</f>
        <v>n/a</v>
      </c>
      <c r="N1605" s="1589"/>
      <c r="O1605" s="1590"/>
      <c r="P1605" s="567"/>
      <c r="Q1605" s="567"/>
    </row>
    <row r="1606" spans="1:17">
      <c r="A1606" s="945"/>
      <c r="B1606" s="1066" t="s">
        <v>3357</v>
      </c>
      <c r="C1606" s="567"/>
      <c r="D1606" s="567"/>
      <c r="E1606" s="1021">
        <f>'Part IX A-Scoring Criteria'!E288</f>
        <v>0</v>
      </c>
      <c r="F1606" s="1021">
        <f>'Part IX A-Scoring Criteria'!F288</f>
        <v>0</v>
      </c>
      <c r="G1606" s="1013">
        <f>E1606+F1606</f>
        <v>0</v>
      </c>
      <c r="H1606" s="567"/>
      <c r="I1606" s="1021">
        <f>'Part IX A-Scoring Criteria'!I288</f>
        <v>0</v>
      </c>
      <c r="J1606" s="1021">
        <f>'Part IX A-Scoring Criteria'!J288</f>
        <v>0</v>
      </c>
      <c r="K1606" s="1013">
        <f>I1606+J1606</f>
        <v>0</v>
      </c>
      <c r="L1606" s="567"/>
      <c r="M1606" s="1589" t="str">
        <f>IF(AND(G1606=0,K1606=0),"n/a",IF(G1606&gt;K1606,"Yes", "No"))</f>
        <v>n/a</v>
      </c>
      <c r="N1606" s="1589"/>
      <c r="O1606" s="1590"/>
      <c r="P1606" s="567"/>
      <c r="Q1606" s="567"/>
    </row>
    <row r="1607" spans="1:17">
      <c r="A1607" s="945"/>
      <c r="B1607" s="956"/>
      <c r="C1607" s="1071"/>
      <c r="D1607" s="1071"/>
      <c r="E1607" s="1071"/>
      <c r="F1607" s="1071"/>
      <c r="G1607" s="567"/>
      <c r="H1607" s="567"/>
      <c r="I1607" s="1071"/>
      <c r="J1607" s="1071"/>
      <c r="K1607" s="567"/>
      <c r="L1607" s="567"/>
      <c r="M1607" s="567"/>
      <c r="N1607" s="567"/>
      <c r="O1607" s="567"/>
      <c r="P1607" s="567"/>
      <c r="Q1607" s="567"/>
    </row>
    <row r="1608" spans="1:17">
      <c r="A1608" s="945"/>
      <c r="B1608" s="1066" t="s">
        <v>3354</v>
      </c>
      <c r="C1608" s="567"/>
      <c r="D1608" s="567"/>
      <c r="E1608" s="1021">
        <f>'Part IX A-Scoring Criteria'!E290</f>
        <v>0</v>
      </c>
      <c r="F1608" s="1021">
        <f>'Part IX A-Scoring Criteria'!F290</f>
        <v>0</v>
      </c>
      <c r="G1608" s="1013">
        <f>E1608+F1608</f>
        <v>0</v>
      </c>
      <c r="H1608" s="567"/>
      <c r="I1608" s="1021">
        <f>'Part IX A-Scoring Criteria'!I290</f>
        <v>0</v>
      </c>
      <c r="J1608" s="1021">
        <f>'Part IX A-Scoring Criteria'!J290</f>
        <v>0</v>
      </c>
      <c r="K1608" s="1013">
        <f>I1608+J1608</f>
        <v>0</v>
      </c>
      <c r="L1608" s="567"/>
      <c r="M1608" s="1589" t="str">
        <f>IF(AND(G1608=0,K1608=0),"n/a",IF(G1608&gt;K1608,"Yes", "No"))</f>
        <v>n/a</v>
      </c>
      <c r="N1608" s="1589"/>
      <c r="O1608" s="1590" t="str">
        <f>IF(AND(M1608="n/a",M1609="n/a",M1610="n/a",M1611="n/a",M1612="n/a"),"n/a",IF(AND(M1608="Yes",M1609="Yes",M1610="Yes",M1611="Yes",M1612="Yes"),"Yes",IF(OR(M1608="No",M1609="No",M1610="No",M1611="No",M1612="No"), "No", "No")))</f>
        <v>n/a</v>
      </c>
      <c r="P1608" s="567"/>
      <c r="Q1608" s="567"/>
    </row>
    <row r="1609" spans="1:17">
      <c r="A1609" s="945"/>
      <c r="B1609" s="1066" t="s">
        <v>3360</v>
      </c>
      <c r="C1609" s="567"/>
      <c r="D1609" s="567"/>
      <c r="E1609" s="1021">
        <f>'Part IX A-Scoring Criteria'!E291</f>
        <v>0</v>
      </c>
      <c r="F1609" s="1021">
        <f>'Part IX A-Scoring Criteria'!F291</f>
        <v>0</v>
      </c>
      <c r="G1609" s="1013">
        <f>E1609+F1609</f>
        <v>0</v>
      </c>
      <c r="H1609" s="567"/>
      <c r="I1609" s="1021">
        <f>'Part IX A-Scoring Criteria'!I291</f>
        <v>0</v>
      </c>
      <c r="J1609" s="1021">
        <f>'Part IX A-Scoring Criteria'!J291</f>
        <v>0</v>
      </c>
      <c r="K1609" s="1013">
        <f>I1609+J1609</f>
        <v>0</v>
      </c>
      <c r="L1609" s="567"/>
      <c r="M1609" s="1589" t="str">
        <f>IF(AND(G1609=0,K1609=0),"n/a",IF(G1609&gt;K1609,"Yes", "No"))</f>
        <v>n/a</v>
      </c>
      <c r="N1609" s="1589"/>
      <c r="O1609" s="1590"/>
      <c r="P1609" s="567"/>
      <c r="Q1609" s="567"/>
    </row>
    <row r="1610" spans="1:17">
      <c r="A1610" s="945"/>
      <c r="B1610" s="1066" t="s">
        <v>3355</v>
      </c>
      <c r="C1610" s="567"/>
      <c r="D1610" s="567"/>
      <c r="E1610" s="1021">
        <f>'Part IX A-Scoring Criteria'!E292</f>
        <v>0</v>
      </c>
      <c r="F1610" s="1021">
        <f>'Part IX A-Scoring Criteria'!F292</f>
        <v>0</v>
      </c>
      <c r="G1610" s="1013">
        <f>E1610+F1610</f>
        <v>0</v>
      </c>
      <c r="H1610" s="567"/>
      <c r="I1610" s="1021">
        <f>'Part IX A-Scoring Criteria'!I292</f>
        <v>0</v>
      </c>
      <c r="J1610" s="1021">
        <f>'Part IX A-Scoring Criteria'!J292</f>
        <v>0</v>
      </c>
      <c r="K1610" s="1013">
        <f>I1610+J1610</f>
        <v>0</v>
      </c>
      <c r="L1610" s="567"/>
      <c r="M1610" s="1589" t="str">
        <f>IF(AND(G1610=0,K1610=0),"n/a",IF(G1610&gt;K1610,"Yes", "No"))</f>
        <v>n/a</v>
      </c>
      <c r="N1610" s="1589"/>
      <c r="O1610" s="1590"/>
      <c r="P1610" s="962"/>
      <c r="Q1610" s="567"/>
    </row>
    <row r="1611" spans="1:17">
      <c r="A1611" s="945"/>
      <c r="B1611" s="1066" t="s">
        <v>3356</v>
      </c>
      <c r="C1611" s="567"/>
      <c r="D1611" s="567"/>
      <c r="E1611" s="1021">
        <f>'Part IX A-Scoring Criteria'!E293</f>
        <v>0</v>
      </c>
      <c r="F1611" s="1021">
        <f>'Part IX A-Scoring Criteria'!F293</f>
        <v>0</v>
      </c>
      <c r="G1611" s="1013">
        <f>E1611+F1611</f>
        <v>0</v>
      </c>
      <c r="H1611" s="567"/>
      <c r="I1611" s="1021">
        <f>'Part IX A-Scoring Criteria'!I293</f>
        <v>0</v>
      </c>
      <c r="J1611" s="1021">
        <f>'Part IX A-Scoring Criteria'!J293</f>
        <v>0</v>
      </c>
      <c r="K1611" s="1013">
        <f>I1611+J1611</f>
        <v>0</v>
      </c>
      <c r="L1611" s="567"/>
      <c r="M1611" s="1589" t="str">
        <f>IF(AND(G1611=0,K1611=0),"n/a",IF(G1611&gt;K1611,"Yes", "No"))</f>
        <v>n/a</v>
      </c>
      <c r="N1611" s="1589"/>
      <c r="O1611" s="1590"/>
      <c r="P1611" s="567"/>
      <c r="Q1611" s="567"/>
    </row>
    <row r="1612" spans="1:17">
      <c r="A1612" s="945"/>
      <c r="B1612" s="1066" t="s">
        <v>3357</v>
      </c>
      <c r="C1612" s="567"/>
      <c r="D1612" s="567"/>
      <c r="E1612" s="1021">
        <f>'Part IX A-Scoring Criteria'!E294</f>
        <v>0</v>
      </c>
      <c r="F1612" s="1021">
        <f>'Part IX A-Scoring Criteria'!F294</f>
        <v>0</v>
      </c>
      <c r="G1612" s="1013">
        <f>E1612+F1612</f>
        <v>0</v>
      </c>
      <c r="H1612" s="567"/>
      <c r="I1612" s="1021">
        <f>'Part IX A-Scoring Criteria'!I294</f>
        <v>0</v>
      </c>
      <c r="J1612" s="1021">
        <f>'Part IX A-Scoring Criteria'!J294</f>
        <v>0</v>
      </c>
      <c r="K1612" s="1013">
        <f>I1612+J1612</f>
        <v>0</v>
      </c>
      <c r="L1612" s="567"/>
      <c r="M1612" s="1589" t="str">
        <f>IF(AND(G1612=0,K1612=0),"n/a",IF(G1612&gt;K1612,"Yes", "No"))</f>
        <v>n/a</v>
      </c>
      <c r="N1612" s="1589"/>
      <c r="O1612" s="1590"/>
      <c r="P1612" s="567"/>
      <c r="Q1612" s="567"/>
    </row>
    <row r="1613" spans="1:17" ht="15">
      <c r="A1613" s="945"/>
      <c r="B1613" s="971"/>
      <c r="C1613" s="1071"/>
      <c r="D1613" s="1071"/>
      <c r="E1613" s="1071"/>
      <c r="F1613" s="1071"/>
      <c r="G1613" s="971"/>
      <c r="H1613" s="971"/>
      <c r="I1613" s="1071"/>
      <c r="J1613" s="1071"/>
      <c r="K1613" s="971"/>
      <c r="L1613" s="971"/>
      <c r="M1613" s="971"/>
      <c r="N1613" s="971"/>
      <c r="O1613" s="971"/>
      <c r="P1613" s="1075"/>
      <c r="Q1613" s="567"/>
    </row>
    <row r="1614" spans="1:17">
      <c r="A1614" s="945"/>
      <c r="B1614" s="1022"/>
      <c r="C1614" s="1022"/>
      <c r="D1614" s="1022"/>
      <c r="E1614" s="1731" t="s">
        <v>3638</v>
      </c>
      <c r="F1614" s="1731"/>
      <c r="G1614" s="584"/>
      <c r="H1614" s="584"/>
      <c r="I1614" s="1731" t="s">
        <v>3637</v>
      </c>
      <c r="J1614" s="1731"/>
      <c r="K1614" s="584"/>
      <c r="L1614" s="584"/>
      <c r="M1614" s="584"/>
      <c r="N1614" s="584"/>
      <c r="O1614" s="584"/>
      <c r="P1614" s="1075"/>
      <c r="Q1614" s="567"/>
    </row>
    <row r="1615" spans="1:17" ht="15">
      <c r="A1615" s="951"/>
      <c r="B1615" s="1066" t="s">
        <v>3354</v>
      </c>
      <c r="C1615" s="567"/>
      <c r="D1615" s="567"/>
      <c r="E1615" s="1021">
        <f>'Part IX A-Scoring Criteria'!E297</f>
        <v>0</v>
      </c>
      <c r="F1615" s="1021">
        <f>'Part IX A-Scoring Criteria'!F297</f>
        <v>0</v>
      </c>
      <c r="G1615" s="1013">
        <f>E1615+F1615</f>
        <v>0</v>
      </c>
      <c r="H1615" s="959"/>
      <c r="I1615" s="1021">
        <f>'Part IX A-Scoring Criteria'!I297</f>
        <v>0</v>
      </c>
      <c r="J1615" s="1021">
        <f>'Part IX A-Scoring Criteria'!J297</f>
        <v>0</v>
      </c>
      <c r="K1615" s="1013">
        <f>I1615+J1615</f>
        <v>0</v>
      </c>
      <c r="L1615" s="567"/>
      <c r="M1615" s="1589" t="str">
        <f>IF(AND(G1615=0,K1615=0),"n/a",IF(G1615&gt;K1615,"Yes", "No"))</f>
        <v>n/a</v>
      </c>
      <c r="N1615" s="1589"/>
      <c r="O1615" s="1590" t="str">
        <f>IF(AND(M1615="n/a",M1616="n/a",M1617="n/a",M1618="n/a",M1619="n/a"),"n/a",IF(AND(M1615="Yes",M1616="Yes",M1617="Yes",M1618="Yes",M1619="Yes"),"Yes",IF(OR(M1615="No",M1616="No",M1617="No",M1618="No",M1619="No"), "No", "No")))</f>
        <v>n/a</v>
      </c>
      <c r="P1615" s="1735"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1"/>
    </row>
    <row r="1616" spans="1:17">
      <c r="A1616" s="945"/>
      <c r="B1616" s="1066" t="s">
        <v>3360</v>
      </c>
      <c r="C1616" s="567"/>
      <c r="D1616" s="567"/>
      <c r="E1616" s="1021">
        <f>'Part IX A-Scoring Criteria'!E298</f>
        <v>0</v>
      </c>
      <c r="F1616" s="1021">
        <f>'Part IX A-Scoring Criteria'!F298</f>
        <v>0</v>
      </c>
      <c r="G1616" s="1013">
        <f>E1616+F1616</f>
        <v>0</v>
      </c>
      <c r="H1616" s="567"/>
      <c r="I1616" s="1021">
        <f>'Part IX A-Scoring Criteria'!I298</f>
        <v>0</v>
      </c>
      <c r="J1616" s="1021">
        <f>'Part IX A-Scoring Criteria'!J298</f>
        <v>0</v>
      </c>
      <c r="K1616" s="1013">
        <f>I1616+J1616</f>
        <v>0</v>
      </c>
      <c r="L1616" s="567"/>
      <c r="M1616" s="1589" t="str">
        <f>IF(AND(G1616=0,K1616=0),"n/a",IF(G1616&gt;K1616,"Yes", "No"))</f>
        <v>n/a</v>
      </c>
      <c r="N1616" s="1589"/>
      <c r="O1616" s="1590"/>
      <c r="P1616" s="1735"/>
      <c r="Q1616" s="567"/>
    </row>
    <row r="1617" spans="1:17">
      <c r="A1617" s="945"/>
      <c r="B1617" s="1066" t="s">
        <v>3355</v>
      </c>
      <c r="C1617" s="567"/>
      <c r="D1617" s="567"/>
      <c r="E1617" s="1021">
        <f>'Part IX A-Scoring Criteria'!E299</f>
        <v>0</v>
      </c>
      <c r="F1617" s="1021">
        <f>'Part IX A-Scoring Criteria'!F299</f>
        <v>0</v>
      </c>
      <c r="G1617" s="1013">
        <f>E1617+F1617</f>
        <v>0</v>
      </c>
      <c r="H1617" s="567"/>
      <c r="I1617" s="1021">
        <f>'Part IX A-Scoring Criteria'!I299</f>
        <v>0</v>
      </c>
      <c r="J1617" s="1021">
        <f>'Part IX A-Scoring Criteria'!J299</f>
        <v>0</v>
      </c>
      <c r="K1617" s="1013">
        <f>I1617+J1617</f>
        <v>0</v>
      </c>
      <c r="L1617" s="567"/>
      <c r="M1617" s="1589" t="str">
        <f>IF(AND(G1617=0,K1617=0),"n/a",IF(G1617&gt;K1617,"Yes", "No"))</f>
        <v>n/a</v>
      </c>
      <c r="N1617" s="1589"/>
      <c r="O1617" s="1590"/>
      <c r="P1617" s="1735"/>
      <c r="Q1617" s="567"/>
    </row>
    <row r="1618" spans="1:17">
      <c r="A1618" s="945"/>
      <c r="B1618" s="1066" t="s">
        <v>3356</v>
      </c>
      <c r="C1618" s="567"/>
      <c r="D1618" s="567"/>
      <c r="E1618" s="1021">
        <f>'Part IX A-Scoring Criteria'!E300</f>
        <v>0</v>
      </c>
      <c r="F1618" s="1021">
        <f>'Part IX A-Scoring Criteria'!F300</f>
        <v>0</v>
      </c>
      <c r="G1618" s="1013">
        <f>E1618+F1618</f>
        <v>0</v>
      </c>
      <c r="H1618" s="567"/>
      <c r="I1618" s="1021">
        <f>'Part IX A-Scoring Criteria'!I300</f>
        <v>0</v>
      </c>
      <c r="J1618" s="1021">
        <f>'Part IX A-Scoring Criteria'!J300</f>
        <v>0</v>
      </c>
      <c r="K1618" s="1013">
        <f>I1618+J1618</f>
        <v>0</v>
      </c>
      <c r="L1618" s="567"/>
      <c r="M1618" s="1589" t="str">
        <f>IF(AND(G1618=0,K1618=0),"n/a",IF(G1618&gt;K1618,"Yes", "No"))</f>
        <v>n/a</v>
      </c>
      <c r="N1618" s="1589"/>
      <c r="O1618" s="1590"/>
      <c r="P1618" s="1735"/>
      <c r="Q1618" s="567"/>
    </row>
    <row r="1619" spans="1:17">
      <c r="A1619" s="945"/>
      <c r="B1619" s="1066" t="s">
        <v>3357</v>
      </c>
      <c r="C1619" s="567"/>
      <c r="D1619" s="567"/>
      <c r="E1619" s="1021">
        <f>'Part IX A-Scoring Criteria'!E301</f>
        <v>0</v>
      </c>
      <c r="F1619" s="1021">
        <f>'Part IX A-Scoring Criteria'!F301</f>
        <v>0</v>
      </c>
      <c r="G1619" s="1013">
        <f>E1619+F1619</f>
        <v>0</v>
      </c>
      <c r="H1619" s="567"/>
      <c r="I1619" s="1021">
        <f>'Part IX A-Scoring Criteria'!I301</f>
        <v>0</v>
      </c>
      <c r="J1619" s="1021">
        <f>'Part IX A-Scoring Criteria'!J301</f>
        <v>0</v>
      </c>
      <c r="K1619" s="1013">
        <f>I1619+J1619</f>
        <v>0</v>
      </c>
      <c r="L1619" s="567"/>
      <c r="M1619" s="1589" t="str">
        <f>IF(AND(G1619=0,K1619=0),"n/a",IF(G1619&gt;K1619,"Yes", "No"))</f>
        <v>n/a</v>
      </c>
      <c r="N1619" s="1589"/>
      <c r="O1619" s="1590"/>
      <c r="P1619" s="1735"/>
      <c r="Q1619" s="567"/>
    </row>
    <row r="1620" spans="1:17">
      <c r="A1620" s="945"/>
      <c r="B1620" s="956"/>
      <c r="C1620" s="1071"/>
      <c r="D1620" s="567"/>
      <c r="E1620" s="1071"/>
      <c r="F1620" s="1071"/>
      <c r="G1620" s="567"/>
      <c r="H1620" s="567"/>
      <c r="I1620" s="1071"/>
      <c r="J1620" s="1071"/>
      <c r="K1620" s="567"/>
      <c r="L1620" s="567"/>
      <c r="M1620" s="567"/>
      <c r="N1620" s="567"/>
      <c r="O1620" s="567"/>
      <c r="P1620" s="1075"/>
      <c r="Q1620" s="567"/>
    </row>
    <row r="1621" spans="1:17">
      <c r="A1621" s="945"/>
      <c r="B1621" s="1066" t="s">
        <v>3354</v>
      </c>
      <c r="C1621" s="567"/>
      <c r="D1621" s="567"/>
      <c r="E1621" s="1021">
        <f>'Part IX A-Scoring Criteria'!E303</f>
        <v>0</v>
      </c>
      <c r="F1621" s="1021">
        <f>'Part IX A-Scoring Criteria'!F303</f>
        <v>0</v>
      </c>
      <c r="G1621" s="1013">
        <f>E1621+F1621</f>
        <v>0</v>
      </c>
      <c r="H1621" s="567"/>
      <c r="I1621" s="1021">
        <f>'Part IX A-Scoring Criteria'!I303</f>
        <v>0</v>
      </c>
      <c r="J1621" s="1021">
        <f>'Part IX A-Scoring Criteria'!J303</f>
        <v>0</v>
      </c>
      <c r="K1621" s="1013">
        <f>I1621+J1621</f>
        <v>0</v>
      </c>
      <c r="L1621" s="567"/>
      <c r="M1621" s="1589" t="str">
        <f>IF(AND(G1621=0,K1621=0),"n/a",IF(G1621&gt;K1621,"Yes", "No"))</f>
        <v>n/a</v>
      </c>
      <c r="N1621" s="1589"/>
      <c r="O1621" s="1590" t="str">
        <f>IF(AND(M1621="n/a",M1622="n/a",M1623="n/a",M1624="n/a",M1625="n/a"),"n/a",IF(AND(M1621="Yes",M1622="Yes",M1623="Yes",M1624="Yes",M1625="Yes"),"Yes",IF(OR(M1621="No",M1622="No",M1623="No",M1624="No",M1625="No"), "No", "No")))</f>
        <v>n/a</v>
      </c>
      <c r="P1621" s="1735"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7"/>
    </row>
    <row r="1622" spans="1:17" ht="15">
      <c r="A1622" s="951"/>
      <c r="B1622" s="1066" t="s">
        <v>3360</v>
      </c>
      <c r="C1622" s="567"/>
      <c r="D1622" s="567"/>
      <c r="E1622" s="1021">
        <f>'Part IX A-Scoring Criteria'!E304</f>
        <v>0</v>
      </c>
      <c r="F1622" s="1021">
        <f>'Part IX A-Scoring Criteria'!F304</f>
        <v>0</v>
      </c>
      <c r="G1622" s="1013">
        <f>E1622+F1622</f>
        <v>0</v>
      </c>
      <c r="H1622" s="567"/>
      <c r="I1622" s="1021">
        <f>'Part IX A-Scoring Criteria'!I304</f>
        <v>0</v>
      </c>
      <c r="J1622" s="1021">
        <f>'Part IX A-Scoring Criteria'!J304</f>
        <v>0</v>
      </c>
      <c r="K1622" s="1013">
        <f>I1622+J1622</f>
        <v>0</v>
      </c>
      <c r="L1622" s="567"/>
      <c r="M1622" s="1589" t="str">
        <f>IF(AND(G1622=0,K1622=0),"n/a",IF(G1622&gt;K1622,"Yes", "No"))</f>
        <v>n/a</v>
      </c>
      <c r="N1622" s="1589"/>
      <c r="O1622" s="1590"/>
      <c r="P1622" s="1735"/>
      <c r="Q1622" s="971"/>
    </row>
    <row r="1623" spans="1:17" ht="13.5" customHeight="1">
      <c r="A1623" s="945"/>
      <c r="B1623" s="1066" t="s">
        <v>3355</v>
      </c>
      <c r="C1623" s="567"/>
      <c r="D1623" s="567"/>
      <c r="E1623" s="1021">
        <f>'Part IX A-Scoring Criteria'!E305</f>
        <v>0</v>
      </c>
      <c r="F1623" s="1021">
        <f>'Part IX A-Scoring Criteria'!F305</f>
        <v>0</v>
      </c>
      <c r="G1623" s="1013">
        <f>E1623+F1623</f>
        <v>0</v>
      </c>
      <c r="H1623" s="567"/>
      <c r="I1623" s="1021">
        <f>'Part IX A-Scoring Criteria'!I305</f>
        <v>0</v>
      </c>
      <c r="J1623" s="1021">
        <f>'Part IX A-Scoring Criteria'!J305</f>
        <v>0</v>
      </c>
      <c r="K1623" s="1013">
        <f>I1623+J1623</f>
        <v>0</v>
      </c>
      <c r="L1623" s="567"/>
      <c r="M1623" s="1589" t="str">
        <f>IF(AND(G1623=0,K1623=0),"n/a",IF(G1623&gt;K1623,"Yes", "No"))</f>
        <v>n/a</v>
      </c>
      <c r="N1623" s="1589"/>
      <c r="O1623" s="1590"/>
      <c r="P1623" s="1735"/>
      <c r="Q1623" s="567"/>
    </row>
    <row r="1624" spans="1:17">
      <c r="A1624" s="945"/>
      <c r="B1624" s="1066" t="s">
        <v>3356</v>
      </c>
      <c r="C1624" s="567"/>
      <c r="D1624" s="567"/>
      <c r="E1624" s="1021">
        <f>'Part IX A-Scoring Criteria'!E306</f>
        <v>0</v>
      </c>
      <c r="F1624" s="1021">
        <f>'Part IX A-Scoring Criteria'!F306</f>
        <v>0</v>
      </c>
      <c r="G1624" s="1013">
        <f>E1624+F1624</f>
        <v>0</v>
      </c>
      <c r="H1624" s="567"/>
      <c r="I1624" s="1021">
        <f>'Part IX A-Scoring Criteria'!I306</f>
        <v>0</v>
      </c>
      <c r="J1624" s="1021">
        <f>'Part IX A-Scoring Criteria'!J306</f>
        <v>0</v>
      </c>
      <c r="K1624" s="1013">
        <f>I1624+J1624</f>
        <v>0</v>
      </c>
      <c r="L1624" s="567"/>
      <c r="M1624" s="1589" t="str">
        <f>IF(AND(G1624=0,K1624=0),"n/a",IF(G1624&gt;K1624,"Yes", "No"))</f>
        <v>n/a</v>
      </c>
      <c r="N1624" s="1589"/>
      <c r="O1624" s="1590"/>
      <c r="P1624" s="1735"/>
      <c r="Q1624" s="567"/>
    </row>
    <row r="1625" spans="1:17">
      <c r="A1625" s="945"/>
      <c r="B1625" s="1066" t="s">
        <v>3357</v>
      </c>
      <c r="C1625" s="567"/>
      <c r="D1625" s="567"/>
      <c r="E1625" s="1021">
        <f>'Part IX A-Scoring Criteria'!E307</f>
        <v>0</v>
      </c>
      <c r="F1625" s="1021">
        <f>'Part IX A-Scoring Criteria'!F307</f>
        <v>0</v>
      </c>
      <c r="G1625" s="1013">
        <f>E1625+F1625</f>
        <v>0</v>
      </c>
      <c r="H1625" s="567"/>
      <c r="I1625" s="1021">
        <f>'Part IX A-Scoring Criteria'!I307</f>
        <v>0</v>
      </c>
      <c r="J1625" s="1021">
        <f>'Part IX A-Scoring Criteria'!J307</f>
        <v>0</v>
      </c>
      <c r="K1625" s="1013">
        <f>I1625+J1625</f>
        <v>0</v>
      </c>
      <c r="L1625" s="567"/>
      <c r="M1625" s="1589" t="str">
        <f>IF(AND(G1625=0,K1625=0),"n/a",IF(G1625&gt;K1625,"Yes", "No"))</f>
        <v>n/a</v>
      </c>
      <c r="N1625" s="1589"/>
      <c r="O1625" s="1590"/>
      <c r="P1625" s="1735"/>
      <c r="Q1625" s="567"/>
    </row>
    <row r="1626" spans="1:17" ht="15">
      <c r="A1626" s="945"/>
      <c r="B1626" s="971"/>
      <c r="C1626" s="1071"/>
      <c r="D1626" s="567"/>
      <c r="E1626" s="1071"/>
      <c r="F1626" s="1071"/>
      <c r="G1626" s="971"/>
      <c r="H1626" s="971"/>
      <c r="I1626" s="1071"/>
      <c r="J1626" s="1071"/>
      <c r="K1626" s="971"/>
      <c r="L1626" s="971"/>
      <c r="M1626" s="971"/>
      <c r="N1626" s="971"/>
      <c r="O1626" s="971"/>
      <c r="P1626" s="1075"/>
      <c r="Q1626" s="567"/>
    </row>
    <row r="1627" spans="1:17">
      <c r="A1627" s="945"/>
      <c r="B1627" s="1022"/>
      <c r="C1627" s="1022"/>
      <c r="D1627" s="1022"/>
      <c r="E1627" s="1731" t="s">
        <v>3639</v>
      </c>
      <c r="F1627" s="1731"/>
      <c r="G1627" s="584"/>
      <c r="H1627" s="584"/>
      <c r="I1627" s="1731" t="s">
        <v>3637</v>
      </c>
      <c r="J1627" s="1731"/>
      <c r="K1627" s="584"/>
      <c r="L1627" s="584"/>
      <c r="M1627" s="584"/>
      <c r="N1627" s="584"/>
      <c r="O1627" s="584"/>
      <c r="P1627" s="1075"/>
      <c r="Q1627" s="567"/>
    </row>
    <row r="1628" spans="1:17">
      <c r="A1628" s="945"/>
      <c r="B1628" s="1066" t="s">
        <v>3354</v>
      </c>
      <c r="C1628" s="567"/>
      <c r="D1628" s="567"/>
      <c r="E1628" s="1021">
        <f>'Part IX A-Scoring Criteria'!E310</f>
        <v>0</v>
      </c>
      <c r="F1628" s="1021">
        <f>'Part IX A-Scoring Criteria'!F310</f>
        <v>0</v>
      </c>
      <c r="G1628" s="1013">
        <f>E1628+F1628</f>
        <v>0</v>
      </c>
      <c r="H1628" s="567"/>
      <c r="I1628" s="1021">
        <f>'Part IX A-Scoring Criteria'!I310</f>
        <v>0</v>
      </c>
      <c r="J1628" s="1021">
        <f>'Part IX A-Scoring Criteria'!J310</f>
        <v>0</v>
      </c>
      <c r="K1628" s="1013">
        <f>I1628+J1628</f>
        <v>0</v>
      </c>
      <c r="L1628" s="567"/>
      <c r="M1628" s="1589" t="str">
        <f>IF(AND(G1628=0,K1628=0),"n/a",IF(G1628&gt;K1628,"Yes", "No"))</f>
        <v>n/a</v>
      </c>
      <c r="N1628" s="1589"/>
      <c r="O1628" s="1590" t="str">
        <f>IF(AND(M1628="n/a",M1629="n/a",M1630="n/a",M1631="n/a",M1632="n/a"),"n/a",IF(AND(M1628="Yes",M1629="Yes",M1630="Yes",M1631="Yes",M1632="Yes"),"Yes",IF(OR(M1628="No",M1629="No",M1630="No",M1631="No",M1632="No"), "No", "No")))</f>
        <v>n/a</v>
      </c>
      <c r="P1628" s="1075"/>
      <c r="Q1628" s="567"/>
    </row>
    <row r="1629" spans="1:17">
      <c r="A1629" s="945"/>
      <c r="B1629" s="1066" t="s">
        <v>3360</v>
      </c>
      <c r="C1629" s="567"/>
      <c r="D1629" s="567"/>
      <c r="E1629" s="1021">
        <f>'Part IX A-Scoring Criteria'!E311</f>
        <v>0</v>
      </c>
      <c r="F1629" s="1021">
        <f>'Part IX A-Scoring Criteria'!F311</f>
        <v>0</v>
      </c>
      <c r="G1629" s="1013">
        <f>E1629+F1629</f>
        <v>0</v>
      </c>
      <c r="H1629" s="567"/>
      <c r="I1629" s="1021">
        <f>'Part IX A-Scoring Criteria'!I311</f>
        <v>0</v>
      </c>
      <c r="J1629" s="1021">
        <f>'Part IX A-Scoring Criteria'!J311</f>
        <v>0</v>
      </c>
      <c r="K1629" s="1013">
        <f>I1629+J1629</f>
        <v>0</v>
      </c>
      <c r="L1629" s="567"/>
      <c r="M1629" s="1589" t="str">
        <f>IF(AND(G1629=0,K1629=0),"n/a",IF(G1629&gt;K1629,"Yes", "No"))</f>
        <v>n/a</v>
      </c>
      <c r="N1629" s="1589"/>
      <c r="O1629" s="1590"/>
      <c r="P1629" s="1075"/>
      <c r="Q1629" s="567"/>
    </row>
    <row r="1630" spans="1:17">
      <c r="A1630" s="945"/>
      <c r="B1630" s="1066" t="s">
        <v>3355</v>
      </c>
      <c r="C1630" s="567"/>
      <c r="D1630" s="567"/>
      <c r="E1630" s="1021">
        <f>'Part IX A-Scoring Criteria'!E312</f>
        <v>0</v>
      </c>
      <c r="F1630" s="1021">
        <f>'Part IX A-Scoring Criteria'!F312</f>
        <v>0</v>
      </c>
      <c r="G1630" s="1013">
        <f>E1630+F1630</f>
        <v>0</v>
      </c>
      <c r="H1630" s="567"/>
      <c r="I1630" s="1021">
        <f>'Part IX A-Scoring Criteria'!I312</f>
        <v>0</v>
      </c>
      <c r="J1630" s="1021">
        <f>'Part IX A-Scoring Criteria'!J312</f>
        <v>0</v>
      </c>
      <c r="K1630" s="1013">
        <f>I1630+J1630</f>
        <v>0</v>
      </c>
      <c r="L1630" s="567"/>
      <c r="M1630" s="1589" t="str">
        <f>IF(AND(G1630=0,K1630=0),"n/a",IF(G1630&gt;K1630,"Yes", "No"))</f>
        <v>n/a</v>
      </c>
      <c r="N1630" s="1589"/>
      <c r="O1630" s="1590"/>
      <c r="P1630" s="1075"/>
      <c r="Q1630" s="567"/>
    </row>
    <row r="1631" spans="1:17" ht="15">
      <c r="A1631" s="951"/>
      <c r="B1631" s="1066" t="s">
        <v>3356</v>
      </c>
      <c r="C1631" s="567"/>
      <c r="D1631" s="567"/>
      <c r="E1631" s="1021">
        <f>'Part IX A-Scoring Criteria'!E313</f>
        <v>0</v>
      </c>
      <c r="F1631" s="1021">
        <f>'Part IX A-Scoring Criteria'!F313</f>
        <v>0</v>
      </c>
      <c r="G1631" s="1013">
        <f>E1631+F1631</f>
        <v>0</v>
      </c>
      <c r="H1631" s="567"/>
      <c r="I1631" s="1021">
        <f>'Part IX A-Scoring Criteria'!I313</f>
        <v>0</v>
      </c>
      <c r="J1631" s="1021">
        <f>'Part IX A-Scoring Criteria'!J313</f>
        <v>0</v>
      </c>
      <c r="K1631" s="1013">
        <f>I1631+J1631</f>
        <v>0</v>
      </c>
      <c r="L1631" s="567"/>
      <c r="M1631" s="1589" t="str">
        <f>IF(AND(G1631=0,K1631=0),"n/a",IF(G1631&gt;K1631,"Yes", "No"))</f>
        <v>n/a</v>
      </c>
      <c r="N1631" s="1589"/>
      <c r="O1631" s="1590"/>
      <c r="P1631" s="1075"/>
      <c r="Q1631" s="971"/>
    </row>
    <row r="1632" spans="1:17">
      <c r="A1632" s="945"/>
      <c r="B1632" s="1066" t="s">
        <v>3357</v>
      </c>
      <c r="C1632" s="567"/>
      <c r="D1632" s="567"/>
      <c r="E1632" s="1021">
        <f>'Part IX A-Scoring Criteria'!E314</f>
        <v>0</v>
      </c>
      <c r="F1632" s="1021">
        <f>'Part IX A-Scoring Criteria'!F314</f>
        <v>0</v>
      </c>
      <c r="G1632" s="1013">
        <f>E1632+F1632</f>
        <v>0</v>
      </c>
      <c r="H1632" s="567"/>
      <c r="I1632" s="1021">
        <f>'Part IX A-Scoring Criteria'!I314</f>
        <v>0</v>
      </c>
      <c r="J1632" s="1021">
        <f>'Part IX A-Scoring Criteria'!J314</f>
        <v>0</v>
      </c>
      <c r="K1632" s="1013">
        <f>I1632+J1632</f>
        <v>0</v>
      </c>
      <c r="L1632" s="567"/>
      <c r="M1632" s="1589" t="str">
        <f>IF(AND(G1632=0,K1632=0),"n/a",IF(G1632&gt;K1632,"Yes", "No"))</f>
        <v>n/a</v>
      </c>
      <c r="N1632" s="1589"/>
      <c r="O1632" s="1590"/>
      <c r="P1632" s="1075"/>
      <c r="Q1632" s="567"/>
    </row>
    <row r="1633" spans="1:21" ht="15">
      <c r="A1633" s="945"/>
      <c r="B1633" s="971"/>
      <c r="C1633" s="1071"/>
      <c r="D1633" s="1071"/>
      <c r="E1633" s="1071"/>
      <c r="F1633" s="1071"/>
      <c r="G1633" s="971"/>
      <c r="H1633" s="971"/>
      <c r="I1633" s="1071"/>
      <c r="J1633" s="1071"/>
      <c r="K1633" s="971"/>
      <c r="L1633" s="971"/>
      <c r="M1633" s="971"/>
      <c r="N1633" s="971"/>
      <c r="O1633" s="971"/>
      <c r="P1633" s="1063"/>
      <c r="Q1633" s="567"/>
    </row>
    <row r="1634" spans="1:21">
      <c r="A1634" s="945"/>
      <c r="B1634" s="1066" t="s">
        <v>3354</v>
      </c>
      <c r="C1634" s="567"/>
      <c r="D1634" s="567"/>
      <c r="E1634" s="1021">
        <f>'Part IX A-Scoring Criteria'!E316</f>
        <v>0</v>
      </c>
      <c r="F1634" s="1021">
        <f>'Part IX A-Scoring Criteria'!F316</f>
        <v>0</v>
      </c>
      <c r="G1634" s="1013">
        <f>E1634+F1634</f>
        <v>0</v>
      </c>
      <c r="H1634" s="567"/>
      <c r="I1634" s="1021">
        <f>'Part IX A-Scoring Criteria'!I316</f>
        <v>0</v>
      </c>
      <c r="J1634" s="1021">
        <f>'Part IX A-Scoring Criteria'!J316</f>
        <v>0</v>
      </c>
      <c r="K1634" s="1013">
        <f>I1634+J1634</f>
        <v>0</v>
      </c>
      <c r="L1634" s="567"/>
      <c r="M1634" s="1589" t="str">
        <f>IF(AND(G1634=0,K1634=0),"n/a",IF(G1634&gt;K1634,"Yes", "No"))</f>
        <v>n/a</v>
      </c>
      <c r="N1634" s="1589"/>
      <c r="O1634" s="1590" t="str">
        <f>IF(AND(M1634="n/a",M1635="n/a",M1636="n/a",M1637="n/a",M1638="n/a"),"n/a",IF(AND(M1634="Yes",M1635="Yes",M1636="Yes",M1637="Yes",M1638="Yes"),"Yes",IF(OR(M1634="No",M1635="No",M1636="No",M1637="No",M1638="No"), "No", "No")))</f>
        <v>n/a</v>
      </c>
      <c r="P1634" s="1063"/>
      <c r="Q1634" s="567"/>
    </row>
    <row r="1635" spans="1:21">
      <c r="A1635" s="945"/>
      <c r="B1635" s="1066" t="s">
        <v>3360</v>
      </c>
      <c r="C1635" s="567"/>
      <c r="D1635" s="567"/>
      <c r="E1635" s="1021">
        <f>'Part IX A-Scoring Criteria'!E317</f>
        <v>0</v>
      </c>
      <c r="F1635" s="1021">
        <f>'Part IX A-Scoring Criteria'!F317</f>
        <v>0</v>
      </c>
      <c r="G1635" s="1013">
        <f>E1635+F1635</f>
        <v>0</v>
      </c>
      <c r="H1635" s="567"/>
      <c r="I1635" s="1021">
        <f>'Part IX A-Scoring Criteria'!I317</f>
        <v>0</v>
      </c>
      <c r="J1635" s="1021">
        <f>'Part IX A-Scoring Criteria'!J317</f>
        <v>0</v>
      </c>
      <c r="K1635" s="1013">
        <f>I1635+J1635</f>
        <v>0</v>
      </c>
      <c r="L1635" s="567"/>
      <c r="M1635" s="1589" t="str">
        <f>IF(AND(G1635=0,K1635=0),"n/a",IF(G1635&gt;K1635,"Yes", "No"))</f>
        <v>n/a</v>
      </c>
      <c r="N1635" s="1589"/>
      <c r="O1635" s="1590"/>
      <c r="P1635" s="1063"/>
      <c r="Q1635" s="567"/>
    </row>
    <row r="1636" spans="1:21">
      <c r="A1636" s="945"/>
      <c r="B1636" s="1066" t="s">
        <v>3355</v>
      </c>
      <c r="C1636" s="567"/>
      <c r="D1636" s="567"/>
      <c r="E1636" s="1021">
        <f>'Part IX A-Scoring Criteria'!E318</f>
        <v>0</v>
      </c>
      <c r="F1636" s="1021">
        <f>'Part IX A-Scoring Criteria'!F318</f>
        <v>0</v>
      </c>
      <c r="G1636" s="1013">
        <f>E1636+F1636</f>
        <v>0</v>
      </c>
      <c r="H1636" s="567"/>
      <c r="I1636" s="1021">
        <f>'Part IX A-Scoring Criteria'!I318</f>
        <v>0</v>
      </c>
      <c r="J1636" s="1021">
        <f>'Part IX A-Scoring Criteria'!J318</f>
        <v>0</v>
      </c>
      <c r="K1636" s="1013">
        <f>I1636+J1636</f>
        <v>0</v>
      </c>
      <c r="L1636" s="567"/>
      <c r="M1636" s="1589" t="str">
        <f>IF(AND(G1636=0,K1636=0),"n/a",IF(G1636&gt;K1636,"Yes", "No"))</f>
        <v>n/a</v>
      </c>
      <c r="N1636" s="1589"/>
      <c r="O1636" s="1590"/>
      <c r="P1636" s="1063"/>
      <c r="Q1636" s="567"/>
    </row>
    <row r="1637" spans="1:21">
      <c r="A1637" s="945"/>
      <c r="B1637" s="1066" t="s">
        <v>3356</v>
      </c>
      <c r="C1637" s="567"/>
      <c r="D1637" s="567"/>
      <c r="E1637" s="1021">
        <f>'Part IX A-Scoring Criteria'!E319</f>
        <v>0</v>
      </c>
      <c r="F1637" s="1021">
        <f>'Part IX A-Scoring Criteria'!F319</f>
        <v>0</v>
      </c>
      <c r="G1637" s="1013">
        <f>E1637+F1637</f>
        <v>0</v>
      </c>
      <c r="H1637" s="567"/>
      <c r="I1637" s="1021">
        <f>'Part IX A-Scoring Criteria'!I319</f>
        <v>0</v>
      </c>
      <c r="J1637" s="1021">
        <f>'Part IX A-Scoring Criteria'!J319</f>
        <v>0</v>
      </c>
      <c r="K1637" s="1013">
        <f>I1637+J1637</f>
        <v>0</v>
      </c>
      <c r="L1637" s="567"/>
      <c r="M1637" s="1589" t="str">
        <f>IF(AND(G1637=0,K1637=0),"n/a",IF(G1637&gt;K1637,"Yes", "No"))</f>
        <v>n/a</v>
      </c>
      <c r="N1637" s="1589"/>
      <c r="O1637" s="1590"/>
      <c r="P1637" s="1063"/>
      <c r="Q1637" s="567"/>
    </row>
    <row r="1638" spans="1:21" ht="15">
      <c r="A1638" s="951"/>
      <c r="B1638" s="1066" t="s">
        <v>3357</v>
      </c>
      <c r="C1638" s="567"/>
      <c r="D1638" s="567"/>
      <c r="E1638" s="1021">
        <f>'Part IX A-Scoring Criteria'!E320</f>
        <v>0</v>
      </c>
      <c r="F1638" s="1021">
        <f>'Part IX A-Scoring Criteria'!F320</f>
        <v>0</v>
      </c>
      <c r="G1638" s="1013">
        <f>E1638+F1638</f>
        <v>0</v>
      </c>
      <c r="H1638" s="567"/>
      <c r="I1638" s="1021">
        <f>'Part IX A-Scoring Criteria'!I320</f>
        <v>0</v>
      </c>
      <c r="J1638" s="1021">
        <f>'Part IX A-Scoring Criteria'!J320</f>
        <v>0</v>
      </c>
      <c r="K1638" s="1013">
        <f>I1638+J1638</f>
        <v>0</v>
      </c>
      <c r="L1638" s="567"/>
      <c r="M1638" s="1589" t="str">
        <f>IF(AND(G1638=0,K1638=0),"n/a",IF(G1638&gt;K1638,"Yes", "No"))</f>
        <v>n/a</v>
      </c>
      <c r="N1638" s="1589"/>
      <c r="O1638" s="1590"/>
      <c r="P1638" s="1063"/>
      <c r="Q1638" s="971"/>
    </row>
    <row r="1639" spans="1:21" ht="15">
      <c r="A1639" s="583"/>
      <c r="B1639" s="946" t="s">
        <v>269</v>
      </c>
      <c r="C1639" s="583"/>
      <c r="D1639" s="587"/>
      <c r="E1639" s="587"/>
      <c r="F1639" s="587"/>
      <c r="G1639" s="587"/>
      <c r="H1639" s="584"/>
      <c r="I1639" s="584"/>
      <c r="J1639" s="584"/>
      <c r="K1639" s="584"/>
      <c r="L1639" s="971"/>
      <c r="M1639" s="828"/>
      <c r="N1639" s="832"/>
      <c r="O1639" s="967"/>
      <c r="P1639" s="1115"/>
      <c r="Q1639" s="971"/>
    </row>
    <row r="1640" spans="1:21" ht="15.75">
      <c r="A1640" s="1575">
        <f>'Part IX A-Scoring Criteria'!A322</f>
        <v>0</v>
      </c>
      <c r="B1640" s="1575"/>
      <c r="C1640" s="1575"/>
      <c r="D1640" s="1575"/>
      <c r="E1640" s="1575"/>
      <c r="F1640" s="1575"/>
      <c r="G1640" s="1575"/>
      <c r="H1640" s="1575"/>
      <c r="I1640" s="1575"/>
      <c r="J1640" s="1575"/>
      <c r="K1640" s="1575"/>
      <c r="L1640" s="1575"/>
      <c r="M1640" s="1575"/>
      <c r="N1640" s="1575"/>
      <c r="O1640" s="1575"/>
      <c r="P1640" s="1575"/>
      <c r="Q1640" s="972" t="s">
        <v>1332</v>
      </c>
    </row>
    <row r="1641" spans="1:21" ht="15">
      <c r="A1641" s="583"/>
      <c r="B1641" s="947" t="s">
        <v>1996</v>
      </c>
      <c r="C1641" s="583"/>
      <c r="D1641" s="947"/>
      <c r="E1641" s="1065"/>
      <c r="F1641" s="1065"/>
      <c r="G1641" s="1065"/>
      <c r="H1641" s="1065"/>
      <c r="I1641" s="1065"/>
      <c r="J1641" s="1065"/>
      <c r="K1641" s="1065"/>
      <c r="L1641" s="1065"/>
      <c r="M1641" s="1065"/>
      <c r="N1641" s="982"/>
      <c r="O1641" s="983"/>
      <c r="P1641" s="1084"/>
      <c r="Q1641" s="977"/>
    </row>
    <row r="1642" spans="1:21" ht="15.75">
      <c r="A1642" s="1575"/>
      <c r="B1642" s="1575"/>
      <c r="C1642" s="1575"/>
      <c r="D1642" s="1575"/>
      <c r="E1642" s="1575"/>
      <c r="F1642" s="1575"/>
      <c r="G1642" s="1575"/>
      <c r="H1642" s="1575"/>
      <c r="I1642" s="1575"/>
      <c r="J1642" s="1575"/>
      <c r="K1642" s="1575"/>
      <c r="L1642" s="1575"/>
      <c r="M1642" s="1575"/>
      <c r="N1642" s="1575"/>
      <c r="O1642" s="1575"/>
      <c r="P1642" s="1575"/>
      <c r="Q1642" s="972" t="s">
        <v>1332</v>
      </c>
    </row>
    <row r="1643" spans="1:21" ht="15">
      <c r="A1643" s="583"/>
      <c r="B1643" s="971"/>
      <c r="C1643" s="1065"/>
      <c r="D1643" s="1065"/>
      <c r="E1643" s="1065"/>
      <c r="F1643" s="1065"/>
      <c r="G1643" s="1065"/>
      <c r="H1643" s="1065"/>
      <c r="I1643" s="1065"/>
      <c r="J1643" s="1065"/>
      <c r="K1643" s="1065"/>
      <c r="L1643" s="1065"/>
      <c r="M1643" s="1065"/>
      <c r="N1643" s="982"/>
      <c r="O1643" s="983"/>
      <c r="P1643" s="1084"/>
      <c r="Q1643" s="971"/>
    </row>
    <row r="1644" spans="1:21" ht="15">
      <c r="A1644" s="1002" t="s">
        <v>3369</v>
      </c>
      <c r="B1644" s="969" t="s">
        <v>3368</v>
      </c>
      <c r="C1644" s="971"/>
      <c r="D1644" s="984"/>
      <c r="E1644" s="984"/>
      <c r="F1644" s="984"/>
      <c r="G1644" s="984"/>
      <c r="H1644" s="984"/>
      <c r="I1644" s="984"/>
      <c r="J1644" s="984"/>
      <c r="K1644" s="984"/>
      <c r="L1644" s="971"/>
      <c r="M1644" s="828">
        <v>2</v>
      </c>
      <c r="N1644" s="985"/>
      <c r="O1644" s="1069">
        <f>'Part IX A-Scoring Criteria'!O326</f>
        <v>1</v>
      </c>
      <c r="P1644" s="1084"/>
      <c r="Q1644" s="1084" t="s">
        <v>463</v>
      </c>
      <c r="U1644" s="967">
        <f>'Part IX A-Scoring Criteria'!O326</f>
        <v>1</v>
      </c>
    </row>
    <row r="1645" spans="1:21">
      <c r="A1645" s="567"/>
      <c r="B1645" s="567"/>
      <c r="C1645" s="567"/>
      <c r="D1645" s="567"/>
      <c r="E1645" s="567"/>
      <c r="F1645" s="567"/>
      <c r="G1645" s="567"/>
      <c r="H1645" s="945"/>
      <c r="I1645" s="945"/>
      <c r="J1645" s="945"/>
      <c r="K1645" s="945"/>
      <c r="L1645" s="945"/>
      <c r="M1645" s="567"/>
      <c r="N1645" s="567"/>
      <c r="O1645" s="567"/>
      <c r="P1645" s="567"/>
      <c r="Q1645" s="567"/>
    </row>
    <row r="1646" spans="1:21">
      <c r="A1646" s="945"/>
      <c r="B1646" s="567"/>
      <c r="C1646" s="567"/>
      <c r="D1646" s="567"/>
      <c r="E1646" s="567"/>
      <c r="F1646" s="567"/>
      <c r="G1646" s="567"/>
      <c r="H1646" s="567"/>
      <c r="I1646" s="567" t="s">
        <v>3374</v>
      </c>
      <c r="J1646" s="567"/>
      <c r="K1646" s="1621" t="str">
        <f>'Part IX A-Scoring Criteria'!K328</f>
        <v>Rome</v>
      </c>
      <c r="L1646" s="1621"/>
      <c r="M1646" s="1621"/>
      <c r="N1646" s="567"/>
      <c r="O1646" s="567"/>
      <c r="P1646" s="567"/>
      <c r="Q1646" s="567"/>
    </row>
    <row r="1647" spans="1:21">
      <c r="A1647" s="951" t="s">
        <v>2118</v>
      </c>
      <c r="B1647" s="567"/>
      <c r="C1647" s="1061" t="s">
        <v>3378</v>
      </c>
      <c r="D1647" s="567"/>
      <c r="E1647" s="567"/>
      <c r="F1647" s="567"/>
      <c r="G1647" s="1064">
        <f>'Part IX A-Scoring Criteria'!G329</f>
        <v>13032</v>
      </c>
      <c r="H1647" s="567"/>
      <c r="I1647" s="1621" t="s">
        <v>3375</v>
      </c>
      <c r="J1647" s="1621"/>
      <c r="K1647" s="1621" t="str">
        <f>'Part IX A-Scoring Criteria'!K329</f>
        <v>Floyd</v>
      </c>
      <c r="L1647" s="1621"/>
      <c r="M1647" s="1621"/>
      <c r="N1647" s="567"/>
      <c r="O1647" s="567"/>
      <c r="P1647" s="567"/>
      <c r="Q1647" s="567"/>
    </row>
    <row r="1648" spans="1:21">
      <c r="A1648" s="951"/>
      <c r="B1648" s="567"/>
      <c r="C1648" s="1061"/>
      <c r="D1648" s="567"/>
      <c r="E1648" s="567"/>
      <c r="F1648" s="567"/>
      <c r="G1648" s="567"/>
      <c r="H1648" s="567"/>
      <c r="I1648" s="1066" t="s">
        <v>3376</v>
      </c>
      <c r="J1648" s="567"/>
      <c r="K1648" s="1621" t="str">
        <f>'Part IX A-Scoring Criteria'!K330</f>
        <v>Rome</v>
      </c>
      <c r="L1648" s="1621"/>
      <c r="M1648" s="1621"/>
      <c r="N1648" s="567"/>
      <c r="O1648" s="567"/>
      <c r="P1648" s="567"/>
      <c r="Q1648" s="567"/>
    </row>
    <row r="1649" spans="1:21">
      <c r="A1649" s="955" t="s">
        <v>2121</v>
      </c>
      <c r="B1649" s="1066" t="s">
        <v>3373</v>
      </c>
      <c r="C1649" s="1066"/>
      <c r="D1649" s="1061"/>
      <c r="E1649" s="1061"/>
      <c r="F1649" s="567"/>
      <c r="G1649" s="1054">
        <f>'Part IX A-Scoring Criteria'!G331</f>
        <v>0.5</v>
      </c>
      <c r="H1649" s="567"/>
      <c r="I1649" s="1066" t="s">
        <v>3589</v>
      </c>
      <c r="J1649" s="567"/>
      <c r="K1649" s="1621" t="str">
        <f>'Part IX A-Scoring Criteria'!K331</f>
        <v>MSA</v>
      </c>
      <c r="L1649" s="1621"/>
      <c r="M1649" s="1621"/>
      <c r="N1649" s="567"/>
      <c r="O1649" s="567"/>
      <c r="P1649" s="567"/>
      <c r="Q1649" s="567"/>
    </row>
    <row r="1650" spans="1:21">
      <c r="A1650" s="945"/>
      <c r="B1650" s="1066" t="s">
        <v>3372</v>
      </c>
      <c r="C1650" s="1066"/>
      <c r="D1650" s="1061"/>
      <c r="E1650" s="1061"/>
      <c r="F1650" s="945"/>
      <c r="G1650" s="945"/>
      <c r="H1650" s="567"/>
      <c r="I1650" s="567" t="s">
        <v>3590</v>
      </c>
      <c r="J1650" s="567"/>
      <c r="K1650" s="1621" t="str">
        <f>'Part IX A-Scoring Criteria'!K332</f>
        <v>Urban</v>
      </c>
      <c r="L1650" s="1621"/>
      <c r="M1650" s="1621"/>
      <c r="N1650" s="567"/>
      <c r="O1650" s="567"/>
      <c r="P1650" s="567"/>
      <c r="Q1650" s="567"/>
    </row>
    <row r="1651" spans="1:21">
      <c r="A1651" s="945"/>
      <c r="B1651" s="1066"/>
      <c r="C1651" s="1066"/>
      <c r="D1651" s="1061"/>
      <c r="E1651" s="1061"/>
      <c r="F1651" s="945"/>
      <c r="G1651" s="945"/>
      <c r="H1651" s="567"/>
      <c r="I1651" s="567" t="s">
        <v>3588</v>
      </c>
      <c r="J1651" s="567"/>
      <c r="K1651" s="1621">
        <f>'Part IX A-Scoring Criteria'!K333</f>
        <v>0</v>
      </c>
      <c r="L1651" s="1621"/>
      <c r="M1651" s="1621"/>
      <c r="N1651" s="567"/>
      <c r="O1651" s="567"/>
      <c r="P1651" s="567"/>
      <c r="Q1651" s="567"/>
    </row>
    <row r="1652" spans="1:21">
      <c r="A1652" s="567"/>
      <c r="B1652" s="567"/>
      <c r="C1652" s="567"/>
      <c r="D1652" s="567"/>
      <c r="E1652" s="567"/>
      <c r="F1652" s="567"/>
      <c r="G1652" s="567"/>
      <c r="H1652" s="945"/>
      <c r="I1652" s="945"/>
      <c r="J1652" s="945"/>
      <c r="K1652" s="945"/>
      <c r="L1652" s="945"/>
      <c r="M1652" s="567"/>
      <c r="N1652" s="567"/>
      <c r="O1652" s="567"/>
      <c r="P1652" s="567"/>
      <c r="Q1652" s="567"/>
    </row>
    <row r="1653" spans="1:21">
      <c r="A1653" s="945"/>
      <c r="B1653" s="945"/>
      <c r="C1653" s="1067" t="s">
        <v>3370</v>
      </c>
      <c r="D1653" s="1733" t="s">
        <v>3371</v>
      </c>
      <c r="E1653" s="1733"/>
      <c r="F1653" s="1733"/>
      <c r="G1653" s="1733"/>
      <c r="H1653" s="1733"/>
      <c r="I1653" s="1733"/>
      <c r="J1653" s="1733"/>
      <c r="K1653" s="1733"/>
      <c r="L1653" s="1067" t="s">
        <v>1710</v>
      </c>
      <c r="M1653" s="1067" t="s">
        <v>2781</v>
      </c>
      <c r="N1653" s="567"/>
      <c r="O1653" s="567"/>
      <c r="P1653" s="567"/>
      <c r="Q1653" s="567"/>
    </row>
    <row r="1654" spans="1:21">
      <c r="A1654" s="945"/>
      <c r="B1654" s="945"/>
      <c r="C1654" s="1067" t="s">
        <v>1282</v>
      </c>
      <c r="D1654" s="1734" t="s">
        <v>3377</v>
      </c>
      <c r="E1654" s="1734"/>
      <c r="F1654" s="1734"/>
      <c r="G1654" s="1734"/>
      <c r="H1654" s="1734"/>
      <c r="I1654" s="1734"/>
      <c r="J1654" s="1734"/>
      <c r="K1654" s="1734"/>
      <c r="L1654" s="1067" t="s">
        <v>2796</v>
      </c>
      <c r="M1654" s="1067" t="s">
        <v>1359</v>
      </c>
      <c r="N1654" s="567"/>
      <c r="O1654" s="567"/>
      <c r="P1654" s="567"/>
      <c r="Q1654" s="567"/>
    </row>
    <row r="1655" spans="1:21">
      <c r="A1655" s="945"/>
      <c r="B1655" s="945"/>
      <c r="C1655" s="1064">
        <v>20000</v>
      </c>
      <c r="D1655" s="1737">
        <v>15000</v>
      </c>
      <c r="E1655" s="1737"/>
      <c r="F1655" s="1737"/>
      <c r="G1655" s="1737"/>
      <c r="H1655" s="1737"/>
      <c r="I1655" s="1737"/>
      <c r="J1655" s="1737"/>
      <c r="K1655" s="1737"/>
      <c r="L1655" s="1064">
        <v>6000</v>
      </c>
      <c r="M1655" s="1064">
        <v>3000</v>
      </c>
      <c r="N1655" s="567"/>
      <c r="O1655" s="567"/>
      <c r="P1655" s="567"/>
      <c r="Q1655" s="567"/>
    </row>
    <row r="1656" spans="1:21">
      <c r="A1656" s="945"/>
      <c r="B1656" s="956"/>
      <c r="C1656" s="1071"/>
      <c r="D1656" s="1071"/>
      <c r="E1656" s="1071"/>
      <c r="F1656" s="1071"/>
      <c r="G1656" s="1071"/>
      <c r="H1656" s="1071"/>
      <c r="I1656" s="1071"/>
      <c r="J1656" s="1071"/>
      <c r="K1656" s="1071"/>
      <c r="L1656" s="1071"/>
      <c r="M1656" s="567"/>
      <c r="N1656" s="567"/>
      <c r="O1656" s="567"/>
      <c r="P1656" s="567"/>
      <c r="Q1656" s="567"/>
    </row>
    <row r="1657" spans="1:21" ht="15">
      <c r="A1657" s="583"/>
      <c r="B1657" s="946" t="s">
        <v>269</v>
      </c>
      <c r="C1657" s="583"/>
      <c r="D1657" s="587"/>
      <c r="E1657" s="587"/>
      <c r="F1657" s="587"/>
      <c r="G1657" s="587"/>
      <c r="H1657" s="584"/>
      <c r="I1657" s="584"/>
      <c r="J1657" s="584"/>
      <c r="K1657" s="584"/>
      <c r="L1657" s="971"/>
      <c r="M1657" s="828"/>
      <c r="N1657" s="832"/>
      <c r="O1657" s="967"/>
      <c r="P1657" s="1115"/>
      <c r="Q1657" s="971"/>
    </row>
    <row r="1658" spans="1:21" ht="15.75">
      <c r="A1658" s="1575">
        <f>'Part IX A-Scoring Criteria'!A340</f>
        <v>0</v>
      </c>
      <c r="B1658" s="1575"/>
      <c r="C1658" s="1575"/>
      <c r="D1658" s="1575"/>
      <c r="E1658" s="1575"/>
      <c r="F1658" s="1575"/>
      <c r="G1658" s="1575"/>
      <c r="H1658" s="1575"/>
      <c r="I1658" s="1575"/>
      <c r="J1658" s="1575"/>
      <c r="K1658" s="1575"/>
      <c r="L1658" s="1575"/>
      <c r="M1658" s="1575"/>
      <c r="N1658" s="1575"/>
      <c r="O1658" s="1575"/>
      <c r="P1658" s="1575"/>
      <c r="Q1658" s="972" t="s">
        <v>1332</v>
      </c>
    </row>
    <row r="1659" spans="1:21" ht="15">
      <c r="A1659" s="583"/>
      <c r="B1659" s="947" t="s">
        <v>1996</v>
      </c>
      <c r="C1659" s="583"/>
      <c r="D1659" s="947"/>
      <c r="E1659" s="1065"/>
      <c r="F1659" s="1065"/>
      <c r="G1659" s="1065"/>
      <c r="H1659" s="1065"/>
      <c r="I1659" s="1065"/>
      <c r="J1659" s="1065"/>
      <c r="K1659" s="1065"/>
      <c r="L1659" s="1065"/>
      <c r="M1659" s="1065"/>
      <c r="N1659" s="982"/>
      <c r="O1659" s="983"/>
      <c r="P1659" s="1084"/>
      <c r="Q1659" s="977"/>
    </row>
    <row r="1660" spans="1:21" ht="15.75">
      <c r="A1660" s="1575"/>
      <c r="B1660" s="1575"/>
      <c r="C1660" s="1575"/>
      <c r="D1660" s="1575"/>
      <c r="E1660" s="1575"/>
      <c r="F1660" s="1575"/>
      <c r="G1660" s="1575"/>
      <c r="H1660" s="1575"/>
      <c r="I1660" s="1575"/>
      <c r="J1660" s="1575"/>
      <c r="K1660" s="1575"/>
      <c r="L1660" s="1575"/>
      <c r="M1660" s="1575"/>
      <c r="N1660" s="1575"/>
      <c r="O1660" s="1575"/>
      <c r="P1660" s="1575"/>
      <c r="Q1660" s="972" t="s">
        <v>1332</v>
      </c>
    </row>
    <row r="1661" spans="1:21" ht="15">
      <c r="A1661" s="583"/>
      <c r="B1661" s="971"/>
      <c r="C1661" s="1065"/>
      <c r="D1661" s="1065"/>
      <c r="E1661" s="1065"/>
      <c r="F1661" s="1065"/>
      <c r="G1661" s="1065"/>
      <c r="H1661" s="1065"/>
      <c r="I1661" s="1065"/>
      <c r="J1661" s="1065"/>
      <c r="K1661" s="1065"/>
      <c r="L1661" s="1065"/>
      <c r="M1661" s="1065"/>
      <c r="N1661" s="982"/>
      <c r="O1661" s="983"/>
      <c r="P1661" s="1084"/>
      <c r="Q1661" s="971"/>
    </row>
    <row r="1662" spans="1:21" ht="15">
      <c r="A1662" s="1002" t="s">
        <v>3367</v>
      </c>
      <c r="B1662" s="969" t="s">
        <v>1792</v>
      </c>
      <c r="C1662" s="995"/>
      <c r="D1662" s="988"/>
      <c r="E1662" s="988"/>
      <c r="F1662" s="584"/>
      <c r="G1662" s="584"/>
      <c r="H1662" s="995"/>
      <c r="I1662" s="584"/>
      <c r="J1662" s="584"/>
      <c r="K1662" s="584"/>
      <c r="L1662" s="994" t="str">
        <f>IF(OR($O1662=$M1662,$O1662&lt;=0,$O1662=""),"","* * Check Score! * *")</f>
        <v/>
      </c>
      <c r="M1662" s="1084">
        <v>10</v>
      </c>
      <c r="N1662" s="828"/>
      <c r="O1662" s="967">
        <f>O1664</f>
        <v>10</v>
      </c>
      <c r="P1662" s="967">
        <f>P1664</f>
        <v>0</v>
      </c>
      <c r="Q1662" s="1084" t="s">
        <v>463</v>
      </c>
      <c r="U1662" s="967">
        <f>'Part IX A-Scoring Criteria'!O344</f>
        <v>10</v>
      </c>
    </row>
    <row r="1663" spans="1:21">
      <c r="B1663" s="567" t="s">
        <v>2720</v>
      </c>
      <c r="M1663" s="583"/>
      <c r="N1663" s="583"/>
      <c r="O1663" s="1069" t="str">
        <f>'Part IX A-Scoring Criteria'!O345</f>
        <v>No</v>
      </c>
      <c r="P1663" s="1124"/>
    </row>
    <row r="1664" spans="1:21">
      <c r="A1664" s="951" t="s">
        <v>2118</v>
      </c>
      <c r="B1664" s="905" t="s">
        <v>1532</v>
      </c>
      <c r="D1664" s="583"/>
      <c r="E1664" s="583"/>
      <c r="F1664" s="583"/>
      <c r="G1664" s="583"/>
      <c r="H1664" s="583"/>
      <c r="I1664" s="583"/>
      <c r="J1664" s="583"/>
      <c r="K1664" s="583"/>
      <c r="L1664" s="583"/>
      <c r="M1664" s="828"/>
      <c r="N1664" s="944" t="s">
        <v>2118</v>
      </c>
      <c r="O1664" s="1069">
        <f>'Part IX A-Scoring Criteria'!O346</f>
        <v>10</v>
      </c>
      <c r="P1664" s="518"/>
      <c r="Q1664" s="844" t="s">
        <v>2947</v>
      </c>
    </row>
    <row r="1665" spans="1:21" ht="15">
      <c r="A1665" s="583"/>
      <c r="B1665" s="946" t="s">
        <v>269</v>
      </c>
      <c r="C1665" s="583"/>
      <c r="D1665" s="587"/>
      <c r="E1665" s="587"/>
      <c r="F1665" s="587"/>
      <c r="G1665" s="587"/>
      <c r="H1665" s="584"/>
      <c r="I1665" s="584"/>
      <c r="J1665" s="584"/>
      <c r="K1665" s="584"/>
      <c r="L1665" s="971"/>
      <c r="M1665" s="828"/>
      <c r="N1665" s="832"/>
      <c r="O1665" s="967"/>
      <c r="P1665" s="1115"/>
      <c r="Q1665" s="971"/>
    </row>
    <row r="1666" spans="1:21" ht="15.75">
      <c r="A1666" s="1575">
        <f>'Part IX A-Scoring Criteria'!A348</f>
        <v>0</v>
      </c>
      <c r="B1666" s="1575"/>
      <c r="C1666" s="1575"/>
      <c r="D1666" s="1575"/>
      <c r="E1666" s="1575"/>
      <c r="F1666" s="1575"/>
      <c r="G1666" s="1575"/>
      <c r="H1666" s="1575"/>
      <c r="I1666" s="1575"/>
      <c r="J1666" s="1575"/>
      <c r="K1666" s="1575"/>
      <c r="L1666" s="1575"/>
      <c r="M1666" s="1575"/>
      <c r="N1666" s="1575"/>
      <c r="O1666" s="1575"/>
      <c r="P1666" s="1575"/>
      <c r="Q1666" s="972" t="s">
        <v>1332</v>
      </c>
    </row>
    <row r="1667" spans="1:21" ht="15">
      <c r="A1667" s="946"/>
      <c r="B1667" s="946" t="s">
        <v>1996</v>
      </c>
      <c r="C1667" s="583"/>
      <c r="D1667" s="946"/>
      <c r="E1667" s="1062"/>
      <c r="F1667" s="1062"/>
      <c r="G1667" s="1062"/>
      <c r="H1667" s="1062"/>
      <c r="I1667" s="1062"/>
      <c r="J1667" s="1062"/>
      <c r="K1667" s="1062"/>
      <c r="L1667" s="1062"/>
      <c r="M1667" s="1062"/>
      <c r="N1667" s="973"/>
      <c r="O1667" s="1126"/>
      <c r="P1667" s="1084"/>
      <c r="Q1667" s="995"/>
    </row>
    <row r="1668" spans="1:21" ht="15.75">
      <c r="A1668" s="1575"/>
      <c r="B1668" s="1575"/>
      <c r="C1668" s="1575"/>
      <c r="D1668" s="1575"/>
      <c r="E1668" s="1575"/>
      <c r="F1668" s="1575"/>
      <c r="G1668" s="1575"/>
      <c r="H1668" s="1575"/>
      <c r="I1668" s="1575"/>
      <c r="J1668" s="1575"/>
      <c r="K1668" s="1575"/>
      <c r="L1668" s="1575"/>
      <c r="M1668" s="1575"/>
      <c r="N1668" s="1575"/>
      <c r="O1668" s="1575"/>
      <c r="P1668" s="1575"/>
      <c r="Q1668" s="972" t="s">
        <v>1332</v>
      </c>
    </row>
    <row r="1669" spans="1:21" ht="15">
      <c r="A1669" s="583"/>
      <c r="B1669" s="583"/>
      <c r="C1669" s="1065"/>
      <c r="D1669" s="1065"/>
      <c r="E1669" s="1065"/>
      <c r="F1669" s="1065"/>
      <c r="G1669" s="1065"/>
      <c r="H1669" s="1065"/>
      <c r="I1669" s="1065"/>
      <c r="J1669" s="1065"/>
      <c r="K1669" s="1065"/>
      <c r="L1669" s="1065"/>
      <c r="M1669" s="1065"/>
      <c r="N1669" s="982"/>
      <c r="O1669" s="983"/>
      <c r="P1669" s="1084"/>
      <c r="Q1669" s="971"/>
    </row>
    <row r="1670" spans="1:21" ht="15">
      <c r="A1670" s="851"/>
      <c r="B1670" s="1023"/>
      <c r="C1670" s="583"/>
      <c r="F1670" s="971"/>
      <c r="G1670" s="971"/>
      <c r="H1670" s="1024" t="s">
        <v>446</v>
      </c>
      <c r="I1670" s="965"/>
      <c r="J1670" s="965"/>
      <c r="K1670" s="965"/>
      <c r="L1670" s="995"/>
      <c r="M1670" s="1025">
        <f>M1326+M1348+M1356+M1365+M1379+M1387+M1405+M1416+M1443+M1458+M1468+M1476+M1485+M1491+M1501+M1536+M1548+M1559+M1570+M1594+M1644+M1662</f>
        <v>87</v>
      </c>
      <c r="N1670" s="1026"/>
      <c r="O1670" s="1025">
        <f>O1326+O1348+O1356+O1365+O1379+O1387+O1405+O1416+O1443+O1458+O1468+O1476+O1485+O1491+O1501+O1536+O1548+O1559+O1570+O1594+O1644+O1662</f>
        <v>54</v>
      </c>
      <c r="P1670" s="1025">
        <f>P1326+P1348+P1356+P1365+P1379+P1387+P1405+P1416+P1443+P1458+P1468+P1476+P1485+P1491+P1501+P1536+P1548+P1559+P1570+P1594+P1644+P1662</f>
        <v>10</v>
      </c>
      <c r="Q1670" s="583"/>
      <c r="U1670" s="1025">
        <f>U1326+U1348+U1356+U1365+U1379+U1387+U1405+U1416+U1443+U1458+U1468+U1476+U1485+U1491+U1501+U1536+U1548+U1559+U1570+U1594+U1644+U1662</f>
        <v>54</v>
      </c>
    </row>
    <row r="1671" spans="1:21" ht="15.75">
      <c r="A1671" s="971"/>
      <c r="B1671" s="1023"/>
      <c r="C1671" s="971"/>
      <c r="F1671" s="966"/>
      <c r="G1671" s="966"/>
      <c r="H1671" s="905"/>
      <c r="I1671" s="905" t="s">
        <v>3602</v>
      </c>
      <c r="J1671" s="915"/>
      <c r="K1671" s="915"/>
      <c r="L1671" s="971"/>
      <c r="N1671" s="1084"/>
      <c r="O1671" s="1027"/>
      <c r="P1671" s="1027">
        <f>P1476</f>
        <v>0</v>
      </c>
    </row>
    <row r="1672" spans="1:21" ht="15">
      <c r="H1672" s="583"/>
      <c r="I1672" s="905" t="s">
        <v>3603</v>
      </c>
      <c r="J1672" s="915"/>
      <c r="K1672" s="915"/>
      <c r="L1672" s="971"/>
      <c r="N1672" s="1084"/>
      <c r="O1672" s="1084"/>
      <c r="P1672" s="1027">
        <f>P1536</f>
        <v>0</v>
      </c>
    </row>
    <row r="1673" spans="1:21" ht="15">
      <c r="H1673" s="971"/>
      <c r="I1673" s="905" t="s">
        <v>3604</v>
      </c>
      <c r="J1673" s="1065"/>
      <c r="K1673" s="1065"/>
      <c r="L1673" s="1065"/>
      <c r="M1673" s="1065"/>
      <c r="N1673" s="982"/>
      <c r="O1673" s="983"/>
      <c r="P1673" s="1027">
        <f>P1570</f>
        <v>0</v>
      </c>
    </row>
    <row r="1674" spans="1:21">
      <c r="H1674" s="586" t="s">
        <v>3605</v>
      </c>
      <c r="I1674" s="1084"/>
      <c r="J1674" s="1083"/>
      <c r="K1674" s="1083"/>
      <c r="L1674" s="1083"/>
      <c r="M1674" s="1059"/>
      <c r="N1674" s="1084"/>
      <c r="O1674" s="1115"/>
      <c r="P1674" s="1027">
        <f>P1670-P1671-P1672-P1673</f>
        <v>10</v>
      </c>
    </row>
    <row r="1678" spans="1:21" ht="15.75">
      <c r="A1678" s="1056" t="s">
        <v>3599</v>
      </c>
    </row>
    <row r="1679" spans="1:21" ht="16.5">
      <c r="A1679" s="1057">
        <f>'Part I-Project Information'!F1700</f>
        <v>0</v>
      </c>
    </row>
    <row r="1680" spans="1:21" ht="16.5">
      <c r="A1680" s="1057" t="str">
        <f>CONCATENATE('Part I-Project Information'!F1704,", ", 'Part I-Project Information'!J1705," County")</f>
        <v>,  County</v>
      </c>
    </row>
    <row r="1681" spans="1:1" ht="16.5">
      <c r="A1681" s="1058" t="str">
        <f>'Pt IX B-Super Proj Concept Narr'!A4</f>
        <v/>
      </c>
    </row>
    <row r="1682" spans="1:1">
      <c r="A1682" s="622"/>
    </row>
    <row r="1683" spans="1:1">
      <c r="A1683" s="1574" t="str">
        <f>'Pt IX B-Super Proj Concept Narr'!A6</f>
        <v>&lt;&lt; Enter paragraph(s) here. Press and hold Alt-Enter to start new paragraphs. &gt;&gt;</v>
      </c>
    </row>
    <row r="1684" spans="1:1">
      <c r="A1684" s="1574"/>
    </row>
    <row r="1685" spans="1:1">
      <c r="A1685" s="1574"/>
    </row>
    <row r="1686" spans="1:1">
      <c r="A1686" s="1574"/>
    </row>
    <row r="1687" spans="1:1">
      <c r="A1687" s="1574"/>
    </row>
    <row r="1688" spans="1:1">
      <c r="A1688" s="1574"/>
    </row>
    <row r="1689" spans="1:1">
      <c r="A1689" s="1574"/>
    </row>
    <row r="1690" spans="1:1">
      <c r="A1690" s="1574"/>
    </row>
    <row r="1691" spans="1:1">
      <c r="A1691" s="1574"/>
    </row>
    <row r="1692" spans="1:1">
      <c r="A1692" s="1574"/>
    </row>
    <row r="1693" spans="1:1">
      <c r="A1693" s="1574"/>
    </row>
    <row r="1694" spans="1:1">
      <c r="A1694" s="1574"/>
    </row>
    <row r="1695" spans="1:1">
      <c r="A1695" s="1574"/>
    </row>
    <row r="1696" spans="1:1">
      <c r="A1696" s="1574"/>
    </row>
    <row r="1697" spans="1:1">
      <c r="A1697" s="1574"/>
    </row>
    <row r="1698" spans="1:1">
      <c r="A1698" s="1574"/>
    </row>
    <row r="1699" spans="1:1">
      <c r="A1699" s="1574"/>
    </row>
    <row r="1700" spans="1:1">
      <c r="A1700" s="1574"/>
    </row>
    <row r="1701" spans="1:1">
      <c r="A1701" s="1574"/>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35" t="s">
        <v>1039</v>
      </c>
    </row>
    <row r="2" spans="1:6" ht="16.5">
      <c r="A2" s="1936" t="str">
        <f>'Part I-Project Information'!F23</f>
        <v>Willingham Village II</v>
      </c>
    </row>
    <row r="3" spans="1:6" ht="16.5">
      <c r="A3" s="1936" t="str">
        <f>CONCATENATE('Part I-Project Information'!F27,", ", 'Part I-Project Information'!J28," County")</f>
        <v>Rome, Floyd County</v>
      </c>
    </row>
    <row r="4" spans="1:6" ht="12" customHeight="1"/>
    <row r="5" spans="1:6" ht="111" customHeight="1">
      <c r="A5" s="1937" t="s">
        <v>3792</v>
      </c>
      <c r="B5" s="1182" t="s">
        <v>2924</v>
      </c>
      <c r="C5" s="1182"/>
      <c r="D5" s="1182"/>
      <c r="E5" s="1182"/>
      <c r="F5" s="1182"/>
    </row>
    <row r="6" spans="1:6" ht="6.6" customHeight="1">
      <c r="A6" s="1937"/>
      <c r="B6" s="1182"/>
      <c r="C6" s="1182"/>
      <c r="D6" s="1182"/>
      <c r="E6" s="1182"/>
      <c r="F6" s="1182"/>
    </row>
    <row r="7" spans="1:6" ht="93" customHeight="1">
      <c r="A7" s="1937"/>
    </row>
    <row r="8" spans="1:6" ht="6.6" customHeight="1">
      <c r="A8" s="1937"/>
    </row>
    <row r="9" spans="1:6" ht="93" customHeight="1">
      <c r="A9" s="1937"/>
    </row>
    <row r="10" spans="1:6" ht="6.6" customHeight="1">
      <c r="A10" s="1937"/>
    </row>
    <row r="11" spans="1:6" ht="93" customHeight="1">
      <c r="A11" s="1937"/>
    </row>
    <row r="12" spans="1:6" ht="6.6" customHeight="1">
      <c r="A12" s="1937"/>
    </row>
    <row r="13" spans="1:6" ht="93" customHeight="1">
      <c r="A13" s="1937"/>
    </row>
    <row r="14" spans="1:6" ht="6.6" customHeight="1">
      <c r="A14" s="1937"/>
    </row>
    <row r="15" spans="1:6" ht="93" customHeight="1">
      <c r="A15" s="1937"/>
    </row>
    <row r="16" spans="1:6" ht="6.6" customHeight="1">
      <c r="A16" s="1937"/>
    </row>
    <row r="17" spans="1:1" ht="93" customHeight="1">
      <c r="A17" s="1937"/>
    </row>
    <row r="18" spans="1:1" ht="6.6" customHeight="1">
      <c r="A18" s="1937"/>
    </row>
    <row r="19" spans="1:1" ht="93" customHeight="1">
      <c r="A19" s="1937"/>
    </row>
    <row r="20" spans="1:1" ht="6.6" customHeight="1">
      <c r="A20" s="1937"/>
    </row>
    <row r="21" spans="1:1" ht="93" customHeight="1">
      <c r="A21" s="1937"/>
    </row>
    <row r="22" spans="1:1" ht="6.6" customHeight="1">
      <c r="A22" s="1937"/>
    </row>
    <row r="23" spans="1:1" ht="93" customHeight="1">
      <c r="A23" s="1937"/>
    </row>
  </sheetData>
  <sheetProtection password="ACD2" sheet="1" objects="1" scenarios="1" formatColumns="0" formatRows="0"/>
  <mergeCells count="2">
    <mergeCell ref="B5:F6"/>
    <mergeCell ref="A5:A23"/>
  </mergeCells>
  <phoneticPr fontId="7"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4" customWidth="1"/>
    <col min="2" max="2" width="2.28515625" style="407" customWidth="1"/>
    <col min="3" max="16" width="8.85546875" style="384" customWidth="1"/>
    <col min="17" max="16384" width="9.140625" style="384"/>
  </cols>
  <sheetData>
    <row r="1" spans="1:16" s="364" customFormat="1" ht="13.9" customHeight="1">
      <c r="A1" s="1193" t="str">
        <f>CONCATENATE("PART ONE - PROJECT INFORMATION"," - ",$O$4," ",$F$23,", ",'Part I-Project Information'!F27,", ",'Part I-Project Information'!J28," County")</f>
        <v>PART ONE - PROJECT INFORMATION - 2014-039 Willingham Village II, Rome, Floyd County</v>
      </c>
      <c r="B1" s="1194"/>
      <c r="C1" s="1194"/>
      <c r="D1" s="1194"/>
      <c r="E1" s="1194"/>
      <c r="F1" s="1194"/>
      <c r="G1" s="1194"/>
      <c r="H1" s="1194"/>
      <c r="I1" s="1194"/>
      <c r="J1" s="1194"/>
      <c r="K1" s="1194"/>
      <c r="L1" s="1194"/>
      <c r="M1" s="1194"/>
      <c r="N1" s="1194"/>
      <c r="O1" s="1194"/>
      <c r="P1" s="1195"/>
    </row>
    <row r="2" spans="1:16" s="364" customFormat="1" ht="12" customHeight="1">
      <c r="A2" s="365"/>
      <c r="B2" s="365"/>
      <c r="C2" s="365"/>
      <c r="D2" s="365"/>
      <c r="E2" s="365"/>
      <c r="F2" s="365"/>
      <c r="G2" s="365"/>
      <c r="H2" s="365"/>
      <c r="I2" s="365"/>
      <c r="J2" s="365"/>
      <c r="K2" s="365"/>
      <c r="L2" s="365"/>
      <c r="M2" s="365"/>
      <c r="N2" s="365"/>
      <c r="O2" s="365"/>
      <c r="P2" s="365"/>
    </row>
    <row r="3" spans="1:16" s="364" customFormat="1" ht="12" customHeight="1" thickBot="1">
      <c r="B3" s="365"/>
      <c r="C3" s="330" t="s">
        <v>2518</v>
      </c>
      <c r="F3" s="366"/>
      <c r="G3" s="332" t="s">
        <v>465</v>
      </c>
      <c r="L3" s="365"/>
      <c r="O3" s="1190" t="s">
        <v>2892</v>
      </c>
      <c r="P3" s="1190"/>
    </row>
    <row r="4" spans="1:16" s="364" customFormat="1" ht="12" customHeight="1" thickBot="1">
      <c r="A4" s="619"/>
      <c r="B4" s="367"/>
      <c r="C4" s="735"/>
      <c r="D4" s="214" t="s">
        <v>3585</v>
      </c>
      <c r="F4" s="368"/>
      <c r="G4" s="332" t="s">
        <v>466</v>
      </c>
      <c r="H4" s="1140"/>
      <c r="I4" s="1140"/>
      <c r="J4" s="1140"/>
      <c r="O4" s="1938" t="s">
        <v>3821</v>
      </c>
      <c r="P4" s="1939"/>
    </row>
    <row r="5" spans="1:16" s="364" customFormat="1" ht="9" customHeight="1">
      <c r="A5" s="619"/>
      <c r="B5" s="367"/>
      <c r="C5" s="367"/>
      <c r="D5" s="367"/>
      <c r="E5" s="1140"/>
      <c r="H5" s="1140"/>
      <c r="I5" s="1140"/>
      <c r="J5" s="1140"/>
      <c r="K5" s="330"/>
      <c r="M5" s="1140"/>
    </row>
    <row r="6" spans="1:16" s="364" customFormat="1" ht="13.15" customHeight="1">
      <c r="A6" s="367" t="s">
        <v>657</v>
      </c>
      <c r="B6" s="367" t="s">
        <v>2531</v>
      </c>
      <c r="D6" s="333"/>
      <c r="E6" s="369"/>
      <c r="F6" s="370" t="s">
        <v>1836</v>
      </c>
      <c r="J6" s="1198">
        <f>'Part IV-Uses of Funds'!J173</f>
        <v>888110</v>
      </c>
      <c r="K6" s="1199"/>
      <c r="M6" s="1140"/>
    </row>
    <row r="7" spans="1:16" s="1" customFormat="1" ht="13.15" customHeight="1">
      <c r="A7" s="5"/>
      <c r="B7" s="5"/>
      <c r="D7" s="31"/>
      <c r="E7" s="451"/>
      <c r="F7" s="364" t="s">
        <v>1369</v>
      </c>
      <c r="J7" s="1200">
        <f>'Part III-Sources of Funds'!P4</f>
        <v>0</v>
      </c>
      <c r="K7" s="1201"/>
      <c r="L7" s="364"/>
      <c r="M7" s="1140"/>
      <c r="N7" s="364"/>
      <c r="O7" s="364"/>
      <c r="P7" s="364"/>
    </row>
    <row r="8" spans="1:16" s="364" customFormat="1" ht="6" customHeight="1">
      <c r="A8" s="367"/>
      <c r="B8" s="367"/>
      <c r="D8" s="333"/>
      <c r="E8" s="369"/>
      <c r="F8" s="369"/>
      <c r="I8" s="371"/>
      <c r="N8" s="372"/>
    </row>
    <row r="9" spans="1:16" s="364" customFormat="1" ht="13.15" customHeight="1">
      <c r="A9" s="371" t="s">
        <v>790</v>
      </c>
      <c r="B9" s="367" t="s">
        <v>2178</v>
      </c>
      <c r="F9" s="1940" t="s">
        <v>3708</v>
      </c>
      <c r="G9" s="1941"/>
      <c r="H9" s="1942"/>
      <c r="I9" s="403"/>
      <c r="J9" s="659" t="s">
        <v>3220</v>
      </c>
      <c r="K9" s="376"/>
      <c r="L9" s="1140"/>
      <c r="O9" s="1943" t="s">
        <v>3732</v>
      </c>
      <c r="P9" s="1944"/>
    </row>
    <row r="10" spans="1:16" s="364" customFormat="1" ht="12.75" customHeight="1">
      <c r="A10" s="619"/>
      <c r="H10" s="1140"/>
      <c r="J10" s="660" t="s">
        <v>2999</v>
      </c>
      <c r="K10" s="330"/>
      <c r="M10" s="1140"/>
      <c r="O10" s="1945" t="s">
        <v>3702</v>
      </c>
      <c r="P10" s="1946"/>
    </row>
    <row r="11" spans="1:16" s="364" customFormat="1" ht="7.15" customHeight="1">
      <c r="I11" s="333"/>
      <c r="J11" s="333"/>
      <c r="K11" s="333"/>
      <c r="L11" s="333"/>
      <c r="M11" s="333"/>
      <c r="N11" s="333"/>
      <c r="O11" s="333"/>
      <c r="P11" s="333"/>
    </row>
    <row r="12" spans="1:16" s="364" customFormat="1" ht="13.15" customHeight="1">
      <c r="A12" s="371" t="s">
        <v>792</v>
      </c>
      <c r="B12" s="367" t="s">
        <v>1571</v>
      </c>
      <c r="D12" s="370"/>
      <c r="E12" s="369"/>
      <c r="G12" s="373"/>
      <c r="H12" s="373"/>
      <c r="I12" s="373"/>
      <c r="K12" s="372"/>
      <c r="L12" s="372"/>
    </row>
    <row r="13" spans="1:16" s="364" customFormat="1" ht="3" customHeight="1">
      <c r="A13" s="371"/>
      <c r="B13" s="369"/>
      <c r="C13" s="367"/>
      <c r="D13" s="370"/>
      <c r="E13" s="369"/>
      <c r="G13" s="373"/>
      <c r="H13" s="373"/>
      <c r="I13" s="373"/>
      <c r="K13" s="372"/>
      <c r="L13" s="372"/>
      <c r="O13" s="365"/>
    </row>
    <row r="14" spans="1:16" s="364" customFormat="1" ht="13.15" customHeight="1">
      <c r="B14" s="364" t="s">
        <v>2450</v>
      </c>
      <c r="F14" s="1947" t="s">
        <v>3704</v>
      </c>
      <c r="G14" s="1948"/>
      <c r="H14" s="1948"/>
      <c r="I14" s="1948"/>
      <c r="J14" s="1948"/>
      <c r="K14" s="1948"/>
      <c r="L14" s="1949"/>
      <c r="M14" s="1134" t="s">
        <v>2115</v>
      </c>
      <c r="N14" s="1950" t="s">
        <v>3707</v>
      </c>
      <c r="O14" s="1951"/>
      <c r="P14" s="1952"/>
    </row>
    <row r="15" spans="1:16" s="364" customFormat="1" ht="13.15" customHeight="1">
      <c r="B15" s="370" t="s">
        <v>2116</v>
      </c>
      <c r="F15" s="1947" t="s">
        <v>3705</v>
      </c>
      <c r="G15" s="1948"/>
      <c r="H15" s="1948"/>
      <c r="I15" s="1948"/>
      <c r="J15" s="1948"/>
      <c r="K15" s="1948"/>
      <c r="L15" s="1949"/>
      <c r="M15" s="1134" t="s">
        <v>1842</v>
      </c>
      <c r="O15" s="1950">
        <v>2564174920</v>
      </c>
      <c r="P15" s="1952"/>
    </row>
    <row r="16" spans="1:16" s="364" customFormat="1" ht="13.15" customHeight="1">
      <c r="B16" s="370" t="s">
        <v>659</v>
      </c>
      <c r="F16" s="1953" t="s">
        <v>3706</v>
      </c>
      <c r="G16" s="1954"/>
      <c r="H16" s="1955"/>
      <c r="M16" s="1134" t="s">
        <v>1926</v>
      </c>
      <c r="O16" s="1950">
        <v>2566233944</v>
      </c>
      <c r="P16" s="1952"/>
    </row>
    <row r="17" spans="1:16" s="364" customFormat="1" ht="13.15" customHeight="1">
      <c r="B17" s="370" t="s">
        <v>1923</v>
      </c>
      <c r="F17" s="1956" t="s">
        <v>892</v>
      </c>
      <c r="I17" s="1140" t="s">
        <v>2375</v>
      </c>
      <c r="J17" s="1957">
        <v>359713484</v>
      </c>
      <c r="K17" s="1958"/>
      <c r="M17" s="1134" t="s">
        <v>2114</v>
      </c>
      <c r="O17" s="1950">
        <v>4047887162</v>
      </c>
      <c r="P17" s="1952"/>
    </row>
    <row r="18" spans="1:16" s="364" customFormat="1" ht="13.15" customHeight="1">
      <c r="B18" s="370" t="s">
        <v>1841</v>
      </c>
      <c r="F18" s="1959">
        <v>2564174920</v>
      </c>
      <c r="G18" s="1960"/>
      <c r="H18" s="1961"/>
      <c r="I18" s="1137" t="s">
        <v>1840</v>
      </c>
      <c r="J18" s="1962">
        <v>224</v>
      </c>
      <c r="K18" s="1140" t="s">
        <v>2119</v>
      </c>
      <c r="L18" s="1950" t="s">
        <v>3733</v>
      </c>
      <c r="M18" s="1951"/>
      <c r="N18" s="1951"/>
      <c r="O18" s="1951"/>
      <c r="P18" s="1952"/>
    </row>
    <row r="19" spans="1:16" s="364" customFormat="1" ht="13.15" customHeight="1">
      <c r="A19" s="367"/>
      <c r="B19" s="357" t="s">
        <v>699</v>
      </c>
      <c r="D19" s="369"/>
      <c r="G19" s="369"/>
      <c r="H19" s="369"/>
      <c r="I19" s="373"/>
    </row>
    <row r="20" spans="1:16" s="364" customFormat="1" ht="6" customHeight="1">
      <c r="A20" s="619"/>
      <c r="B20" s="619"/>
      <c r="C20" s="374"/>
      <c r="D20" s="1144"/>
      <c r="E20" s="1144"/>
      <c r="F20" s="1144"/>
      <c r="H20" s="1140"/>
      <c r="I20" s="1144"/>
      <c r="J20" s="374"/>
      <c r="K20" s="1144"/>
      <c r="P20" s="375"/>
    </row>
    <row r="21" spans="1:16" s="364" customFormat="1" ht="13.15" customHeight="1">
      <c r="A21" s="371" t="s">
        <v>1916</v>
      </c>
      <c r="B21" s="367" t="s">
        <v>1572</v>
      </c>
      <c r="D21" s="333"/>
      <c r="E21" s="369"/>
      <c r="F21" s="369"/>
      <c r="G21" s="370"/>
      <c r="H21" s="369"/>
      <c r="I21" s="369"/>
      <c r="J21" s="373"/>
      <c r="L21" s="372"/>
      <c r="M21" s="372"/>
    </row>
    <row r="22" spans="1:16" s="364" customFormat="1" ht="3" customHeight="1">
      <c r="A22" s="371"/>
      <c r="B22" s="367"/>
      <c r="D22" s="333"/>
      <c r="E22" s="369"/>
      <c r="F22" s="369"/>
      <c r="G22" s="370"/>
      <c r="H22" s="369"/>
      <c r="I22" s="369"/>
      <c r="J22" s="373"/>
      <c r="L22" s="372"/>
    </row>
    <row r="23" spans="1:16" s="364" customFormat="1" ht="13.15" customHeight="1">
      <c r="A23" s="367"/>
      <c r="B23" s="364" t="s">
        <v>658</v>
      </c>
      <c r="D23" s="376"/>
      <c r="F23" s="1963" t="s">
        <v>3714</v>
      </c>
      <c r="G23" s="1964"/>
      <c r="H23" s="1964"/>
      <c r="I23" s="1964"/>
      <c r="J23" s="1964"/>
      <c r="K23" s="1964"/>
      <c r="L23" s="1965"/>
      <c r="M23" s="1134" t="s">
        <v>2332</v>
      </c>
      <c r="O23" s="1950" t="s">
        <v>3736</v>
      </c>
      <c r="P23" s="1952"/>
    </row>
    <row r="24" spans="1:16" s="364" customFormat="1" ht="13.15" customHeight="1">
      <c r="A24" s="377"/>
      <c r="B24" s="364" t="s">
        <v>2931</v>
      </c>
      <c r="D24" s="378"/>
      <c r="F24" s="1950" t="s">
        <v>3734</v>
      </c>
      <c r="G24" s="1951"/>
      <c r="H24" s="1951"/>
      <c r="I24" s="1951"/>
      <c r="J24" s="1951"/>
      <c r="K24" s="1951"/>
      <c r="L24" s="1952"/>
      <c r="M24" s="1134" t="s">
        <v>2188</v>
      </c>
      <c r="O24" s="1950" t="s">
        <v>3702</v>
      </c>
      <c r="P24" s="1952"/>
    </row>
    <row r="25" spans="1:16" s="364" customFormat="1" ht="13.15" customHeight="1">
      <c r="A25" s="377"/>
      <c r="B25" s="364" t="s">
        <v>3004</v>
      </c>
      <c r="D25" s="378"/>
      <c r="F25" s="1950"/>
      <c r="G25" s="1951"/>
      <c r="H25" s="1951"/>
      <c r="I25" s="1951"/>
      <c r="J25" s="1951"/>
      <c r="K25" s="1951"/>
      <c r="L25" s="1952"/>
      <c r="M25" s="1134" t="s">
        <v>3005</v>
      </c>
      <c r="O25" s="1966"/>
      <c r="P25" s="1967"/>
    </row>
    <row r="26" spans="1:16" s="364" customFormat="1" ht="13.15" customHeight="1">
      <c r="A26" s="377"/>
      <c r="B26" s="364" t="s">
        <v>3233</v>
      </c>
      <c r="D26" s="378"/>
      <c r="F26" s="1950" t="s">
        <v>3735</v>
      </c>
      <c r="G26" s="1951"/>
      <c r="H26" s="1951"/>
      <c r="I26" s="1951"/>
      <c r="J26" s="1951"/>
      <c r="K26" s="1951"/>
      <c r="L26" s="1952"/>
      <c r="M26" s="1134" t="s">
        <v>2431</v>
      </c>
      <c r="O26" s="1968">
        <v>29.956</v>
      </c>
      <c r="P26" s="1969"/>
    </row>
    <row r="27" spans="1:16" s="364" customFormat="1" ht="13.15" customHeight="1">
      <c r="A27" s="619"/>
      <c r="B27" s="364" t="s">
        <v>659</v>
      </c>
      <c r="F27" s="1950" t="s">
        <v>2416</v>
      </c>
      <c r="G27" s="1951"/>
      <c r="H27" s="1952"/>
      <c r="I27" s="382" t="s">
        <v>2932</v>
      </c>
      <c r="J27" s="1957">
        <v>301652319</v>
      </c>
      <c r="K27" s="1958"/>
      <c r="L27" s="443" t="str">
        <f>IF(AND(NOT(F23=""),NOT(F27="Select from list"),J27=""),"Enter Zip!","")</f>
        <v/>
      </c>
      <c r="M27" s="380" t="s">
        <v>3700</v>
      </c>
      <c r="O27" s="1970" t="s">
        <v>3737</v>
      </c>
      <c r="P27" s="1971"/>
    </row>
    <row r="28" spans="1:16" s="364" customFormat="1" ht="13.15" customHeight="1">
      <c r="A28" s="619"/>
      <c r="B28" s="1144" t="s">
        <v>3208</v>
      </c>
      <c r="D28" s="1144"/>
      <c r="F28" s="1947" t="s">
        <v>3709</v>
      </c>
      <c r="G28" s="1948"/>
      <c r="H28" s="1949"/>
      <c r="I28" s="379" t="s">
        <v>660</v>
      </c>
      <c r="J28" s="1972" t="str">
        <f>IF($F$27="","",VLOOKUP($F$27,$N$179:$O$809,2,FALSE))</f>
        <v>Floyd</v>
      </c>
      <c r="K28" s="1973"/>
      <c r="M28" s="1134" t="s">
        <v>475</v>
      </c>
      <c r="N28" s="1974" t="s">
        <v>3701</v>
      </c>
      <c r="O28" s="372" t="s">
        <v>476</v>
      </c>
      <c r="P28" s="1974" t="s">
        <v>3702</v>
      </c>
    </row>
    <row r="29" spans="1:16" s="364" customFormat="1" ht="13.15" customHeight="1">
      <c r="A29" s="619"/>
      <c r="B29" s="367"/>
      <c r="C29" s="364" t="s">
        <v>1666</v>
      </c>
      <c r="F29" s="1975" t="s">
        <v>3702</v>
      </c>
      <c r="G29" s="1202" t="s">
        <v>3234</v>
      </c>
      <c r="H29" s="1203"/>
      <c r="I29" s="667" t="str">
        <f>IF($J$28="","",IF(VLOOKUP($J$28,C179:I338,7,FALSE)="Rural","Yes",IF(VLOOKUP($J$28,C179:I338,7,FALSE)="Urban","No","")))</f>
        <v>No</v>
      </c>
      <c r="J29" s="1137" t="s">
        <v>3258</v>
      </c>
      <c r="K29" s="1137" t="str">
        <f>IF(OR(F29="Yes",I29="Yes"),"Rural","Urban")</f>
        <v>Urban</v>
      </c>
      <c r="M29" s="1134" t="s">
        <v>2794</v>
      </c>
      <c r="N29" s="525" t="str">
        <f>VLOOKUP($J$28,$C$179:$F$338,4)</f>
        <v>MSA</v>
      </c>
      <c r="O29" s="1976" t="str">
        <f>IF($F$27="","",VLOOKUP($J$28,$C$179:$H$338,3,FALSE))</f>
        <v>Rome</v>
      </c>
      <c r="P29" s="1977"/>
    </row>
    <row r="30" spans="1:16" s="364" customFormat="1" ht="3" customHeight="1">
      <c r="A30" s="619"/>
      <c r="B30" s="367"/>
      <c r="C30" s="367"/>
      <c r="I30" s="370"/>
      <c r="J30" s="1144"/>
      <c r="L30" s="1150"/>
      <c r="M30" s="1150"/>
      <c r="N30" s="1150"/>
      <c r="O30" s="1150"/>
      <c r="P30" s="1150"/>
    </row>
    <row r="31" spans="1:16" s="364" customFormat="1" ht="13.15" customHeight="1">
      <c r="A31" s="619"/>
      <c r="C31" s="364" t="s">
        <v>3016</v>
      </c>
      <c r="F31" s="1197" t="s">
        <v>3151</v>
      </c>
      <c r="G31" s="1197"/>
      <c r="H31" s="1196" t="s">
        <v>786</v>
      </c>
      <c r="I31" s="1196"/>
      <c r="J31" s="1196" t="s">
        <v>787</v>
      </c>
      <c r="K31" s="1196"/>
      <c r="L31" s="652" t="s">
        <v>2933</v>
      </c>
    </row>
    <row r="32" spans="1:16" s="364" customFormat="1" ht="13.15" customHeight="1">
      <c r="A32" s="619"/>
      <c r="B32" s="364" t="s">
        <v>3150</v>
      </c>
      <c r="D32" s="367"/>
      <c r="F32" s="1978">
        <v>14</v>
      </c>
      <c r="G32" s="1979"/>
      <c r="H32" s="1978">
        <v>53</v>
      </c>
      <c r="I32" s="1979"/>
      <c r="J32" s="1978">
        <v>3</v>
      </c>
      <c r="K32" s="1979"/>
      <c r="L32" s="648" t="s">
        <v>1364</v>
      </c>
      <c r="N32" s="1209" t="s">
        <v>1365</v>
      </c>
      <c r="O32" s="1209"/>
      <c r="P32" s="1209"/>
    </row>
    <row r="33" spans="1:17" s="364" customFormat="1" ht="12.75" customHeight="1">
      <c r="A33" s="619"/>
      <c r="B33" s="370" t="s">
        <v>788</v>
      </c>
      <c r="F33" s="1978"/>
      <c r="G33" s="1979"/>
      <c r="H33" s="1978"/>
      <c r="I33" s="1979"/>
      <c r="J33" s="1978"/>
      <c r="K33" s="1979"/>
      <c r="L33" s="648" t="s">
        <v>3149</v>
      </c>
      <c r="N33" s="1210" t="s">
        <v>3148</v>
      </c>
      <c r="O33" s="1210"/>
    </row>
    <row r="34" spans="1:17" s="364" customFormat="1" ht="3" customHeight="1">
      <c r="A34" s="619"/>
      <c r="I34" s="1150"/>
      <c r="J34" s="1150"/>
      <c r="K34" s="1150"/>
      <c r="L34" s="1144"/>
      <c r="M34" s="1144"/>
      <c r="N34" s="1144"/>
      <c r="O34" s="1144"/>
      <c r="P34" s="1144"/>
    </row>
    <row r="35" spans="1:17" s="364" customFormat="1" ht="13.15" customHeight="1">
      <c r="A35" s="619"/>
      <c r="B35" s="367" t="s">
        <v>678</v>
      </c>
      <c r="F35" s="1980" t="s">
        <v>3738</v>
      </c>
      <c r="G35" s="1981"/>
      <c r="H35" s="1981"/>
      <c r="I35" s="1981"/>
      <c r="J35" s="1982"/>
      <c r="K35" s="1983"/>
      <c r="M35" s="641" t="s">
        <v>2944</v>
      </c>
      <c r="N35" s="1947" t="s">
        <v>3740</v>
      </c>
      <c r="O35" s="1948"/>
      <c r="P35" s="1949"/>
    </row>
    <row r="36" spans="1:17" s="364" customFormat="1" ht="13.15" customHeight="1">
      <c r="A36" s="619"/>
      <c r="B36" s="364" t="s">
        <v>679</v>
      </c>
      <c r="F36" s="1984" t="s">
        <v>3742</v>
      </c>
      <c r="G36" s="1985"/>
      <c r="H36" s="1986"/>
      <c r="I36" s="1138" t="s">
        <v>2115</v>
      </c>
      <c r="J36" s="1947" t="s">
        <v>3710</v>
      </c>
      <c r="K36" s="1948"/>
      <c r="L36" s="1949"/>
      <c r="M36" s="370" t="s">
        <v>1924</v>
      </c>
      <c r="N36" s="1984" t="s">
        <v>3741</v>
      </c>
      <c r="O36" s="1985"/>
      <c r="P36" s="1986"/>
    </row>
    <row r="37" spans="1:17" s="364" customFormat="1" ht="13.15" customHeight="1">
      <c r="A37" s="619"/>
      <c r="B37" s="364" t="s">
        <v>2116</v>
      </c>
      <c r="F37" s="1984" t="s">
        <v>3739</v>
      </c>
      <c r="G37" s="1985"/>
      <c r="H37" s="1985"/>
      <c r="I37" s="1985"/>
      <c r="J37" s="1987"/>
      <c r="K37" s="1988"/>
      <c r="M37" s="1139" t="s">
        <v>659</v>
      </c>
      <c r="N37" s="1947" t="s">
        <v>2416</v>
      </c>
      <c r="O37" s="1948"/>
      <c r="P37" s="1949"/>
    </row>
    <row r="38" spans="1:17" s="364" customFormat="1" ht="13.15" customHeight="1">
      <c r="A38" s="619"/>
      <c r="B38" s="1134" t="s">
        <v>2375</v>
      </c>
      <c r="F38" s="1989">
        <v>301621433</v>
      </c>
      <c r="G38" s="1990"/>
      <c r="H38" s="1137" t="s">
        <v>2117</v>
      </c>
      <c r="I38" s="1991">
        <v>7062364400</v>
      </c>
      <c r="J38" s="1992"/>
      <c r="K38" s="1993"/>
      <c r="M38" s="370" t="s">
        <v>1926</v>
      </c>
      <c r="N38" s="1994">
        <v>7062364405</v>
      </c>
      <c r="O38" s="1995"/>
    </row>
    <row r="39" spans="1:17" s="364" customFormat="1" ht="6" customHeight="1">
      <c r="A39" s="619"/>
      <c r="B39" s="619"/>
      <c r="C39" s="381"/>
      <c r="D39" s="382"/>
      <c r="E39" s="382"/>
      <c r="F39" s="1140"/>
      <c r="G39" s="1140"/>
      <c r="H39" s="1140"/>
      <c r="I39" s="1140"/>
      <c r="J39" s="382"/>
      <c r="K39" s="1140"/>
      <c r="L39" s="1140"/>
      <c r="N39" s="1144"/>
      <c r="O39" s="1144"/>
      <c r="P39" s="375"/>
    </row>
    <row r="40" spans="1:17" s="364" customFormat="1" ht="12" customHeight="1">
      <c r="A40" s="371" t="s">
        <v>1918</v>
      </c>
      <c r="B40" s="367" t="s">
        <v>1573</v>
      </c>
      <c r="F40" s="383"/>
      <c r="I40" s="1134"/>
      <c r="J40" s="1144"/>
      <c r="K40" s="1144"/>
      <c r="L40" s="1144"/>
      <c r="M40" s="1144"/>
      <c r="N40" s="1144"/>
      <c r="O40" s="1144"/>
      <c r="P40" s="1144"/>
    </row>
    <row r="41" spans="1:17" s="364" customFormat="1" ht="3" customHeight="1">
      <c r="A41" s="619"/>
      <c r="B41" s="367"/>
      <c r="C41" s="367"/>
      <c r="I41" s="1134"/>
      <c r="J41" s="1144"/>
      <c r="K41" s="1144"/>
      <c r="L41" s="1144"/>
      <c r="M41" s="1144"/>
      <c r="N41" s="1144"/>
      <c r="O41" s="1144"/>
      <c r="P41" s="1144"/>
      <c r="Q41" s="1144"/>
    </row>
    <row r="42" spans="1:17" s="364" customFormat="1" ht="13.15" customHeight="1">
      <c r="A42" s="619"/>
      <c r="B42" s="619" t="s">
        <v>2118</v>
      </c>
      <c r="C42" s="367" t="s">
        <v>767</v>
      </c>
      <c r="I42" s="1144"/>
      <c r="J42" s="1144"/>
      <c r="K42" s="649"/>
      <c r="L42" s="1144"/>
      <c r="M42" s="651"/>
      <c r="N42" s="651"/>
      <c r="O42" s="651"/>
      <c r="P42" s="651"/>
      <c r="Q42" s="1140"/>
    </row>
    <row r="43" spans="1:17" ht="13.15" customHeight="1">
      <c r="B43" s="619"/>
      <c r="C43" s="364" t="s">
        <v>2444</v>
      </c>
      <c r="D43" s="364"/>
      <c r="E43" s="364"/>
      <c r="F43" s="385">
        <f>'Part VI-Revenues &amp; Expenses'!$M$74</f>
        <v>0</v>
      </c>
      <c r="H43" s="370" t="s">
        <v>384</v>
      </c>
      <c r="J43" s="364"/>
      <c r="M43" s="385">
        <f>'Part VI-Revenues &amp; Expenses'!$M$81</f>
        <v>0</v>
      </c>
      <c r="Q43" s="1140"/>
    </row>
    <row r="44" spans="1:17" s="364" customFormat="1" ht="13.15" customHeight="1">
      <c r="A44" s="619"/>
      <c r="B44" s="619"/>
      <c r="C44" s="386" t="s">
        <v>365</v>
      </c>
      <c r="F44" s="385">
        <f>'Part VI-Revenues &amp; Expenses'!$M$80</f>
        <v>0</v>
      </c>
      <c r="H44" s="386" t="s">
        <v>385</v>
      </c>
      <c r="M44" s="385">
        <f>'Part VI-Revenues &amp; Expenses'!$M$82</f>
        <v>0</v>
      </c>
    </row>
    <row r="45" spans="1:17" s="364" customFormat="1" ht="13.15" customHeight="1">
      <c r="B45" s="619"/>
      <c r="C45" s="370" t="s">
        <v>364</v>
      </c>
      <c r="D45" s="1144"/>
      <c r="F45" s="385">
        <f>'Part VI-Revenues &amp; Expenses'!$M$77</f>
        <v>75</v>
      </c>
      <c r="G45" s="621" t="s">
        <v>3001</v>
      </c>
      <c r="H45" s="364" t="s">
        <v>366</v>
      </c>
      <c r="M45" s="1996">
        <v>26633</v>
      </c>
      <c r="Q45" s="1140"/>
    </row>
    <row r="46" spans="1:17" s="364" customFormat="1" ht="3.6" customHeight="1">
      <c r="A46" s="619"/>
      <c r="P46" s="1144"/>
    </row>
    <row r="47" spans="1:17" s="364" customFormat="1" ht="12.75">
      <c r="A47" s="619"/>
      <c r="B47" s="619" t="s">
        <v>2121</v>
      </c>
      <c r="C47" s="367" t="s">
        <v>2445</v>
      </c>
      <c r="F47" s="1962" t="s">
        <v>3702</v>
      </c>
      <c r="I47" s="1144"/>
      <c r="J47" s="1144"/>
      <c r="K47" s="1144"/>
      <c r="L47" s="1144"/>
      <c r="M47" s="651"/>
      <c r="N47" s="651"/>
      <c r="O47" s="651"/>
      <c r="P47" s="649"/>
      <c r="Q47" s="1144"/>
    </row>
    <row r="48" spans="1:17" s="364" customFormat="1" ht="3" customHeight="1">
      <c r="A48" s="619"/>
      <c r="I48" s="1144"/>
      <c r="J48" s="649"/>
      <c r="K48" s="650"/>
      <c r="L48" s="649"/>
      <c r="M48" s="650"/>
      <c r="N48" s="650"/>
      <c r="O48" s="650"/>
      <c r="P48" s="650"/>
      <c r="Q48" s="1144"/>
    </row>
    <row r="49" spans="1:19" s="364" customFormat="1" ht="13.15" customHeight="1">
      <c r="A49" s="619"/>
      <c r="B49" s="377" t="s">
        <v>799</v>
      </c>
      <c r="C49" s="376" t="s">
        <v>2424</v>
      </c>
      <c r="D49" s="1144"/>
      <c r="I49" s="1191" t="s">
        <v>1511</v>
      </c>
      <c r="J49" s="377" t="s">
        <v>2253</v>
      </c>
      <c r="K49" s="387" t="s">
        <v>2451</v>
      </c>
      <c r="M49" s="1144"/>
      <c r="N49" s="1144"/>
      <c r="O49" s="1144"/>
      <c r="P49" s="1140"/>
      <c r="Q49" s="1140"/>
      <c r="R49" s="1140"/>
      <c r="S49" s="1144"/>
    </row>
    <row r="50" spans="1:19" s="364" customFormat="1" ht="13.15" customHeight="1">
      <c r="A50" s="619"/>
      <c r="B50" s="1133"/>
      <c r="C50" s="374" t="s">
        <v>2425</v>
      </c>
      <c r="D50" s="1144"/>
      <c r="E50" s="1144"/>
      <c r="H50" s="388">
        <f>SUM(H51:H52)</f>
        <v>75</v>
      </c>
      <c r="I50" s="1192"/>
      <c r="J50" s="619"/>
      <c r="K50" s="374" t="s">
        <v>3223</v>
      </c>
      <c r="M50" s="1144"/>
      <c r="N50" s="1144"/>
      <c r="O50" s="1144"/>
      <c r="P50" s="388">
        <f>'Part VI-Revenues &amp; Expenses'!$M$96</f>
        <v>75294</v>
      </c>
    </row>
    <row r="51" spans="1:19" s="364" customFormat="1" ht="13.15" customHeight="1">
      <c r="A51" s="619"/>
      <c r="B51" s="384"/>
      <c r="D51" s="389" t="s">
        <v>404</v>
      </c>
      <c r="E51" s="1144"/>
      <c r="H51" s="388">
        <f>'Part VI-Revenues &amp; Expenses'!$M$57</f>
        <v>0</v>
      </c>
      <c r="I51" s="388">
        <f>'Part VI-Revenues &amp; Expenses'!$M$65</f>
        <v>0</v>
      </c>
      <c r="K51" s="374" t="s">
        <v>3224</v>
      </c>
      <c r="M51" s="1144"/>
      <c r="N51" s="1144"/>
      <c r="O51" s="1144"/>
      <c r="P51" s="388">
        <f>'Part VI-Revenues &amp; Expenses'!$M$97</f>
        <v>0</v>
      </c>
    </row>
    <row r="52" spans="1:19" s="364" customFormat="1" ht="13.15" customHeight="1">
      <c r="A52" s="619"/>
      <c r="D52" s="389" t="s">
        <v>1949</v>
      </c>
      <c r="E52" s="389"/>
      <c r="H52" s="388">
        <f>'Part VI-Revenues &amp; Expenses'!$M$56</f>
        <v>75</v>
      </c>
      <c r="I52" s="388">
        <f>'Part VI-Revenues &amp; Expenses'!$M$64</f>
        <v>75</v>
      </c>
      <c r="K52" s="374" t="s">
        <v>3225</v>
      </c>
      <c r="M52" s="1144"/>
      <c r="N52" s="1144"/>
      <c r="O52" s="1144"/>
      <c r="P52" s="388">
        <f>+P50+P51</f>
        <v>75294</v>
      </c>
    </row>
    <row r="53" spans="1:19" s="364" customFormat="1" ht="13.15" customHeight="1">
      <c r="A53" s="619"/>
      <c r="C53" s="374" t="s">
        <v>266</v>
      </c>
      <c r="D53" s="1144"/>
      <c r="E53" s="1144"/>
      <c r="H53" s="388">
        <f>'Part VI-Revenues &amp; Expenses'!$M$59</f>
        <v>0</v>
      </c>
      <c r="J53" s="619"/>
      <c r="K53" s="374" t="s">
        <v>3226</v>
      </c>
      <c r="M53" s="1144"/>
      <c r="N53" s="1144"/>
      <c r="O53" s="1144"/>
      <c r="P53" s="388">
        <f>'Part VI-Revenues &amp; Expenses'!$M$99</f>
        <v>0</v>
      </c>
    </row>
    <row r="54" spans="1:19" s="364" customFormat="1" ht="13.15" customHeight="1">
      <c r="A54" s="619"/>
      <c r="C54" s="374" t="s">
        <v>2570</v>
      </c>
      <c r="D54" s="1144"/>
      <c r="E54" s="1144"/>
      <c r="H54" s="388">
        <f>+H50+H53</f>
        <v>75</v>
      </c>
      <c r="J54" s="619"/>
      <c r="K54" s="374" t="s">
        <v>1513</v>
      </c>
      <c r="M54" s="1144"/>
      <c r="N54" s="1144"/>
      <c r="O54" s="1144"/>
      <c r="P54" s="388">
        <f>+P52+P53</f>
        <v>75294</v>
      </c>
    </row>
    <row r="55" spans="1:19" s="364" customFormat="1" ht="13.15" customHeight="1">
      <c r="A55" s="619"/>
      <c r="C55" s="374" t="s">
        <v>2571</v>
      </c>
      <c r="D55" s="1144"/>
      <c r="E55" s="1144"/>
      <c r="H55" s="388">
        <f>'Part VI-Revenues &amp; Expenses'!$M$61</f>
        <v>0</v>
      </c>
      <c r="J55" s="619"/>
    </row>
    <row r="56" spans="1:19" s="364" customFormat="1" ht="13.15" customHeight="1">
      <c r="A56" s="619"/>
      <c r="C56" s="374" t="s">
        <v>1917</v>
      </c>
      <c r="D56" s="1144"/>
      <c r="E56" s="1144"/>
      <c r="H56" s="388">
        <f>+H54+H55</f>
        <v>75</v>
      </c>
      <c r="J56" s="1144"/>
    </row>
    <row r="57" spans="1:19" s="364" customFormat="1" ht="3" customHeight="1">
      <c r="A57" s="619"/>
      <c r="I57" s="1140"/>
      <c r="L57" s="1140"/>
      <c r="M57" s="1140"/>
      <c r="N57" s="1144"/>
      <c r="P57" s="375"/>
    </row>
    <row r="58" spans="1:19" s="364" customFormat="1" ht="13.15" customHeight="1">
      <c r="A58" s="619"/>
      <c r="B58" s="619" t="s">
        <v>1857</v>
      </c>
      <c r="C58" s="376" t="s">
        <v>2446</v>
      </c>
      <c r="D58" s="389" t="s">
        <v>2132</v>
      </c>
      <c r="G58" s="1144"/>
      <c r="H58" s="1997">
        <v>38</v>
      </c>
      <c r="K58" s="374" t="s">
        <v>1192</v>
      </c>
      <c r="O58" s="1144"/>
      <c r="P58" s="1997"/>
    </row>
    <row r="59" spans="1:19" s="364" customFormat="1" ht="13.15" customHeight="1">
      <c r="A59" s="619"/>
      <c r="B59" s="619"/>
      <c r="D59" s="1133" t="s">
        <v>2133</v>
      </c>
      <c r="H59" s="1997">
        <v>1</v>
      </c>
      <c r="I59" s="1144"/>
      <c r="K59" s="374" t="s">
        <v>265</v>
      </c>
      <c r="O59" s="1144"/>
      <c r="P59" s="388">
        <f>+P54+P58</f>
        <v>75294</v>
      </c>
    </row>
    <row r="60" spans="1:19" s="364" customFormat="1" ht="13.15" customHeight="1">
      <c r="A60" s="619"/>
      <c r="B60" s="619"/>
      <c r="D60" s="1133" t="s">
        <v>2134</v>
      </c>
      <c r="H60" s="388">
        <f>+H58+H59</f>
        <v>39</v>
      </c>
      <c r="I60" s="1144"/>
    </row>
    <row r="61" spans="1:19" s="364" customFormat="1" ht="3" customHeight="1">
      <c r="A61" s="619"/>
      <c r="B61" s="619"/>
      <c r="C61" s="1144"/>
      <c r="D61" s="1144"/>
      <c r="E61" s="1144"/>
      <c r="F61" s="1144"/>
      <c r="G61" s="1140"/>
      <c r="I61" s="374"/>
      <c r="J61" s="1144"/>
      <c r="P61" s="375"/>
    </row>
    <row r="62" spans="1:19" s="364" customFormat="1" ht="13.15" customHeight="1">
      <c r="A62" s="619"/>
      <c r="B62" s="619" t="s">
        <v>1858</v>
      </c>
      <c r="C62" s="376" t="s">
        <v>3392</v>
      </c>
      <c r="D62" s="1144"/>
      <c r="E62" s="1144"/>
      <c r="F62" s="1144"/>
      <c r="G62" s="1144"/>
      <c r="H62" s="1997">
        <v>113</v>
      </c>
      <c r="K62" s="364" t="s">
        <v>3399</v>
      </c>
    </row>
    <row r="63" spans="1:19" s="364" customFormat="1" ht="6.75" customHeight="1">
      <c r="A63" s="619"/>
      <c r="B63" s="619"/>
      <c r="C63" s="374"/>
      <c r="D63" s="1144"/>
      <c r="E63" s="1144"/>
      <c r="F63" s="1144"/>
      <c r="G63" s="1140"/>
      <c r="H63" s="1144"/>
      <c r="I63" s="374"/>
      <c r="J63" s="374"/>
      <c r="K63" s="1144"/>
      <c r="P63" s="375"/>
    </row>
    <row r="64" spans="1:19" s="364" customFormat="1" ht="13.15" customHeight="1">
      <c r="A64" s="619" t="s">
        <v>563</v>
      </c>
      <c r="B64" s="390" t="s">
        <v>1262</v>
      </c>
      <c r="D64" s="390"/>
      <c r="E64" s="390"/>
      <c r="F64" s="1144"/>
      <c r="G64" s="1140"/>
      <c r="H64" s="665"/>
      <c r="K64" s="1144"/>
      <c r="P64" s="375"/>
    </row>
    <row r="65" spans="1:16" s="364" customFormat="1" ht="3" customHeight="1">
      <c r="A65" s="619"/>
      <c r="C65" s="1135"/>
      <c r="D65" s="1135"/>
      <c r="E65" s="1135"/>
      <c r="F65" s="1144"/>
      <c r="G65" s="1140"/>
      <c r="K65" s="1144"/>
      <c r="P65" s="375"/>
    </row>
    <row r="66" spans="1:16" s="364" customFormat="1" ht="13.15" customHeight="1">
      <c r="A66" s="619"/>
      <c r="B66" s="619" t="s">
        <v>2118</v>
      </c>
      <c r="C66" s="330" t="s">
        <v>2923</v>
      </c>
      <c r="D66" s="1135"/>
      <c r="E66" s="1135"/>
      <c r="F66" s="1144"/>
      <c r="G66" s="1140"/>
      <c r="H66" s="1998" t="s">
        <v>3743</v>
      </c>
      <c r="I66" s="1999"/>
      <c r="K66" s="1189" t="s">
        <v>1896</v>
      </c>
      <c r="L66" s="1189"/>
      <c r="N66" s="1950"/>
      <c r="O66" s="1951"/>
      <c r="P66" s="1952"/>
    </row>
    <row r="67" spans="1:16" s="364" customFormat="1" ht="3" customHeight="1">
      <c r="A67" s="619"/>
      <c r="B67" s="619"/>
      <c r="D67" s="1133"/>
      <c r="E67" s="1133"/>
      <c r="F67" s="1133"/>
      <c r="G67" s="1133"/>
      <c r="I67" s="1140"/>
      <c r="K67" s="1134"/>
      <c r="L67" s="1134"/>
      <c r="M67" s="1140"/>
      <c r="N67" s="1144"/>
      <c r="P67" s="375"/>
    </row>
    <row r="68" spans="1:16" s="364" customFormat="1" ht="13.15" customHeight="1">
      <c r="A68" s="619"/>
      <c r="B68" s="619" t="s">
        <v>2121</v>
      </c>
      <c r="C68" s="376" t="s">
        <v>1503</v>
      </c>
      <c r="D68" s="1144"/>
      <c r="E68" s="389"/>
      <c r="F68" s="1133" t="s">
        <v>850</v>
      </c>
      <c r="H68" s="1997">
        <v>4</v>
      </c>
      <c r="K68" s="1189" t="s">
        <v>553</v>
      </c>
      <c r="L68" s="1189"/>
      <c r="P68" s="392">
        <f>IF('Part VI-Revenues &amp; Expenses'!$M$62=0,0,H68/'Part VI-Revenues &amp; Expenses'!$M$62)</f>
        <v>5.3333333333333337E-2</v>
      </c>
    </row>
    <row r="69" spans="1:16" s="364" customFormat="1" ht="12.75" customHeight="1">
      <c r="A69" s="619"/>
      <c r="B69" s="619"/>
      <c r="D69" s="1133" t="s">
        <v>3390</v>
      </c>
      <c r="E69" s="1133"/>
      <c r="F69" s="1133" t="s">
        <v>850</v>
      </c>
      <c r="H69" s="1997"/>
      <c r="K69" s="1144" t="s">
        <v>3391</v>
      </c>
      <c r="L69" s="1144"/>
      <c r="P69" s="392">
        <f>IF(H68=0,0,H69/H68)</f>
        <v>0</v>
      </c>
    </row>
    <row r="70" spans="1:16" s="364" customFormat="1" ht="3" customHeight="1">
      <c r="A70" s="619"/>
      <c r="B70" s="619"/>
      <c r="D70" s="1133"/>
      <c r="E70" s="1133"/>
      <c r="F70" s="1133"/>
      <c r="I70" s="1140"/>
      <c r="K70" s="1134"/>
      <c r="L70" s="1134"/>
      <c r="M70" s="1140"/>
      <c r="P70" s="1140"/>
    </row>
    <row r="71" spans="1:16" s="364" customFormat="1" ht="13.15" customHeight="1">
      <c r="A71" s="619"/>
      <c r="B71" s="619" t="s">
        <v>799</v>
      </c>
      <c r="C71" s="376" t="s">
        <v>1972</v>
      </c>
      <c r="D71" s="389"/>
      <c r="E71" s="389"/>
      <c r="F71" s="1133" t="s">
        <v>850</v>
      </c>
      <c r="H71" s="1997">
        <v>2</v>
      </c>
      <c r="K71" s="1189" t="s">
        <v>553</v>
      </c>
      <c r="L71" s="1189"/>
      <c r="P71" s="392">
        <f>IF('Part VI-Revenues &amp; Expenses'!$M$62=0,0,H71/'Part VI-Revenues &amp; Expenses'!$M$62)</f>
        <v>2.6666666666666668E-2</v>
      </c>
    </row>
    <row r="72" spans="1:16" s="364" customFormat="1" ht="6.75" customHeight="1">
      <c r="A72" s="619"/>
      <c r="B72" s="619"/>
      <c r="D72" s="1133"/>
      <c r="E72" s="1133"/>
      <c r="F72" s="1133"/>
      <c r="G72" s="1133"/>
      <c r="I72" s="1140"/>
      <c r="J72" s="1140"/>
      <c r="K72" s="1140"/>
      <c r="L72" s="1140"/>
      <c r="M72" s="1140"/>
      <c r="N72" s="1144"/>
      <c r="P72" s="375"/>
    </row>
    <row r="73" spans="1:16" s="364" customFormat="1" ht="13.15" customHeight="1">
      <c r="A73" s="393" t="s">
        <v>823</v>
      </c>
      <c r="B73" s="1135" t="s">
        <v>2533</v>
      </c>
      <c r="D73" s="1133"/>
      <c r="E73" s="1133"/>
      <c r="F73" s="1133"/>
      <c r="G73" s="1133"/>
      <c r="H73" s="1133"/>
      <c r="I73" s="1140"/>
      <c r="M73" s="1140"/>
      <c r="N73" s="1144"/>
      <c r="P73" s="375"/>
    </row>
    <row r="74" spans="1:16" s="364" customFormat="1" ht="3" customHeight="1">
      <c r="A74" s="619"/>
      <c r="B74" s="619"/>
      <c r="C74" s="1135"/>
      <c r="D74" s="1133"/>
      <c r="E74" s="1133"/>
      <c r="F74" s="1133"/>
      <c r="L74" s="1140"/>
      <c r="M74" s="1140"/>
      <c r="N74" s="1144"/>
      <c r="P74" s="375"/>
    </row>
    <row r="75" spans="1:16" s="364" customFormat="1" ht="13.15" customHeight="1">
      <c r="A75" s="619"/>
      <c r="B75" s="619" t="s">
        <v>2118</v>
      </c>
      <c r="C75" s="330" t="s">
        <v>2532</v>
      </c>
      <c r="D75" s="1133"/>
      <c r="E75" s="1133"/>
      <c r="F75" s="1133"/>
      <c r="H75" s="2000" t="s">
        <v>924</v>
      </c>
      <c r="I75" s="2001"/>
      <c r="J75" s="2002"/>
      <c r="M75" s="1140"/>
      <c r="N75" s="1144"/>
      <c r="P75" s="375"/>
    </row>
    <row r="76" spans="1:16" s="364" customFormat="1" ht="3" customHeight="1">
      <c r="A76" s="619"/>
      <c r="B76" s="619"/>
      <c r="D76" s="1133"/>
      <c r="E76" s="1133"/>
      <c r="F76" s="1133"/>
      <c r="G76" s="1133"/>
      <c r="I76" s="1140"/>
      <c r="J76" s="1140"/>
      <c r="K76" s="1140"/>
      <c r="L76" s="1140"/>
      <c r="M76" s="1140"/>
      <c r="N76" s="1144"/>
      <c r="P76" s="375"/>
    </row>
    <row r="77" spans="1:16" s="364" customFormat="1" ht="13.15" customHeight="1">
      <c r="B77" s="619" t="s">
        <v>2121</v>
      </c>
      <c r="C77" s="367" t="s">
        <v>1640</v>
      </c>
      <c r="K77" s="370" t="s">
        <v>923</v>
      </c>
      <c r="N77" s="394"/>
      <c r="P77" s="1962"/>
    </row>
    <row r="78" spans="1:16" s="364" customFormat="1" ht="6.75" customHeight="1">
      <c r="A78" s="619"/>
      <c r="B78" s="619"/>
      <c r="C78" s="367"/>
      <c r="D78" s="1133"/>
      <c r="E78" s="1133"/>
      <c r="F78" s="1133"/>
      <c r="G78" s="1133"/>
      <c r="I78" s="1140"/>
      <c r="J78" s="1140"/>
      <c r="K78" s="1140"/>
      <c r="L78" s="1140"/>
      <c r="M78" s="1140"/>
      <c r="N78" s="1144"/>
      <c r="P78" s="375"/>
    </row>
    <row r="79" spans="1:16" s="364" customFormat="1" ht="13.15" customHeight="1">
      <c r="A79" s="393" t="s">
        <v>308</v>
      </c>
      <c r="B79" s="1135" t="s">
        <v>2179</v>
      </c>
      <c r="D79" s="1133"/>
    </row>
    <row r="80" spans="1:16" s="364" customFormat="1" ht="3" customHeight="1">
      <c r="A80" s="619"/>
      <c r="B80" s="619"/>
      <c r="D80" s="1133"/>
      <c r="N80" s="1144"/>
      <c r="P80" s="375"/>
    </row>
    <row r="81" spans="1:16" s="364" customFormat="1" ht="13.15" customHeight="1">
      <c r="A81" s="393"/>
      <c r="B81" s="619" t="s">
        <v>2118</v>
      </c>
      <c r="C81" s="367" t="s">
        <v>2950</v>
      </c>
      <c r="F81" s="389" t="s">
        <v>2782</v>
      </c>
      <c r="H81" s="1962" t="s">
        <v>3702</v>
      </c>
    </row>
    <row r="82" spans="1:16" s="364" customFormat="1" ht="3" customHeight="1">
      <c r="A82" s="619"/>
      <c r="B82" s="619"/>
      <c r="C82" s="1135"/>
      <c r="F82" s="1133"/>
      <c r="H82" s="1133"/>
      <c r="J82" s="1140"/>
      <c r="K82" s="1140"/>
      <c r="L82" s="1140"/>
      <c r="M82" s="1140"/>
      <c r="N82" s="1140"/>
      <c r="P82" s="375"/>
    </row>
    <row r="83" spans="1:16" s="364" customFormat="1" ht="13.15" customHeight="1">
      <c r="A83" s="393"/>
      <c r="B83" s="619" t="s">
        <v>2121</v>
      </c>
      <c r="C83" s="367" t="s">
        <v>2951</v>
      </c>
      <c r="F83" s="1134" t="s">
        <v>2881</v>
      </c>
      <c r="H83" s="1962" t="s">
        <v>3702</v>
      </c>
      <c r="I83" s="608" t="s">
        <v>2952</v>
      </c>
      <c r="J83" s="1140"/>
      <c r="K83" s="1140"/>
      <c r="L83" s="1140"/>
      <c r="M83" s="1140"/>
      <c r="N83" s="1140"/>
      <c r="O83" s="1140"/>
    </row>
    <row r="84" spans="1:16" s="364" customFormat="1" ht="6.75" customHeight="1">
      <c r="A84" s="619"/>
      <c r="B84" s="619"/>
      <c r="C84" s="367"/>
      <c r="D84" s="1133"/>
      <c r="E84" s="1133"/>
      <c r="F84" s="1133"/>
      <c r="G84" s="1133"/>
      <c r="I84" s="1140"/>
      <c r="J84" s="1140"/>
      <c r="K84" s="1140"/>
      <c r="L84" s="1140"/>
      <c r="M84" s="1140"/>
      <c r="N84" s="1144"/>
      <c r="P84" s="375"/>
    </row>
    <row r="85" spans="1:16" s="364" customFormat="1" ht="13.15" customHeight="1">
      <c r="A85" s="393" t="s">
        <v>445</v>
      </c>
      <c r="B85" s="1135" t="s">
        <v>3236</v>
      </c>
      <c r="D85" s="1133"/>
      <c r="H85" s="1947" t="s">
        <v>3293</v>
      </c>
      <c r="I85" s="1949"/>
      <c r="J85" s="1140"/>
    </row>
    <row r="86" spans="1:16" s="364" customFormat="1" ht="6.75" customHeight="1">
      <c r="A86" s="619"/>
      <c r="D86" s="382"/>
      <c r="E86" s="1144"/>
      <c r="I86" s="382"/>
      <c r="J86" s="374"/>
      <c r="K86" s="1144"/>
      <c r="P86" s="375"/>
    </row>
    <row r="87" spans="1:16" s="364" customFormat="1" ht="13.15" customHeight="1">
      <c r="A87" s="393" t="s">
        <v>381</v>
      </c>
      <c r="B87" s="387" t="s">
        <v>1260</v>
      </c>
      <c r="D87" s="1144"/>
      <c r="E87" s="1144"/>
      <c r="F87" s="1144"/>
      <c r="G87" s="1144"/>
      <c r="H87" s="1144"/>
      <c r="I87" s="382"/>
      <c r="J87" s="374"/>
      <c r="K87" s="1144"/>
      <c r="P87" s="375"/>
    </row>
    <row r="88" spans="1:16" s="364" customFormat="1" ht="3" customHeight="1">
      <c r="A88" s="393"/>
      <c r="B88" s="619"/>
      <c r="C88" s="387"/>
      <c r="D88" s="1144"/>
      <c r="E88" s="1144"/>
      <c r="F88" s="1144"/>
      <c r="G88" s="1144"/>
      <c r="H88" s="1144"/>
      <c r="I88" s="382"/>
      <c r="J88" s="374"/>
      <c r="K88" s="1144"/>
    </row>
    <row r="89" spans="1:16" s="364" customFormat="1" ht="13.15" customHeight="1">
      <c r="A89" s="619"/>
      <c r="B89" s="619"/>
      <c r="C89" s="374" t="s">
        <v>585</v>
      </c>
      <c r="D89" s="1144"/>
      <c r="E89" s="1950"/>
      <c r="F89" s="1951"/>
      <c r="G89" s="1951"/>
      <c r="H89" s="1951"/>
      <c r="I89" s="1951"/>
      <c r="J89" s="1951"/>
      <c r="K89" s="1951"/>
      <c r="L89" s="1952"/>
      <c r="M89" s="1188" t="s">
        <v>586</v>
      </c>
      <c r="N89" s="1188"/>
      <c r="O89" s="2003"/>
      <c r="P89" s="2004"/>
    </row>
    <row r="90" spans="1:16" s="364" customFormat="1" ht="13.15" customHeight="1">
      <c r="C90" s="370" t="s">
        <v>1083</v>
      </c>
      <c r="D90" s="378"/>
      <c r="E90" s="1950"/>
      <c r="F90" s="1951"/>
      <c r="G90" s="1951"/>
      <c r="H90" s="1951"/>
      <c r="I90" s="1951"/>
      <c r="J90" s="1951"/>
      <c r="K90" s="1951"/>
      <c r="L90" s="1952"/>
      <c r="M90" s="1188" t="s">
        <v>862</v>
      </c>
      <c r="N90" s="1188"/>
      <c r="O90" s="1963"/>
      <c r="P90" s="1965"/>
    </row>
    <row r="91" spans="1:16" s="364" customFormat="1" ht="13.15" customHeight="1">
      <c r="C91" s="370" t="s">
        <v>659</v>
      </c>
      <c r="E91" s="1950"/>
      <c r="F91" s="2005"/>
      <c r="G91" s="2006"/>
      <c r="H91" s="1137" t="s">
        <v>1923</v>
      </c>
      <c r="I91" s="1962"/>
      <c r="J91" s="395" t="s">
        <v>2375</v>
      </c>
      <c r="K91" s="1957"/>
      <c r="L91" s="2006"/>
      <c r="M91" s="333"/>
      <c r="N91" s="333"/>
      <c r="O91" s="333"/>
      <c r="P91" s="333"/>
    </row>
    <row r="92" spans="1:16" s="364" customFormat="1" ht="13.15" customHeight="1">
      <c r="C92" s="364" t="s">
        <v>2334</v>
      </c>
      <c r="E92" s="1950"/>
      <c r="F92" s="2005"/>
      <c r="G92" s="2006"/>
      <c r="H92" s="1140" t="s">
        <v>2115</v>
      </c>
      <c r="I92" s="1950"/>
      <c r="J92" s="2005"/>
      <c r="K92" s="2006"/>
      <c r="L92" s="1154" t="s">
        <v>2119</v>
      </c>
      <c r="M92" s="1950"/>
      <c r="N92" s="2005"/>
      <c r="O92" s="2005"/>
      <c r="P92" s="2006"/>
    </row>
    <row r="93" spans="1:16" s="364" customFormat="1" ht="13.15" customHeight="1">
      <c r="C93" s="370" t="s">
        <v>2333</v>
      </c>
      <c r="E93" s="1959"/>
      <c r="F93" s="1960"/>
      <c r="G93" s="1961"/>
      <c r="H93" s="1140" t="s">
        <v>1926</v>
      </c>
      <c r="I93" s="1991"/>
      <c r="J93" s="2006"/>
      <c r="K93" s="395" t="s">
        <v>1927</v>
      </c>
      <c r="L93" s="1991"/>
      <c r="M93" s="2006"/>
      <c r="N93" s="395" t="s">
        <v>2114</v>
      </c>
      <c r="O93" s="1991"/>
      <c r="P93" s="2006"/>
    </row>
    <row r="94" spans="1:16" s="364" customFormat="1" ht="3" customHeight="1">
      <c r="A94" s="619"/>
      <c r="B94" s="619"/>
      <c r="G94" s="382"/>
      <c r="H94" s="1140"/>
      <c r="I94" s="1140"/>
      <c r="M94" s="375"/>
    </row>
    <row r="95" spans="1:16" s="364" customFormat="1" ht="13.15" customHeight="1">
      <c r="A95" s="393" t="s">
        <v>382</v>
      </c>
      <c r="B95" s="1135" t="s">
        <v>1782</v>
      </c>
      <c r="D95" s="382"/>
      <c r="E95" s="382"/>
      <c r="F95" s="1140"/>
      <c r="G95" s="1140"/>
      <c r="H95" s="1140"/>
      <c r="I95" s="1140"/>
      <c r="J95" s="382"/>
      <c r="K95" s="1140"/>
      <c r="L95" s="1140"/>
      <c r="N95" s="1144"/>
      <c r="O95" s="1144"/>
      <c r="P95" s="375"/>
    </row>
    <row r="96" spans="1:16" s="364" customFormat="1" ht="3.6" customHeight="1">
      <c r="A96" s="393"/>
      <c r="B96" s="1135"/>
      <c r="D96" s="382"/>
      <c r="E96" s="382"/>
      <c r="F96" s="1140"/>
      <c r="G96" s="1140"/>
      <c r="H96" s="1140"/>
      <c r="I96" s="1140"/>
      <c r="J96" s="382"/>
      <c r="K96" s="1140"/>
      <c r="L96" s="1140"/>
      <c r="N96" s="1144"/>
      <c r="O96" s="1144"/>
      <c r="P96" s="375"/>
    </row>
    <row r="97" spans="1:16" s="364" customFormat="1" ht="13.15" customHeight="1">
      <c r="B97" s="389" t="s">
        <v>2291</v>
      </c>
      <c r="D97" s="396"/>
      <c r="E97" s="396"/>
      <c r="F97" s="396"/>
      <c r="G97" s="396"/>
      <c r="H97" s="396"/>
      <c r="I97" s="396"/>
      <c r="J97" s="396"/>
      <c r="K97" s="396"/>
      <c r="L97" s="396"/>
      <c r="M97" s="396"/>
      <c r="N97" s="396"/>
      <c r="O97" s="396"/>
      <c r="P97" s="396"/>
    </row>
    <row r="98" spans="1:16" s="364" customFormat="1" ht="4.9000000000000004" customHeight="1">
      <c r="A98" s="619"/>
      <c r="B98" s="619"/>
      <c r="C98" s="397"/>
      <c r="D98" s="397"/>
      <c r="E98" s="397"/>
      <c r="F98" s="397"/>
      <c r="G98" s="397"/>
      <c r="H98" s="397"/>
      <c r="I98" s="397"/>
      <c r="J98" s="397"/>
      <c r="K98" s="397"/>
      <c r="L98" s="397"/>
      <c r="M98" s="397"/>
      <c r="N98" s="397"/>
      <c r="O98" s="397"/>
      <c r="P98" s="397"/>
    </row>
    <row r="99" spans="1:16" s="364" customFormat="1" ht="13.15" customHeight="1">
      <c r="A99" s="619"/>
      <c r="B99" s="619" t="s">
        <v>2118</v>
      </c>
      <c r="C99" s="1135" t="s">
        <v>1504</v>
      </c>
      <c r="D99" s="1133"/>
      <c r="E99" s="1133"/>
      <c r="F99" s="1140"/>
      <c r="G99" s="1140"/>
      <c r="H99" s="2007">
        <v>1</v>
      </c>
      <c r="N99" s="1144"/>
      <c r="O99" s="1144"/>
    </row>
    <row r="100" spans="1:16" s="364" customFormat="1" ht="3.6" customHeight="1">
      <c r="A100" s="619"/>
      <c r="B100" s="619"/>
      <c r="C100" s="397"/>
      <c r="D100" s="397"/>
      <c r="E100" s="397"/>
      <c r="F100" s="397"/>
      <c r="G100" s="397"/>
      <c r="H100" s="397"/>
      <c r="J100" s="397"/>
      <c r="M100" s="397"/>
      <c r="N100" s="397"/>
      <c r="O100" s="397"/>
    </row>
    <row r="101" spans="1:16" s="364" customFormat="1" ht="13.15" customHeight="1">
      <c r="A101" s="619"/>
      <c r="B101" s="619" t="s">
        <v>2121</v>
      </c>
      <c r="C101" s="1135" t="s">
        <v>435</v>
      </c>
      <c r="D101" s="1133"/>
      <c r="E101" s="1133"/>
      <c r="F101" s="1140"/>
      <c r="G101" s="1140"/>
      <c r="H101" s="2008">
        <v>888110</v>
      </c>
      <c r="J101" s="382"/>
      <c r="K101" s="1134"/>
      <c r="N101" s="1144"/>
    </row>
    <row r="102" spans="1:16" s="364" customFormat="1" ht="3.6" customHeight="1">
      <c r="A102" s="619"/>
      <c r="B102" s="619"/>
      <c r="C102" s="397"/>
      <c r="D102" s="397"/>
      <c r="E102" s="397"/>
      <c r="F102" s="397"/>
      <c r="G102" s="397"/>
      <c r="H102" s="397"/>
      <c r="I102" s="397"/>
      <c r="J102" s="397"/>
      <c r="K102" s="397"/>
      <c r="M102" s="397"/>
      <c r="N102" s="397"/>
      <c r="O102" s="397"/>
      <c r="P102" s="397"/>
    </row>
    <row r="103" spans="1:16" s="364" customFormat="1" ht="13.15" customHeight="1">
      <c r="B103" s="619" t="s">
        <v>799</v>
      </c>
      <c r="C103" s="1135" t="s">
        <v>318</v>
      </c>
      <c r="D103" s="1133"/>
      <c r="E103" s="1133"/>
      <c r="F103" s="1140"/>
      <c r="G103" s="1140"/>
      <c r="H103" s="1140"/>
      <c r="I103" s="1140"/>
      <c r="J103" s="382"/>
      <c r="K103" s="1140"/>
      <c r="L103" s="1140"/>
      <c r="N103" s="1144"/>
      <c r="O103" s="1144"/>
    </row>
    <row r="104" spans="1:16" s="364" customFormat="1" ht="13.15" customHeight="1">
      <c r="B104" s="619"/>
      <c r="C104" s="1133" t="s">
        <v>2273</v>
      </c>
      <c r="D104" s="1133"/>
      <c r="F104" s="1133" t="s">
        <v>1202</v>
      </c>
      <c r="G104" s="1140"/>
      <c r="H104" s="1140"/>
      <c r="I104" s="1140"/>
      <c r="J104" s="1133" t="s">
        <v>2273</v>
      </c>
      <c r="K104" s="1133"/>
      <c r="M104" s="1133" t="s">
        <v>1202</v>
      </c>
      <c r="N104" s="1140"/>
      <c r="O104" s="1140"/>
      <c r="P104" s="1140"/>
    </row>
    <row r="105" spans="1:16" s="364" customFormat="1" ht="13.15" customHeight="1">
      <c r="A105" s="619"/>
      <c r="B105" s="619"/>
      <c r="C105" s="2009" t="s">
        <v>3711</v>
      </c>
      <c r="D105" s="2010"/>
      <c r="E105" s="2010"/>
      <c r="F105" s="2011" t="s">
        <v>3714</v>
      </c>
      <c r="G105" s="2011"/>
      <c r="H105" s="2011"/>
      <c r="I105" s="2012"/>
      <c r="J105" s="2009" t="s">
        <v>3746</v>
      </c>
      <c r="K105" s="2010"/>
      <c r="L105" s="2010"/>
      <c r="M105" s="2011" t="s">
        <v>3714</v>
      </c>
      <c r="N105" s="2011"/>
      <c r="O105" s="2011"/>
      <c r="P105" s="2012"/>
    </row>
    <row r="106" spans="1:16" s="364" customFormat="1" ht="13.15" customHeight="1">
      <c r="A106" s="619"/>
      <c r="B106" s="619"/>
      <c r="C106" s="2013" t="s">
        <v>3712</v>
      </c>
      <c r="D106" s="2011"/>
      <c r="E106" s="2011"/>
      <c r="F106" s="2011" t="s">
        <v>3714</v>
      </c>
      <c r="G106" s="2011"/>
      <c r="H106" s="2011"/>
      <c r="I106" s="2012"/>
      <c r="J106" s="2013" t="s">
        <v>3747</v>
      </c>
      <c r="K106" s="2011"/>
      <c r="L106" s="2011"/>
      <c r="M106" s="2011" t="s">
        <v>3714</v>
      </c>
      <c r="N106" s="2011"/>
      <c r="O106" s="2011"/>
      <c r="P106" s="2012"/>
    </row>
    <row r="107" spans="1:16" s="364" customFormat="1" ht="13.15" customHeight="1">
      <c r="A107" s="619"/>
      <c r="B107" s="619"/>
      <c r="C107" s="2013" t="s">
        <v>3713</v>
      </c>
      <c r="D107" s="2011"/>
      <c r="E107" s="2011"/>
      <c r="F107" s="2011" t="s">
        <v>3714</v>
      </c>
      <c r="G107" s="2011"/>
      <c r="H107" s="2011"/>
      <c r="I107" s="2012"/>
      <c r="J107" s="2013">
        <v>8</v>
      </c>
      <c r="K107" s="2011"/>
      <c r="L107" s="2011"/>
      <c r="M107" s="2011"/>
      <c r="N107" s="2011"/>
      <c r="O107" s="2011"/>
      <c r="P107" s="2012"/>
    </row>
    <row r="108" spans="1:16" s="364" customFormat="1" ht="13.15" customHeight="1">
      <c r="A108" s="619"/>
      <c r="B108" s="619"/>
      <c r="C108" s="2013" t="s">
        <v>3744</v>
      </c>
      <c r="D108" s="2011"/>
      <c r="E108" s="2011"/>
      <c r="F108" s="2011" t="s">
        <v>3714</v>
      </c>
      <c r="G108" s="2011"/>
      <c r="H108" s="2011"/>
      <c r="I108" s="2012"/>
      <c r="J108" s="2013">
        <v>9</v>
      </c>
      <c r="K108" s="2011"/>
      <c r="L108" s="2011"/>
      <c r="M108" s="2011"/>
      <c r="N108" s="2011"/>
      <c r="O108" s="2011"/>
      <c r="P108" s="2012"/>
    </row>
    <row r="109" spans="1:16" s="364" customFormat="1" ht="13.15" customHeight="1">
      <c r="A109" s="619"/>
      <c r="B109" s="619"/>
      <c r="C109" s="2014" t="s">
        <v>3745</v>
      </c>
      <c r="D109" s="2015"/>
      <c r="E109" s="2015"/>
      <c r="F109" s="2011" t="s">
        <v>3714</v>
      </c>
      <c r="G109" s="2011"/>
      <c r="H109" s="2011"/>
      <c r="I109" s="2012"/>
      <c r="J109" s="2014">
        <v>10</v>
      </c>
      <c r="K109" s="2015"/>
      <c r="L109" s="2015"/>
      <c r="M109" s="2015"/>
      <c r="N109" s="2015"/>
      <c r="O109" s="2015"/>
      <c r="P109" s="2016"/>
    </row>
    <row r="110" spans="1:16" s="364" customFormat="1" ht="4.9000000000000004" customHeight="1">
      <c r="A110" s="619"/>
      <c r="B110" s="619"/>
      <c r="C110" s="397"/>
      <c r="D110" s="397"/>
      <c r="E110" s="397"/>
      <c r="F110" s="397"/>
      <c r="G110" s="397"/>
      <c r="H110" s="397"/>
      <c r="I110" s="397"/>
      <c r="J110" s="397"/>
      <c r="K110" s="397"/>
      <c r="L110" s="397"/>
      <c r="M110" s="397"/>
      <c r="N110" s="397"/>
      <c r="O110" s="397"/>
      <c r="P110" s="397"/>
    </row>
    <row r="111" spans="1:16" s="364" customFormat="1" ht="13.15" customHeight="1">
      <c r="A111" s="619"/>
      <c r="B111" s="619" t="s">
        <v>2253</v>
      </c>
      <c r="C111" s="1211" t="s">
        <v>1976</v>
      </c>
      <c r="D111" s="1211"/>
      <c r="E111" s="1211"/>
      <c r="F111" s="1211"/>
      <c r="G111" s="1211"/>
      <c r="H111" s="1211"/>
      <c r="I111" s="1211"/>
      <c r="J111" s="1211"/>
      <c r="K111" s="1211"/>
      <c r="L111" s="1211"/>
      <c r="M111" s="1211"/>
      <c r="N111" s="1211"/>
      <c r="O111" s="1211"/>
      <c r="P111" s="1211"/>
    </row>
    <row r="112" spans="1:16" s="364" customFormat="1" ht="13.15" customHeight="1">
      <c r="A112" s="619"/>
      <c r="B112" s="619"/>
      <c r="C112" s="1211"/>
      <c r="D112" s="1211"/>
      <c r="E112" s="1211"/>
      <c r="F112" s="1211"/>
      <c r="G112" s="1211"/>
      <c r="H112" s="1211"/>
      <c r="I112" s="1211"/>
      <c r="J112" s="1211"/>
      <c r="K112" s="1211"/>
      <c r="L112" s="1211"/>
      <c r="M112" s="1211"/>
      <c r="N112" s="1211"/>
      <c r="O112" s="1211"/>
      <c r="P112" s="1211"/>
    </row>
    <row r="113" spans="1:16" s="364" customFormat="1" ht="13.15" customHeight="1">
      <c r="B113" s="619"/>
      <c r="C113" s="1133" t="s">
        <v>2273</v>
      </c>
      <c r="D113" s="1133"/>
      <c r="F113" s="1133" t="s">
        <v>1202</v>
      </c>
      <c r="G113" s="1140"/>
      <c r="H113" s="1140"/>
      <c r="I113" s="1140"/>
      <c r="J113" s="1133" t="s">
        <v>2273</v>
      </c>
      <c r="K113" s="1133"/>
      <c r="M113" s="1133" t="s">
        <v>1202</v>
      </c>
      <c r="N113" s="1140"/>
      <c r="O113" s="1140"/>
      <c r="P113" s="1140"/>
    </row>
    <row r="114" spans="1:16" s="364" customFormat="1" ht="13.15" customHeight="1">
      <c r="A114" s="619"/>
      <c r="B114" s="619"/>
      <c r="C114" s="2009" t="s">
        <v>3711</v>
      </c>
      <c r="D114" s="2010"/>
      <c r="E114" s="2010"/>
      <c r="F114" s="2011" t="s">
        <v>3714</v>
      </c>
      <c r="G114" s="2011"/>
      <c r="H114" s="2011"/>
      <c r="I114" s="2012"/>
      <c r="J114" s="2009" t="s">
        <v>3746</v>
      </c>
      <c r="K114" s="2010"/>
      <c r="L114" s="2010"/>
      <c r="M114" s="2011" t="s">
        <v>3714</v>
      </c>
      <c r="N114" s="2011"/>
      <c r="O114" s="2011"/>
      <c r="P114" s="2012"/>
    </row>
    <row r="115" spans="1:16" s="364" customFormat="1" ht="13.15" customHeight="1">
      <c r="A115" s="619"/>
      <c r="B115" s="619"/>
      <c r="C115" s="2013" t="s">
        <v>3712</v>
      </c>
      <c r="D115" s="2011"/>
      <c r="E115" s="2011"/>
      <c r="F115" s="2011" t="s">
        <v>3714</v>
      </c>
      <c r="G115" s="2011"/>
      <c r="H115" s="2011"/>
      <c r="I115" s="2012"/>
      <c r="J115" s="2013" t="s">
        <v>3747</v>
      </c>
      <c r="K115" s="2011"/>
      <c r="L115" s="2011"/>
      <c r="M115" s="2011" t="s">
        <v>3714</v>
      </c>
      <c r="N115" s="2011"/>
      <c r="O115" s="2011"/>
      <c r="P115" s="2012"/>
    </row>
    <row r="116" spans="1:16" s="364" customFormat="1" ht="13.15" customHeight="1">
      <c r="A116" s="619"/>
      <c r="B116" s="619"/>
      <c r="C116" s="2013" t="s">
        <v>3713</v>
      </c>
      <c r="D116" s="2011"/>
      <c r="E116" s="2011"/>
      <c r="F116" s="2011" t="s">
        <v>3714</v>
      </c>
      <c r="G116" s="2011"/>
      <c r="H116" s="2011"/>
      <c r="I116" s="2012"/>
      <c r="J116" s="2013">
        <v>8</v>
      </c>
      <c r="K116" s="2011"/>
      <c r="L116" s="2011"/>
      <c r="M116" s="2011"/>
      <c r="N116" s="2011"/>
      <c r="O116" s="2011"/>
      <c r="P116" s="2012"/>
    </row>
    <row r="117" spans="1:16" s="364" customFormat="1" ht="13.15" customHeight="1">
      <c r="A117" s="619"/>
      <c r="B117" s="619"/>
      <c r="C117" s="2013" t="s">
        <v>3744</v>
      </c>
      <c r="D117" s="2011"/>
      <c r="E117" s="2011"/>
      <c r="F117" s="2011" t="s">
        <v>3714</v>
      </c>
      <c r="G117" s="2011"/>
      <c r="H117" s="2011"/>
      <c r="I117" s="2012"/>
      <c r="J117" s="2013">
        <v>9</v>
      </c>
      <c r="K117" s="2011"/>
      <c r="L117" s="2011"/>
      <c r="M117" s="2011"/>
      <c r="N117" s="2011"/>
      <c r="O117" s="2011"/>
      <c r="P117" s="2012"/>
    </row>
    <row r="118" spans="1:16" s="364" customFormat="1" ht="13.15" customHeight="1">
      <c r="A118" s="619"/>
      <c r="B118" s="619"/>
      <c r="C118" s="2014" t="s">
        <v>3745</v>
      </c>
      <c r="D118" s="2015"/>
      <c r="E118" s="2015"/>
      <c r="F118" s="2011" t="s">
        <v>3714</v>
      </c>
      <c r="G118" s="2011"/>
      <c r="H118" s="2011"/>
      <c r="I118" s="2012"/>
      <c r="J118" s="2014">
        <v>10</v>
      </c>
      <c r="K118" s="2015"/>
      <c r="L118" s="2015"/>
      <c r="M118" s="2015"/>
      <c r="N118" s="2015"/>
      <c r="O118" s="2015"/>
      <c r="P118" s="2016"/>
    </row>
    <row r="119" spans="1:16" s="364" customFormat="1" ht="6.6" customHeight="1">
      <c r="A119" s="619"/>
      <c r="B119" s="619"/>
      <c r="C119" s="1133"/>
      <c r="D119" s="1133"/>
      <c r="E119" s="1133"/>
      <c r="F119" s="1140"/>
      <c r="G119" s="1140"/>
      <c r="H119" s="1140"/>
      <c r="I119" s="1140"/>
      <c r="J119" s="382"/>
      <c r="K119" s="1140"/>
      <c r="L119" s="1140"/>
      <c r="N119" s="1144"/>
      <c r="O119" s="1144"/>
      <c r="P119" s="375"/>
    </row>
    <row r="120" spans="1:16" s="364" customFormat="1" ht="13.15" customHeight="1">
      <c r="A120" s="393" t="s">
        <v>383</v>
      </c>
      <c r="B120" s="390" t="s">
        <v>2582</v>
      </c>
      <c r="D120" s="390"/>
      <c r="E120" s="390"/>
      <c r="F120" s="390"/>
      <c r="H120" s="1962" t="s">
        <v>3702</v>
      </c>
      <c r="M120" s="1140"/>
      <c r="N120" s="1144"/>
      <c r="O120" s="1144"/>
      <c r="P120" s="375"/>
    </row>
    <row r="121" spans="1:16" s="364" customFormat="1" ht="3" customHeight="1">
      <c r="A121" s="393"/>
      <c r="B121" s="619"/>
      <c r="C121" s="1135"/>
      <c r="D121" s="1135"/>
      <c r="E121" s="1135"/>
      <c r="F121" s="1135"/>
      <c r="G121" s="1140"/>
      <c r="M121" s="1140"/>
      <c r="N121" s="1144"/>
      <c r="O121" s="1144"/>
    </row>
    <row r="122" spans="1:16" s="364" customFormat="1" ht="13.15" customHeight="1">
      <c r="A122" s="619"/>
      <c r="B122" s="619" t="s">
        <v>2118</v>
      </c>
      <c r="C122" s="371" t="s">
        <v>1832</v>
      </c>
      <c r="H122" s="1962"/>
      <c r="M122" s="1140"/>
      <c r="N122" s="1144"/>
      <c r="O122" s="1144"/>
      <c r="P122" s="375"/>
    </row>
    <row r="123" spans="1:16" s="364" customFormat="1" ht="13.15" customHeight="1">
      <c r="A123" s="619"/>
      <c r="B123" s="619"/>
      <c r="C123" s="1133" t="s">
        <v>2584</v>
      </c>
      <c r="D123" s="1133"/>
      <c r="E123" s="1133"/>
      <c r="F123" s="1140"/>
      <c r="H123" s="2017"/>
      <c r="N123" s="1144"/>
      <c r="O123" s="1144"/>
      <c r="P123" s="375"/>
    </row>
    <row r="124" spans="1:16" s="364" customFormat="1" ht="13.15" customHeight="1">
      <c r="A124" s="619"/>
      <c r="B124" s="619"/>
      <c r="C124" s="398" t="s">
        <v>1831</v>
      </c>
      <c r="D124" s="370"/>
      <c r="H124" s="1950"/>
      <c r="I124" s="1952"/>
      <c r="P124" s="375"/>
    </row>
    <row r="125" spans="1:16" s="364" customFormat="1" ht="13.15" customHeight="1">
      <c r="A125" s="619"/>
      <c r="B125" s="619"/>
      <c r="C125" s="1133" t="s">
        <v>2585</v>
      </c>
      <c r="D125" s="1133"/>
      <c r="E125" s="1133"/>
      <c r="F125" s="1140"/>
      <c r="H125" s="2017"/>
      <c r="K125" s="333" t="s">
        <v>2393</v>
      </c>
      <c r="O125" s="1950" t="s">
        <v>514</v>
      </c>
      <c r="P125" s="1952"/>
    </row>
    <row r="126" spans="1:16" s="364" customFormat="1" ht="13.15" customHeight="1">
      <c r="A126" s="619"/>
      <c r="B126" s="619"/>
      <c r="C126" s="1133" t="s">
        <v>2583</v>
      </c>
      <c r="F126" s="1140"/>
      <c r="H126" s="2007"/>
      <c r="K126" s="333" t="s">
        <v>2394</v>
      </c>
      <c r="O126" s="1950" t="s">
        <v>514</v>
      </c>
      <c r="P126" s="1952"/>
    </row>
    <row r="127" spans="1:16" s="364" customFormat="1" ht="13.15" customHeight="1">
      <c r="A127" s="619"/>
      <c r="B127" s="619"/>
      <c r="C127" s="1133" t="s">
        <v>2305</v>
      </c>
      <c r="D127" s="1133"/>
      <c r="E127" s="1133"/>
      <c r="F127" s="1140"/>
      <c r="H127" s="2003"/>
      <c r="I127" s="2004"/>
      <c r="N127" s="1144"/>
      <c r="O127" s="1144"/>
      <c r="P127" s="375"/>
    </row>
    <row r="128" spans="1:16" s="364" customFormat="1" ht="3" customHeight="1">
      <c r="A128" s="619"/>
      <c r="B128" s="619"/>
      <c r="C128" s="1133"/>
      <c r="D128" s="1133"/>
      <c r="E128" s="1133"/>
      <c r="F128" s="1140"/>
      <c r="N128" s="1144"/>
      <c r="O128" s="1144"/>
      <c r="P128" s="375"/>
    </row>
    <row r="129" spans="1:16" s="364" customFormat="1" ht="13.15" customHeight="1">
      <c r="A129" s="619"/>
      <c r="B129" s="619" t="s">
        <v>2121</v>
      </c>
      <c r="C129" s="1135" t="s">
        <v>2658</v>
      </c>
      <c r="D129" s="1133"/>
      <c r="E129" s="1133"/>
      <c r="F129" s="1140"/>
      <c r="H129" s="2007" t="s">
        <v>3702</v>
      </c>
      <c r="N129" s="1144"/>
      <c r="O129" s="1144"/>
      <c r="P129" s="375"/>
    </row>
    <row r="130" spans="1:16" s="364" customFormat="1" ht="3" customHeight="1">
      <c r="A130" s="619"/>
      <c r="B130" s="619"/>
      <c r="C130" s="1133"/>
      <c r="D130" s="1133"/>
      <c r="E130" s="1133"/>
      <c r="F130" s="1140"/>
      <c r="G130" s="1140"/>
      <c r="M130" s="1140"/>
      <c r="N130" s="1144"/>
      <c r="O130" s="1144"/>
      <c r="P130" s="375"/>
    </row>
    <row r="131" spans="1:16" s="364" customFormat="1" ht="13.15" customHeight="1">
      <c r="A131" s="619"/>
      <c r="B131" s="619" t="s">
        <v>799</v>
      </c>
      <c r="C131" s="1135" t="s">
        <v>2934</v>
      </c>
      <c r="D131" s="1133"/>
      <c r="E131" s="1133"/>
      <c r="F131" s="1140"/>
      <c r="G131" s="1140"/>
      <c r="N131" s="1144"/>
      <c r="O131" s="1144"/>
      <c r="P131" s="375"/>
    </row>
    <row r="132" spans="1:16" s="364" customFormat="1" ht="13.15" customHeight="1">
      <c r="A132" s="619"/>
      <c r="B132" s="619"/>
      <c r="C132" s="1133" t="s">
        <v>768</v>
      </c>
      <c r="D132" s="1133"/>
      <c r="E132" s="1133"/>
      <c r="F132" s="1140"/>
      <c r="G132" s="1140"/>
      <c r="H132" s="2007" t="s">
        <v>3702</v>
      </c>
      <c r="K132" s="1133" t="s">
        <v>1641</v>
      </c>
      <c r="L132" s="1133"/>
      <c r="M132" s="1140"/>
      <c r="N132" s="1140"/>
      <c r="O132" s="2007" t="s">
        <v>3702</v>
      </c>
      <c r="P132" s="375"/>
    </row>
    <row r="133" spans="1:16" s="364" customFormat="1" ht="6" customHeight="1">
      <c r="A133" s="619"/>
      <c r="B133" s="619"/>
      <c r="C133" s="1133"/>
      <c r="D133" s="1133"/>
      <c r="E133" s="1133"/>
      <c r="F133" s="1140"/>
      <c r="G133" s="1140"/>
      <c r="H133" s="1140"/>
      <c r="I133" s="1140"/>
      <c r="J133" s="382"/>
      <c r="K133" s="1140"/>
      <c r="L133" s="1140"/>
      <c r="N133" s="1144"/>
      <c r="O133" s="1144"/>
      <c r="P133" s="375"/>
    </row>
    <row r="134" spans="1:16" s="364" customFormat="1" ht="13.15" customHeight="1">
      <c r="A134" s="393" t="s">
        <v>1847</v>
      </c>
      <c r="B134" s="390" t="s">
        <v>1261</v>
      </c>
      <c r="D134" s="390"/>
      <c r="E134" s="390"/>
      <c r="F134" s="390"/>
      <c r="G134" s="1140"/>
      <c r="H134" s="1140"/>
      <c r="I134" s="1140"/>
      <c r="J134" s="382"/>
      <c r="K134" s="1140"/>
      <c r="L134" s="1140"/>
      <c r="N134" s="1144"/>
      <c r="O134" s="1144"/>
      <c r="P134" s="375"/>
    </row>
    <row r="135" spans="1:16" s="364" customFormat="1" ht="1.9" customHeight="1">
      <c r="A135" s="393"/>
      <c r="B135" s="619"/>
      <c r="C135" s="1135"/>
      <c r="D135" s="1135"/>
      <c r="E135" s="1135"/>
      <c r="F135" s="1135"/>
      <c r="G135" s="1140"/>
      <c r="H135" s="1140"/>
      <c r="I135" s="1140"/>
      <c r="J135" s="382"/>
      <c r="K135" s="1140"/>
      <c r="L135" s="1140"/>
      <c r="N135" s="1144"/>
      <c r="O135" s="1144"/>
    </row>
    <row r="136" spans="1:16" s="364" customFormat="1" ht="13.15" customHeight="1">
      <c r="A136" s="619"/>
      <c r="B136" s="619" t="s">
        <v>2118</v>
      </c>
      <c r="C136" s="381" t="s">
        <v>1950</v>
      </c>
      <c r="F136" s="1140"/>
      <c r="G136" s="1140"/>
      <c r="H136" s="1140"/>
      <c r="I136" s="1140"/>
      <c r="J136" s="382"/>
      <c r="K136" s="1140"/>
      <c r="L136" s="1140"/>
      <c r="N136" s="1144"/>
      <c r="O136" s="1144"/>
      <c r="P136" s="375"/>
    </row>
    <row r="137" spans="1:16" s="364" customFormat="1" ht="12.6" customHeight="1">
      <c r="A137" s="619"/>
      <c r="B137" s="619"/>
      <c r="C137" s="389" t="s">
        <v>1633</v>
      </c>
      <c r="D137" s="382"/>
      <c r="E137" s="382"/>
      <c r="F137" s="1140"/>
      <c r="G137" s="1140"/>
      <c r="H137" s="1140"/>
      <c r="I137" s="1140"/>
      <c r="K137" s="2007" t="s">
        <v>3701</v>
      </c>
      <c r="N137" s="1144"/>
      <c r="O137" s="1144"/>
      <c r="P137" s="375"/>
    </row>
    <row r="138" spans="1:16" s="364" customFormat="1" ht="12.6" customHeight="1">
      <c r="A138" s="619"/>
      <c r="B138" s="619"/>
      <c r="C138" s="364" t="s">
        <v>656</v>
      </c>
      <c r="K138" s="1997">
        <v>75</v>
      </c>
      <c r="L138" s="370" t="s">
        <v>1919</v>
      </c>
      <c r="P138" s="399">
        <f>IF('Part VI-Revenues &amp; Expenses'!$M$60=0,0,K138/'Part VI-Revenues &amp; Expenses'!$M$60)</f>
        <v>1</v>
      </c>
    </row>
    <row r="139" spans="1:16" s="364" customFormat="1" ht="12.6" customHeight="1">
      <c r="A139" s="619"/>
      <c r="B139" s="619"/>
      <c r="C139" s="364" t="s">
        <v>2306</v>
      </c>
      <c r="K139" s="1997">
        <v>75</v>
      </c>
      <c r="L139" s="370" t="s">
        <v>1919</v>
      </c>
      <c r="P139" s="399">
        <f>IF('Part VI-Revenues &amp; Expenses'!$M$60=0,0,K139/'Part VI-Revenues &amp; Expenses'!$M$60)</f>
        <v>1</v>
      </c>
    </row>
    <row r="140" spans="1:16" s="364" customFormat="1" ht="12.6" customHeight="1">
      <c r="A140" s="619"/>
      <c r="B140" s="619"/>
      <c r="C140" s="364" t="s">
        <v>1920</v>
      </c>
      <c r="E140" s="1950" t="s">
        <v>777</v>
      </c>
      <c r="F140" s="1951"/>
      <c r="G140" s="1951"/>
      <c r="H140" s="1951"/>
      <c r="I140" s="1951"/>
      <c r="J140" s="1951"/>
      <c r="K140" s="1952"/>
      <c r="L140" s="400" t="s">
        <v>1921</v>
      </c>
      <c r="M140" s="1950" t="s">
        <v>3749</v>
      </c>
      <c r="N140" s="1951"/>
      <c r="O140" s="1951"/>
      <c r="P140" s="1952"/>
    </row>
    <row r="141" spans="1:16" s="364" customFormat="1" ht="12.6" customHeight="1">
      <c r="A141" s="619"/>
      <c r="B141" s="619"/>
      <c r="C141" s="370" t="s">
        <v>1922</v>
      </c>
      <c r="D141" s="378"/>
      <c r="E141" s="1950" t="s">
        <v>3748</v>
      </c>
      <c r="F141" s="1951"/>
      <c r="G141" s="1951"/>
      <c r="H141" s="1951"/>
      <c r="I141" s="1951"/>
      <c r="J141" s="1951"/>
      <c r="K141" s="2018"/>
      <c r="L141" s="1134" t="s">
        <v>1924</v>
      </c>
      <c r="M141" s="1963" t="s">
        <v>3750</v>
      </c>
      <c r="N141" s="1964"/>
      <c r="O141" s="1964"/>
      <c r="P141" s="1965"/>
    </row>
    <row r="142" spans="1:16" s="364" customFormat="1" ht="12.6" customHeight="1">
      <c r="A142" s="619"/>
      <c r="B142" s="619"/>
      <c r="C142" s="370" t="s">
        <v>659</v>
      </c>
      <c r="E142" s="1950" t="s">
        <v>2416</v>
      </c>
      <c r="F142" s="1951"/>
      <c r="G142" s="1951"/>
      <c r="H142" s="1952"/>
      <c r="I142" s="395" t="s">
        <v>2375</v>
      </c>
      <c r="J142" s="1957">
        <v>301621428</v>
      </c>
      <c r="K142" s="1958"/>
      <c r="L142" s="400" t="s">
        <v>1927</v>
      </c>
      <c r="M142" s="1959">
        <v>7063783940</v>
      </c>
      <c r="N142" s="1960"/>
      <c r="O142" s="1961"/>
    </row>
    <row r="143" spans="1:16" s="364" customFormat="1" ht="12.6" customHeight="1">
      <c r="A143" s="619"/>
      <c r="B143" s="619"/>
      <c r="C143" s="370" t="s">
        <v>1925</v>
      </c>
      <c r="E143" s="1959">
        <v>7062910780</v>
      </c>
      <c r="F143" s="1960"/>
      <c r="G143" s="1961"/>
      <c r="H143" s="401" t="s">
        <v>1926</v>
      </c>
      <c r="I143" s="1959">
        <v>7062950376</v>
      </c>
      <c r="J143" s="1960"/>
      <c r="K143" s="1961"/>
      <c r="L143" s="1139" t="s">
        <v>2114</v>
      </c>
      <c r="M143" s="1959">
        <v>7062524635</v>
      </c>
      <c r="N143" s="1960"/>
      <c r="O143" s="1961"/>
    </row>
    <row r="144" spans="1:16" s="364" customFormat="1" ht="6" customHeight="1">
      <c r="A144" s="619"/>
      <c r="B144" s="619"/>
      <c r="C144" s="370"/>
      <c r="E144" s="402"/>
      <c r="F144" s="402"/>
      <c r="G144" s="402"/>
      <c r="H144" s="1140"/>
      <c r="I144" s="402"/>
      <c r="J144" s="402"/>
      <c r="K144" s="1140"/>
      <c r="L144" s="402"/>
      <c r="M144" s="402"/>
      <c r="N144" s="1140"/>
      <c r="O144" s="402"/>
      <c r="P144" s="402"/>
    </row>
    <row r="145" spans="1:16" s="364" customFormat="1" ht="12.6" customHeight="1">
      <c r="A145" s="619"/>
      <c r="B145" s="619" t="s">
        <v>2121</v>
      </c>
      <c r="C145" s="1135" t="s">
        <v>2942</v>
      </c>
      <c r="D145" s="1135"/>
      <c r="E145" s="1135"/>
      <c r="F145" s="1135"/>
      <c r="G145" s="1135"/>
      <c r="I145" s="2007" t="s">
        <v>3702</v>
      </c>
      <c r="J145" s="1186" t="s">
        <v>812</v>
      </c>
      <c r="K145" s="1187"/>
      <c r="L145" s="2007"/>
      <c r="M145" s="1183" t="s">
        <v>2475</v>
      </c>
      <c r="N145" s="1184"/>
      <c r="O145" s="1185"/>
      <c r="P145" s="2017"/>
    </row>
    <row r="146" spans="1:16" s="364" customFormat="1" ht="6" customHeight="1">
      <c r="A146" s="619"/>
      <c r="B146" s="619"/>
      <c r="C146" s="1135"/>
      <c r="D146" s="1135"/>
      <c r="E146" s="367"/>
      <c r="F146" s="1135"/>
      <c r="G146" s="1135"/>
      <c r="J146" s="374"/>
      <c r="K146" s="403"/>
      <c r="M146" s="1144"/>
      <c r="O146" s="1140"/>
      <c r="P146" s="375"/>
    </row>
    <row r="147" spans="1:16" s="364" customFormat="1" ht="12.6" customHeight="1">
      <c r="A147" s="619"/>
      <c r="B147" s="619"/>
      <c r="C147" s="1135" t="s">
        <v>2943</v>
      </c>
      <c r="D147" s="1135"/>
      <c r="E147" s="1135"/>
      <c r="F147" s="1135"/>
      <c r="G147" s="1135"/>
      <c r="I147" s="2007" t="s">
        <v>3701</v>
      </c>
      <c r="J147" s="1186" t="s">
        <v>812</v>
      </c>
      <c r="K147" s="1187"/>
      <c r="L147" s="2007">
        <v>2036</v>
      </c>
      <c r="M147" s="1183" t="s">
        <v>2475</v>
      </c>
      <c r="N147" s="1184"/>
      <c r="O147" s="1185"/>
      <c r="P147" s="2017">
        <v>5</v>
      </c>
    </row>
    <row r="148" spans="1:16" s="364" customFormat="1" ht="6" customHeight="1">
      <c r="A148" s="619"/>
      <c r="B148" s="619"/>
      <c r="C148" s="1135"/>
      <c r="D148" s="1135"/>
      <c r="E148" s="367"/>
      <c r="F148" s="1135"/>
      <c r="G148" s="1135"/>
      <c r="J148" s="374"/>
      <c r="K148" s="403"/>
      <c r="M148" s="1144"/>
      <c r="O148" s="1140"/>
      <c r="P148" s="375"/>
    </row>
    <row r="149" spans="1:16" s="364" customFormat="1" ht="12.6" customHeight="1">
      <c r="A149" s="619"/>
      <c r="B149" s="619" t="s">
        <v>799</v>
      </c>
      <c r="C149" s="1135" t="s">
        <v>1880</v>
      </c>
      <c r="D149" s="1135"/>
      <c r="E149" s="1135"/>
      <c r="F149" s="1135"/>
      <c r="G149" s="1135"/>
      <c r="I149" s="2007" t="s">
        <v>3702</v>
      </c>
      <c r="L149" s="333"/>
      <c r="M149" s="333"/>
      <c r="P149" s="375"/>
    </row>
    <row r="150" spans="1:16" s="364" customFormat="1" ht="6" customHeight="1">
      <c r="A150" s="619"/>
      <c r="B150" s="619"/>
      <c r="C150" s="370"/>
      <c r="E150" s="402"/>
      <c r="F150" s="402"/>
      <c r="G150" s="402"/>
      <c r="I150" s="402"/>
      <c r="J150" s="402"/>
      <c r="K150" s="1140"/>
      <c r="L150" s="402"/>
      <c r="M150" s="402"/>
      <c r="N150" s="1140"/>
      <c r="O150" s="402"/>
      <c r="P150" s="402"/>
    </row>
    <row r="151" spans="1:16" s="364" customFormat="1" ht="12.6" customHeight="1">
      <c r="A151" s="619"/>
      <c r="B151" s="619" t="s">
        <v>2253</v>
      </c>
      <c r="C151" s="1208" t="s">
        <v>2113</v>
      </c>
      <c r="D151" s="1208"/>
      <c r="E151" s="1208"/>
      <c r="F151" s="1208"/>
      <c r="G151" s="1135"/>
      <c r="I151" s="2007" t="s">
        <v>3701</v>
      </c>
      <c r="J151" s="405" t="s">
        <v>3135</v>
      </c>
      <c r="L151" s="1207" t="s">
        <v>1574</v>
      </c>
      <c r="M151" s="1207"/>
      <c r="N151" s="1135"/>
      <c r="O151" s="1135"/>
      <c r="P151" s="2019">
        <v>75</v>
      </c>
    </row>
    <row r="152" spans="1:16" s="364" customFormat="1" ht="12.6" customHeight="1">
      <c r="B152" s="619"/>
      <c r="L152" s="1189" t="s">
        <v>851</v>
      </c>
      <c r="M152" s="1189"/>
      <c r="N152" s="1135"/>
      <c r="O152" s="1135"/>
      <c r="P152" s="2019">
        <v>75</v>
      </c>
    </row>
    <row r="153" spans="1:16" s="364" customFormat="1" ht="12.6" customHeight="1">
      <c r="A153" s="619"/>
      <c r="B153" s="619"/>
      <c r="L153" s="1189" t="s">
        <v>1915</v>
      </c>
      <c r="M153" s="1189"/>
      <c r="N153" s="1135"/>
      <c r="O153" s="1135"/>
      <c r="P153" s="404">
        <f>IF(P151="","",P152/P151)</f>
        <v>1</v>
      </c>
    </row>
    <row r="154" spans="1:16" s="364" customFormat="1" ht="13.15" customHeight="1">
      <c r="A154" s="619"/>
      <c r="B154" s="619" t="s">
        <v>1857</v>
      </c>
      <c r="C154" s="330" t="s">
        <v>1718</v>
      </c>
      <c r="D154" s="1133"/>
      <c r="E154" s="1133"/>
      <c r="F154" s="1133"/>
      <c r="G154" s="1133"/>
      <c r="H154" s="1140"/>
      <c r="J154" s="374"/>
      <c r="K154" s="382"/>
      <c r="M154" s="1144"/>
      <c r="O154" s="1140"/>
      <c r="P154" s="375"/>
    </row>
    <row r="155" spans="1:16" s="364" customFormat="1" ht="12.6" customHeight="1">
      <c r="A155" s="619"/>
      <c r="B155" s="619"/>
      <c r="C155" s="1144" t="s">
        <v>2355</v>
      </c>
      <c r="D155" s="376"/>
      <c r="E155" s="1144"/>
      <c r="F155" s="1144"/>
      <c r="I155" s="2007" t="s">
        <v>3702</v>
      </c>
      <c r="L155" s="1144" t="s">
        <v>1719</v>
      </c>
      <c r="M155" s="1144"/>
      <c r="N155" s="1144"/>
      <c r="P155" s="2007" t="s">
        <v>3701</v>
      </c>
    </row>
    <row r="156" spans="1:16" s="364" customFormat="1" ht="12.6" customHeight="1">
      <c r="A156" s="619"/>
      <c r="B156" s="619"/>
      <c r="C156" s="1144" t="s">
        <v>2357</v>
      </c>
      <c r="I156" s="2007" t="s">
        <v>3701</v>
      </c>
      <c r="L156" s="1144" t="s">
        <v>3407</v>
      </c>
      <c r="M156" s="1144"/>
      <c r="N156" s="1144"/>
      <c r="P156" s="2007" t="s">
        <v>3702</v>
      </c>
    </row>
    <row r="157" spans="1:16" s="364" customFormat="1" ht="12.6" customHeight="1">
      <c r="A157" s="619"/>
      <c r="C157" s="1144" t="s">
        <v>2977</v>
      </c>
      <c r="I157" s="2007" t="s">
        <v>3702</v>
      </c>
      <c r="L157" s="1144" t="s">
        <v>2919</v>
      </c>
      <c r="N157" s="2020"/>
      <c r="O157" s="2021"/>
      <c r="P157" s="2007" t="s">
        <v>3702</v>
      </c>
    </row>
    <row r="158" spans="1:16" s="364" customFormat="1" ht="12.6" customHeight="1">
      <c r="A158" s="619"/>
      <c r="B158" s="619"/>
      <c r="C158" s="1144" t="s">
        <v>1368</v>
      </c>
      <c r="D158" s="406"/>
      <c r="I158" s="2007" t="s">
        <v>3702</v>
      </c>
      <c r="K158" s="376"/>
    </row>
    <row r="159" spans="1:16" s="364" customFormat="1" ht="12.6" customHeight="1">
      <c r="A159" s="619"/>
      <c r="B159" s="367"/>
      <c r="C159" s="1144" t="s">
        <v>1934</v>
      </c>
      <c r="I159" s="2007" t="s">
        <v>3702</v>
      </c>
      <c r="J159" s="405" t="s">
        <v>3136</v>
      </c>
      <c r="O159" s="2022"/>
      <c r="P159" s="2023"/>
    </row>
    <row r="160" spans="1:16" s="364" customFormat="1" ht="12.6" customHeight="1">
      <c r="A160" s="619"/>
      <c r="B160" s="619"/>
      <c r="C160" s="1144" t="s">
        <v>3577</v>
      </c>
      <c r="I160" s="2007" t="s">
        <v>3702</v>
      </c>
      <c r="J160" s="405" t="s">
        <v>3136</v>
      </c>
      <c r="O160" s="2022"/>
      <c r="P160" s="2023"/>
    </row>
    <row r="161" spans="1:21" s="364" customFormat="1" ht="12.6" customHeight="1">
      <c r="A161" s="619"/>
      <c r="B161" s="619"/>
      <c r="C161" s="1144" t="s">
        <v>3578</v>
      </c>
      <c r="I161" s="2007" t="s">
        <v>3702</v>
      </c>
      <c r="J161" s="405" t="s">
        <v>3136</v>
      </c>
      <c r="O161" s="2022"/>
      <c r="P161" s="2023"/>
    </row>
    <row r="162" spans="1:21" s="364" customFormat="1" ht="3" customHeight="1">
      <c r="A162" s="619"/>
      <c r="B162" s="619"/>
      <c r="P162" s="374"/>
    </row>
    <row r="163" spans="1:21" s="364" customFormat="1" ht="13.15" customHeight="1">
      <c r="B163" s="619" t="s">
        <v>1858</v>
      </c>
      <c r="C163" s="371" t="s">
        <v>789</v>
      </c>
    </row>
    <row r="164" spans="1:21" s="364" customFormat="1" ht="12.6" customHeight="1">
      <c r="A164" s="619"/>
      <c r="B164" s="619"/>
      <c r="C164" s="370" t="s">
        <v>680</v>
      </c>
      <c r="D164" s="1133"/>
      <c r="E164" s="1133"/>
      <c r="F164" s="1140"/>
      <c r="G164" s="1140"/>
      <c r="H164" s="2003">
        <v>42216</v>
      </c>
      <c r="I164" s="2004"/>
      <c r="N164" s="1144"/>
      <c r="O164" s="1144"/>
      <c r="P164" s="375"/>
    </row>
    <row r="165" spans="1:21" s="364" customFormat="1" ht="12.6" customHeight="1">
      <c r="A165" s="619"/>
      <c r="B165" s="619"/>
      <c r="C165" s="370" t="s">
        <v>291</v>
      </c>
      <c r="D165" s="1133"/>
      <c r="E165" s="1133"/>
      <c r="F165" s="1140"/>
      <c r="G165" s="1140"/>
      <c r="H165" s="2003">
        <v>42735</v>
      </c>
      <c r="I165" s="2004"/>
      <c r="N165" s="1144"/>
      <c r="O165" s="1144"/>
      <c r="P165" s="375"/>
    </row>
    <row r="166" spans="1:21" s="364" customFormat="1" ht="12.6" customHeight="1">
      <c r="A166" s="619"/>
      <c r="B166" s="619"/>
      <c r="C166" s="370" t="s">
        <v>2444</v>
      </c>
      <c r="D166" s="1133"/>
      <c r="E166" s="1133"/>
      <c r="F166" s="1140"/>
      <c r="G166" s="1140"/>
      <c r="H166" s="2003"/>
      <c r="I166" s="2004"/>
      <c r="N166" s="1144"/>
      <c r="O166" s="1144"/>
      <c r="P166" s="375"/>
    </row>
    <row r="167" spans="1:21" s="364" customFormat="1" ht="6" customHeight="1">
      <c r="B167" s="367"/>
      <c r="C167" s="1144"/>
      <c r="H167" s="1144"/>
      <c r="L167" s="384"/>
      <c r="M167" s="384"/>
      <c r="N167" s="384"/>
      <c r="O167" s="384"/>
      <c r="P167" s="372"/>
    </row>
    <row r="168" spans="1:21" ht="12" customHeight="1">
      <c r="A168" s="393" t="s">
        <v>3235</v>
      </c>
      <c r="C168" s="393" t="s">
        <v>608</v>
      </c>
      <c r="K168" s="393" t="s">
        <v>2399</v>
      </c>
      <c r="L168" s="393" t="s">
        <v>82</v>
      </c>
    </row>
    <row r="169" spans="1:21" ht="106.5" customHeight="1">
      <c r="A169" s="1794"/>
      <c r="B169" s="1795"/>
      <c r="C169" s="1795"/>
      <c r="D169" s="1795"/>
      <c r="E169" s="1795"/>
      <c r="F169" s="1795"/>
      <c r="G169" s="1795"/>
      <c r="H169" s="1795"/>
      <c r="I169" s="1795"/>
      <c r="J169" s="1796"/>
      <c r="K169" s="1797"/>
      <c r="L169" s="1798"/>
      <c r="M169" s="1798"/>
      <c r="N169" s="1798"/>
      <c r="O169" s="1798"/>
      <c r="P169" s="1799"/>
      <c r="Q169" s="1182" t="s">
        <v>2924</v>
      </c>
      <c r="R169" s="1182"/>
      <c r="S169" s="1182"/>
      <c r="T169" s="1182"/>
      <c r="U169" s="1182"/>
    </row>
    <row r="170" spans="1:21" ht="12" customHeight="1">
      <c r="Q170" s="1182"/>
      <c r="R170" s="1182"/>
      <c r="S170" s="1182"/>
      <c r="T170" s="1182"/>
      <c r="U170" s="1182"/>
    </row>
    <row r="177" spans="2:44" s="637" customFormat="1" ht="12" customHeight="1">
      <c r="B177" s="636"/>
      <c r="P177" s="384"/>
      <c r="Q177" s="384"/>
      <c r="X177" s="384"/>
      <c r="Y177" s="384"/>
      <c r="Z177" s="384"/>
      <c r="AA177" s="384"/>
      <c r="AB177" s="384"/>
      <c r="AC177" s="384"/>
      <c r="AD177" s="384"/>
      <c r="AE177" s="384"/>
      <c r="AF177" s="384"/>
      <c r="AG177" s="384"/>
      <c r="AH177" s="384"/>
      <c r="AI177" s="384"/>
      <c r="AJ177" s="384"/>
      <c r="AK177" s="384"/>
      <c r="AL177" s="384"/>
      <c r="AM177" s="384"/>
      <c r="AN177" s="384"/>
      <c r="AO177" s="384"/>
      <c r="AP177" s="384"/>
      <c r="AQ177" s="384"/>
      <c r="AR177" s="384"/>
    </row>
    <row r="178" spans="2:44" s="637" customFormat="1" ht="22.9" customHeight="1">
      <c r="B178" s="736" t="s">
        <v>1923</v>
      </c>
      <c r="C178" s="736" t="s">
        <v>1284</v>
      </c>
      <c r="D178" s="736" t="s">
        <v>1285</v>
      </c>
      <c r="E178" s="737" t="s">
        <v>1286</v>
      </c>
      <c r="F178" s="737" t="s">
        <v>1219</v>
      </c>
      <c r="G178" s="736" t="s">
        <v>444</v>
      </c>
      <c r="H178" s="738" t="s">
        <v>1227</v>
      </c>
      <c r="I178" s="738" t="s">
        <v>3210</v>
      </c>
      <c r="J178" s="736" t="s">
        <v>2561</v>
      </c>
      <c r="K178" s="736"/>
      <c r="L178" s="727"/>
      <c r="M178" s="728"/>
      <c r="N178" s="739" t="s">
        <v>659</v>
      </c>
      <c r="O178" s="718" t="s">
        <v>660</v>
      </c>
      <c r="P178" s="475"/>
      <c r="Q178" s="384"/>
      <c r="T178" s="719"/>
      <c r="U178" s="718"/>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row>
    <row r="179" spans="2:44" s="637" customFormat="1" ht="12" customHeight="1">
      <c r="B179" s="705" t="s">
        <v>892</v>
      </c>
      <c r="C179" s="705" t="s">
        <v>1287</v>
      </c>
      <c r="D179" s="705" t="s">
        <v>1288</v>
      </c>
      <c r="E179" s="740" t="s">
        <v>1289</v>
      </c>
      <c r="F179" s="740" t="s">
        <v>2795</v>
      </c>
      <c r="G179" s="741" t="s">
        <v>1228</v>
      </c>
      <c r="H179" s="742" t="s">
        <v>442</v>
      </c>
      <c r="I179" s="2024" t="s">
        <v>2781</v>
      </c>
      <c r="J179" s="729" t="s">
        <v>1628</v>
      </c>
      <c r="K179" s="730"/>
      <c r="L179" s="727"/>
      <c r="M179" s="728"/>
      <c r="N179" s="1180" t="s">
        <v>2562</v>
      </c>
      <c r="O179" s="1180" t="s">
        <v>2085</v>
      </c>
      <c r="P179" s="349"/>
      <c r="Q179" s="384"/>
      <c r="T179" s="1180"/>
      <c r="U179" s="1180"/>
      <c r="X179" s="384"/>
      <c r="Y179" s="384"/>
      <c r="Z179" s="384"/>
      <c r="AA179" s="384"/>
      <c r="AB179" s="384"/>
      <c r="AC179" s="384"/>
      <c r="AD179" s="384"/>
      <c r="AE179" s="384"/>
      <c r="AF179" s="384"/>
      <c r="AG179" s="384"/>
      <c r="AH179" s="384"/>
      <c r="AI179" s="384"/>
      <c r="AJ179" s="384"/>
      <c r="AK179" s="384"/>
      <c r="AL179" s="384"/>
      <c r="AM179" s="384"/>
      <c r="AN179" s="384"/>
      <c r="AO179" s="384"/>
      <c r="AP179" s="384"/>
      <c r="AQ179" s="384"/>
      <c r="AR179" s="384"/>
    </row>
    <row r="180" spans="2:44" s="637" customFormat="1" ht="12" customHeight="1">
      <c r="B180" s="705" t="s">
        <v>893</v>
      </c>
      <c r="C180" s="705" t="s">
        <v>1901</v>
      </c>
      <c r="D180" s="705" t="s">
        <v>1288</v>
      </c>
      <c r="E180" s="740" t="s">
        <v>1902</v>
      </c>
      <c r="F180" s="740" t="s">
        <v>2795</v>
      </c>
      <c r="G180" s="741" t="s">
        <v>1229</v>
      </c>
      <c r="H180" s="742" t="s">
        <v>442</v>
      </c>
      <c r="I180" s="2024" t="s">
        <v>2781</v>
      </c>
      <c r="J180" s="729" t="s">
        <v>1630</v>
      </c>
      <c r="K180" s="730"/>
      <c r="L180" s="727"/>
      <c r="M180" s="728"/>
      <c r="N180" s="1180" t="s">
        <v>1629</v>
      </c>
      <c r="O180" s="1180" t="s">
        <v>2654</v>
      </c>
      <c r="P180" s="349"/>
      <c r="Q180" s="384"/>
      <c r="T180" s="1180"/>
      <c r="U180" s="1180"/>
      <c r="X180" s="384"/>
      <c r="Y180" s="384"/>
      <c r="Z180" s="384"/>
      <c r="AA180" s="384"/>
      <c r="AB180" s="384"/>
      <c r="AC180" s="384"/>
      <c r="AD180" s="384"/>
      <c r="AE180" s="384"/>
      <c r="AF180" s="384"/>
      <c r="AG180" s="384"/>
      <c r="AH180" s="384"/>
      <c r="AI180" s="384"/>
      <c r="AJ180" s="384"/>
      <c r="AK180" s="384"/>
      <c r="AL180" s="384"/>
      <c r="AM180" s="384"/>
      <c r="AN180" s="384"/>
      <c r="AO180" s="384"/>
      <c r="AP180" s="384"/>
      <c r="AQ180" s="384"/>
      <c r="AR180" s="384"/>
    </row>
    <row r="181" spans="2:44" s="637" customFormat="1" ht="12" customHeight="1">
      <c r="B181" s="705" t="s">
        <v>894</v>
      </c>
      <c r="C181" s="705" t="s">
        <v>1903</v>
      </c>
      <c r="D181" s="705" t="s">
        <v>1288</v>
      </c>
      <c r="E181" s="740" t="s">
        <v>1904</v>
      </c>
      <c r="F181" s="740" t="s">
        <v>2795</v>
      </c>
      <c r="G181" s="741" t="s">
        <v>1230</v>
      </c>
      <c r="H181" s="742" t="s">
        <v>442</v>
      </c>
      <c r="I181" s="2024" t="s">
        <v>2781</v>
      </c>
      <c r="J181" s="729" t="s">
        <v>486</v>
      </c>
      <c r="K181" s="730"/>
      <c r="L181" s="727"/>
      <c r="M181" s="728"/>
      <c r="N181" s="1180" t="s">
        <v>1001</v>
      </c>
      <c r="O181" s="1180" t="s">
        <v>1400</v>
      </c>
      <c r="P181" s="349"/>
      <c r="Q181" s="384"/>
      <c r="T181" s="1180"/>
      <c r="U181" s="1180"/>
      <c r="X181" s="384"/>
      <c r="Y181" s="384"/>
      <c r="Z181" s="384"/>
      <c r="AA181" s="384"/>
      <c r="AB181" s="384"/>
      <c r="AC181" s="384"/>
      <c r="AD181" s="384"/>
      <c r="AE181" s="384"/>
      <c r="AF181" s="384"/>
      <c r="AG181" s="384"/>
      <c r="AH181" s="384"/>
      <c r="AI181" s="384"/>
      <c r="AJ181" s="384"/>
      <c r="AK181" s="384"/>
      <c r="AL181" s="384"/>
      <c r="AM181" s="384"/>
      <c r="AN181" s="384"/>
      <c r="AO181" s="384"/>
      <c r="AP181" s="384"/>
      <c r="AQ181" s="384"/>
      <c r="AR181" s="384"/>
    </row>
    <row r="182" spans="2:44" s="637" customFormat="1" ht="12" customHeight="1">
      <c r="B182" s="705" t="s">
        <v>895</v>
      </c>
      <c r="C182" s="705" t="s">
        <v>1905</v>
      </c>
      <c r="D182" s="705" t="s">
        <v>1288</v>
      </c>
      <c r="E182" s="743" t="s">
        <v>1906</v>
      </c>
      <c r="F182" s="743" t="s">
        <v>2796</v>
      </c>
      <c r="G182" s="741" t="s">
        <v>1231</v>
      </c>
      <c r="H182" s="742" t="s">
        <v>443</v>
      </c>
      <c r="I182" s="2025" t="s">
        <v>2781</v>
      </c>
      <c r="J182" s="729" t="s">
        <v>2218</v>
      </c>
      <c r="K182" s="730"/>
      <c r="L182" s="727"/>
      <c r="M182" s="728"/>
      <c r="N182" s="1180" t="s">
        <v>487</v>
      </c>
      <c r="O182" s="1180" t="s">
        <v>2702</v>
      </c>
      <c r="P182" s="349"/>
      <c r="Q182" s="384"/>
      <c r="T182" s="1180"/>
      <c r="U182" s="1180"/>
      <c r="X182" s="384"/>
      <c r="Y182" s="384"/>
      <c r="Z182" s="384"/>
      <c r="AA182" s="384"/>
      <c r="AB182" s="384"/>
      <c r="AC182" s="384"/>
      <c r="AD182" s="384"/>
      <c r="AE182" s="384"/>
      <c r="AF182" s="384"/>
      <c r="AG182" s="384"/>
      <c r="AH182" s="384"/>
      <c r="AI182" s="384"/>
      <c r="AJ182" s="384"/>
      <c r="AK182" s="384"/>
      <c r="AL182" s="384"/>
      <c r="AM182" s="384"/>
      <c r="AN182" s="384"/>
      <c r="AO182" s="384"/>
      <c r="AP182" s="384"/>
      <c r="AQ182" s="384"/>
      <c r="AR182" s="384"/>
    </row>
    <row r="183" spans="2:44" s="637" customFormat="1" ht="12" customHeight="1">
      <c r="B183" s="705" t="s">
        <v>896</v>
      </c>
      <c r="C183" s="705" t="s">
        <v>1907</v>
      </c>
      <c r="D183" s="705" t="s">
        <v>1421</v>
      </c>
      <c r="E183" s="743" t="s">
        <v>163</v>
      </c>
      <c r="F183" s="743" t="s">
        <v>2795</v>
      </c>
      <c r="G183" s="741" t="s">
        <v>1232</v>
      </c>
      <c r="H183" s="742" t="s">
        <v>442</v>
      </c>
      <c r="I183" s="2024" t="s">
        <v>2781</v>
      </c>
      <c r="J183" s="729" t="s">
        <v>2220</v>
      </c>
      <c r="K183" s="730"/>
      <c r="L183" s="727"/>
      <c r="M183" s="728"/>
      <c r="N183" s="1180" t="s">
        <v>2219</v>
      </c>
      <c r="O183" s="1180" t="s">
        <v>350</v>
      </c>
      <c r="P183" s="349"/>
      <c r="Q183" s="384"/>
      <c r="T183" s="1180"/>
      <c r="U183" s="1180"/>
      <c r="X183" s="384"/>
      <c r="Y183" s="384"/>
      <c r="Z183" s="384"/>
      <c r="AA183" s="384"/>
      <c r="AB183" s="384"/>
      <c r="AC183" s="384"/>
      <c r="AD183" s="384"/>
      <c r="AE183" s="384"/>
      <c r="AF183" s="384"/>
      <c r="AG183" s="384"/>
      <c r="AH183" s="384"/>
      <c r="AI183" s="384"/>
      <c r="AJ183" s="384"/>
      <c r="AK183" s="384"/>
      <c r="AL183" s="384"/>
      <c r="AM183" s="384"/>
      <c r="AN183" s="384"/>
      <c r="AO183" s="384"/>
      <c r="AP183" s="384"/>
      <c r="AQ183" s="384"/>
      <c r="AR183" s="384"/>
    </row>
    <row r="184" spans="2:44" s="637" customFormat="1" ht="12" customHeight="1">
      <c r="B184" s="705" t="s">
        <v>897</v>
      </c>
      <c r="C184" s="705" t="s">
        <v>1396</v>
      </c>
      <c r="D184" s="705" t="s">
        <v>1397</v>
      </c>
      <c r="E184" s="740" t="s">
        <v>1398</v>
      </c>
      <c r="F184" s="740" t="s">
        <v>2795</v>
      </c>
      <c r="G184" s="741" t="s">
        <v>1951</v>
      </c>
      <c r="H184" s="742" t="s">
        <v>442</v>
      </c>
      <c r="I184" s="2024" t="s">
        <v>2781</v>
      </c>
      <c r="J184" s="729" t="s">
        <v>2222</v>
      </c>
      <c r="K184" s="730"/>
      <c r="L184" s="727"/>
      <c r="M184" s="728"/>
      <c r="N184" s="1180" t="s">
        <v>2221</v>
      </c>
      <c r="O184" s="1180" t="s">
        <v>191</v>
      </c>
      <c r="P184" s="349"/>
      <c r="Q184" s="384"/>
      <c r="T184" s="1180"/>
      <c r="U184" s="1180"/>
      <c r="X184" s="384"/>
      <c r="Y184" s="384"/>
      <c r="Z184" s="384"/>
      <c r="AA184" s="384"/>
      <c r="AB184" s="384"/>
      <c r="AC184" s="384"/>
      <c r="AD184" s="384"/>
      <c r="AE184" s="384"/>
      <c r="AF184" s="384"/>
      <c r="AG184" s="384"/>
      <c r="AH184" s="384"/>
      <c r="AI184" s="384"/>
      <c r="AJ184" s="384"/>
      <c r="AK184" s="384"/>
      <c r="AL184" s="384"/>
      <c r="AM184" s="384"/>
      <c r="AN184" s="384"/>
      <c r="AO184" s="384"/>
      <c r="AP184" s="384"/>
      <c r="AQ184" s="384"/>
      <c r="AR184" s="384"/>
    </row>
    <row r="185" spans="2:44" s="637" customFormat="1" ht="12" customHeight="1">
      <c r="B185" s="705" t="s">
        <v>898</v>
      </c>
      <c r="C185" s="705" t="s">
        <v>1399</v>
      </c>
      <c r="D185" s="705" t="s">
        <v>1421</v>
      </c>
      <c r="E185" s="743" t="s">
        <v>815</v>
      </c>
      <c r="F185" s="743" t="s">
        <v>2796</v>
      </c>
      <c r="G185" s="741" t="s">
        <v>2758</v>
      </c>
      <c r="H185" s="742" t="s">
        <v>443</v>
      </c>
      <c r="I185" s="2024" t="s">
        <v>1268</v>
      </c>
      <c r="J185" s="729" t="s">
        <v>2224</v>
      </c>
      <c r="K185" s="730"/>
      <c r="L185" s="727"/>
      <c r="M185" s="728"/>
      <c r="N185" s="1180" t="s">
        <v>2223</v>
      </c>
      <c r="O185" s="1180" t="s">
        <v>115</v>
      </c>
      <c r="P185" s="349"/>
      <c r="Q185" s="384"/>
      <c r="T185" s="1180"/>
      <c r="U185" s="1180"/>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row>
    <row r="186" spans="2:44" s="637" customFormat="1" ht="12" customHeight="1">
      <c r="B186" s="705" t="s">
        <v>899</v>
      </c>
      <c r="C186" s="705" t="s">
        <v>1400</v>
      </c>
      <c r="D186" s="705" t="s">
        <v>1397</v>
      </c>
      <c r="E186" s="743" t="s">
        <v>815</v>
      </c>
      <c r="F186" s="743" t="s">
        <v>2796</v>
      </c>
      <c r="G186" s="741" t="s">
        <v>2758</v>
      </c>
      <c r="H186" s="742" t="s">
        <v>443</v>
      </c>
      <c r="I186" s="2024" t="s">
        <v>1268</v>
      </c>
      <c r="J186" s="729" t="s">
        <v>2226</v>
      </c>
      <c r="K186" s="730"/>
      <c r="L186" s="727"/>
      <c r="M186" s="728"/>
      <c r="N186" s="1180" t="s">
        <v>2225</v>
      </c>
      <c r="O186" s="1180" t="s">
        <v>1403</v>
      </c>
      <c r="P186" s="349"/>
      <c r="Q186" s="2026"/>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row>
    <row r="187" spans="2:44" s="637" customFormat="1" ht="12" customHeight="1">
      <c r="B187" s="705" t="s">
        <v>900</v>
      </c>
      <c r="C187" s="705" t="s">
        <v>1401</v>
      </c>
      <c r="D187" s="705" t="s">
        <v>1288</v>
      </c>
      <c r="E187" s="740" t="s">
        <v>1402</v>
      </c>
      <c r="F187" s="740" t="s">
        <v>2795</v>
      </c>
      <c r="G187" s="741" t="s">
        <v>2759</v>
      </c>
      <c r="H187" s="742" t="s">
        <v>442</v>
      </c>
      <c r="I187" s="2024" t="s">
        <v>2781</v>
      </c>
      <c r="J187" s="729" t="s">
        <v>2097</v>
      </c>
      <c r="K187" s="707"/>
      <c r="L187" s="727"/>
      <c r="M187" s="728"/>
      <c r="N187" s="1180" t="s">
        <v>1906</v>
      </c>
      <c r="O187" s="1180" t="s">
        <v>1012</v>
      </c>
      <c r="P187" s="349"/>
      <c r="Q187" s="2026"/>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row>
    <row r="188" spans="2:44" s="637" customFormat="1" ht="12" customHeight="1">
      <c r="B188" s="705" t="s">
        <v>901</v>
      </c>
      <c r="C188" s="705" t="s">
        <v>1403</v>
      </c>
      <c r="D188" s="705" t="s">
        <v>1288</v>
      </c>
      <c r="E188" s="740" t="s">
        <v>1404</v>
      </c>
      <c r="F188" s="740" t="s">
        <v>2795</v>
      </c>
      <c r="G188" s="741" t="s">
        <v>2760</v>
      </c>
      <c r="H188" s="742" t="s">
        <v>442</v>
      </c>
      <c r="I188" s="2024" t="s">
        <v>2781</v>
      </c>
      <c r="J188" s="729" t="s">
        <v>187</v>
      </c>
      <c r="K188" s="707"/>
      <c r="L188" s="705"/>
      <c r="M188" s="728"/>
      <c r="N188" s="1180" t="s">
        <v>2098</v>
      </c>
      <c r="O188" s="1180" t="s">
        <v>450</v>
      </c>
      <c r="P188" s="349"/>
      <c r="Q188" s="2026"/>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row>
    <row r="189" spans="2:44" s="637" customFormat="1" ht="12" customHeight="1">
      <c r="B189" s="705" t="s">
        <v>902</v>
      </c>
      <c r="C189" s="705" t="s">
        <v>1405</v>
      </c>
      <c r="D189" s="705" t="s">
        <v>1421</v>
      </c>
      <c r="E189" s="743" t="s">
        <v>1406</v>
      </c>
      <c r="F189" s="743" t="s">
        <v>2796</v>
      </c>
      <c r="G189" s="741" t="s">
        <v>2761</v>
      </c>
      <c r="H189" s="742" t="s">
        <v>443</v>
      </c>
      <c r="I189" s="2024" t="s">
        <v>1268</v>
      </c>
      <c r="J189" s="729" t="s">
        <v>189</v>
      </c>
      <c r="K189" s="707"/>
      <c r="L189" s="727"/>
      <c r="M189" s="728"/>
      <c r="N189" s="1180" t="s">
        <v>188</v>
      </c>
      <c r="O189" s="1180" t="s">
        <v>1552</v>
      </c>
      <c r="P189" s="349"/>
      <c r="Q189" s="2026"/>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row>
    <row r="190" spans="2:44" s="637" customFormat="1" ht="12" customHeight="1">
      <c r="B190" s="705" t="s">
        <v>903</v>
      </c>
      <c r="C190" s="705" t="s">
        <v>1407</v>
      </c>
      <c r="D190" s="705" t="s">
        <v>1288</v>
      </c>
      <c r="E190" s="743" t="s">
        <v>1408</v>
      </c>
      <c r="F190" s="743" t="s">
        <v>2795</v>
      </c>
      <c r="G190" s="741" t="s">
        <v>2762</v>
      </c>
      <c r="H190" s="742" t="s">
        <v>442</v>
      </c>
      <c r="I190" s="2024" t="s">
        <v>2781</v>
      </c>
      <c r="J190" s="729" t="s">
        <v>467</v>
      </c>
      <c r="K190" s="730"/>
      <c r="L190" s="727"/>
      <c r="M190" s="728"/>
      <c r="N190" s="1180" t="s">
        <v>190</v>
      </c>
      <c r="O190" s="1180" t="s">
        <v>2558</v>
      </c>
      <c r="P190" s="349"/>
      <c r="Q190" s="2026"/>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row>
    <row r="191" spans="2:44" s="637" customFormat="1" ht="12" customHeight="1">
      <c r="B191" s="705" t="s">
        <v>904</v>
      </c>
      <c r="C191" s="705" t="s">
        <v>1409</v>
      </c>
      <c r="D191" s="705" t="s">
        <v>1288</v>
      </c>
      <c r="E191" s="740" t="s">
        <v>12</v>
      </c>
      <c r="F191" s="740" t="s">
        <v>2796</v>
      </c>
      <c r="G191" s="741" t="s">
        <v>2763</v>
      </c>
      <c r="H191" s="742" t="s">
        <v>443</v>
      </c>
      <c r="I191" s="2025" t="s">
        <v>2781</v>
      </c>
      <c r="J191" s="729" t="s">
        <v>469</v>
      </c>
      <c r="K191" s="730"/>
      <c r="L191" s="727"/>
      <c r="M191" s="728"/>
      <c r="N191" s="1180" t="s">
        <v>468</v>
      </c>
      <c r="O191" s="1180" t="s">
        <v>1903</v>
      </c>
      <c r="P191" s="349"/>
      <c r="Q191" s="2026"/>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row>
    <row r="192" spans="2:44" s="637" customFormat="1" ht="12" customHeight="1">
      <c r="B192" s="705" t="s">
        <v>905</v>
      </c>
      <c r="C192" s="705" t="s">
        <v>1410</v>
      </c>
      <c r="D192" s="705" t="s">
        <v>1288</v>
      </c>
      <c r="E192" s="740" t="s">
        <v>1815</v>
      </c>
      <c r="F192" s="740" t="s">
        <v>2796</v>
      </c>
      <c r="G192" s="741" t="s">
        <v>2764</v>
      </c>
      <c r="H192" s="742" t="s">
        <v>443</v>
      </c>
      <c r="I192" s="2025" t="s">
        <v>2781</v>
      </c>
      <c r="J192" s="729" t="s">
        <v>471</v>
      </c>
      <c r="K192" s="730"/>
      <c r="L192" s="727"/>
      <c r="M192" s="728"/>
      <c r="N192" s="1180" t="s">
        <v>470</v>
      </c>
      <c r="O192" s="1180" t="s">
        <v>1283</v>
      </c>
      <c r="P192" s="349"/>
      <c r="Q192" s="2026"/>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row>
    <row r="193" spans="2:44" s="637" customFormat="1" ht="12" customHeight="1">
      <c r="B193" s="705" t="s">
        <v>906</v>
      </c>
      <c r="C193" s="705" t="s">
        <v>1411</v>
      </c>
      <c r="D193" s="705" t="s">
        <v>1288</v>
      </c>
      <c r="E193" s="743" t="s">
        <v>1412</v>
      </c>
      <c r="F193" s="743" t="s">
        <v>2796</v>
      </c>
      <c r="G193" s="741" t="s">
        <v>1559</v>
      </c>
      <c r="H193" s="742" t="s">
        <v>443</v>
      </c>
      <c r="I193" s="2025" t="s">
        <v>2781</v>
      </c>
      <c r="J193" s="729" t="s">
        <v>473</v>
      </c>
      <c r="K193" s="730"/>
      <c r="L193" s="727"/>
      <c r="M193" s="728"/>
      <c r="N193" s="1180" t="s">
        <v>472</v>
      </c>
      <c r="O193" s="1180" t="s">
        <v>191</v>
      </c>
      <c r="P193" s="349"/>
      <c r="Q193" s="2026"/>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row>
    <row r="194" spans="2:44" s="637" customFormat="1" ht="12" customHeight="1">
      <c r="B194" s="705" t="s">
        <v>907</v>
      </c>
      <c r="C194" s="705" t="s">
        <v>1413</v>
      </c>
      <c r="D194" s="705" t="s">
        <v>1288</v>
      </c>
      <c r="E194" s="743" t="s">
        <v>1414</v>
      </c>
      <c r="F194" s="743" t="s">
        <v>2795</v>
      </c>
      <c r="G194" s="741" t="s">
        <v>2779</v>
      </c>
      <c r="H194" s="742" t="s">
        <v>442</v>
      </c>
      <c r="I194" s="2024" t="s">
        <v>2781</v>
      </c>
      <c r="J194" s="729" t="s">
        <v>2410</v>
      </c>
      <c r="K194" s="730"/>
      <c r="L194" s="727"/>
      <c r="M194" s="728"/>
      <c r="N194" s="1180" t="s">
        <v>474</v>
      </c>
      <c r="O194" s="1180" t="s">
        <v>125</v>
      </c>
      <c r="P194" s="349"/>
      <c r="Q194" s="2026"/>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row>
    <row r="195" spans="2:44" s="637" customFormat="1" ht="12" customHeight="1">
      <c r="B195" s="705" t="s">
        <v>908</v>
      </c>
      <c r="C195" s="705" t="s">
        <v>1415</v>
      </c>
      <c r="D195" s="705" t="s">
        <v>1421</v>
      </c>
      <c r="E195" s="743" t="s">
        <v>816</v>
      </c>
      <c r="F195" s="743" t="s">
        <v>2796</v>
      </c>
      <c r="G195" s="741" t="s">
        <v>2780</v>
      </c>
      <c r="H195" s="742" t="s">
        <v>443</v>
      </c>
      <c r="I195" s="2025" t="s">
        <v>2781</v>
      </c>
      <c r="J195" s="729" t="s">
        <v>2412</v>
      </c>
      <c r="K195" s="730"/>
      <c r="L195" s="727"/>
      <c r="M195" s="728"/>
      <c r="N195" s="1180" t="s">
        <v>2411</v>
      </c>
      <c r="O195" s="1180" t="s">
        <v>2655</v>
      </c>
      <c r="P195" s="349"/>
      <c r="Q195" s="2026"/>
      <c r="X195" s="384"/>
      <c r="Y195" s="384"/>
      <c r="Z195" s="384"/>
      <c r="AA195" s="384"/>
      <c r="AB195" s="384"/>
      <c r="AC195" s="384"/>
      <c r="AD195" s="384"/>
      <c r="AE195" s="384"/>
      <c r="AF195" s="384"/>
      <c r="AG195" s="384"/>
      <c r="AH195" s="384"/>
      <c r="AI195" s="384"/>
      <c r="AJ195" s="384"/>
      <c r="AK195" s="384"/>
      <c r="AL195" s="384"/>
      <c r="AM195" s="384"/>
      <c r="AN195" s="384"/>
      <c r="AO195" s="384"/>
      <c r="AP195" s="384"/>
      <c r="AQ195" s="384"/>
      <c r="AR195" s="384"/>
    </row>
    <row r="196" spans="2:44" s="637" customFormat="1" ht="12" customHeight="1">
      <c r="B196" s="705" t="s">
        <v>909</v>
      </c>
      <c r="C196" s="705" t="s">
        <v>1417</v>
      </c>
      <c r="D196" s="705" t="s">
        <v>1421</v>
      </c>
      <c r="E196" s="743" t="s">
        <v>1099</v>
      </c>
      <c r="F196" s="743" t="s">
        <v>2796</v>
      </c>
      <c r="G196" s="741" t="s">
        <v>1337</v>
      </c>
      <c r="H196" s="742" t="s">
        <v>443</v>
      </c>
      <c r="I196" s="2025" t="s">
        <v>2781</v>
      </c>
      <c r="J196" s="729" t="s">
        <v>387</v>
      </c>
      <c r="K196" s="730"/>
      <c r="L196" s="727"/>
      <c r="M196" s="728"/>
      <c r="N196" s="1180" t="s">
        <v>1977</v>
      </c>
      <c r="O196" s="1180" t="s">
        <v>2317</v>
      </c>
      <c r="P196" s="349"/>
      <c r="Q196" s="2026"/>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row>
    <row r="197" spans="2:44" s="637" customFormat="1" ht="12" customHeight="1">
      <c r="B197" s="705" t="s">
        <v>910</v>
      </c>
      <c r="C197" s="705" t="s">
        <v>1418</v>
      </c>
      <c r="D197" s="705" t="s">
        <v>1288</v>
      </c>
      <c r="E197" s="740" t="s">
        <v>1419</v>
      </c>
      <c r="F197" s="740" t="s">
        <v>2795</v>
      </c>
      <c r="G197" s="741" t="s">
        <v>1338</v>
      </c>
      <c r="H197" s="742" t="s">
        <v>442</v>
      </c>
      <c r="I197" s="2024" t="s">
        <v>2781</v>
      </c>
      <c r="J197" s="729" t="s">
        <v>389</v>
      </c>
      <c r="K197" s="730"/>
      <c r="L197" s="727"/>
      <c r="M197" s="728"/>
      <c r="N197" s="1180" t="s">
        <v>388</v>
      </c>
      <c r="O197" s="1180" t="s">
        <v>2317</v>
      </c>
      <c r="P197" s="349"/>
      <c r="Q197" s="2026"/>
      <c r="X197" s="384"/>
      <c r="Y197" s="384"/>
      <c r="Z197" s="384"/>
      <c r="AA197" s="384"/>
      <c r="AB197" s="384"/>
      <c r="AC197" s="384"/>
      <c r="AD197" s="384"/>
      <c r="AE197" s="384"/>
      <c r="AF197" s="384"/>
      <c r="AG197" s="384"/>
      <c r="AH197" s="384"/>
      <c r="AI197" s="384"/>
      <c r="AJ197" s="384"/>
      <c r="AK197" s="384"/>
      <c r="AL197" s="384"/>
      <c r="AM197" s="384"/>
      <c r="AN197" s="384"/>
      <c r="AO197" s="384"/>
      <c r="AP197" s="384"/>
      <c r="AQ197" s="384"/>
      <c r="AR197" s="384"/>
    </row>
    <row r="198" spans="2:44" s="637" customFormat="1" ht="12" customHeight="1">
      <c r="B198" s="705" t="s">
        <v>911</v>
      </c>
      <c r="C198" s="705" t="s">
        <v>1420</v>
      </c>
      <c r="D198" s="705" t="s">
        <v>1288</v>
      </c>
      <c r="E198" s="743" t="s">
        <v>780</v>
      </c>
      <c r="F198" s="743" t="s">
        <v>2795</v>
      </c>
      <c r="G198" s="741" t="s">
        <v>1339</v>
      </c>
      <c r="H198" s="742" t="s">
        <v>442</v>
      </c>
      <c r="I198" s="2024" t="s">
        <v>2781</v>
      </c>
      <c r="J198" s="729" t="s">
        <v>2727</v>
      </c>
      <c r="K198" s="730"/>
      <c r="L198" s="727"/>
      <c r="M198" s="728"/>
      <c r="N198" s="1180" t="s">
        <v>1287</v>
      </c>
      <c r="O198" s="1180" t="s">
        <v>2701</v>
      </c>
      <c r="P198" s="349"/>
      <c r="Q198" s="2026"/>
      <c r="X198" s="384"/>
      <c r="Y198" s="384"/>
      <c r="Z198" s="384"/>
      <c r="AA198" s="384"/>
      <c r="AB198" s="384"/>
      <c r="AC198" s="384"/>
      <c r="AD198" s="384"/>
      <c r="AE198" s="384"/>
      <c r="AF198" s="384"/>
      <c r="AG198" s="384"/>
      <c r="AH198" s="384"/>
      <c r="AI198" s="384"/>
      <c r="AJ198" s="384"/>
      <c r="AK198" s="384"/>
      <c r="AL198" s="384"/>
      <c r="AM198" s="384"/>
      <c r="AN198" s="384"/>
      <c r="AO198" s="384"/>
      <c r="AP198" s="384"/>
      <c r="AQ198" s="384"/>
      <c r="AR198" s="384"/>
    </row>
    <row r="199" spans="2:44" s="637" customFormat="1" ht="12" customHeight="1">
      <c r="B199" s="705" t="s">
        <v>912</v>
      </c>
      <c r="C199" s="705" t="s">
        <v>781</v>
      </c>
      <c r="D199" s="705" t="s">
        <v>1288</v>
      </c>
      <c r="E199" s="740" t="s">
        <v>782</v>
      </c>
      <c r="F199" s="740" t="s">
        <v>2795</v>
      </c>
      <c r="G199" s="741" t="s">
        <v>1830</v>
      </c>
      <c r="H199" s="742" t="s">
        <v>442</v>
      </c>
      <c r="I199" s="2024" t="s">
        <v>2781</v>
      </c>
      <c r="J199" s="729" t="s">
        <v>2729</v>
      </c>
      <c r="K199" s="730"/>
      <c r="L199" s="727"/>
      <c r="M199" s="728"/>
      <c r="N199" s="1180" t="s">
        <v>2728</v>
      </c>
      <c r="O199" s="1180" t="s">
        <v>2706</v>
      </c>
      <c r="P199" s="349"/>
      <c r="Q199" s="2026"/>
      <c r="X199" s="384"/>
      <c r="Y199" s="384"/>
      <c r="Z199" s="384"/>
      <c r="AA199" s="384"/>
      <c r="AB199" s="384"/>
      <c r="AC199" s="384"/>
      <c r="AD199" s="384"/>
      <c r="AE199" s="384"/>
      <c r="AF199" s="384"/>
      <c r="AG199" s="384"/>
      <c r="AH199" s="384"/>
      <c r="AI199" s="384"/>
      <c r="AJ199" s="384"/>
      <c r="AK199" s="384"/>
      <c r="AL199" s="384"/>
      <c r="AM199" s="384"/>
      <c r="AN199" s="384"/>
      <c r="AO199" s="384"/>
      <c r="AP199" s="384"/>
      <c r="AQ199" s="384"/>
      <c r="AR199" s="384"/>
    </row>
    <row r="200" spans="2:44" s="637" customFormat="1" ht="12" customHeight="1">
      <c r="B200" s="705" t="s">
        <v>913</v>
      </c>
      <c r="C200" s="705" t="s">
        <v>783</v>
      </c>
      <c r="D200" s="705" t="s">
        <v>1421</v>
      </c>
      <c r="E200" s="743" t="s">
        <v>815</v>
      </c>
      <c r="F200" s="743" t="s">
        <v>2796</v>
      </c>
      <c r="G200" s="741" t="s">
        <v>2758</v>
      </c>
      <c r="H200" s="742" t="s">
        <v>443</v>
      </c>
      <c r="I200" s="2024" t="s">
        <v>1268</v>
      </c>
      <c r="J200" s="729" t="s">
        <v>2731</v>
      </c>
      <c r="K200" s="730"/>
      <c r="L200" s="727"/>
      <c r="M200" s="728"/>
      <c r="N200" s="1180" t="s">
        <v>2730</v>
      </c>
      <c r="O200" s="1180" t="s">
        <v>1162</v>
      </c>
      <c r="P200" s="349"/>
      <c r="Q200" s="2026"/>
      <c r="X200" s="384"/>
      <c r="Y200" s="384"/>
      <c r="Z200" s="384"/>
      <c r="AA200" s="384"/>
      <c r="AB200" s="384"/>
      <c r="AC200" s="384"/>
      <c r="AD200" s="384"/>
      <c r="AE200" s="384"/>
      <c r="AF200" s="384"/>
      <c r="AG200" s="384"/>
      <c r="AH200" s="384"/>
      <c r="AI200" s="384"/>
      <c r="AJ200" s="384"/>
      <c r="AK200" s="384"/>
      <c r="AL200" s="384"/>
      <c r="AM200" s="384"/>
      <c r="AN200" s="384"/>
      <c r="AO200" s="384"/>
      <c r="AP200" s="384"/>
      <c r="AQ200" s="384"/>
      <c r="AR200" s="384"/>
    </row>
    <row r="201" spans="2:44" s="637" customFormat="1" ht="12" customHeight="1">
      <c r="B201" s="705" t="s">
        <v>914</v>
      </c>
      <c r="C201" s="705" t="s">
        <v>1626</v>
      </c>
      <c r="D201" s="705" t="s">
        <v>1397</v>
      </c>
      <c r="E201" s="743" t="s">
        <v>1627</v>
      </c>
      <c r="F201" s="743" t="s">
        <v>2796</v>
      </c>
      <c r="G201" s="741" t="s">
        <v>1799</v>
      </c>
      <c r="H201" s="742" t="s">
        <v>443</v>
      </c>
      <c r="I201" s="2025" t="s">
        <v>2781</v>
      </c>
      <c r="J201" s="729" t="s">
        <v>2733</v>
      </c>
      <c r="K201" s="730"/>
      <c r="L201" s="727"/>
      <c r="M201" s="728"/>
      <c r="N201" s="1180" t="s">
        <v>2732</v>
      </c>
      <c r="O201" s="1180" t="s">
        <v>341</v>
      </c>
      <c r="P201" s="349"/>
      <c r="Q201" s="2026"/>
      <c r="X201" s="384"/>
      <c r="Y201" s="384"/>
      <c r="Z201" s="384"/>
      <c r="AA201" s="384"/>
      <c r="AB201" s="384"/>
      <c r="AC201" s="384"/>
      <c r="AD201" s="384"/>
      <c r="AE201" s="384"/>
      <c r="AF201" s="384"/>
      <c r="AG201" s="384"/>
      <c r="AH201" s="384"/>
      <c r="AI201" s="384"/>
      <c r="AJ201" s="384"/>
      <c r="AK201" s="384"/>
      <c r="AL201" s="384"/>
      <c r="AM201" s="384"/>
      <c r="AN201" s="384"/>
      <c r="AO201" s="384"/>
      <c r="AP201" s="384"/>
      <c r="AQ201" s="384"/>
      <c r="AR201" s="384"/>
    </row>
    <row r="202" spans="2:44" s="637" customFormat="1" ht="12" customHeight="1">
      <c r="B202" s="705" t="s">
        <v>915</v>
      </c>
      <c r="C202" s="705" t="s">
        <v>164</v>
      </c>
      <c r="D202" s="705" t="s">
        <v>1288</v>
      </c>
      <c r="E202" s="740" t="s">
        <v>165</v>
      </c>
      <c r="F202" s="740" t="s">
        <v>2795</v>
      </c>
      <c r="G202" s="741" t="s">
        <v>1800</v>
      </c>
      <c r="H202" s="742" t="s">
        <v>442</v>
      </c>
      <c r="I202" s="2024" t="s">
        <v>2781</v>
      </c>
      <c r="J202" s="729" t="s">
        <v>2735</v>
      </c>
      <c r="K202" s="730"/>
      <c r="L202" s="727"/>
      <c r="M202" s="728"/>
      <c r="N202" s="1180" t="s">
        <v>2734</v>
      </c>
      <c r="O202" s="1180" t="s">
        <v>2652</v>
      </c>
      <c r="P202" s="349"/>
      <c r="Q202" s="2026"/>
      <c r="X202" s="384"/>
      <c r="Y202" s="384"/>
      <c r="Z202" s="384"/>
      <c r="AA202" s="384"/>
      <c r="AB202" s="384"/>
      <c r="AC202" s="384"/>
      <c r="AD202" s="384"/>
      <c r="AE202" s="384"/>
      <c r="AF202" s="384"/>
      <c r="AG202" s="384"/>
      <c r="AH202" s="384"/>
      <c r="AI202" s="384"/>
      <c r="AJ202" s="384"/>
      <c r="AK202" s="384"/>
      <c r="AL202" s="384"/>
      <c r="AM202" s="384"/>
      <c r="AN202" s="384"/>
      <c r="AO202" s="384"/>
      <c r="AP202" s="384"/>
      <c r="AQ202" s="384"/>
      <c r="AR202" s="384"/>
    </row>
    <row r="203" spans="2:44" s="637" customFormat="1" ht="12" customHeight="1">
      <c r="B203" s="705" t="s">
        <v>916</v>
      </c>
      <c r="C203" s="705" t="s">
        <v>166</v>
      </c>
      <c r="D203" s="705" t="s">
        <v>1288</v>
      </c>
      <c r="E203" s="743" t="s">
        <v>1412</v>
      </c>
      <c r="F203" s="743" t="s">
        <v>2796</v>
      </c>
      <c r="G203" s="741" t="s">
        <v>1559</v>
      </c>
      <c r="H203" s="742" t="s">
        <v>443</v>
      </c>
      <c r="I203" s="2024" t="s">
        <v>1268</v>
      </c>
      <c r="J203" s="729" t="s">
        <v>2737</v>
      </c>
      <c r="K203" s="730"/>
      <c r="L203" s="727"/>
      <c r="M203" s="728"/>
      <c r="N203" s="1180" t="s">
        <v>2736</v>
      </c>
      <c r="O203" s="1180" t="s">
        <v>1418</v>
      </c>
      <c r="P203" s="349"/>
      <c r="Q203" s="2026"/>
      <c r="X203" s="384"/>
      <c r="Y203" s="384"/>
      <c r="Z203" s="384"/>
      <c r="AA203" s="384"/>
      <c r="AB203" s="384"/>
      <c r="AC203" s="384"/>
      <c r="AD203" s="384"/>
      <c r="AE203" s="384"/>
      <c r="AF203" s="384"/>
      <c r="AG203" s="384"/>
      <c r="AH203" s="384"/>
      <c r="AI203" s="384"/>
      <c r="AJ203" s="384"/>
      <c r="AK203" s="384"/>
      <c r="AL203" s="384"/>
      <c r="AM203" s="384"/>
      <c r="AN203" s="384"/>
      <c r="AO203" s="384"/>
      <c r="AP203" s="384"/>
      <c r="AQ203" s="384"/>
      <c r="AR203" s="384"/>
    </row>
    <row r="204" spans="2:44" s="637" customFormat="1" ht="12" customHeight="1">
      <c r="B204" s="705" t="s">
        <v>1428</v>
      </c>
      <c r="C204" s="705" t="s">
        <v>167</v>
      </c>
      <c r="D204" s="705" t="s">
        <v>1421</v>
      </c>
      <c r="E204" s="743" t="s">
        <v>168</v>
      </c>
      <c r="F204" s="743" t="s">
        <v>2796</v>
      </c>
      <c r="G204" s="741" t="s">
        <v>1801</v>
      </c>
      <c r="H204" s="742" t="s">
        <v>443</v>
      </c>
      <c r="I204" s="2025" t="s">
        <v>2781</v>
      </c>
      <c r="J204" s="729" t="s">
        <v>2738</v>
      </c>
      <c r="K204" s="730"/>
      <c r="L204" s="727"/>
      <c r="M204" s="728"/>
      <c r="N204" s="1180" t="s">
        <v>2739</v>
      </c>
      <c r="O204" s="1180" t="s">
        <v>2773</v>
      </c>
      <c r="P204" s="349"/>
      <c r="Q204" s="2026"/>
      <c r="X204" s="384"/>
      <c r="Y204" s="384"/>
      <c r="Z204" s="384"/>
      <c r="AA204" s="384"/>
      <c r="AB204" s="384"/>
      <c r="AC204" s="384"/>
      <c r="AD204" s="384"/>
      <c r="AE204" s="384"/>
      <c r="AF204" s="384"/>
      <c r="AG204" s="384"/>
      <c r="AH204" s="384"/>
      <c r="AI204" s="384"/>
      <c r="AJ204" s="384"/>
      <c r="AK204" s="384"/>
      <c r="AL204" s="384"/>
      <c r="AM204" s="384"/>
      <c r="AN204" s="384"/>
      <c r="AO204" s="384"/>
      <c r="AP204" s="384"/>
      <c r="AQ204" s="384"/>
      <c r="AR204" s="384"/>
    </row>
    <row r="205" spans="2:44" s="637" customFormat="1" ht="12" customHeight="1">
      <c r="B205" s="705" t="s">
        <v>1429</v>
      </c>
      <c r="C205" s="705" t="s">
        <v>169</v>
      </c>
      <c r="D205" s="705" t="s">
        <v>1397</v>
      </c>
      <c r="E205" s="740" t="s">
        <v>170</v>
      </c>
      <c r="F205" s="740" t="s">
        <v>2795</v>
      </c>
      <c r="G205" s="741" t="s">
        <v>1802</v>
      </c>
      <c r="H205" s="742" t="s">
        <v>442</v>
      </c>
      <c r="I205" s="2024" t="s">
        <v>2781</v>
      </c>
      <c r="J205" s="729" t="s">
        <v>2740</v>
      </c>
      <c r="K205" s="730"/>
      <c r="L205" s="727"/>
      <c r="M205" s="728"/>
      <c r="N205" s="1180" t="s">
        <v>2741</v>
      </c>
      <c r="O205" s="1180" t="s">
        <v>2051</v>
      </c>
      <c r="P205" s="2027"/>
      <c r="Q205" s="384"/>
      <c r="X205" s="384"/>
      <c r="Y205" s="384"/>
      <c r="Z205" s="384"/>
      <c r="AA205" s="384"/>
      <c r="AB205" s="384"/>
      <c r="AC205" s="384"/>
      <c r="AD205" s="384"/>
      <c r="AE205" s="384"/>
      <c r="AF205" s="384"/>
      <c r="AG205" s="384"/>
      <c r="AH205" s="384"/>
      <c r="AI205" s="384"/>
      <c r="AJ205" s="384"/>
      <c r="AK205" s="384"/>
      <c r="AL205" s="384"/>
      <c r="AM205" s="384"/>
      <c r="AN205" s="384"/>
      <c r="AO205" s="384"/>
      <c r="AP205" s="384"/>
      <c r="AQ205" s="384"/>
      <c r="AR205" s="384"/>
    </row>
    <row r="206" spans="2:44" s="637" customFormat="1" ht="12" customHeight="1">
      <c r="B206" s="705" t="s">
        <v>1430</v>
      </c>
      <c r="C206" s="705" t="s">
        <v>171</v>
      </c>
      <c r="D206" s="705" t="s">
        <v>1397</v>
      </c>
      <c r="E206" s="743" t="s">
        <v>815</v>
      </c>
      <c r="F206" s="743" t="s">
        <v>2796</v>
      </c>
      <c r="G206" s="741" t="s">
        <v>2758</v>
      </c>
      <c r="H206" s="742" t="s">
        <v>443</v>
      </c>
      <c r="I206" s="2024" t="s">
        <v>1268</v>
      </c>
      <c r="J206" s="729" t="s">
        <v>436</v>
      </c>
      <c r="K206" s="730"/>
      <c r="L206" s="727"/>
      <c r="M206" s="728"/>
      <c r="N206" s="1180" t="s">
        <v>173</v>
      </c>
      <c r="O206" s="1180" t="s">
        <v>172</v>
      </c>
      <c r="P206" s="349"/>
      <c r="Q206" s="2026"/>
      <c r="X206" s="384"/>
      <c r="Y206" s="384"/>
      <c r="Z206" s="384"/>
      <c r="AA206" s="384"/>
      <c r="AB206" s="384"/>
      <c r="AC206" s="384"/>
      <c r="AD206" s="384"/>
      <c r="AE206" s="384"/>
      <c r="AF206" s="384"/>
      <c r="AG206" s="384"/>
      <c r="AH206" s="384"/>
      <c r="AI206" s="384"/>
      <c r="AJ206" s="384"/>
      <c r="AK206" s="384"/>
      <c r="AL206" s="384"/>
      <c r="AM206" s="384"/>
      <c r="AN206" s="384"/>
      <c r="AO206" s="384"/>
      <c r="AP206" s="384"/>
      <c r="AQ206" s="384"/>
      <c r="AR206" s="384"/>
    </row>
    <row r="207" spans="2:44" s="637" customFormat="1" ht="12" customHeight="1">
      <c r="B207" s="705" t="s">
        <v>1431</v>
      </c>
      <c r="C207" s="705" t="s">
        <v>172</v>
      </c>
      <c r="D207" s="705" t="s">
        <v>1421</v>
      </c>
      <c r="E207" s="740" t="s">
        <v>2181</v>
      </c>
      <c r="F207" s="740" t="s">
        <v>2796</v>
      </c>
      <c r="G207" s="741" t="s">
        <v>661</v>
      </c>
      <c r="H207" s="742" t="s">
        <v>443</v>
      </c>
      <c r="I207" s="2025" t="s">
        <v>1268</v>
      </c>
      <c r="J207" s="729" t="s">
        <v>437</v>
      </c>
      <c r="K207" s="730"/>
      <c r="L207" s="705"/>
      <c r="M207" s="728"/>
      <c r="N207" s="1180" t="s">
        <v>1282</v>
      </c>
      <c r="O207" s="1180" t="s">
        <v>1283</v>
      </c>
      <c r="P207" s="349"/>
      <c r="Q207" s="2026"/>
      <c r="X207" s="384"/>
      <c r="Y207" s="384"/>
      <c r="Z207" s="384"/>
      <c r="AA207" s="384"/>
      <c r="AB207" s="384"/>
      <c r="AC207" s="384"/>
      <c r="AD207" s="384"/>
      <c r="AE207" s="384"/>
      <c r="AF207" s="384"/>
      <c r="AG207" s="384"/>
      <c r="AH207" s="384"/>
      <c r="AI207" s="384"/>
      <c r="AJ207" s="384"/>
      <c r="AK207" s="384"/>
      <c r="AL207" s="384"/>
      <c r="AM207" s="384"/>
      <c r="AN207" s="384"/>
      <c r="AO207" s="384"/>
      <c r="AP207" s="384"/>
      <c r="AQ207" s="384"/>
      <c r="AR207" s="384"/>
    </row>
    <row r="208" spans="2:44" s="637" customFormat="1" ht="12" customHeight="1">
      <c r="B208" s="705" t="s">
        <v>1432</v>
      </c>
      <c r="C208" s="705" t="s">
        <v>2649</v>
      </c>
      <c r="D208" s="705" t="s">
        <v>1288</v>
      </c>
      <c r="E208" s="740" t="s">
        <v>2650</v>
      </c>
      <c r="F208" s="740" t="s">
        <v>2795</v>
      </c>
      <c r="G208" s="741" t="s">
        <v>662</v>
      </c>
      <c r="H208" s="742" t="s">
        <v>442</v>
      </c>
      <c r="I208" s="2025" t="s">
        <v>2781</v>
      </c>
      <c r="J208" s="729" t="s">
        <v>830</v>
      </c>
      <c r="K208" s="707"/>
      <c r="L208" s="727"/>
      <c r="M208" s="728"/>
      <c r="N208" s="1180" t="s">
        <v>831</v>
      </c>
      <c r="O208" s="1180" t="s">
        <v>204</v>
      </c>
      <c r="P208" s="349"/>
      <c r="Q208" s="2026"/>
      <c r="X208" s="384"/>
      <c r="Y208" s="384"/>
      <c r="Z208" s="384"/>
      <c r="AA208" s="384"/>
      <c r="AB208" s="384"/>
      <c r="AC208" s="384"/>
      <c r="AD208" s="384"/>
      <c r="AE208" s="384"/>
      <c r="AF208" s="384"/>
      <c r="AG208" s="384"/>
      <c r="AH208" s="384"/>
      <c r="AI208" s="384"/>
      <c r="AJ208" s="384"/>
      <c r="AK208" s="384"/>
      <c r="AL208" s="384"/>
      <c r="AM208" s="384"/>
      <c r="AN208" s="384"/>
      <c r="AO208" s="384"/>
      <c r="AP208" s="384"/>
      <c r="AQ208" s="384"/>
      <c r="AR208" s="384"/>
    </row>
    <row r="209" spans="2:44" s="637" customFormat="1" ht="12" customHeight="1">
      <c r="B209" s="705" t="s">
        <v>1433</v>
      </c>
      <c r="C209" s="705" t="s">
        <v>2651</v>
      </c>
      <c r="D209" s="705" t="s">
        <v>1421</v>
      </c>
      <c r="E209" s="743" t="s">
        <v>815</v>
      </c>
      <c r="F209" s="743" t="s">
        <v>2796</v>
      </c>
      <c r="G209" s="741" t="s">
        <v>2758</v>
      </c>
      <c r="H209" s="742" t="s">
        <v>443</v>
      </c>
      <c r="I209" s="2024" t="s">
        <v>1268</v>
      </c>
      <c r="J209" s="729" t="s">
        <v>832</v>
      </c>
      <c r="K209" s="707"/>
      <c r="L209" s="727"/>
      <c r="M209" s="728"/>
      <c r="N209" s="1180" t="s">
        <v>2209</v>
      </c>
      <c r="O209" s="1180" t="s">
        <v>1399</v>
      </c>
      <c r="P209" s="2027"/>
      <c r="Q209" s="384"/>
      <c r="X209" s="384"/>
      <c r="Y209" s="384"/>
      <c r="Z209" s="384"/>
      <c r="AA209" s="384"/>
      <c r="AB209" s="384"/>
      <c r="AC209" s="384"/>
      <c r="AD209" s="384"/>
      <c r="AE209" s="384"/>
      <c r="AF209" s="384"/>
      <c r="AG209" s="384"/>
      <c r="AH209" s="384"/>
      <c r="AI209" s="384"/>
      <c r="AJ209" s="384"/>
      <c r="AK209" s="384"/>
      <c r="AL209" s="384"/>
      <c r="AM209" s="384"/>
      <c r="AN209" s="384"/>
      <c r="AO209" s="384"/>
      <c r="AP209" s="384"/>
      <c r="AQ209" s="384"/>
      <c r="AR209" s="384"/>
    </row>
    <row r="210" spans="2:44" s="637" customFormat="1" ht="12" customHeight="1">
      <c r="B210" s="705" t="s">
        <v>1434</v>
      </c>
      <c r="C210" s="705" t="s">
        <v>2652</v>
      </c>
      <c r="D210" s="705" t="s">
        <v>1288</v>
      </c>
      <c r="E210" s="740" t="s">
        <v>2653</v>
      </c>
      <c r="F210" s="740" t="s">
        <v>2795</v>
      </c>
      <c r="G210" s="741" t="s">
        <v>663</v>
      </c>
      <c r="H210" s="742" t="s">
        <v>442</v>
      </c>
      <c r="I210" s="2025" t="s">
        <v>2781</v>
      </c>
      <c r="J210" s="729" t="s">
        <v>2210</v>
      </c>
      <c r="K210" s="707"/>
      <c r="L210" s="727"/>
      <c r="M210" s="728"/>
      <c r="N210" s="1180" t="s">
        <v>1416</v>
      </c>
      <c r="O210" s="1180" t="s">
        <v>1174</v>
      </c>
      <c r="P210" s="349"/>
      <c r="Q210" s="2026"/>
      <c r="X210" s="384"/>
      <c r="Y210" s="384"/>
      <c r="Z210" s="384"/>
      <c r="AA210" s="384"/>
      <c r="AB210" s="384"/>
      <c r="AC210" s="384"/>
      <c r="AD210" s="384"/>
      <c r="AE210" s="384"/>
      <c r="AF210" s="384"/>
      <c r="AG210" s="384"/>
      <c r="AH210" s="384"/>
      <c r="AI210" s="384"/>
      <c r="AJ210" s="384"/>
      <c r="AK210" s="384"/>
      <c r="AL210" s="384"/>
      <c r="AM210" s="384"/>
      <c r="AN210" s="384"/>
      <c r="AO210" s="384"/>
      <c r="AP210" s="384"/>
      <c r="AQ210" s="384"/>
      <c r="AR210" s="384"/>
    </row>
    <row r="211" spans="2:44" s="637" customFormat="1" ht="12" customHeight="1">
      <c r="B211" s="705" t="s">
        <v>1435</v>
      </c>
      <c r="C211" s="705" t="s">
        <v>2654</v>
      </c>
      <c r="D211" s="705" t="s">
        <v>1397</v>
      </c>
      <c r="E211" s="743" t="s">
        <v>815</v>
      </c>
      <c r="F211" s="743" t="s">
        <v>2796</v>
      </c>
      <c r="G211" s="741" t="s">
        <v>2758</v>
      </c>
      <c r="H211" s="742" t="s">
        <v>443</v>
      </c>
      <c r="I211" s="2024" t="s">
        <v>1268</v>
      </c>
      <c r="J211" s="729" t="s">
        <v>2211</v>
      </c>
      <c r="K211" s="707"/>
      <c r="L211" s="727"/>
      <c r="M211" s="728"/>
      <c r="N211" s="1180" t="s">
        <v>2212</v>
      </c>
      <c r="O211" s="1180" t="s">
        <v>2654</v>
      </c>
      <c r="P211" s="349"/>
      <c r="Q211" s="2026"/>
      <c r="X211" s="384"/>
      <c r="Y211" s="384"/>
      <c r="Z211" s="384"/>
      <c r="AA211" s="384"/>
      <c r="AB211" s="384"/>
      <c r="AC211" s="384"/>
      <c r="AD211" s="384"/>
      <c r="AE211" s="384"/>
      <c r="AF211" s="384"/>
      <c r="AG211" s="384"/>
      <c r="AH211" s="384"/>
      <c r="AI211" s="384"/>
      <c r="AJ211" s="384"/>
      <c r="AK211" s="384"/>
      <c r="AL211" s="384"/>
      <c r="AM211" s="384"/>
      <c r="AN211" s="384"/>
      <c r="AO211" s="384"/>
      <c r="AP211" s="384"/>
      <c r="AQ211" s="384"/>
      <c r="AR211" s="384"/>
    </row>
    <row r="212" spans="2:44" s="637" customFormat="1" ht="12" customHeight="1">
      <c r="B212" s="705" t="s">
        <v>1436</v>
      </c>
      <c r="C212" s="705" t="s">
        <v>2655</v>
      </c>
      <c r="D212" s="705" t="s">
        <v>1288</v>
      </c>
      <c r="E212" s="740" t="s">
        <v>2656</v>
      </c>
      <c r="F212" s="740" t="s">
        <v>2795</v>
      </c>
      <c r="G212" s="741" t="s">
        <v>664</v>
      </c>
      <c r="H212" s="742" t="s">
        <v>442</v>
      </c>
      <c r="I212" s="2025" t="s">
        <v>2781</v>
      </c>
      <c r="J212" s="729" t="s">
        <v>2213</v>
      </c>
      <c r="K212" s="707"/>
      <c r="L212" s="727"/>
      <c r="M212" s="728"/>
      <c r="N212" s="1180" t="s">
        <v>2135</v>
      </c>
      <c r="O212" s="1180" t="s">
        <v>2313</v>
      </c>
      <c r="P212" s="349"/>
      <c r="Q212" s="2026"/>
      <c r="X212" s="384"/>
      <c r="Y212" s="384"/>
      <c r="Z212" s="384"/>
      <c r="AA212" s="384"/>
      <c r="AB212" s="384"/>
      <c r="AC212" s="384"/>
      <c r="AD212" s="384"/>
      <c r="AE212" s="384"/>
      <c r="AF212" s="384"/>
      <c r="AG212" s="384"/>
      <c r="AH212" s="384"/>
      <c r="AI212" s="384"/>
      <c r="AJ212" s="384"/>
      <c r="AK212" s="384"/>
      <c r="AL212" s="384"/>
      <c r="AM212" s="384"/>
      <c r="AN212" s="384"/>
      <c r="AO212" s="384"/>
      <c r="AP212" s="384"/>
      <c r="AQ212" s="384"/>
      <c r="AR212" s="384"/>
    </row>
    <row r="213" spans="2:44" s="637" customFormat="1" ht="12" customHeight="1">
      <c r="B213" s="705" t="s">
        <v>1437</v>
      </c>
      <c r="C213" s="705" t="s">
        <v>2657</v>
      </c>
      <c r="D213" s="705" t="s">
        <v>1288</v>
      </c>
      <c r="E213" s="740" t="s">
        <v>2700</v>
      </c>
      <c r="F213" s="740" t="s">
        <v>2795</v>
      </c>
      <c r="G213" s="741" t="s">
        <v>665</v>
      </c>
      <c r="H213" s="742" t="s">
        <v>442</v>
      </c>
      <c r="I213" s="2025" t="s">
        <v>2781</v>
      </c>
      <c r="J213" s="729" t="s">
        <v>2244</v>
      </c>
      <c r="K213" s="707"/>
      <c r="L213" s="727"/>
      <c r="M213" s="728"/>
      <c r="N213" s="1180" t="s">
        <v>2214</v>
      </c>
      <c r="O213" s="1180" t="s">
        <v>346</v>
      </c>
      <c r="P213" s="349"/>
      <c r="Q213" s="2026"/>
      <c r="X213" s="384"/>
      <c r="Y213" s="384"/>
      <c r="Z213" s="384"/>
      <c r="AA213" s="384"/>
      <c r="AB213" s="384"/>
      <c r="AC213" s="384"/>
      <c r="AD213" s="384"/>
      <c r="AE213" s="384"/>
      <c r="AF213" s="384"/>
      <c r="AG213" s="384"/>
      <c r="AH213" s="384"/>
      <c r="AI213" s="384"/>
      <c r="AJ213" s="384"/>
      <c r="AK213" s="384"/>
      <c r="AL213" s="384"/>
      <c r="AM213" s="384"/>
      <c r="AN213" s="384"/>
      <c r="AO213" s="384"/>
      <c r="AP213" s="384"/>
      <c r="AQ213" s="384"/>
      <c r="AR213" s="384"/>
    </row>
    <row r="214" spans="2:44" s="637" customFormat="1" ht="12" customHeight="1">
      <c r="B214" s="705" t="s">
        <v>1438</v>
      </c>
      <c r="C214" s="705" t="s">
        <v>2701</v>
      </c>
      <c r="D214" s="705" t="s">
        <v>1421</v>
      </c>
      <c r="E214" s="743" t="s">
        <v>816</v>
      </c>
      <c r="F214" s="743" t="s">
        <v>2796</v>
      </c>
      <c r="G214" s="741" t="s">
        <v>2780</v>
      </c>
      <c r="H214" s="742" t="s">
        <v>443</v>
      </c>
      <c r="I214" s="2025" t="s">
        <v>2781</v>
      </c>
      <c r="J214" s="729" t="s">
        <v>2246</v>
      </c>
      <c r="K214" s="707"/>
      <c r="L214" s="727"/>
      <c r="M214" s="728"/>
      <c r="N214" s="1180" t="s">
        <v>2245</v>
      </c>
      <c r="O214" s="1180" t="s">
        <v>669</v>
      </c>
      <c r="P214" s="349"/>
      <c r="Q214" s="2026"/>
      <c r="X214" s="384"/>
      <c r="Y214" s="384"/>
      <c r="Z214" s="384"/>
      <c r="AA214" s="384"/>
      <c r="AB214" s="384"/>
      <c r="AC214" s="384"/>
      <c r="AD214" s="384"/>
      <c r="AE214" s="384"/>
      <c r="AF214" s="384"/>
      <c r="AG214" s="384"/>
      <c r="AH214" s="384"/>
      <c r="AI214" s="384"/>
      <c r="AJ214" s="384"/>
      <c r="AK214" s="384"/>
      <c r="AL214" s="384"/>
      <c r="AM214" s="384"/>
      <c r="AN214" s="384"/>
      <c r="AO214" s="384"/>
      <c r="AP214" s="384"/>
      <c r="AQ214" s="384"/>
      <c r="AR214" s="384"/>
    </row>
    <row r="215" spans="2:44" s="637" customFormat="1" ht="12" customHeight="1">
      <c r="B215" s="705" t="s">
        <v>1439</v>
      </c>
      <c r="C215" s="705" t="s">
        <v>2702</v>
      </c>
      <c r="D215" s="705" t="s">
        <v>1288</v>
      </c>
      <c r="E215" s="740" t="s">
        <v>2703</v>
      </c>
      <c r="F215" s="740" t="s">
        <v>2795</v>
      </c>
      <c r="G215" s="741" t="s">
        <v>666</v>
      </c>
      <c r="H215" s="742" t="s">
        <v>442</v>
      </c>
      <c r="I215" s="2025" t="s">
        <v>2781</v>
      </c>
      <c r="J215" s="729" t="s">
        <v>2248</v>
      </c>
      <c r="K215" s="707"/>
      <c r="L215" s="727"/>
      <c r="M215" s="728"/>
      <c r="N215" s="1180" t="s">
        <v>2247</v>
      </c>
      <c r="O215" s="1180" t="s">
        <v>1744</v>
      </c>
      <c r="P215" s="349"/>
      <c r="Q215" s="2026"/>
      <c r="X215" s="384"/>
      <c r="Y215" s="384"/>
      <c r="Z215" s="384"/>
      <c r="AA215" s="384"/>
      <c r="AB215" s="384"/>
      <c r="AC215" s="384"/>
      <c r="AD215" s="384"/>
      <c r="AE215" s="384"/>
      <c r="AF215" s="384"/>
      <c r="AG215" s="384"/>
      <c r="AH215" s="384"/>
      <c r="AI215" s="384"/>
      <c r="AJ215" s="384"/>
      <c r="AK215" s="384"/>
      <c r="AL215" s="384"/>
      <c r="AM215" s="384"/>
      <c r="AN215" s="384"/>
      <c r="AO215" s="384"/>
      <c r="AP215" s="384"/>
      <c r="AQ215" s="384"/>
      <c r="AR215" s="384"/>
    </row>
    <row r="216" spans="2:44" s="637" customFormat="1" ht="12" customHeight="1">
      <c r="B216" s="705" t="s">
        <v>1440</v>
      </c>
      <c r="C216" s="705" t="s">
        <v>2704</v>
      </c>
      <c r="D216" s="705" t="s">
        <v>1421</v>
      </c>
      <c r="E216" s="743" t="s">
        <v>815</v>
      </c>
      <c r="F216" s="743" t="s">
        <v>2796</v>
      </c>
      <c r="G216" s="741" t="s">
        <v>2758</v>
      </c>
      <c r="H216" s="742" t="s">
        <v>443</v>
      </c>
      <c r="I216" s="2024" t="s">
        <v>1268</v>
      </c>
      <c r="J216" s="729" t="s">
        <v>2250</v>
      </c>
      <c r="K216" s="707"/>
      <c r="L216" s="727"/>
      <c r="M216" s="728"/>
      <c r="N216" s="1180" t="s">
        <v>2249</v>
      </c>
      <c r="O216" s="1180" t="s">
        <v>204</v>
      </c>
      <c r="P216" s="349"/>
      <c r="Q216" s="2026"/>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row>
    <row r="217" spans="2:44" s="637" customFormat="1" ht="12" customHeight="1">
      <c r="B217" s="705" t="s">
        <v>1441</v>
      </c>
      <c r="C217" s="705" t="s">
        <v>2705</v>
      </c>
      <c r="D217" s="705" t="s">
        <v>1421</v>
      </c>
      <c r="E217" s="743" t="s">
        <v>1406</v>
      </c>
      <c r="F217" s="743" t="s">
        <v>2796</v>
      </c>
      <c r="G217" s="741" t="s">
        <v>2761</v>
      </c>
      <c r="H217" s="742" t="s">
        <v>443</v>
      </c>
      <c r="I217" s="2025" t="s">
        <v>2781</v>
      </c>
      <c r="J217" s="729" t="s">
        <v>2721</v>
      </c>
      <c r="K217" s="707"/>
      <c r="L217" s="727"/>
      <c r="M217" s="728"/>
      <c r="N217" s="1180" t="s">
        <v>1907</v>
      </c>
      <c r="O217" s="1180" t="s">
        <v>125</v>
      </c>
      <c r="P217" s="349"/>
      <c r="Q217" s="2026"/>
      <c r="X217" s="384"/>
      <c r="Y217" s="384"/>
      <c r="Z217" s="384"/>
      <c r="AA217" s="384"/>
      <c r="AB217" s="384"/>
      <c r="AC217" s="384"/>
      <c r="AD217" s="384"/>
      <c r="AE217" s="384"/>
      <c r="AF217" s="384"/>
      <c r="AG217" s="384"/>
      <c r="AH217" s="384"/>
      <c r="AI217" s="384"/>
      <c r="AJ217" s="384"/>
      <c r="AK217" s="384"/>
      <c r="AL217" s="384"/>
      <c r="AM217" s="384"/>
      <c r="AN217" s="384"/>
      <c r="AO217" s="384"/>
      <c r="AP217" s="384"/>
      <c r="AQ217" s="384"/>
      <c r="AR217" s="384"/>
    </row>
    <row r="218" spans="2:44" s="637" customFormat="1" ht="12" customHeight="1">
      <c r="B218" s="705" t="s">
        <v>1442</v>
      </c>
      <c r="C218" s="705" t="s">
        <v>2706</v>
      </c>
      <c r="D218" s="705" t="s">
        <v>1288</v>
      </c>
      <c r="E218" s="740" t="s">
        <v>201</v>
      </c>
      <c r="F218" s="740" t="s">
        <v>2795</v>
      </c>
      <c r="G218" s="741" t="s">
        <v>667</v>
      </c>
      <c r="H218" s="742" t="s">
        <v>442</v>
      </c>
      <c r="I218" s="2025" t="s">
        <v>2781</v>
      </c>
      <c r="J218" s="729" t="s">
        <v>1066</v>
      </c>
      <c r="K218" s="707"/>
      <c r="L218" s="727"/>
      <c r="M218" s="728"/>
      <c r="N218" s="1180" t="s">
        <v>2722</v>
      </c>
      <c r="O218" s="1180" t="s">
        <v>171</v>
      </c>
      <c r="P218" s="349"/>
      <c r="Q218" s="2026"/>
      <c r="X218" s="384"/>
      <c r="Y218" s="384"/>
      <c r="Z218" s="384"/>
      <c r="AA218" s="384"/>
      <c r="AB218" s="384"/>
      <c r="AC218" s="384"/>
      <c r="AD218" s="384"/>
      <c r="AE218" s="384"/>
      <c r="AF218" s="384"/>
      <c r="AG218" s="384"/>
      <c r="AH218" s="384"/>
      <c r="AI218" s="384"/>
      <c r="AJ218" s="384"/>
      <c r="AK218" s="384"/>
      <c r="AL218" s="384"/>
      <c r="AM218" s="384"/>
      <c r="AN218" s="384"/>
      <c r="AO218" s="384"/>
      <c r="AP218" s="384"/>
      <c r="AQ218" s="384"/>
      <c r="AR218" s="384"/>
    </row>
    <row r="219" spans="2:44" s="637" customFormat="1" ht="12" customHeight="1">
      <c r="B219" s="705" t="s">
        <v>1443</v>
      </c>
      <c r="C219" s="705" t="s">
        <v>202</v>
      </c>
      <c r="D219" s="705" t="s">
        <v>1397</v>
      </c>
      <c r="E219" s="743" t="s">
        <v>1627</v>
      </c>
      <c r="F219" s="743" t="s">
        <v>2796</v>
      </c>
      <c r="G219" s="741" t="s">
        <v>1799</v>
      </c>
      <c r="H219" s="742" t="s">
        <v>443</v>
      </c>
      <c r="I219" s="2025" t="s">
        <v>2781</v>
      </c>
      <c r="J219" s="729" t="s">
        <v>2138</v>
      </c>
      <c r="K219" s="707"/>
      <c r="L219" s="727"/>
      <c r="M219" s="728"/>
      <c r="N219" s="1180" t="s">
        <v>1067</v>
      </c>
      <c r="O219" s="1180" t="s">
        <v>450</v>
      </c>
      <c r="P219" s="349"/>
      <c r="Q219" s="2026"/>
      <c r="X219" s="384"/>
      <c r="Y219" s="384"/>
      <c r="Z219" s="384"/>
      <c r="AA219" s="384"/>
      <c r="AB219" s="384"/>
      <c r="AC219" s="384"/>
      <c r="AD219" s="384"/>
      <c r="AE219" s="384"/>
      <c r="AF219" s="384"/>
      <c r="AG219" s="384"/>
      <c r="AH219" s="384"/>
      <c r="AI219" s="384"/>
      <c r="AJ219" s="384"/>
      <c r="AK219" s="384"/>
      <c r="AL219" s="384"/>
      <c r="AM219" s="384"/>
      <c r="AN219" s="384"/>
      <c r="AO219" s="384"/>
      <c r="AP219" s="384"/>
      <c r="AQ219" s="384"/>
      <c r="AR219" s="384"/>
    </row>
    <row r="220" spans="2:44" s="637" customFormat="1" ht="12" customHeight="1">
      <c r="B220" s="705" t="s">
        <v>1444</v>
      </c>
      <c r="C220" s="705" t="s">
        <v>203</v>
      </c>
      <c r="D220" s="705" t="s">
        <v>1397</v>
      </c>
      <c r="E220" s="743" t="s">
        <v>815</v>
      </c>
      <c r="F220" s="743" t="s">
        <v>2796</v>
      </c>
      <c r="G220" s="741" t="s">
        <v>2758</v>
      </c>
      <c r="H220" s="742" t="s">
        <v>443</v>
      </c>
      <c r="I220" s="2024" t="s">
        <v>1268</v>
      </c>
      <c r="J220" s="729" t="s">
        <v>16</v>
      </c>
      <c r="K220" s="707"/>
      <c r="L220" s="727"/>
      <c r="M220" s="728"/>
      <c r="N220" s="1180" t="s">
        <v>1400</v>
      </c>
      <c r="O220" s="1180" t="s">
        <v>346</v>
      </c>
      <c r="P220" s="349"/>
      <c r="Q220" s="2026"/>
      <c r="X220" s="384"/>
      <c r="Y220" s="384"/>
      <c r="Z220" s="384"/>
      <c r="AA220" s="384"/>
      <c r="AB220" s="384"/>
      <c r="AC220" s="384"/>
      <c r="AD220" s="384"/>
      <c r="AE220" s="384"/>
      <c r="AF220" s="384"/>
      <c r="AG220" s="384"/>
      <c r="AH220" s="384"/>
      <c r="AI220" s="384"/>
      <c r="AJ220" s="384"/>
      <c r="AK220" s="384"/>
      <c r="AL220" s="384"/>
      <c r="AM220" s="384"/>
      <c r="AN220" s="384"/>
      <c r="AO220" s="384"/>
      <c r="AP220" s="384"/>
      <c r="AQ220" s="384"/>
      <c r="AR220" s="384"/>
    </row>
    <row r="221" spans="2:44" s="637" customFormat="1" ht="12" customHeight="1">
      <c r="B221" s="705" t="s">
        <v>1445</v>
      </c>
      <c r="C221" s="705" t="s">
        <v>204</v>
      </c>
      <c r="D221" s="705" t="s">
        <v>1288</v>
      </c>
      <c r="E221" s="740" t="s">
        <v>205</v>
      </c>
      <c r="F221" s="740" t="s">
        <v>2795</v>
      </c>
      <c r="G221" s="741" t="s">
        <v>668</v>
      </c>
      <c r="H221" s="742" t="s">
        <v>442</v>
      </c>
      <c r="I221" s="2025" t="s">
        <v>2781</v>
      </c>
      <c r="J221" s="729" t="s">
        <v>2383</v>
      </c>
      <c r="K221" s="707"/>
      <c r="L221" s="727"/>
      <c r="M221" s="728"/>
      <c r="N221" s="1180" t="s">
        <v>17</v>
      </c>
      <c r="O221" s="1180" t="s">
        <v>1779</v>
      </c>
      <c r="P221" s="349"/>
      <c r="Q221" s="2026"/>
      <c r="X221" s="384"/>
      <c r="Y221" s="384"/>
      <c r="Z221" s="384"/>
      <c r="AA221" s="384"/>
      <c r="AB221" s="384"/>
      <c r="AC221" s="384"/>
      <c r="AD221" s="384"/>
      <c r="AE221" s="384"/>
      <c r="AF221" s="384"/>
      <c r="AG221" s="384"/>
      <c r="AH221" s="384"/>
      <c r="AI221" s="384"/>
      <c r="AJ221" s="384"/>
      <c r="AK221" s="384"/>
      <c r="AL221" s="384"/>
      <c r="AM221" s="384"/>
      <c r="AN221" s="384"/>
      <c r="AO221" s="384"/>
      <c r="AP221" s="384"/>
      <c r="AQ221" s="384"/>
      <c r="AR221" s="384"/>
    </row>
    <row r="222" spans="2:44" s="637" customFormat="1" ht="12" customHeight="1">
      <c r="B222" s="705" t="s">
        <v>1446</v>
      </c>
      <c r="C222" s="705" t="s">
        <v>206</v>
      </c>
      <c r="D222" s="705" t="s">
        <v>1421</v>
      </c>
      <c r="E222" s="743" t="s">
        <v>815</v>
      </c>
      <c r="F222" s="743" t="s">
        <v>2796</v>
      </c>
      <c r="G222" s="741" t="s">
        <v>2758</v>
      </c>
      <c r="H222" s="742" t="s">
        <v>443</v>
      </c>
      <c r="I222" s="2024" t="s">
        <v>1268</v>
      </c>
      <c r="J222" s="729" t="s">
        <v>2385</v>
      </c>
      <c r="K222" s="707"/>
      <c r="L222" s="727"/>
      <c r="M222" s="728"/>
      <c r="N222" s="1180" t="s">
        <v>2384</v>
      </c>
      <c r="O222" s="1180" t="s">
        <v>1287</v>
      </c>
      <c r="P222" s="349"/>
      <c r="Q222" s="2026"/>
      <c r="X222" s="384"/>
      <c r="Y222" s="384"/>
      <c r="Z222" s="384"/>
      <c r="AA222" s="384"/>
      <c r="AB222" s="384"/>
      <c r="AC222" s="384"/>
      <c r="AD222" s="384"/>
      <c r="AE222" s="384"/>
      <c r="AF222" s="384"/>
      <c r="AG222" s="384"/>
      <c r="AH222" s="384"/>
      <c r="AI222" s="384"/>
      <c r="AJ222" s="384"/>
      <c r="AK222" s="384"/>
      <c r="AL222" s="384"/>
      <c r="AM222" s="384"/>
      <c r="AN222" s="384"/>
      <c r="AO222" s="384"/>
      <c r="AP222" s="384"/>
      <c r="AQ222" s="384"/>
      <c r="AR222" s="384"/>
    </row>
    <row r="223" spans="2:44" s="637" customFormat="1" ht="12" customHeight="1">
      <c r="B223" s="705" t="s">
        <v>1447</v>
      </c>
      <c r="C223" s="705" t="s">
        <v>207</v>
      </c>
      <c r="D223" s="705" t="s">
        <v>1288</v>
      </c>
      <c r="E223" s="740" t="s">
        <v>1009</v>
      </c>
      <c r="F223" s="740" t="s">
        <v>2795</v>
      </c>
      <c r="G223" s="741" t="s">
        <v>2093</v>
      </c>
      <c r="H223" s="742" t="s">
        <v>442</v>
      </c>
      <c r="I223" s="2025" t="s">
        <v>2781</v>
      </c>
      <c r="J223" s="729" t="s">
        <v>2387</v>
      </c>
      <c r="K223" s="707"/>
      <c r="L223" s="727"/>
      <c r="M223" s="728"/>
      <c r="N223" s="705" t="s">
        <v>2386</v>
      </c>
      <c r="O223" s="705" t="s">
        <v>2392</v>
      </c>
      <c r="P223" s="2028"/>
      <c r="Q223" s="2026"/>
      <c r="R223" s="705"/>
      <c r="S223" s="705"/>
      <c r="X223" s="384"/>
      <c r="Y223" s="384"/>
      <c r="Z223" s="384"/>
      <c r="AA223" s="384"/>
      <c r="AB223" s="384"/>
      <c r="AC223" s="384"/>
      <c r="AD223" s="384"/>
      <c r="AE223" s="384"/>
      <c r="AF223" s="384"/>
      <c r="AG223" s="384"/>
      <c r="AH223" s="384"/>
      <c r="AI223" s="384"/>
      <c r="AJ223" s="384"/>
      <c r="AK223" s="384"/>
      <c r="AL223" s="384"/>
      <c r="AM223" s="384"/>
      <c r="AN223" s="384"/>
      <c r="AO223" s="384"/>
      <c r="AP223" s="384"/>
      <c r="AQ223" s="384"/>
      <c r="AR223" s="384"/>
    </row>
    <row r="224" spans="2:44" s="637" customFormat="1" ht="12" customHeight="1">
      <c r="B224" s="705" t="s">
        <v>1448</v>
      </c>
      <c r="C224" s="705" t="s">
        <v>1010</v>
      </c>
      <c r="D224" s="705" t="s">
        <v>1288</v>
      </c>
      <c r="E224" s="740" t="s">
        <v>1011</v>
      </c>
      <c r="F224" s="740" t="s">
        <v>2795</v>
      </c>
      <c r="G224" s="741" t="s">
        <v>2094</v>
      </c>
      <c r="H224" s="742" t="s">
        <v>442</v>
      </c>
      <c r="I224" s="2025" t="s">
        <v>2781</v>
      </c>
      <c r="J224" s="729" t="s">
        <v>2417</v>
      </c>
      <c r="K224" s="707"/>
      <c r="L224" s="727"/>
      <c r="M224" s="728"/>
      <c r="N224" s="1180" t="s">
        <v>2743</v>
      </c>
      <c r="O224" s="1180" t="s">
        <v>669</v>
      </c>
      <c r="P224" s="349"/>
      <c r="Q224" s="2026"/>
      <c r="R224" s="705"/>
      <c r="S224" s="705"/>
      <c r="X224" s="384"/>
      <c r="Y224" s="384"/>
      <c r="Z224" s="384"/>
      <c r="AA224" s="384"/>
      <c r="AB224" s="384"/>
      <c r="AC224" s="384"/>
      <c r="AD224" s="384"/>
      <c r="AE224" s="384"/>
      <c r="AF224" s="384"/>
      <c r="AG224" s="384"/>
      <c r="AH224" s="384"/>
      <c r="AI224" s="384"/>
      <c r="AJ224" s="384"/>
      <c r="AK224" s="384"/>
      <c r="AL224" s="384"/>
      <c r="AM224" s="384"/>
      <c r="AN224" s="384"/>
      <c r="AO224" s="384"/>
      <c r="AP224" s="384"/>
      <c r="AQ224" s="384"/>
      <c r="AR224" s="384"/>
    </row>
    <row r="225" spans="2:44" s="637" customFormat="1" ht="12" customHeight="1">
      <c r="B225" s="705" t="s">
        <v>1449</v>
      </c>
      <c r="C225" s="705" t="s">
        <v>1012</v>
      </c>
      <c r="D225" s="705" t="s">
        <v>1288</v>
      </c>
      <c r="E225" s="743" t="s">
        <v>1906</v>
      </c>
      <c r="F225" s="743" t="s">
        <v>2796</v>
      </c>
      <c r="G225" s="741" t="s">
        <v>1231</v>
      </c>
      <c r="H225" s="742" t="s">
        <v>443</v>
      </c>
      <c r="I225" s="2025" t="s">
        <v>1268</v>
      </c>
      <c r="J225" s="729" t="s">
        <v>1897</v>
      </c>
      <c r="K225" s="707"/>
      <c r="L225" s="727"/>
      <c r="M225" s="728"/>
      <c r="N225" s="1180" t="s">
        <v>2388</v>
      </c>
      <c r="O225" s="1180" t="s">
        <v>124</v>
      </c>
      <c r="P225" s="349"/>
      <c r="Q225" s="2026"/>
      <c r="R225" s="705"/>
      <c r="S225" s="705"/>
      <c r="X225" s="384"/>
      <c r="Y225" s="384"/>
      <c r="Z225" s="384"/>
      <c r="AA225" s="384"/>
      <c r="AB225" s="384"/>
      <c r="AC225" s="384"/>
      <c r="AD225" s="384"/>
      <c r="AE225" s="384"/>
      <c r="AF225" s="384"/>
      <c r="AG225" s="384"/>
      <c r="AH225" s="384"/>
      <c r="AI225" s="384"/>
      <c r="AJ225" s="384"/>
      <c r="AK225" s="384"/>
      <c r="AL225" s="384"/>
      <c r="AM225" s="384"/>
      <c r="AN225" s="384"/>
      <c r="AO225" s="384"/>
      <c r="AP225" s="384"/>
      <c r="AQ225" s="384"/>
      <c r="AR225" s="384"/>
    </row>
    <row r="226" spans="2:44" s="637" customFormat="1" ht="12" customHeight="1">
      <c r="B226" s="705" t="s">
        <v>1450</v>
      </c>
      <c r="C226" s="705" t="s">
        <v>928</v>
      </c>
      <c r="D226" s="705" t="s">
        <v>1421</v>
      </c>
      <c r="E226" s="743" t="s">
        <v>815</v>
      </c>
      <c r="F226" s="743" t="s">
        <v>2796</v>
      </c>
      <c r="G226" s="741" t="s">
        <v>2758</v>
      </c>
      <c r="H226" s="742" t="s">
        <v>443</v>
      </c>
      <c r="I226" s="2024" t="s">
        <v>1268</v>
      </c>
      <c r="J226" s="729" t="s">
        <v>1899</v>
      </c>
      <c r="K226" s="707"/>
      <c r="L226" s="727"/>
      <c r="M226" s="728"/>
      <c r="N226" s="1180" t="s">
        <v>1872</v>
      </c>
      <c r="O226" s="1180" t="s">
        <v>2657</v>
      </c>
      <c r="P226" s="349"/>
      <c r="Q226" s="2026"/>
      <c r="R226" s="705"/>
      <c r="S226" s="705"/>
      <c r="X226" s="384"/>
      <c r="Y226" s="384"/>
      <c r="Z226" s="384"/>
      <c r="AA226" s="384"/>
      <c r="AB226" s="384"/>
      <c r="AC226" s="384"/>
      <c r="AD226" s="384"/>
      <c r="AE226" s="384"/>
      <c r="AF226" s="384"/>
      <c r="AG226" s="384"/>
      <c r="AH226" s="384"/>
      <c r="AI226" s="384"/>
      <c r="AJ226" s="384"/>
      <c r="AK226" s="384"/>
      <c r="AL226" s="384"/>
      <c r="AM226" s="384"/>
      <c r="AN226" s="384"/>
      <c r="AO226" s="384"/>
      <c r="AP226" s="384"/>
      <c r="AQ226" s="384"/>
      <c r="AR226" s="384"/>
    </row>
    <row r="227" spans="2:44" s="637" customFormat="1" ht="12" customHeight="1">
      <c r="B227" s="705" t="s">
        <v>1451</v>
      </c>
      <c r="C227" s="705" t="s">
        <v>929</v>
      </c>
      <c r="D227" s="705" t="s">
        <v>1288</v>
      </c>
      <c r="E227" s="740" t="s">
        <v>930</v>
      </c>
      <c r="F227" s="740" t="s">
        <v>2795</v>
      </c>
      <c r="G227" s="741" t="s">
        <v>2095</v>
      </c>
      <c r="H227" s="742" t="s">
        <v>442</v>
      </c>
      <c r="I227" s="2025" t="s">
        <v>2781</v>
      </c>
      <c r="J227" s="729" t="s">
        <v>2297</v>
      </c>
      <c r="K227" s="707"/>
      <c r="L227" s="727"/>
      <c r="M227" s="728"/>
      <c r="N227" s="1180" t="s">
        <v>1898</v>
      </c>
      <c r="O227" s="1180" t="s">
        <v>1399</v>
      </c>
      <c r="P227" s="349"/>
      <c r="Q227" s="384"/>
      <c r="X227" s="384"/>
      <c r="Y227" s="384"/>
      <c r="Z227" s="384"/>
      <c r="AA227" s="384"/>
      <c r="AB227" s="384"/>
      <c r="AC227" s="384"/>
      <c r="AD227" s="384"/>
      <c r="AE227" s="384"/>
      <c r="AF227" s="384"/>
      <c r="AG227" s="384"/>
      <c r="AH227" s="384"/>
      <c r="AI227" s="384"/>
      <c r="AJ227" s="384"/>
      <c r="AK227" s="384"/>
      <c r="AL227" s="384"/>
      <c r="AM227" s="384"/>
      <c r="AN227" s="384"/>
      <c r="AO227" s="384"/>
      <c r="AP227" s="384"/>
      <c r="AQ227" s="384"/>
      <c r="AR227" s="384"/>
    </row>
    <row r="228" spans="2:44" s="637" customFormat="1" ht="12" customHeight="1">
      <c r="B228" s="705" t="s">
        <v>1452</v>
      </c>
      <c r="C228" s="705" t="s">
        <v>931</v>
      </c>
      <c r="D228" s="705" t="s">
        <v>1288</v>
      </c>
      <c r="E228" s="740" t="s">
        <v>1815</v>
      </c>
      <c r="F228" s="740" t="s">
        <v>2796</v>
      </c>
      <c r="G228" s="741" t="s">
        <v>2764</v>
      </c>
      <c r="H228" s="742" t="s">
        <v>443</v>
      </c>
      <c r="I228" s="2025" t="s">
        <v>2781</v>
      </c>
      <c r="J228" s="729" t="s">
        <v>2298</v>
      </c>
      <c r="K228" s="707"/>
      <c r="L228" s="727"/>
      <c r="M228" s="728"/>
      <c r="N228" s="1180" t="s">
        <v>1900</v>
      </c>
      <c r="O228" s="1180" t="s">
        <v>2144</v>
      </c>
      <c r="P228" s="2027"/>
      <c r="Q228" s="384"/>
      <c r="X228" s="384"/>
      <c r="Y228" s="384"/>
      <c r="Z228" s="384"/>
      <c r="AA228" s="384"/>
      <c r="AB228" s="384"/>
      <c r="AC228" s="384"/>
      <c r="AD228" s="384"/>
      <c r="AE228" s="384"/>
      <c r="AF228" s="384"/>
      <c r="AG228" s="384"/>
      <c r="AH228" s="384"/>
      <c r="AI228" s="384"/>
      <c r="AJ228" s="384"/>
      <c r="AK228" s="384"/>
      <c r="AL228" s="384"/>
      <c r="AM228" s="384"/>
      <c r="AN228" s="384"/>
      <c r="AO228" s="384"/>
      <c r="AP228" s="384"/>
      <c r="AQ228" s="384"/>
      <c r="AR228" s="384"/>
    </row>
    <row r="229" spans="2:44" s="637" customFormat="1" ht="12" customHeight="1">
      <c r="B229" s="705" t="s">
        <v>1453</v>
      </c>
      <c r="C229" s="705" t="s">
        <v>932</v>
      </c>
      <c r="D229" s="705" t="s">
        <v>1288</v>
      </c>
      <c r="E229" s="743" t="s">
        <v>1412</v>
      </c>
      <c r="F229" s="743" t="s">
        <v>2796</v>
      </c>
      <c r="G229" s="741" t="s">
        <v>1559</v>
      </c>
      <c r="H229" s="742" t="s">
        <v>443</v>
      </c>
      <c r="I229" s="2025" t="s">
        <v>2781</v>
      </c>
      <c r="J229" s="729" t="s">
        <v>2608</v>
      </c>
      <c r="K229" s="730"/>
      <c r="L229" s="727"/>
      <c r="M229" s="728"/>
      <c r="N229" s="1180" t="s">
        <v>879</v>
      </c>
      <c r="O229" s="1180" t="s">
        <v>2770</v>
      </c>
      <c r="P229" s="349"/>
      <c r="Q229" s="2026"/>
      <c r="X229" s="384"/>
      <c r="Y229" s="384"/>
      <c r="Z229" s="384"/>
      <c r="AA229" s="384"/>
      <c r="AB229" s="384"/>
      <c r="AC229" s="384"/>
      <c r="AD229" s="384"/>
      <c r="AE229" s="384"/>
      <c r="AF229" s="384"/>
      <c r="AG229" s="384"/>
      <c r="AH229" s="384"/>
      <c r="AI229" s="384"/>
      <c r="AJ229" s="384"/>
      <c r="AK229" s="384"/>
      <c r="AL229" s="384"/>
      <c r="AM229" s="384"/>
      <c r="AN229" s="384"/>
      <c r="AO229" s="384"/>
      <c r="AP229" s="384"/>
      <c r="AQ229" s="384"/>
      <c r="AR229" s="384"/>
    </row>
    <row r="230" spans="2:44" s="637" customFormat="1" ht="12" customHeight="1">
      <c r="B230" s="744"/>
      <c r="C230" s="705" t="s">
        <v>933</v>
      </c>
      <c r="D230" s="705" t="s">
        <v>1421</v>
      </c>
      <c r="E230" s="740" t="s">
        <v>934</v>
      </c>
      <c r="F230" s="740" t="s">
        <v>2795</v>
      </c>
      <c r="G230" s="741" t="s">
        <v>1422</v>
      </c>
      <c r="H230" s="742" t="s">
        <v>442</v>
      </c>
      <c r="I230" s="2025" t="s">
        <v>2781</v>
      </c>
      <c r="J230" s="729" t="s">
        <v>2610</v>
      </c>
      <c r="K230" s="730"/>
      <c r="L230" s="727"/>
      <c r="M230" s="728"/>
      <c r="N230" s="1180" t="s">
        <v>2299</v>
      </c>
      <c r="O230" s="1180" t="s">
        <v>2772</v>
      </c>
      <c r="P230" s="349"/>
      <c r="Q230" s="2026"/>
      <c r="X230" s="384"/>
      <c r="Y230" s="384"/>
      <c r="Z230" s="384"/>
      <c r="AA230" s="384"/>
      <c r="AB230" s="384"/>
      <c r="AC230" s="384"/>
      <c r="AD230" s="384"/>
      <c r="AE230" s="384"/>
      <c r="AF230" s="384"/>
      <c r="AG230" s="384"/>
      <c r="AH230" s="384"/>
      <c r="AI230" s="384"/>
      <c r="AJ230" s="384"/>
      <c r="AK230" s="384"/>
      <c r="AL230" s="384"/>
      <c r="AM230" s="384"/>
      <c r="AN230" s="384"/>
      <c r="AO230" s="384"/>
      <c r="AP230" s="384"/>
      <c r="AQ230" s="384"/>
      <c r="AR230" s="384"/>
    </row>
    <row r="231" spans="2:44" s="637" customFormat="1" ht="12" customHeight="1">
      <c r="B231" s="744"/>
      <c r="C231" s="705" t="s">
        <v>2390</v>
      </c>
      <c r="D231" s="705" t="s">
        <v>1288</v>
      </c>
      <c r="E231" s="740" t="s">
        <v>2391</v>
      </c>
      <c r="F231" s="740" t="s">
        <v>2795</v>
      </c>
      <c r="G231" s="741" t="s">
        <v>1423</v>
      </c>
      <c r="H231" s="742" t="s">
        <v>442</v>
      </c>
      <c r="I231" s="2025" t="s">
        <v>2781</v>
      </c>
      <c r="J231" s="729" t="s">
        <v>2612</v>
      </c>
      <c r="K231" s="730"/>
      <c r="L231" s="727"/>
      <c r="M231" s="728"/>
      <c r="N231" s="705" t="s">
        <v>2609</v>
      </c>
      <c r="O231" s="705" t="s">
        <v>1159</v>
      </c>
      <c r="P231" s="2028"/>
      <c r="Q231" s="2026"/>
      <c r="X231" s="384"/>
      <c r="Y231" s="384"/>
      <c r="Z231" s="384"/>
      <c r="AA231" s="384"/>
      <c r="AB231" s="384"/>
      <c r="AC231" s="384"/>
      <c r="AD231" s="384"/>
      <c r="AE231" s="384"/>
      <c r="AF231" s="384"/>
      <c r="AG231" s="384"/>
      <c r="AH231" s="384"/>
      <c r="AI231" s="384"/>
      <c r="AJ231" s="384"/>
      <c r="AK231" s="384"/>
      <c r="AL231" s="384"/>
      <c r="AM231" s="384"/>
      <c r="AN231" s="384"/>
      <c r="AO231" s="384"/>
      <c r="AP231" s="384"/>
      <c r="AQ231" s="384"/>
      <c r="AR231" s="384"/>
    </row>
    <row r="232" spans="2:44" s="637" customFormat="1" ht="12" customHeight="1">
      <c r="B232" s="744"/>
      <c r="C232" s="705" t="s">
        <v>2392</v>
      </c>
      <c r="D232" s="705" t="s">
        <v>1288</v>
      </c>
      <c r="E232" s="740" t="s">
        <v>700</v>
      </c>
      <c r="F232" s="740" t="s">
        <v>2795</v>
      </c>
      <c r="G232" s="741" t="s">
        <v>1424</v>
      </c>
      <c r="H232" s="742" t="s">
        <v>442</v>
      </c>
      <c r="I232" s="2025" t="s">
        <v>2781</v>
      </c>
      <c r="J232" s="729" t="s">
        <v>2614</v>
      </c>
      <c r="K232" s="730"/>
      <c r="L232" s="727"/>
      <c r="M232" s="728"/>
      <c r="N232" s="1180" t="s">
        <v>2744</v>
      </c>
      <c r="O232" s="1180" t="s">
        <v>337</v>
      </c>
      <c r="P232" s="349"/>
      <c r="Q232" s="2026"/>
      <c r="X232" s="384"/>
      <c r="Y232" s="384"/>
      <c r="Z232" s="384"/>
      <c r="AA232" s="384"/>
      <c r="AB232" s="384"/>
      <c r="AC232" s="384"/>
      <c r="AD232" s="384"/>
      <c r="AE232" s="384"/>
      <c r="AF232" s="384"/>
      <c r="AG232" s="384"/>
      <c r="AH232" s="384"/>
      <c r="AI232" s="384"/>
      <c r="AJ232" s="384"/>
      <c r="AK232" s="384"/>
      <c r="AL232" s="384"/>
      <c r="AM232" s="384"/>
      <c r="AN232" s="384"/>
      <c r="AO232" s="384"/>
      <c r="AP232" s="384"/>
      <c r="AQ232" s="384"/>
      <c r="AR232" s="384"/>
    </row>
    <row r="233" spans="2:44" s="637" customFormat="1" ht="12" customHeight="1">
      <c r="B233" s="744"/>
      <c r="C233" s="705" t="s">
        <v>701</v>
      </c>
      <c r="D233" s="705" t="s">
        <v>1397</v>
      </c>
      <c r="E233" s="740" t="s">
        <v>702</v>
      </c>
      <c r="F233" s="740" t="s">
        <v>2795</v>
      </c>
      <c r="G233" s="741" t="s">
        <v>1425</v>
      </c>
      <c r="H233" s="742" t="s">
        <v>442</v>
      </c>
      <c r="I233" s="2025" t="s">
        <v>2781</v>
      </c>
      <c r="J233" s="729" t="s">
        <v>2615</v>
      </c>
      <c r="K233" s="730"/>
      <c r="L233" s="727"/>
      <c r="M233" s="728"/>
      <c r="N233" s="1180" t="s">
        <v>2611</v>
      </c>
      <c r="O233" s="1180" t="s">
        <v>2054</v>
      </c>
      <c r="P233" s="349"/>
      <c r="Q233" s="2026"/>
      <c r="X233" s="384"/>
      <c r="Y233" s="384"/>
      <c r="Z233" s="384"/>
      <c r="AA233" s="384"/>
      <c r="AB233" s="384"/>
      <c r="AC233" s="384"/>
      <c r="AD233" s="384"/>
      <c r="AE233" s="384"/>
      <c r="AF233" s="384"/>
      <c r="AG233" s="384"/>
      <c r="AH233" s="384"/>
      <c r="AI233" s="384"/>
      <c r="AJ233" s="384"/>
      <c r="AK233" s="384"/>
      <c r="AL233" s="384"/>
      <c r="AM233" s="384"/>
      <c r="AN233" s="384"/>
      <c r="AO233" s="384"/>
      <c r="AP233" s="384"/>
      <c r="AQ233" s="384"/>
      <c r="AR233" s="384"/>
    </row>
    <row r="234" spans="2:44" s="637" customFormat="1" ht="12" customHeight="1">
      <c r="B234" s="744"/>
      <c r="C234" s="705" t="s">
        <v>703</v>
      </c>
      <c r="D234" s="705" t="s">
        <v>1421</v>
      </c>
      <c r="E234" s="743" t="s">
        <v>815</v>
      </c>
      <c r="F234" s="743" t="s">
        <v>2796</v>
      </c>
      <c r="G234" s="741" t="s">
        <v>2758</v>
      </c>
      <c r="H234" s="742" t="s">
        <v>443</v>
      </c>
      <c r="I234" s="2024" t="s">
        <v>1268</v>
      </c>
      <c r="J234" s="729" t="s">
        <v>2376</v>
      </c>
      <c r="K234" s="730"/>
      <c r="L234" s="727"/>
      <c r="M234" s="728"/>
      <c r="N234" s="1180" t="s">
        <v>2613</v>
      </c>
      <c r="O234" s="1180" t="s">
        <v>929</v>
      </c>
      <c r="P234" s="349"/>
      <c r="Q234" s="2026"/>
      <c r="X234" s="384"/>
      <c r="Y234" s="384"/>
      <c r="Z234" s="384"/>
      <c r="AA234" s="384"/>
      <c r="AB234" s="384"/>
      <c r="AC234" s="384"/>
      <c r="AD234" s="384"/>
      <c r="AE234" s="384"/>
      <c r="AF234" s="384"/>
      <c r="AG234" s="384"/>
      <c r="AH234" s="384"/>
      <c r="AI234" s="384"/>
      <c r="AJ234" s="384"/>
      <c r="AK234" s="384"/>
      <c r="AL234" s="384"/>
      <c r="AM234" s="384"/>
      <c r="AN234" s="384"/>
      <c r="AO234" s="384"/>
      <c r="AP234" s="384"/>
      <c r="AQ234" s="384"/>
      <c r="AR234" s="384"/>
    </row>
    <row r="235" spans="2:44" s="637" customFormat="1" ht="12" customHeight="1">
      <c r="B235" s="744"/>
      <c r="C235" s="705" t="s">
        <v>704</v>
      </c>
      <c r="D235" s="705" t="s">
        <v>1397</v>
      </c>
      <c r="E235" s="743" t="s">
        <v>2416</v>
      </c>
      <c r="F235" s="743" t="s">
        <v>2796</v>
      </c>
      <c r="G235" s="741" t="s">
        <v>1426</v>
      </c>
      <c r="H235" s="742" t="s">
        <v>443</v>
      </c>
      <c r="I235" s="2025" t="s">
        <v>1268</v>
      </c>
      <c r="J235" s="729" t="s">
        <v>756</v>
      </c>
      <c r="K235" s="730"/>
      <c r="L235" s="727"/>
      <c r="M235" s="728"/>
      <c r="N235" s="1180" t="s">
        <v>2616</v>
      </c>
      <c r="O235" s="1180" t="s">
        <v>166</v>
      </c>
      <c r="P235" s="349"/>
      <c r="Q235" s="2026"/>
      <c r="X235" s="384"/>
      <c r="Y235" s="384"/>
      <c r="Z235" s="384"/>
      <c r="AA235" s="384"/>
      <c r="AB235" s="384"/>
      <c r="AC235" s="384"/>
      <c r="AD235" s="384"/>
      <c r="AE235" s="384"/>
      <c r="AF235" s="384"/>
      <c r="AG235" s="384"/>
      <c r="AH235" s="384"/>
      <c r="AI235" s="384"/>
      <c r="AJ235" s="384"/>
      <c r="AK235" s="384"/>
      <c r="AL235" s="384"/>
      <c r="AM235" s="384"/>
      <c r="AN235" s="384"/>
      <c r="AO235" s="384"/>
      <c r="AP235" s="384"/>
      <c r="AQ235" s="384"/>
      <c r="AR235" s="384"/>
    </row>
    <row r="236" spans="2:44" s="637" customFormat="1" ht="12" customHeight="1">
      <c r="B236" s="744"/>
      <c r="C236" s="705" t="s">
        <v>705</v>
      </c>
      <c r="D236" s="705" t="s">
        <v>1397</v>
      </c>
      <c r="E236" s="743" t="s">
        <v>815</v>
      </c>
      <c r="F236" s="743" t="s">
        <v>2796</v>
      </c>
      <c r="G236" s="741" t="s">
        <v>2758</v>
      </c>
      <c r="H236" s="742" t="s">
        <v>443</v>
      </c>
      <c r="I236" s="2024" t="s">
        <v>1268</v>
      </c>
      <c r="J236" s="729" t="s">
        <v>758</v>
      </c>
      <c r="K236" s="730"/>
      <c r="L236" s="727"/>
      <c r="M236" s="728"/>
      <c r="N236" s="1180" t="s">
        <v>2377</v>
      </c>
      <c r="O236" s="1180" t="s">
        <v>701</v>
      </c>
      <c r="P236" s="349"/>
      <c r="Q236" s="2026"/>
      <c r="X236" s="384"/>
      <c r="Y236" s="384"/>
      <c r="Z236" s="384"/>
      <c r="AA236" s="384"/>
      <c r="AB236" s="384"/>
      <c r="AC236" s="384"/>
      <c r="AD236" s="384"/>
      <c r="AE236" s="384"/>
      <c r="AF236" s="384"/>
      <c r="AG236" s="384"/>
      <c r="AH236" s="384"/>
      <c r="AI236" s="384"/>
      <c r="AJ236" s="384"/>
      <c r="AK236" s="384"/>
      <c r="AL236" s="384"/>
      <c r="AM236" s="384"/>
      <c r="AN236" s="384"/>
      <c r="AO236" s="384"/>
      <c r="AP236" s="384"/>
      <c r="AQ236" s="384"/>
      <c r="AR236" s="384"/>
    </row>
    <row r="237" spans="2:44" s="637" customFormat="1" ht="12" customHeight="1">
      <c r="B237" s="744"/>
      <c r="C237" s="705" t="s">
        <v>706</v>
      </c>
      <c r="D237" s="705" t="s">
        <v>1397</v>
      </c>
      <c r="E237" s="743" t="s">
        <v>707</v>
      </c>
      <c r="F237" s="743" t="s">
        <v>2795</v>
      </c>
      <c r="G237" s="741" t="s">
        <v>1427</v>
      </c>
      <c r="H237" s="742" t="s">
        <v>442</v>
      </c>
      <c r="I237" s="2025" t="s">
        <v>2781</v>
      </c>
      <c r="J237" s="729" t="s">
        <v>760</v>
      </c>
      <c r="K237" s="730"/>
      <c r="L237" s="727"/>
      <c r="M237" s="728"/>
      <c r="N237" s="1180" t="s">
        <v>757</v>
      </c>
      <c r="O237" s="1180" t="s">
        <v>2649</v>
      </c>
      <c r="P237" s="349"/>
      <c r="Q237" s="2026"/>
      <c r="X237" s="384"/>
      <c r="Y237" s="384"/>
      <c r="Z237" s="384"/>
      <c r="AA237" s="384"/>
      <c r="AB237" s="384"/>
      <c r="AC237" s="384"/>
      <c r="AD237" s="384"/>
      <c r="AE237" s="384"/>
      <c r="AF237" s="384"/>
      <c r="AG237" s="384"/>
      <c r="AH237" s="384"/>
      <c r="AI237" s="384"/>
      <c r="AJ237" s="384"/>
      <c r="AK237" s="384"/>
      <c r="AL237" s="384"/>
      <c r="AM237" s="384"/>
      <c r="AN237" s="384"/>
      <c r="AO237" s="384"/>
      <c r="AP237" s="384"/>
      <c r="AQ237" s="384"/>
      <c r="AR237" s="384"/>
    </row>
    <row r="238" spans="2:44" s="637" customFormat="1" ht="12" customHeight="1">
      <c r="B238" s="744"/>
      <c r="C238" s="705" t="s">
        <v>1283</v>
      </c>
      <c r="D238" s="705" t="s">
        <v>1421</v>
      </c>
      <c r="E238" s="743" t="s">
        <v>815</v>
      </c>
      <c r="F238" s="743" t="s">
        <v>2796</v>
      </c>
      <c r="G238" s="741" t="s">
        <v>2758</v>
      </c>
      <c r="H238" s="742" t="s">
        <v>443</v>
      </c>
      <c r="I238" s="2024" t="s">
        <v>1268</v>
      </c>
      <c r="J238" s="729" t="s">
        <v>762</v>
      </c>
      <c r="K238" s="730"/>
      <c r="L238" s="727"/>
      <c r="M238" s="728"/>
      <c r="N238" s="1180" t="s">
        <v>759</v>
      </c>
      <c r="O238" s="1180" t="s">
        <v>1174</v>
      </c>
      <c r="P238" s="349"/>
      <c r="Q238" s="2026"/>
      <c r="X238" s="384"/>
      <c r="Y238" s="384"/>
      <c r="Z238" s="384"/>
      <c r="AA238" s="384"/>
      <c r="AB238" s="384"/>
      <c r="AC238" s="384"/>
      <c r="AD238" s="384"/>
      <c r="AE238" s="384"/>
      <c r="AF238" s="384"/>
      <c r="AG238" s="384"/>
      <c r="AH238" s="384"/>
      <c r="AI238" s="384"/>
      <c r="AJ238" s="384"/>
      <c r="AK238" s="384"/>
      <c r="AL238" s="384"/>
      <c r="AM238" s="384"/>
      <c r="AN238" s="384"/>
      <c r="AO238" s="384"/>
      <c r="AP238" s="384"/>
      <c r="AQ238" s="384"/>
      <c r="AR238" s="384"/>
    </row>
    <row r="239" spans="2:44" s="637" customFormat="1" ht="12" customHeight="1">
      <c r="B239" s="744"/>
      <c r="C239" s="705" t="s">
        <v>708</v>
      </c>
      <c r="D239" s="705" t="s">
        <v>1397</v>
      </c>
      <c r="E239" s="740" t="s">
        <v>709</v>
      </c>
      <c r="F239" s="740" t="s">
        <v>2795</v>
      </c>
      <c r="G239" s="741" t="s">
        <v>252</v>
      </c>
      <c r="H239" s="742" t="s">
        <v>442</v>
      </c>
      <c r="I239" s="2025" t="s">
        <v>2781</v>
      </c>
      <c r="J239" s="729" t="s">
        <v>2367</v>
      </c>
      <c r="K239" s="730"/>
      <c r="L239" s="727"/>
      <c r="M239" s="728"/>
      <c r="N239" s="705" t="s">
        <v>761</v>
      </c>
      <c r="O239" s="705" t="s">
        <v>2772</v>
      </c>
      <c r="P239" s="2028"/>
      <c r="Q239" s="2026"/>
      <c r="X239" s="384"/>
      <c r="Y239" s="384"/>
      <c r="Z239" s="384"/>
      <c r="AA239" s="384"/>
      <c r="AB239" s="384"/>
      <c r="AC239" s="384"/>
      <c r="AD239" s="384"/>
      <c r="AE239" s="384"/>
      <c r="AF239" s="384"/>
      <c r="AG239" s="384"/>
      <c r="AH239" s="384"/>
      <c r="AI239" s="384"/>
      <c r="AJ239" s="384"/>
      <c r="AK239" s="384"/>
      <c r="AL239" s="384"/>
      <c r="AM239" s="384"/>
      <c r="AN239" s="384"/>
      <c r="AO239" s="384"/>
      <c r="AP239" s="384"/>
      <c r="AQ239" s="384"/>
      <c r="AR239" s="384"/>
    </row>
    <row r="240" spans="2:44" s="637" customFormat="1" ht="12" customHeight="1">
      <c r="B240" s="744"/>
      <c r="C240" s="705" t="s">
        <v>710</v>
      </c>
      <c r="D240" s="705" t="s">
        <v>1421</v>
      </c>
      <c r="E240" s="743" t="s">
        <v>711</v>
      </c>
      <c r="F240" s="743" t="s">
        <v>2795</v>
      </c>
      <c r="G240" s="741" t="s">
        <v>253</v>
      </c>
      <c r="H240" s="742" t="s">
        <v>442</v>
      </c>
      <c r="I240" s="2025" t="s">
        <v>2781</v>
      </c>
      <c r="J240" s="729" t="s">
        <v>2368</v>
      </c>
      <c r="K240" s="730"/>
      <c r="L240" s="727"/>
      <c r="M240" s="728"/>
      <c r="N240" s="1180" t="s">
        <v>2745</v>
      </c>
      <c r="O240" s="1180" t="s">
        <v>2651</v>
      </c>
      <c r="P240" s="349"/>
      <c r="Q240" s="2026"/>
      <c r="X240" s="384"/>
      <c r="Y240" s="384"/>
      <c r="Z240" s="384"/>
      <c r="AA240" s="384"/>
      <c r="AB240" s="384"/>
      <c r="AC240" s="384"/>
      <c r="AD240" s="384"/>
      <c r="AE240" s="384"/>
      <c r="AF240" s="384"/>
      <c r="AG240" s="384"/>
      <c r="AH240" s="384"/>
      <c r="AI240" s="384"/>
      <c r="AJ240" s="384"/>
      <c r="AK240" s="384"/>
      <c r="AL240" s="384"/>
      <c r="AM240" s="384"/>
      <c r="AN240" s="384"/>
      <c r="AO240" s="384"/>
      <c r="AP240" s="384"/>
      <c r="AQ240" s="384"/>
      <c r="AR240" s="384"/>
    </row>
    <row r="241" spans="2:44" s="637" customFormat="1" ht="12" customHeight="1">
      <c r="B241" s="744"/>
      <c r="C241" s="705" t="s">
        <v>712</v>
      </c>
      <c r="D241" s="705" t="s">
        <v>1288</v>
      </c>
      <c r="E241" s="740" t="s">
        <v>12</v>
      </c>
      <c r="F241" s="740" t="s">
        <v>2796</v>
      </c>
      <c r="G241" s="741" t="s">
        <v>2763</v>
      </c>
      <c r="H241" s="742" t="s">
        <v>443</v>
      </c>
      <c r="I241" s="2025" t="s">
        <v>1268</v>
      </c>
      <c r="J241" s="729" t="s">
        <v>2370</v>
      </c>
      <c r="K241" s="730"/>
      <c r="L241" s="727"/>
      <c r="M241" s="728"/>
      <c r="N241" s="1180" t="s">
        <v>2369</v>
      </c>
      <c r="O241" s="1180" t="s">
        <v>1779</v>
      </c>
      <c r="P241" s="349"/>
      <c r="Q241" s="2026"/>
      <c r="X241" s="384"/>
      <c r="Y241" s="384"/>
      <c r="Z241" s="384"/>
      <c r="AA241" s="384"/>
      <c r="AB241" s="384"/>
      <c r="AC241" s="384"/>
      <c r="AD241" s="384"/>
      <c r="AE241" s="384"/>
      <c r="AF241" s="384"/>
      <c r="AG241" s="384"/>
      <c r="AH241" s="384"/>
      <c r="AI241" s="384"/>
      <c r="AJ241" s="384"/>
      <c r="AK241" s="384"/>
      <c r="AL241" s="384"/>
      <c r="AM241" s="384"/>
      <c r="AN241" s="384"/>
      <c r="AO241" s="384"/>
      <c r="AP241" s="384"/>
      <c r="AQ241" s="384"/>
      <c r="AR241" s="384"/>
    </row>
    <row r="242" spans="2:44" s="637" customFormat="1" ht="12" customHeight="1">
      <c r="B242" s="744"/>
      <c r="C242" s="705" t="s">
        <v>713</v>
      </c>
      <c r="D242" s="705" t="s">
        <v>1397</v>
      </c>
      <c r="E242" s="740" t="s">
        <v>714</v>
      </c>
      <c r="F242" s="740" t="s">
        <v>2795</v>
      </c>
      <c r="G242" s="741" t="s">
        <v>254</v>
      </c>
      <c r="H242" s="742" t="s">
        <v>442</v>
      </c>
      <c r="I242" s="2025" t="s">
        <v>2781</v>
      </c>
      <c r="J242" s="729" t="s">
        <v>730</v>
      </c>
      <c r="K242" s="730"/>
      <c r="L242" s="727"/>
      <c r="M242" s="728"/>
      <c r="N242" s="1180" t="s">
        <v>2371</v>
      </c>
      <c r="O242" s="1180" t="s">
        <v>2766</v>
      </c>
      <c r="P242" s="349"/>
      <c r="Q242" s="2026"/>
      <c r="X242" s="384"/>
      <c r="Y242" s="384"/>
      <c r="Z242" s="384"/>
      <c r="AA242" s="384"/>
      <c r="AB242" s="384"/>
      <c r="AC242" s="384"/>
      <c r="AD242" s="384"/>
      <c r="AE242" s="384"/>
      <c r="AF242" s="384"/>
      <c r="AG242" s="384"/>
      <c r="AH242" s="384"/>
      <c r="AI242" s="384"/>
      <c r="AJ242" s="384"/>
      <c r="AK242" s="384"/>
      <c r="AL242" s="384"/>
      <c r="AM242" s="384"/>
      <c r="AN242" s="384"/>
      <c r="AO242" s="384"/>
      <c r="AP242" s="384"/>
      <c r="AQ242" s="384"/>
      <c r="AR242" s="384"/>
    </row>
    <row r="243" spans="2:44" s="637" customFormat="1" ht="12" customHeight="1">
      <c r="B243" s="744"/>
      <c r="C243" s="705" t="s">
        <v>715</v>
      </c>
      <c r="D243" s="705" t="s">
        <v>1288</v>
      </c>
      <c r="E243" s="740" t="s">
        <v>716</v>
      </c>
      <c r="F243" s="740" t="s">
        <v>2795</v>
      </c>
      <c r="G243" s="741" t="s">
        <v>422</v>
      </c>
      <c r="H243" s="742" t="s">
        <v>442</v>
      </c>
      <c r="I243" s="2025" t="s">
        <v>2781</v>
      </c>
      <c r="J243" s="729" t="s">
        <v>843</v>
      </c>
      <c r="K243" s="730"/>
      <c r="L243" s="727"/>
      <c r="M243" s="728"/>
      <c r="N243" s="1180" t="s">
        <v>731</v>
      </c>
      <c r="O243" s="1180" t="s">
        <v>783</v>
      </c>
      <c r="P243" s="349"/>
      <c r="Q243" s="2026"/>
      <c r="X243" s="384"/>
      <c r="Y243" s="384"/>
      <c r="Z243" s="384"/>
      <c r="AA243" s="384"/>
      <c r="AB243" s="384"/>
      <c r="AC243" s="384"/>
      <c r="AD243" s="384"/>
      <c r="AE243" s="384"/>
      <c r="AF243" s="384"/>
      <c r="AG243" s="384"/>
      <c r="AH243" s="384"/>
      <c r="AI243" s="384"/>
      <c r="AJ243" s="384"/>
      <c r="AK243" s="384"/>
      <c r="AL243" s="384"/>
      <c r="AM243" s="384"/>
      <c r="AN243" s="384"/>
      <c r="AO243" s="384"/>
      <c r="AP243" s="384"/>
      <c r="AQ243" s="384"/>
      <c r="AR243" s="384"/>
    </row>
    <row r="244" spans="2:44" s="637" customFormat="1" ht="12" customHeight="1">
      <c r="B244" s="744"/>
      <c r="C244" s="705" t="s">
        <v>717</v>
      </c>
      <c r="D244" s="705" t="s">
        <v>1421</v>
      </c>
      <c r="E244" s="740" t="s">
        <v>718</v>
      </c>
      <c r="F244" s="740" t="s">
        <v>2795</v>
      </c>
      <c r="G244" s="741" t="s">
        <v>423</v>
      </c>
      <c r="H244" s="742" t="s">
        <v>442</v>
      </c>
      <c r="I244" s="2025" t="s">
        <v>2781</v>
      </c>
      <c r="J244" s="729" t="s">
        <v>2419</v>
      </c>
      <c r="K244" s="730"/>
      <c r="L244" s="727"/>
      <c r="M244" s="728"/>
      <c r="N244" s="1180" t="s">
        <v>2418</v>
      </c>
      <c r="O244" s="1180" t="s">
        <v>334</v>
      </c>
      <c r="P244" s="349"/>
      <c r="Q244" s="2026"/>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row>
    <row r="245" spans="2:44" s="637" customFormat="1" ht="12" customHeight="1">
      <c r="B245" s="744"/>
      <c r="C245" s="705" t="s">
        <v>124</v>
      </c>
      <c r="D245" s="705" t="s">
        <v>1421</v>
      </c>
      <c r="E245" s="743" t="s">
        <v>815</v>
      </c>
      <c r="F245" s="743" t="s">
        <v>2796</v>
      </c>
      <c r="G245" s="741" t="s">
        <v>2758</v>
      </c>
      <c r="H245" s="742" t="s">
        <v>443</v>
      </c>
      <c r="I245" s="2024" t="s">
        <v>1268</v>
      </c>
      <c r="J245" s="729" t="s">
        <v>2449</v>
      </c>
      <c r="K245" s="730"/>
      <c r="L245" s="727"/>
      <c r="M245" s="728"/>
      <c r="N245" s="1180" t="s">
        <v>2481</v>
      </c>
      <c r="O245" s="1180" t="s">
        <v>933</v>
      </c>
      <c r="P245" s="349"/>
      <c r="Q245" s="2026"/>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row>
    <row r="246" spans="2:44" s="637" customFormat="1" ht="12" customHeight="1">
      <c r="B246" s="744"/>
      <c r="C246" s="705" t="s">
        <v>125</v>
      </c>
      <c r="D246" s="705" t="s">
        <v>1397</v>
      </c>
      <c r="E246" s="740" t="s">
        <v>126</v>
      </c>
      <c r="F246" s="740" t="s">
        <v>2795</v>
      </c>
      <c r="G246" s="741" t="s">
        <v>424</v>
      </c>
      <c r="H246" s="742" t="s">
        <v>442</v>
      </c>
      <c r="I246" s="2025" t="s">
        <v>2781</v>
      </c>
      <c r="J246" s="729" t="s">
        <v>48</v>
      </c>
      <c r="K246" s="730"/>
      <c r="L246" s="727"/>
      <c r="M246" s="728"/>
      <c r="N246" s="1180" t="s">
        <v>49</v>
      </c>
      <c r="O246" s="1180" t="s">
        <v>341</v>
      </c>
      <c r="P246" s="349"/>
      <c r="Q246" s="2026"/>
      <c r="X246" s="384"/>
      <c r="Y246" s="384"/>
      <c r="Z246" s="384"/>
      <c r="AA246" s="384"/>
      <c r="AB246" s="384"/>
      <c r="AC246" s="384"/>
      <c r="AD246" s="384"/>
      <c r="AE246" s="384"/>
      <c r="AF246" s="384"/>
      <c r="AG246" s="384"/>
      <c r="AH246" s="384"/>
      <c r="AI246" s="384"/>
      <c r="AJ246" s="384"/>
      <c r="AK246" s="384"/>
      <c r="AL246" s="384"/>
      <c r="AM246" s="384"/>
      <c r="AN246" s="384"/>
      <c r="AO246" s="384"/>
      <c r="AP246" s="384"/>
      <c r="AQ246" s="384"/>
      <c r="AR246" s="384"/>
    </row>
    <row r="247" spans="2:44" s="637" customFormat="1" ht="12" customHeight="1">
      <c r="B247" s="744"/>
      <c r="C247" s="705" t="s">
        <v>329</v>
      </c>
      <c r="D247" s="705" t="s">
        <v>1397</v>
      </c>
      <c r="E247" s="740" t="s">
        <v>1298</v>
      </c>
      <c r="F247" s="740" t="s">
        <v>2796</v>
      </c>
      <c r="G247" s="741" t="s">
        <v>425</v>
      </c>
      <c r="H247" s="742" t="s">
        <v>443</v>
      </c>
      <c r="I247" s="2025" t="s">
        <v>1268</v>
      </c>
      <c r="J247" s="729" t="s">
        <v>674</v>
      </c>
      <c r="K247" s="730"/>
      <c r="L247" s="727"/>
      <c r="M247" s="728"/>
      <c r="N247" s="1180" t="s">
        <v>675</v>
      </c>
      <c r="O247" s="1180" t="s">
        <v>2774</v>
      </c>
      <c r="P247" s="349"/>
      <c r="Q247" s="2026"/>
      <c r="X247" s="384"/>
      <c r="Y247" s="384"/>
      <c r="Z247" s="384"/>
      <c r="AA247" s="384"/>
      <c r="AB247" s="384"/>
      <c r="AC247" s="384"/>
      <c r="AD247" s="384"/>
      <c r="AE247" s="384"/>
      <c r="AF247" s="384"/>
      <c r="AG247" s="384"/>
      <c r="AH247" s="384"/>
      <c r="AI247" s="384"/>
      <c r="AJ247" s="384"/>
      <c r="AK247" s="384"/>
      <c r="AL247" s="384"/>
      <c r="AM247" s="384"/>
      <c r="AN247" s="384"/>
      <c r="AO247" s="384"/>
      <c r="AP247" s="384"/>
      <c r="AQ247" s="384"/>
      <c r="AR247" s="384"/>
    </row>
    <row r="248" spans="2:44" s="637" customFormat="1" ht="12" customHeight="1">
      <c r="B248" s="744"/>
      <c r="C248" s="707" t="s">
        <v>330</v>
      </c>
      <c r="D248" s="705" t="s">
        <v>1421</v>
      </c>
      <c r="E248" s="740" t="s">
        <v>331</v>
      </c>
      <c r="F248" s="740" t="s">
        <v>2795</v>
      </c>
      <c r="G248" s="741" t="s">
        <v>426</v>
      </c>
      <c r="H248" s="742" t="s">
        <v>442</v>
      </c>
      <c r="I248" s="2025" t="s">
        <v>2781</v>
      </c>
      <c r="J248" s="729" t="s">
        <v>320</v>
      </c>
      <c r="K248" s="730"/>
      <c r="L248" s="727"/>
      <c r="M248" s="728"/>
      <c r="N248" s="1180" t="s">
        <v>321</v>
      </c>
      <c r="O248" s="1180" t="s">
        <v>332</v>
      </c>
      <c r="P248" s="349"/>
      <c r="Q248" s="2026"/>
      <c r="X248" s="384"/>
      <c r="Y248" s="384"/>
      <c r="Z248" s="384"/>
      <c r="AA248" s="384"/>
      <c r="AB248" s="384"/>
      <c r="AC248" s="384"/>
      <c r="AD248" s="384"/>
      <c r="AE248" s="384"/>
      <c r="AF248" s="384"/>
      <c r="AG248" s="384"/>
      <c r="AH248" s="384"/>
      <c r="AI248" s="384"/>
      <c r="AJ248" s="384"/>
      <c r="AK248" s="384"/>
      <c r="AL248" s="384"/>
      <c r="AM248" s="384"/>
      <c r="AN248" s="384"/>
      <c r="AO248" s="384"/>
      <c r="AP248" s="384"/>
      <c r="AQ248" s="384"/>
      <c r="AR248" s="384"/>
    </row>
    <row r="249" spans="2:44" s="637" customFormat="1" ht="12" customHeight="1">
      <c r="B249" s="744"/>
      <c r="C249" s="705" t="s">
        <v>332</v>
      </c>
      <c r="D249" s="705" t="s">
        <v>1397</v>
      </c>
      <c r="E249" s="743" t="s">
        <v>817</v>
      </c>
      <c r="F249" s="743" t="s">
        <v>2796</v>
      </c>
      <c r="G249" s="741" t="s">
        <v>427</v>
      </c>
      <c r="H249" s="742" t="s">
        <v>443</v>
      </c>
      <c r="I249" s="2025" t="s">
        <v>2781</v>
      </c>
      <c r="J249" s="729" t="s">
        <v>2523</v>
      </c>
      <c r="K249" s="730"/>
      <c r="L249" s="727"/>
      <c r="M249" s="728"/>
      <c r="N249" s="1180" t="s">
        <v>2524</v>
      </c>
      <c r="O249" s="1180" t="s">
        <v>204</v>
      </c>
      <c r="P249" s="349"/>
      <c r="Q249" s="2026"/>
      <c r="X249" s="384"/>
      <c r="Y249" s="384"/>
      <c r="Z249" s="384"/>
      <c r="AA249" s="384"/>
      <c r="AB249" s="384"/>
      <c r="AC249" s="384"/>
      <c r="AD249" s="384"/>
      <c r="AE249" s="384"/>
      <c r="AF249" s="384"/>
      <c r="AG249" s="384"/>
      <c r="AH249" s="384"/>
      <c r="AI249" s="384"/>
      <c r="AJ249" s="384"/>
      <c r="AK249" s="384"/>
      <c r="AL249" s="384"/>
      <c r="AM249" s="384"/>
      <c r="AN249" s="384"/>
      <c r="AO249" s="384"/>
      <c r="AP249" s="384"/>
      <c r="AQ249" s="384"/>
      <c r="AR249" s="384"/>
    </row>
    <row r="250" spans="2:44" s="637" customFormat="1" ht="12" customHeight="1">
      <c r="B250" s="744"/>
      <c r="C250" s="705" t="s">
        <v>333</v>
      </c>
      <c r="D250" s="705" t="s">
        <v>1421</v>
      </c>
      <c r="E250" s="743" t="s">
        <v>168</v>
      </c>
      <c r="F250" s="743" t="s">
        <v>2796</v>
      </c>
      <c r="G250" s="741" t="s">
        <v>1801</v>
      </c>
      <c r="H250" s="742" t="s">
        <v>443</v>
      </c>
      <c r="I250" s="2025" t="s">
        <v>2781</v>
      </c>
      <c r="J250" s="729" t="s">
        <v>2551</v>
      </c>
      <c r="K250" s="730"/>
      <c r="L250" s="727"/>
      <c r="M250" s="728"/>
      <c r="N250" s="1180" t="s">
        <v>2552</v>
      </c>
      <c r="O250" s="1180" t="s">
        <v>1778</v>
      </c>
      <c r="P250" s="349"/>
      <c r="Q250" s="2026"/>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row>
    <row r="251" spans="2:44" s="637" customFormat="1" ht="12" customHeight="1">
      <c r="B251" s="744"/>
      <c r="C251" s="705" t="s">
        <v>334</v>
      </c>
      <c r="D251" s="705" t="s">
        <v>1421</v>
      </c>
      <c r="E251" s="740" t="s">
        <v>335</v>
      </c>
      <c r="F251" s="740" t="s">
        <v>2795</v>
      </c>
      <c r="G251" s="741" t="s">
        <v>428</v>
      </c>
      <c r="H251" s="742" t="s">
        <v>442</v>
      </c>
      <c r="I251" s="2025" t="s">
        <v>2781</v>
      </c>
      <c r="J251" s="729" t="s">
        <v>2553</v>
      </c>
      <c r="K251" s="730"/>
      <c r="L251" s="727"/>
      <c r="M251" s="728"/>
      <c r="N251" s="1180" t="s">
        <v>3486</v>
      </c>
      <c r="O251" s="1180" t="s">
        <v>669</v>
      </c>
      <c r="P251" s="349"/>
      <c r="Q251" s="2026"/>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row>
    <row r="252" spans="2:44" s="637" customFormat="1" ht="12" customHeight="1">
      <c r="B252" s="744"/>
      <c r="C252" s="705" t="s">
        <v>336</v>
      </c>
      <c r="D252" s="705" t="s">
        <v>1421</v>
      </c>
      <c r="E252" s="743" t="s">
        <v>815</v>
      </c>
      <c r="F252" s="743" t="s">
        <v>2796</v>
      </c>
      <c r="G252" s="741" t="s">
        <v>2758</v>
      </c>
      <c r="H252" s="742" t="s">
        <v>443</v>
      </c>
      <c r="I252" s="2024" t="s">
        <v>1268</v>
      </c>
      <c r="J252" s="729" t="s">
        <v>2554</v>
      </c>
      <c r="K252" s="730"/>
      <c r="L252" s="727"/>
      <c r="M252" s="728"/>
      <c r="N252" s="1180" t="s">
        <v>670</v>
      </c>
      <c r="O252" s="1180" t="s">
        <v>1413</v>
      </c>
      <c r="P252" s="349"/>
      <c r="Q252" s="2026"/>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row>
    <row r="253" spans="2:44" s="637" customFormat="1" ht="12" customHeight="1">
      <c r="B253" s="744"/>
      <c r="C253" s="705" t="s">
        <v>337</v>
      </c>
      <c r="D253" s="705" t="s">
        <v>1421</v>
      </c>
      <c r="E253" s="743" t="s">
        <v>815</v>
      </c>
      <c r="F253" s="743" t="s">
        <v>2796</v>
      </c>
      <c r="G253" s="741" t="s">
        <v>2758</v>
      </c>
      <c r="H253" s="742" t="s">
        <v>443</v>
      </c>
      <c r="I253" s="2024" t="s">
        <v>1268</v>
      </c>
      <c r="J253" s="729" t="s">
        <v>2515</v>
      </c>
      <c r="K253" s="730"/>
      <c r="L253" s="727"/>
      <c r="M253" s="728"/>
      <c r="N253" s="1180" t="s">
        <v>1410</v>
      </c>
      <c r="O253" s="1180" t="s">
        <v>703</v>
      </c>
      <c r="P253" s="349"/>
      <c r="Q253" s="2026"/>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row>
    <row r="254" spans="2:44" s="637" customFormat="1" ht="12" customHeight="1">
      <c r="B254" s="744"/>
      <c r="C254" s="705" t="s">
        <v>338</v>
      </c>
      <c r="D254" s="705" t="s">
        <v>1421</v>
      </c>
      <c r="E254" s="743" t="s">
        <v>1828</v>
      </c>
      <c r="F254" s="743" t="s">
        <v>2796</v>
      </c>
      <c r="G254" s="741" t="s">
        <v>429</v>
      </c>
      <c r="H254" s="742" t="s">
        <v>443</v>
      </c>
      <c r="I254" s="2025" t="s">
        <v>1268</v>
      </c>
      <c r="J254" s="729" t="s">
        <v>11</v>
      </c>
      <c r="K254" s="730"/>
      <c r="L254" s="727"/>
      <c r="M254" s="728"/>
      <c r="N254" s="1180" t="s">
        <v>2516</v>
      </c>
      <c r="O254" s="1180" t="s">
        <v>2655</v>
      </c>
      <c r="P254" s="734"/>
      <c r="Q254" s="2026"/>
      <c r="X254" s="384"/>
      <c r="Y254" s="384"/>
      <c r="Z254" s="384"/>
      <c r="AA254" s="384"/>
      <c r="AB254" s="384"/>
      <c r="AC254" s="384"/>
      <c r="AD254" s="384"/>
      <c r="AE254" s="384"/>
      <c r="AF254" s="384"/>
      <c r="AG254" s="384"/>
      <c r="AH254" s="384"/>
      <c r="AI254" s="384"/>
      <c r="AJ254" s="384"/>
      <c r="AK254" s="384"/>
      <c r="AL254" s="384"/>
      <c r="AM254" s="384"/>
      <c r="AN254" s="384"/>
      <c r="AO254" s="384"/>
      <c r="AP254" s="384"/>
      <c r="AQ254" s="384"/>
      <c r="AR254" s="384"/>
    </row>
    <row r="255" spans="2:44" s="637" customFormat="1" ht="12" customHeight="1">
      <c r="B255" s="744"/>
      <c r="C255" s="705" t="s">
        <v>339</v>
      </c>
      <c r="D255" s="705" t="s">
        <v>1288</v>
      </c>
      <c r="E255" s="740" t="s">
        <v>340</v>
      </c>
      <c r="F255" s="740" t="s">
        <v>2795</v>
      </c>
      <c r="G255" s="741" t="s">
        <v>693</v>
      </c>
      <c r="H255" s="742" t="s">
        <v>442</v>
      </c>
      <c r="I255" s="2025" t="s">
        <v>2781</v>
      </c>
      <c r="J255" s="729" t="s">
        <v>13</v>
      </c>
      <c r="K255" s="730"/>
      <c r="L255" s="727"/>
      <c r="M255" s="728"/>
      <c r="N255" s="1180" t="s">
        <v>12</v>
      </c>
      <c r="O255" s="1180" t="s">
        <v>712</v>
      </c>
      <c r="P255" s="349"/>
      <c r="Q255" s="2026"/>
      <c r="X255" s="384"/>
      <c r="Y255" s="384"/>
      <c r="Z255" s="384"/>
      <c r="AA255" s="384"/>
      <c r="AB255" s="384"/>
      <c r="AC255" s="384"/>
      <c r="AD255" s="384"/>
      <c r="AE255" s="384"/>
      <c r="AF255" s="384"/>
      <c r="AG255" s="384"/>
      <c r="AH255" s="384"/>
      <c r="AI255" s="384"/>
      <c r="AJ255" s="384"/>
      <c r="AK255" s="384"/>
      <c r="AL255" s="384"/>
      <c r="AM255" s="384"/>
      <c r="AN255" s="384"/>
      <c r="AO255" s="384"/>
      <c r="AP255" s="384"/>
      <c r="AQ255" s="384"/>
      <c r="AR255" s="384"/>
    </row>
    <row r="256" spans="2:44" s="637" customFormat="1" ht="12" customHeight="1">
      <c r="B256" s="744"/>
      <c r="C256" s="705" t="s">
        <v>341</v>
      </c>
      <c r="D256" s="705" t="s">
        <v>1421</v>
      </c>
      <c r="E256" s="740" t="s">
        <v>342</v>
      </c>
      <c r="F256" s="740" t="s">
        <v>2795</v>
      </c>
      <c r="G256" s="741" t="s">
        <v>694</v>
      </c>
      <c r="H256" s="742" t="s">
        <v>442</v>
      </c>
      <c r="I256" s="2025" t="s">
        <v>2781</v>
      </c>
      <c r="J256" s="729" t="s">
        <v>59</v>
      </c>
      <c r="K256" s="730"/>
      <c r="L256" s="727"/>
      <c r="M256" s="728"/>
      <c r="N256" s="1180" t="s">
        <v>14</v>
      </c>
      <c r="O256" s="1180" t="s">
        <v>332</v>
      </c>
      <c r="P256" s="349"/>
      <c r="Q256" s="2026"/>
      <c r="X256" s="384"/>
      <c r="Y256" s="384"/>
      <c r="Z256" s="384"/>
      <c r="AA256" s="384"/>
      <c r="AB256" s="384"/>
      <c r="AC256" s="384"/>
      <c r="AD256" s="384"/>
      <c r="AE256" s="384"/>
      <c r="AF256" s="384"/>
      <c r="AG256" s="384"/>
      <c r="AH256" s="384"/>
      <c r="AI256" s="384"/>
      <c r="AJ256" s="384"/>
      <c r="AK256" s="384"/>
      <c r="AL256" s="384"/>
      <c r="AM256" s="384"/>
      <c r="AN256" s="384"/>
      <c r="AO256" s="384"/>
      <c r="AP256" s="384"/>
      <c r="AQ256" s="384"/>
      <c r="AR256" s="384"/>
    </row>
    <row r="257" spans="2:44" s="637" customFormat="1" ht="12" customHeight="1">
      <c r="B257" s="744"/>
      <c r="C257" s="705" t="s">
        <v>343</v>
      </c>
      <c r="D257" s="705" t="s">
        <v>1421</v>
      </c>
      <c r="E257" s="743" t="s">
        <v>815</v>
      </c>
      <c r="F257" s="743" t="s">
        <v>2796</v>
      </c>
      <c r="G257" s="741" t="s">
        <v>2758</v>
      </c>
      <c r="H257" s="742" t="s">
        <v>443</v>
      </c>
      <c r="I257" s="2024" t="s">
        <v>1268</v>
      </c>
      <c r="J257" s="729" t="s">
        <v>61</v>
      </c>
      <c r="K257" s="730"/>
      <c r="L257" s="727"/>
      <c r="M257" s="728"/>
      <c r="N257" s="1180" t="s">
        <v>60</v>
      </c>
      <c r="O257" s="1180" t="s">
        <v>2766</v>
      </c>
      <c r="P257" s="349"/>
      <c r="Q257" s="2026"/>
      <c r="X257" s="384"/>
      <c r="Y257" s="384"/>
      <c r="Z257" s="384"/>
      <c r="AA257" s="384"/>
      <c r="AB257" s="384"/>
      <c r="AC257" s="384"/>
      <c r="AD257" s="384"/>
      <c r="AE257" s="384"/>
      <c r="AF257" s="384"/>
      <c r="AG257" s="384"/>
      <c r="AH257" s="384"/>
      <c r="AI257" s="384"/>
      <c r="AJ257" s="384"/>
      <c r="AK257" s="384"/>
      <c r="AL257" s="384"/>
      <c r="AM257" s="384"/>
      <c r="AN257" s="384"/>
      <c r="AO257" s="384"/>
      <c r="AP257" s="384"/>
      <c r="AQ257" s="384"/>
      <c r="AR257" s="384"/>
    </row>
    <row r="258" spans="2:44" s="637" customFormat="1" ht="12" customHeight="1">
      <c r="B258" s="744"/>
      <c r="C258" s="705" t="s">
        <v>344</v>
      </c>
      <c r="D258" s="705" t="s">
        <v>1288</v>
      </c>
      <c r="E258" s="740" t="s">
        <v>345</v>
      </c>
      <c r="F258" s="740" t="s">
        <v>2795</v>
      </c>
      <c r="G258" s="741" t="s">
        <v>695</v>
      </c>
      <c r="H258" s="742" t="s">
        <v>442</v>
      </c>
      <c r="I258" s="2025" t="s">
        <v>2781</v>
      </c>
      <c r="J258" s="729" t="s">
        <v>63</v>
      </c>
      <c r="K258" s="730"/>
      <c r="L258" s="727"/>
      <c r="M258" s="728"/>
      <c r="N258" s="1180" t="s">
        <v>62</v>
      </c>
      <c r="O258" s="1180" t="s">
        <v>375</v>
      </c>
      <c r="P258" s="349"/>
      <c r="Q258" s="2026"/>
      <c r="X258" s="384"/>
      <c r="Y258" s="384"/>
      <c r="Z258" s="384"/>
      <c r="AA258" s="384"/>
      <c r="AB258" s="384"/>
      <c r="AC258" s="384"/>
      <c r="AD258" s="384"/>
      <c r="AE258" s="384"/>
      <c r="AF258" s="384"/>
      <c r="AG258" s="384"/>
      <c r="AH258" s="384"/>
      <c r="AI258" s="384"/>
      <c r="AJ258" s="384"/>
      <c r="AK258" s="384"/>
      <c r="AL258" s="384"/>
      <c r="AM258" s="384"/>
      <c r="AN258" s="384"/>
      <c r="AO258" s="384"/>
      <c r="AP258" s="384"/>
      <c r="AQ258" s="384"/>
      <c r="AR258" s="384"/>
    </row>
    <row r="259" spans="2:44" s="637" customFormat="1" ht="12" customHeight="1">
      <c r="B259" s="744"/>
      <c r="C259" s="705" t="s">
        <v>346</v>
      </c>
      <c r="D259" s="705" t="s">
        <v>1421</v>
      </c>
      <c r="E259" s="740" t="s">
        <v>347</v>
      </c>
      <c r="F259" s="740" t="s">
        <v>2795</v>
      </c>
      <c r="G259" s="741" t="s">
        <v>278</v>
      </c>
      <c r="H259" s="742" t="s">
        <v>442</v>
      </c>
      <c r="I259" s="2025" t="s">
        <v>2781</v>
      </c>
      <c r="J259" s="729" t="s">
        <v>369</v>
      </c>
      <c r="K259" s="730"/>
      <c r="L259" s="727"/>
      <c r="M259" s="728"/>
      <c r="N259" s="1180" t="s">
        <v>64</v>
      </c>
      <c r="O259" s="1180" t="s">
        <v>124</v>
      </c>
      <c r="P259" s="349"/>
      <c r="Q259" s="2026"/>
      <c r="X259" s="384"/>
      <c r="Y259" s="384"/>
      <c r="Z259" s="384"/>
      <c r="AA259" s="384"/>
      <c r="AB259" s="384"/>
      <c r="AC259" s="384"/>
      <c r="AD259" s="384"/>
      <c r="AE259" s="384"/>
      <c r="AF259" s="384"/>
      <c r="AG259" s="384"/>
      <c r="AH259" s="384"/>
      <c r="AI259" s="384"/>
      <c r="AJ259" s="384"/>
      <c r="AK259" s="384"/>
      <c r="AL259" s="384"/>
      <c r="AM259" s="384"/>
      <c r="AN259" s="384"/>
      <c r="AO259" s="384"/>
      <c r="AP259" s="384"/>
      <c r="AQ259" s="384"/>
      <c r="AR259" s="384"/>
    </row>
    <row r="260" spans="2:44" s="637" customFormat="1" ht="12" customHeight="1">
      <c r="B260" s="744"/>
      <c r="C260" s="705" t="s">
        <v>348</v>
      </c>
      <c r="D260" s="705" t="s">
        <v>1288</v>
      </c>
      <c r="E260" s="740" t="s">
        <v>349</v>
      </c>
      <c r="F260" s="740" t="s">
        <v>2795</v>
      </c>
      <c r="G260" s="741" t="s">
        <v>279</v>
      </c>
      <c r="H260" s="742" t="s">
        <v>442</v>
      </c>
      <c r="I260" s="2025" t="s">
        <v>2781</v>
      </c>
      <c r="J260" s="729" t="s">
        <v>371</v>
      </c>
      <c r="K260" s="730"/>
      <c r="L260" s="727"/>
      <c r="M260" s="728"/>
      <c r="N260" s="1180" t="s">
        <v>370</v>
      </c>
      <c r="O260" s="1180" t="s">
        <v>2325</v>
      </c>
      <c r="P260" s="349"/>
      <c r="Q260" s="2026"/>
      <c r="X260" s="384"/>
      <c r="Y260" s="384"/>
      <c r="Z260" s="384"/>
      <c r="AA260" s="384"/>
      <c r="AB260" s="384"/>
      <c r="AC260" s="384"/>
      <c r="AD260" s="384"/>
      <c r="AE260" s="384"/>
      <c r="AF260" s="384"/>
      <c r="AG260" s="384"/>
      <c r="AH260" s="384"/>
      <c r="AI260" s="384"/>
      <c r="AJ260" s="384"/>
      <c r="AK260" s="384"/>
      <c r="AL260" s="384"/>
      <c r="AM260" s="384"/>
      <c r="AN260" s="384"/>
      <c r="AO260" s="384"/>
      <c r="AP260" s="384"/>
      <c r="AQ260" s="384"/>
      <c r="AR260" s="384"/>
    </row>
    <row r="261" spans="2:44" s="637" customFormat="1" ht="12" customHeight="1">
      <c r="B261" s="744"/>
      <c r="C261" s="705" t="s">
        <v>350</v>
      </c>
      <c r="D261" s="705" t="s">
        <v>1288</v>
      </c>
      <c r="E261" s="740" t="s">
        <v>351</v>
      </c>
      <c r="F261" s="740" t="s">
        <v>2795</v>
      </c>
      <c r="G261" s="741" t="s">
        <v>280</v>
      </c>
      <c r="H261" s="742" t="s">
        <v>442</v>
      </c>
      <c r="I261" s="2025" t="s">
        <v>2781</v>
      </c>
      <c r="J261" s="729" t="s">
        <v>373</v>
      </c>
      <c r="K261" s="730"/>
      <c r="L261" s="727"/>
      <c r="M261" s="728"/>
      <c r="N261" s="1180" t="s">
        <v>372</v>
      </c>
      <c r="O261" s="1180" t="s">
        <v>1010</v>
      </c>
      <c r="P261" s="349"/>
      <c r="Q261" s="2026"/>
      <c r="X261" s="384"/>
      <c r="Y261" s="384"/>
      <c r="Z261" s="384"/>
      <c r="AA261" s="384"/>
      <c r="AB261" s="384"/>
      <c r="AC261" s="384"/>
      <c r="AD261" s="384"/>
      <c r="AE261" s="384"/>
      <c r="AF261" s="384"/>
      <c r="AG261" s="384"/>
      <c r="AH261" s="384"/>
      <c r="AI261" s="384"/>
      <c r="AJ261" s="384"/>
      <c r="AK261" s="384"/>
      <c r="AL261" s="384"/>
      <c r="AM261" s="384"/>
      <c r="AN261" s="384"/>
      <c r="AO261" s="384"/>
      <c r="AP261" s="384"/>
      <c r="AQ261" s="384"/>
      <c r="AR261" s="384"/>
    </row>
    <row r="262" spans="2:44" s="637" customFormat="1" ht="12" customHeight="1">
      <c r="B262" s="744"/>
      <c r="C262" s="705" t="s">
        <v>449</v>
      </c>
      <c r="D262" s="705" t="s">
        <v>1421</v>
      </c>
      <c r="E262" s="743" t="s">
        <v>1406</v>
      </c>
      <c r="F262" s="743" t="s">
        <v>2796</v>
      </c>
      <c r="G262" s="741" t="s">
        <v>2761</v>
      </c>
      <c r="H262" s="742" t="s">
        <v>443</v>
      </c>
      <c r="I262" s="2025" t="s">
        <v>2781</v>
      </c>
      <c r="J262" s="729" t="s">
        <v>2437</v>
      </c>
      <c r="K262" s="730"/>
      <c r="L262" s="727"/>
      <c r="M262" s="728"/>
      <c r="N262" s="1180" t="s">
        <v>374</v>
      </c>
      <c r="O262" s="1180" t="s">
        <v>1156</v>
      </c>
      <c r="P262" s="349"/>
      <c r="Q262" s="2026"/>
      <c r="X262" s="384"/>
      <c r="Y262" s="384"/>
      <c r="Z262" s="384"/>
      <c r="AA262" s="384"/>
      <c r="AB262" s="384"/>
      <c r="AC262" s="384"/>
      <c r="AD262" s="384"/>
      <c r="AE262" s="384"/>
      <c r="AF262" s="384"/>
      <c r="AG262" s="384"/>
      <c r="AH262" s="384"/>
      <c r="AI262" s="384"/>
      <c r="AJ262" s="384"/>
      <c r="AK262" s="384"/>
      <c r="AL262" s="384"/>
      <c r="AM262" s="384"/>
      <c r="AN262" s="384"/>
      <c r="AO262" s="384"/>
      <c r="AP262" s="384"/>
      <c r="AQ262" s="384"/>
      <c r="AR262" s="384"/>
    </row>
    <row r="263" spans="2:44" s="637" customFormat="1" ht="12" customHeight="1">
      <c r="B263" s="744"/>
      <c r="C263" s="705" t="s">
        <v>450</v>
      </c>
      <c r="D263" s="705" t="s">
        <v>1421</v>
      </c>
      <c r="E263" s="743" t="s">
        <v>818</v>
      </c>
      <c r="F263" s="743" t="s">
        <v>2796</v>
      </c>
      <c r="G263" s="741" t="s">
        <v>281</v>
      </c>
      <c r="H263" s="742" t="s">
        <v>443</v>
      </c>
      <c r="I263" s="2025" t="s">
        <v>2781</v>
      </c>
      <c r="J263" s="729" t="s">
        <v>2439</v>
      </c>
      <c r="K263" s="730"/>
      <c r="L263" s="727"/>
      <c r="M263" s="728"/>
      <c r="N263" s="1180" t="s">
        <v>671</v>
      </c>
      <c r="O263" s="1180" t="s">
        <v>1549</v>
      </c>
      <c r="P263" s="349"/>
      <c r="Q263" s="2026"/>
      <c r="X263" s="384"/>
      <c r="Y263" s="384"/>
      <c r="Z263" s="384"/>
      <c r="AA263" s="384"/>
      <c r="AB263" s="384"/>
      <c r="AC263" s="384"/>
      <c r="AD263" s="384"/>
      <c r="AE263" s="384"/>
      <c r="AF263" s="384"/>
      <c r="AG263" s="384"/>
      <c r="AH263" s="384"/>
      <c r="AI263" s="384"/>
      <c r="AJ263" s="384"/>
      <c r="AK263" s="384"/>
      <c r="AL263" s="384"/>
      <c r="AM263" s="384"/>
      <c r="AN263" s="384"/>
      <c r="AO263" s="384"/>
      <c r="AP263" s="384"/>
      <c r="AQ263" s="384"/>
      <c r="AR263" s="384"/>
    </row>
    <row r="264" spans="2:44" s="637" customFormat="1" ht="12" customHeight="1">
      <c r="B264" s="744"/>
      <c r="C264" s="705" t="s">
        <v>1548</v>
      </c>
      <c r="D264" s="705" t="s">
        <v>1288</v>
      </c>
      <c r="E264" s="740" t="s">
        <v>1815</v>
      </c>
      <c r="F264" s="740" t="s">
        <v>2796</v>
      </c>
      <c r="G264" s="741" t="s">
        <v>2764</v>
      </c>
      <c r="H264" s="742" t="s">
        <v>443</v>
      </c>
      <c r="I264" s="2025" t="s">
        <v>2781</v>
      </c>
      <c r="J264" s="729" t="s">
        <v>2440</v>
      </c>
      <c r="K264" s="730"/>
      <c r="L264" s="727"/>
      <c r="M264" s="728"/>
      <c r="N264" s="1180" t="s">
        <v>2438</v>
      </c>
      <c r="O264" s="1180" t="s">
        <v>715</v>
      </c>
      <c r="P264" s="349"/>
      <c r="Q264" s="2026"/>
      <c r="X264" s="384"/>
      <c r="Y264" s="384"/>
      <c r="Z264" s="384"/>
      <c r="AA264" s="384"/>
      <c r="AB264" s="384"/>
      <c r="AC264" s="384"/>
      <c r="AD264" s="384"/>
      <c r="AE264" s="384"/>
      <c r="AF264" s="384"/>
      <c r="AG264" s="384"/>
      <c r="AH264" s="384"/>
      <c r="AI264" s="384"/>
      <c r="AJ264" s="384"/>
      <c r="AK264" s="384"/>
      <c r="AL264" s="384"/>
      <c r="AM264" s="384"/>
      <c r="AN264" s="384"/>
      <c r="AO264" s="384"/>
      <c r="AP264" s="384"/>
      <c r="AQ264" s="384"/>
      <c r="AR264" s="384"/>
    </row>
    <row r="265" spans="2:44" s="637" customFormat="1" ht="12" customHeight="1">
      <c r="B265" s="744"/>
      <c r="C265" s="705" t="s">
        <v>1549</v>
      </c>
      <c r="D265" s="705" t="s">
        <v>1288</v>
      </c>
      <c r="E265" s="740" t="s">
        <v>1550</v>
      </c>
      <c r="F265" s="740" t="s">
        <v>2795</v>
      </c>
      <c r="G265" s="741" t="s">
        <v>282</v>
      </c>
      <c r="H265" s="742" t="s">
        <v>442</v>
      </c>
      <c r="I265" s="2025" t="s">
        <v>2781</v>
      </c>
      <c r="J265" s="729" t="s">
        <v>2441</v>
      </c>
      <c r="K265" s="730"/>
      <c r="L265" s="727"/>
      <c r="M265" s="728"/>
      <c r="N265" s="1180" t="s">
        <v>1418</v>
      </c>
      <c r="O265" s="1180" t="s">
        <v>713</v>
      </c>
      <c r="P265" s="349"/>
      <c r="Q265" s="2026"/>
      <c r="X265" s="384"/>
      <c r="Y265" s="384"/>
      <c r="Z265" s="384"/>
      <c r="AA265" s="384"/>
      <c r="AB265" s="384"/>
      <c r="AC265" s="384"/>
      <c r="AD265" s="384"/>
      <c r="AE265" s="384"/>
      <c r="AF265" s="384"/>
      <c r="AG265" s="384"/>
      <c r="AH265" s="384"/>
      <c r="AI265" s="384"/>
      <c r="AJ265" s="384"/>
      <c r="AK265" s="384"/>
      <c r="AL265" s="384"/>
      <c r="AM265" s="384"/>
      <c r="AN265" s="384"/>
      <c r="AO265" s="384"/>
      <c r="AP265" s="384"/>
      <c r="AQ265" s="384"/>
      <c r="AR265" s="384"/>
    </row>
    <row r="266" spans="2:44" s="637" customFormat="1" ht="12" customHeight="1">
      <c r="B266" s="744"/>
      <c r="C266" s="705" t="s">
        <v>1551</v>
      </c>
      <c r="D266" s="705" t="s">
        <v>1288</v>
      </c>
      <c r="E266" s="743" t="s">
        <v>1906</v>
      </c>
      <c r="F266" s="743" t="s">
        <v>2796</v>
      </c>
      <c r="G266" s="741" t="s">
        <v>1231</v>
      </c>
      <c r="H266" s="742" t="s">
        <v>443</v>
      </c>
      <c r="I266" s="2025" t="s">
        <v>2781</v>
      </c>
      <c r="J266" s="729" t="s">
        <v>1667</v>
      </c>
      <c r="K266" s="730"/>
      <c r="L266" s="727"/>
      <c r="M266" s="728"/>
      <c r="N266" s="1180" t="s">
        <v>3487</v>
      </c>
      <c r="O266" s="1180" t="s">
        <v>715</v>
      </c>
      <c r="P266" s="349"/>
      <c r="Q266" s="2026"/>
      <c r="X266" s="384"/>
      <c r="Y266" s="384"/>
      <c r="Z266" s="384"/>
      <c r="AA266" s="384"/>
      <c r="AB266" s="384"/>
      <c r="AC266" s="384"/>
      <c r="AD266" s="384"/>
      <c r="AE266" s="384"/>
      <c r="AF266" s="384"/>
      <c r="AG266" s="384"/>
      <c r="AH266" s="384"/>
      <c r="AI266" s="384"/>
      <c r="AJ266" s="384"/>
      <c r="AK266" s="384"/>
      <c r="AL266" s="384"/>
      <c r="AM266" s="384"/>
      <c r="AN266" s="384"/>
      <c r="AO266" s="384"/>
      <c r="AP266" s="384"/>
      <c r="AQ266" s="384"/>
      <c r="AR266" s="384"/>
    </row>
    <row r="267" spans="2:44" s="637" customFormat="1" ht="12" customHeight="1">
      <c r="B267" s="744"/>
      <c r="C267" s="705" t="s">
        <v>1552</v>
      </c>
      <c r="D267" s="705" t="s">
        <v>1288</v>
      </c>
      <c r="E267" s="740" t="s">
        <v>819</v>
      </c>
      <c r="F267" s="740" t="s">
        <v>2796</v>
      </c>
      <c r="G267" s="741" t="s">
        <v>283</v>
      </c>
      <c r="H267" s="742" t="s">
        <v>443</v>
      </c>
      <c r="I267" s="2025" t="s">
        <v>1268</v>
      </c>
      <c r="J267" s="729" t="s">
        <v>1669</v>
      </c>
      <c r="K267" s="730"/>
      <c r="L267" s="727"/>
      <c r="M267" s="728"/>
      <c r="N267" s="1180" t="s">
        <v>2442</v>
      </c>
      <c r="O267" s="1180" t="s">
        <v>107</v>
      </c>
      <c r="P267" s="349"/>
      <c r="Q267" s="2026"/>
      <c r="X267" s="384"/>
      <c r="Y267" s="384"/>
      <c r="Z267" s="384"/>
      <c r="AA267" s="384"/>
      <c r="AB267" s="384"/>
      <c r="AC267" s="384"/>
      <c r="AD267" s="384"/>
      <c r="AE267" s="384"/>
      <c r="AF267" s="384"/>
      <c r="AG267" s="384"/>
      <c r="AH267" s="384"/>
      <c r="AI267" s="384"/>
      <c r="AJ267" s="384"/>
      <c r="AK267" s="384"/>
      <c r="AL267" s="384"/>
      <c r="AM267" s="384"/>
      <c r="AN267" s="384"/>
      <c r="AO267" s="384"/>
      <c r="AP267" s="384"/>
      <c r="AQ267" s="384"/>
      <c r="AR267" s="384"/>
    </row>
    <row r="268" spans="2:44" s="637" customFormat="1" ht="12" customHeight="1">
      <c r="B268" s="744"/>
      <c r="C268" s="705" t="s">
        <v>1553</v>
      </c>
      <c r="D268" s="705" t="s">
        <v>1421</v>
      </c>
      <c r="E268" s="740" t="s">
        <v>1554</v>
      </c>
      <c r="F268" s="740" t="s">
        <v>2795</v>
      </c>
      <c r="G268" s="741" t="s">
        <v>2695</v>
      </c>
      <c r="H268" s="742" t="s">
        <v>442</v>
      </c>
      <c r="I268" s="2025" t="s">
        <v>2781</v>
      </c>
      <c r="J268" s="729" t="s">
        <v>1671</v>
      </c>
      <c r="K268" s="730"/>
      <c r="L268" s="727"/>
      <c r="M268" s="728"/>
      <c r="N268" s="1180" t="s">
        <v>1668</v>
      </c>
      <c r="O268" s="1180" t="s">
        <v>1744</v>
      </c>
      <c r="P268" s="349"/>
      <c r="Q268" s="2026"/>
      <c r="X268" s="384"/>
      <c r="Y268" s="384"/>
      <c r="Z268" s="384"/>
      <c r="AA268" s="384"/>
      <c r="AB268" s="384"/>
      <c r="AC268" s="384"/>
      <c r="AD268" s="384"/>
      <c r="AE268" s="384"/>
      <c r="AF268" s="384"/>
      <c r="AG268" s="384"/>
      <c r="AH268" s="384"/>
      <c r="AI268" s="384"/>
      <c r="AJ268" s="384"/>
      <c r="AK268" s="384"/>
      <c r="AL268" s="384"/>
      <c r="AM268" s="384"/>
      <c r="AN268" s="384"/>
      <c r="AO268" s="384"/>
      <c r="AP268" s="384"/>
      <c r="AQ268" s="384"/>
      <c r="AR268" s="384"/>
    </row>
    <row r="269" spans="2:44" s="637" customFormat="1" ht="12" customHeight="1">
      <c r="B269" s="744"/>
      <c r="C269" s="705" t="s">
        <v>1555</v>
      </c>
      <c r="D269" s="705" t="s">
        <v>1288</v>
      </c>
      <c r="E269" s="740" t="s">
        <v>1556</v>
      </c>
      <c r="F269" s="740" t="s">
        <v>2796</v>
      </c>
      <c r="G269" s="741" t="s">
        <v>740</v>
      </c>
      <c r="H269" s="742" t="s">
        <v>443</v>
      </c>
      <c r="I269" s="2025" t="s">
        <v>2781</v>
      </c>
      <c r="J269" s="729" t="s">
        <v>1673</v>
      </c>
      <c r="K269" s="730"/>
      <c r="L269" s="727"/>
      <c r="M269" s="728"/>
      <c r="N269" s="1180" t="s">
        <v>2746</v>
      </c>
      <c r="O269" s="1180" t="s">
        <v>669</v>
      </c>
      <c r="P269" s="349"/>
      <c r="Q269" s="2026"/>
      <c r="X269" s="384"/>
      <c r="Y269" s="384"/>
      <c r="Z269" s="384"/>
      <c r="AA269" s="384"/>
      <c r="AB269" s="384"/>
      <c r="AC269" s="384"/>
      <c r="AD269" s="384"/>
      <c r="AE269" s="384"/>
      <c r="AF269" s="384"/>
      <c r="AG269" s="384"/>
      <c r="AH269" s="384"/>
      <c r="AI269" s="384"/>
      <c r="AJ269" s="384"/>
      <c r="AK269" s="384"/>
      <c r="AL269" s="384"/>
      <c r="AM269" s="384"/>
      <c r="AN269" s="384"/>
      <c r="AO269" s="384"/>
      <c r="AP269" s="384"/>
      <c r="AQ269" s="384"/>
      <c r="AR269" s="384"/>
    </row>
    <row r="270" spans="2:44" s="637" customFormat="1" ht="12" customHeight="1">
      <c r="B270" s="744"/>
      <c r="C270" s="705" t="s">
        <v>182</v>
      </c>
      <c r="D270" s="705" t="s">
        <v>1288</v>
      </c>
      <c r="E270" s="740" t="s">
        <v>1815</v>
      </c>
      <c r="F270" s="740" t="s">
        <v>2796</v>
      </c>
      <c r="G270" s="741" t="s">
        <v>2764</v>
      </c>
      <c r="H270" s="742" t="s">
        <v>443</v>
      </c>
      <c r="I270" s="2025" t="s">
        <v>1268</v>
      </c>
      <c r="J270" s="729" t="s">
        <v>1675</v>
      </c>
      <c r="K270" s="730"/>
      <c r="L270" s="727"/>
      <c r="M270" s="728"/>
      <c r="N270" s="1180" t="s">
        <v>1670</v>
      </c>
      <c r="O270" s="1180" t="s">
        <v>706</v>
      </c>
      <c r="P270" s="349"/>
      <c r="Q270" s="2026"/>
      <c r="X270" s="384"/>
      <c r="Y270" s="384"/>
      <c r="Z270" s="384"/>
      <c r="AA270" s="384"/>
      <c r="AB270" s="384"/>
      <c r="AC270" s="384"/>
      <c r="AD270" s="384"/>
      <c r="AE270" s="384"/>
      <c r="AF270" s="384"/>
      <c r="AG270" s="384"/>
      <c r="AH270" s="384"/>
      <c r="AI270" s="384"/>
      <c r="AJ270" s="384"/>
      <c r="AK270" s="384"/>
      <c r="AL270" s="384"/>
      <c r="AM270" s="384"/>
      <c r="AN270" s="384"/>
      <c r="AO270" s="384"/>
      <c r="AP270" s="384"/>
      <c r="AQ270" s="384"/>
      <c r="AR270" s="384"/>
    </row>
    <row r="271" spans="2:44" s="637" customFormat="1" ht="12" customHeight="1">
      <c r="B271" s="744"/>
      <c r="C271" s="705" t="s">
        <v>183</v>
      </c>
      <c r="D271" s="705" t="s">
        <v>1397</v>
      </c>
      <c r="E271" s="743" t="s">
        <v>184</v>
      </c>
      <c r="F271" s="743" t="s">
        <v>2795</v>
      </c>
      <c r="G271" s="741" t="s">
        <v>741</v>
      </c>
      <c r="H271" s="742" t="s">
        <v>442</v>
      </c>
      <c r="I271" s="2025" t="s">
        <v>2781</v>
      </c>
      <c r="J271" s="729" t="s">
        <v>1865</v>
      </c>
      <c r="K271" s="730"/>
      <c r="L271" s="727"/>
      <c r="M271" s="728"/>
      <c r="N271" s="1180" t="s">
        <v>3488</v>
      </c>
      <c r="O271" s="1180" t="s">
        <v>2390</v>
      </c>
      <c r="P271" s="349"/>
      <c r="Q271" s="2026"/>
      <c r="X271" s="384"/>
      <c r="Y271" s="384"/>
      <c r="Z271" s="384"/>
      <c r="AA271" s="384"/>
      <c r="AB271" s="384"/>
      <c r="AC271" s="384"/>
      <c r="AD271" s="384"/>
      <c r="AE271" s="384"/>
      <c r="AF271" s="384"/>
      <c r="AG271" s="384"/>
      <c r="AH271" s="384"/>
      <c r="AI271" s="384"/>
      <c r="AJ271" s="384"/>
      <c r="AK271" s="384"/>
      <c r="AL271" s="384"/>
      <c r="AM271" s="384"/>
      <c r="AN271" s="384"/>
      <c r="AO271" s="384"/>
      <c r="AP271" s="384"/>
      <c r="AQ271" s="384"/>
      <c r="AR271" s="384"/>
    </row>
    <row r="272" spans="2:44" s="637" customFormat="1" ht="12" customHeight="1">
      <c r="B272" s="744"/>
      <c r="C272" s="705" t="s">
        <v>1406</v>
      </c>
      <c r="D272" s="705" t="s">
        <v>1421</v>
      </c>
      <c r="E272" s="740" t="s">
        <v>185</v>
      </c>
      <c r="F272" s="740" t="s">
        <v>2795</v>
      </c>
      <c r="G272" s="741" t="s">
        <v>742</v>
      </c>
      <c r="H272" s="742" t="s">
        <v>442</v>
      </c>
      <c r="I272" s="2025" t="s">
        <v>2781</v>
      </c>
      <c r="J272" s="729" t="s">
        <v>1867</v>
      </c>
      <c r="K272" s="730"/>
      <c r="L272" s="727"/>
      <c r="M272" s="728"/>
      <c r="N272" s="1180" t="s">
        <v>1672</v>
      </c>
      <c r="O272" s="1180" t="s">
        <v>171</v>
      </c>
      <c r="P272" s="349"/>
      <c r="Q272" s="2026"/>
      <c r="X272" s="384"/>
      <c r="Y272" s="384"/>
      <c r="Z272" s="384"/>
      <c r="AA272" s="384"/>
      <c r="AB272" s="384"/>
      <c r="AC272" s="384"/>
      <c r="AD272" s="384"/>
      <c r="AE272" s="384"/>
      <c r="AF272" s="384"/>
      <c r="AG272" s="384"/>
      <c r="AH272" s="384"/>
      <c r="AI272" s="384"/>
      <c r="AJ272" s="384"/>
      <c r="AK272" s="384"/>
      <c r="AL272" s="384"/>
      <c r="AM272" s="384"/>
      <c r="AN272" s="384"/>
      <c r="AO272" s="384"/>
      <c r="AP272" s="384"/>
      <c r="AQ272" s="384"/>
      <c r="AR272" s="384"/>
    </row>
    <row r="273" spans="2:44" s="637" customFormat="1" ht="12" customHeight="1">
      <c r="B273" s="744"/>
      <c r="C273" s="705" t="s">
        <v>186</v>
      </c>
      <c r="D273" s="705" t="s">
        <v>1421</v>
      </c>
      <c r="E273" s="740" t="s">
        <v>2181</v>
      </c>
      <c r="F273" s="740" t="s">
        <v>2796</v>
      </c>
      <c r="G273" s="741" t="s">
        <v>661</v>
      </c>
      <c r="H273" s="742" t="s">
        <v>443</v>
      </c>
      <c r="I273" s="2025" t="s">
        <v>2781</v>
      </c>
      <c r="J273" s="729" t="s">
        <v>1869</v>
      </c>
      <c r="K273" s="730"/>
      <c r="L273" s="727"/>
      <c r="M273" s="728"/>
      <c r="N273" s="1180" t="s">
        <v>1674</v>
      </c>
      <c r="O273" s="1180" t="s">
        <v>1399</v>
      </c>
      <c r="P273" s="349"/>
      <c r="Q273" s="2026"/>
      <c r="X273" s="384"/>
      <c r="Y273" s="384"/>
      <c r="Z273" s="384"/>
      <c r="AA273" s="384"/>
      <c r="AB273" s="384"/>
      <c r="AC273" s="384"/>
      <c r="AD273" s="384"/>
      <c r="AE273" s="384"/>
      <c r="AF273" s="384"/>
      <c r="AG273" s="384"/>
      <c r="AH273" s="384"/>
      <c r="AI273" s="384"/>
      <c r="AJ273" s="384"/>
      <c r="AK273" s="384"/>
      <c r="AL273" s="384"/>
      <c r="AM273" s="384"/>
      <c r="AN273" s="384"/>
      <c r="AO273" s="384"/>
      <c r="AP273" s="384"/>
      <c r="AQ273" s="384"/>
      <c r="AR273" s="384"/>
    </row>
    <row r="274" spans="2:44" s="637" customFormat="1" ht="12" customHeight="1">
      <c r="B274" s="744"/>
      <c r="C274" s="705" t="s">
        <v>375</v>
      </c>
      <c r="D274" s="705" t="s">
        <v>1421</v>
      </c>
      <c r="E274" s="743" t="s">
        <v>168</v>
      </c>
      <c r="F274" s="743" t="s">
        <v>2796</v>
      </c>
      <c r="G274" s="741" t="s">
        <v>1801</v>
      </c>
      <c r="H274" s="742" t="s">
        <v>443</v>
      </c>
      <c r="I274" s="2025" t="s">
        <v>2781</v>
      </c>
      <c r="J274" s="729" t="s">
        <v>1085</v>
      </c>
      <c r="K274" s="730"/>
      <c r="L274" s="727"/>
      <c r="M274" s="728"/>
      <c r="N274" s="1180" t="s">
        <v>1676</v>
      </c>
      <c r="O274" s="1180" t="s">
        <v>186</v>
      </c>
      <c r="P274" s="349"/>
      <c r="Q274" s="2026"/>
      <c r="X274" s="384"/>
      <c r="Y274" s="384"/>
      <c r="Z274" s="384"/>
      <c r="AA274" s="384"/>
      <c r="AB274" s="384"/>
      <c r="AC274" s="384"/>
      <c r="AD274" s="384"/>
      <c r="AE274" s="384"/>
      <c r="AF274" s="384"/>
      <c r="AG274" s="384"/>
      <c r="AH274" s="384"/>
      <c r="AI274" s="384"/>
      <c r="AJ274" s="384"/>
      <c r="AK274" s="384"/>
      <c r="AL274" s="384"/>
      <c r="AM274" s="384"/>
      <c r="AN274" s="384"/>
      <c r="AO274" s="384"/>
      <c r="AP274" s="384"/>
      <c r="AQ274" s="384"/>
      <c r="AR274" s="384"/>
    </row>
    <row r="275" spans="2:44" s="637" customFormat="1" ht="12" customHeight="1">
      <c r="B275" s="744"/>
      <c r="C275" s="705" t="s">
        <v>2009</v>
      </c>
      <c r="D275" s="705" t="s">
        <v>1421</v>
      </c>
      <c r="E275" s="743" t="s">
        <v>816</v>
      </c>
      <c r="F275" s="743" t="s">
        <v>2796</v>
      </c>
      <c r="G275" s="741" t="s">
        <v>2780</v>
      </c>
      <c r="H275" s="742" t="s">
        <v>443</v>
      </c>
      <c r="I275" s="2025" t="s">
        <v>2781</v>
      </c>
      <c r="J275" s="729" t="s">
        <v>1086</v>
      </c>
      <c r="K275" s="730"/>
      <c r="L275" s="727"/>
      <c r="M275" s="728"/>
      <c r="N275" s="1180" t="s">
        <v>1866</v>
      </c>
      <c r="O275" s="1180" t="s">
        <v>706</v>
      </c>
      <c r="P275" s="349"/>
      <c r="Q275" s="2026"/>
      <c r="X275" s="384"/>
      <c r="Y275" s="384"/>
      <c r="Z275" s="384"/>
      <c r="AA275" s="384"/>
      <c r="AB275" s="384"/>
      <c r="AC275" s="384"/>
      <c r="AD275" s="384"/>
      <c r="AE275" s="384"/>
      <c r="AF275" s="384"/>
      <c r="AG275" s="384"/>
      <c r="AH275" s="384"/>
      <c r="AI275" s="384"/>
      <c r="AJ275" s="384"/>
      <c r="AK275" s="384"/>
      <c r="AL275" s="384"/>
      <c r="AM275" s="384"/>
      <c r="AN275" s="384"/>
      <c r="AO275" s="384"/>
      <c r="AP275" s="384"/>
      <c r="AQ275" s="384"/>
      <c r="AR275" s="384"/>
    </row>
    <row r="276" spans="2:44" s="637" customFormat="1" ht="12" customHeight="1">
      <c r="B276" s="744"/>
      <c r="C276" s="705" t="s">
        <v>2010</v>
      </c>
      <c r="D276" s="705" t="s">
        <v>1288</v>
      </c>
      <c r="E276" s="740" t="s">
        <v>12</v>
      </c>
      <c r="F276" s="740" t="s">
        <v>2796</v>
      </c>
      <c r="G276" s="741" t="s">
        <v>2763</v>
      </c>
      <c r="H276" s="742" t="s">
        <v>443</v>
      </c>
      <c r="I276" s="2025" t="s">
        <v>2781</v>
      </c>
      <c r="J276" s="729" t="s">
        <v>249</v>
      </c>
      <c r="K276" s="730"/>
      <c r="L276" s="727"/>
      <c r="M276" s="728"/>
      <c r="N276" s="1180" t="s">
        <v>1868</v>
      </c>
      <c r="O276" s="1180" t="s">
        <v>783</v>
      </c>
      <c r="P276" s="349"/>
      <c r="Q276" s="2026"/>
      <c r="X276" s="384"/>
      <c r="Y276" s="384"/>
      <c r="Z276" s="384"/>
      <c r="AA276" s="384"/>
      <c r="AB276" s="384"/>
      <c r="AC276" s="384"/>
      <c r="AD276" s="384"/>
      <c r="AE276" s="384"/>
      <c r="AF276" s="384"/>
      <c r="AG276" s="384"/>
      <c r="AH276" s="384"/>
      <c r="AI276" s="384"/>
      <c r="AJ276" s="384"/>
      <c r="AK276" s="384"/>
      <c r="AL276" s="384"/>
      <c r="AM276" s="384"/>
      <c r="AN276" s="384"/>
      <c r="AO276" s="384"/>
      <c r="AP276" s="384"/>
      <c r="AQ276" s="384"/>
      <c r="AR276" s="384"/>
    </row>
    <row r="277" spans="2:44" s="637" customFormat="1" ht="12" customHeight="1">
      <c r="B277" s="744"/>
      <c r="C277" s="705" t="s">
        <v>2011</v>
      </c>
      <c r="D277" s="705" t="s">
        <v>1421</v>
      </c>
      <c r="E277" s="743" t="s">
        <v>820</v>
      </c>
      <c r="F277" s="743" t="s">
        <v>2796</v>
      </c>
      <c r="G277" s="741" t="s">
        <v>743</v>
      </c>
      <c r="H277" s="742" t="s">
        <v>443</v>
      </c>
      <c r="I277" s="2025" t="s">
        <v>2781</v>
      </c>
      <c r="J277" s="729" t="s">
        <v>251</v>
      </c>
      <c r="K277" s="730"/>
      <c r="L277" s="727"/>
      <c r="M277" s="728"/>
      <c r="N277" s="1180" t="s">
        <v>1084</v>
      </c>
      <c r="O277" s="1180" t="s">
        <v>1400</v>
      </c>
      <c r="P277" s="349"/>
      <c r="Q277" s="2026"/>
      <c r="X277" s="384"/>
      <c r="Y277" s="384"/>
      <c r="Z277" s="384"/>
      <c r="AA277" s="384"/>
      <c r="AB277" s="384"/>
      <c r="AC277" s="384"/>
      <c r="AD277" s="384"/>
      <c r="AE277" s="384"/>
      <c r="AF277" s="384"/>
      <c r="AG277" s="384"/>
      <c r="AH277" s="384"/>
      <c r="AI277" s="384"/>
      <c r="AJ277" s="384"/>
      <c r="AK277" s="384"/>
      <c r="AL277" s="384"/>
      <c r="AM277" s="384"/>
      <c r="AN277" s="384"/>
      <c r="AO277" s="384"/>
      <c r="AP277" s="384"/>
      <c r="AQ277" s="384"/>
      <c r="AR277" s="384"/>
    </row>
    <row r="278" spans="2:44" s="637" customFormat="1" ht="12" customHeight="1">
      <c r="B278" s="744"/>
      <c r="C278" s="705" t="s">
        <v>1742</v>
      </c>
      <c r="D278" s="705" t="s">
        <v>1288</v>
      </c>
      <c r="E278" s="740" t="s">
        <v>1743</v>
      </c>
      <c r="F278" s="740" t="s">
        <v>2795</v>
      </c>
      <c r="G278" s="741" t="s">
        <v>744</v>
      </c>
      <c r="H278" s="742" t="s">
        <v>442</v>
      </c>
      <c r="I278" s="2025" t="s">
        <v>2781</v>
      </c>
      <c r="J278" s="729" t="s">
        <v>1343</v>
      </c>
      <c r="K278" s="730"/>
      <c r="L278" s="727"/>
      <c r="M278" s="728"/>
      <c r="N278" s="1180" t="s">
        <v>1087</v>
      </c>
      <c r="O278" s="1180" t="s">
        <v>704</v>
      </c>
      <c r="P278" s="349"/>
      <c r="Q278" s="2026"/>
      <c r="X278" s="384"/>
      <c r="Y278" s="384"/>
      <c r="Z278" s="384"/>
      <c r="AA278" s="384"/>
      <c r="AB278" s="384"/>
      <c r="AC278" s="384"/>
      <c r="AD278" s="384"/>
      <c r="AE278" s="384"/>
      <c r="AF278" s="384"/>
      <c r="AG278" s="384"/>
      <c r="AH278" s="384"/>
      <c r="AI278" s="384"/>
      <c r="AJ278" s="384"/>
      <c r="AK278" s="384"/>
      <c r="AL278" s="384"/>
      <c r="AM278" s="384"/>
      <c r="AN278" s="384"/>
      <c r="AO278" s="384"/>
      <c r="AP278" s="384"/>
      <c r="AQ278" s="384"/>
      <c r="AR278" s="384"/>
    </row>
    <row r="279" spans="2:44" s="637" customFormat="1" ht="12" customHeight="1">
      <c r="B279" s="744"/>
      <c r="C279" s="705" t="s">
        <v>1744</v>
      </c>
      <c r="D279" s="705" t="s">
        <v>1288</v>
      </c>
      <c r="E279" s="740" t="s">
        <v>1745</v>
      </c>
      <c r="F279" s="740" t="s">
        <v>2795</v>
      </c>
      <c r="G279" s="741" t="s">
        <v>745</v>
      </c>
      <c r="H279" s="742" t="s">
        <v>442</v>
      </c>
      <c r="I279" s="2025" t="s">
        <v>2781</v>
      </c>
      <c r="J279" s="729" t="s">
        <v>2197</v>
      </c>
      <c r="K279" s="730"/>
      <c r="L279" s="727"/>
      <c r="M279" s="728"/>
      <c r="N279" s="1180" t="s">
        <v>250</v>
      </c>
      <c r="O279" s="1180" t="s">
        <v>2702</v>
      </c>
      <c r="P279" s="349"/>
      <c r="Q279" s="2026"/>
      <c r="X279" s="384"/>
      <c r="Y279" s="384"/>
      <c r="Z279" s="384"/>
      <c r="AA279" s="384"/>
      <c r="AB279" s="384"/>
      <c r="AC279" s="384"/>
      <c r="AD279" s="384"/>
      <c r="AE279" s="384"/>
      <c r="AF279" s="384"/>
      <c r="AG279" s="384"/>
      <c r="AH279" s="384"/>
      <c r="AI279" s="384"/>
      <c r="AJ279" s="384"/>
      <c r="AK279" s="384"/>
      <c r="AL279" s="384"/>
      <c r="AM279" s="384"/>
      <c r="AN279" s="384"/>
      <c r="AO279" s="384"/>
      <c r="AP279" s="384"/>
      <c r="AQ279" s="384"/>
      <c r="AR279" s="384"/>
    </row>
    <row r="280" spans="2:44" s="637" customFormat="1" ht="12" customHeight="1">
      <c r="B280" s="744"/>
      <c r="C280" s="705" t="s">
        <v>1746</v>
      </c>
      <c r="D280" s="705" t="s">
        <v>1421</v>
      </c>
      <c r="E280" s="743" t="s">
        <v>2180</v>
      </c>
      <c r="F280" s="743" t="s">
        <v>2796</v>
      </c>
      <c r="G280" s="741" t="s">
        <v>746</v>
      </c>
      <c r="H280" s="742" t="s">
        <v>443</v>
      </c>
      <c r="I280" s="2025" t="s">
        <v>2781</v>
      </c>
      <c r="J280" s="729" t="s">
        <v>2199</v>
      </c>
      <c r="K280" s="730"/>
      <c r="L280" s="727"/>
      <c r="M280" s="728"/>
      <c r="N280" s="1180" t="s">
        <v>3489</v>
      </c>
      <c r="O280" s="1180" t="s">
        <v>929</v>
      </c>
      <c r="P280" s="349"/>
      <c r="Q280" s="2026"/>
      <c r="X280" s="384"/>
      <c r="Y280" s="384"/>
      <c r="Z280" s="384"/>
      <c r="AA280" s="384"/>
      <c r="AB280" s="384"/>
      <c r="AC280" s="384"/>
      <c r="AD280" s="384"/>
      <c r="AE280" s="384"/>
      <c r="AF280" s="384"/>
      <c r="AG280" s="384"/>
      <c r="AH280" s="384"/>
      <c r="AI280" s="384"/>
      <c r="AJ280" s="384"/>
      <c r="AK280" s="384"/>
      <c r="AL280" s="384"/>
      <c r="AM280" s="384"/>
      <c r="AN280" s="384"/>
      <c r="AO280" s="384"/>
      <c r="AP280" s="384"/>
      <c r="AQ280" s="384"/>
      <c r="AR280" s="384"/>
    </row>
    <row r="281" spans="2:44" s="637" customFormat="1" ht="12" customHeight="1">
      <c r="B281" s="744"/>
      <c r="C281" s="705" t="s">
        <v>191</v>
      </c>
      <c r="D281" s="705" t="s">
        <v>1288</v>
      </c>
      <c r="E281" s="740" t="s">
        <v>192</v>
      </c>
      <c r="F281" s="740" t="s">
        <v>2795</v>
      </c>
      <c r="G281" s="741" t="s">
        <v>747</v>
      </c>
      <c r="H281" s="742" t="s">
        <v>442</v>
      </c>
      <c r="I281" s="2025" t="s">
        <v>2781</v>
      </c>
      <c r="J281" s="729" t="s">
        <v>2201</v>
      </c>
      <c r="K281" s="730"/>
      <c r="L281" s="727"/>
      <c r="M281" s="728"/>
      <c r="N281" s="705" t="s">
        <v>1881</v>
      </c>
      <c r="O281" s="705" t="s">
        <v>1162</v>
      </c>
      <c r="P281" s="2028"/>
      <c r="Q281" s="2026"/>
      <c r="X281" s="384"/>
      <c r="Y281" s="384"/>
      <c r="Z281" s="384"/>
      <c r="AA281" s="384"/>
      <c r="AB281" s="384"/>
      <c r="AC281" s="384"/>
      <c r="AD281" s="384"/>
      <c r="AE281" s="384"/>
      <c r="AF281" s="384"/>
      <c r="AG281" s="384"/>
      <c r="AH281" s="384"/>
      <c r="AI281" s="384"/>
      <c r="AJ281" s="384"/>
      <c r="AK281" s="384"/>
      <c r="AL281" s="384"/>
      <c r="AM281" s="384"/>
      <c r="AN281" s="384"/>
      <c r="AO281" s="384"/>
      <c r="AP281" s="384"/>
      <c r="AQ281" s="384"/>
      <c r="AR281" s="384"/>
    </row>
    <row r="282" spans="2:44" s="637" customFormat="1" ht="12" customHeight="1">
      <c r="B282" s="744"/>
      <c r="C282" s="705" t="s">
        <v>2766</v>
      </c>
      <c r="D282" s="705" t="s">
        <v>1421</v>
      </c>
      <c r="E282" s="743" t="s">
        <v>2767</v>
      </c>
      <c r="F282" s="743" t="s">
        <v>2795</v>
      </c>
      <c r="G282" s="741" t="s">
        <v>748</v>
      </c>
      <c r="H282" s="742" t="s">
        <v>442</v>
      </c>
      <c r="I282" s="2025" t="s">
        <v>2781</v>
      </c>
      <c r="J282" s="729" t="s">
        <v>2203</v>
      </c>
      <c r="K282" s="730"/>
      <c r="L282" s="727"/>
      <c r="M282" s="728"/>
      <c r="N282" s="1180" t="s">
        <v>2198</v>
      </c>
      <c r="O282" s="1180" t="s">
        <v>338</v>
      </c>
      <c r="P282" s="349"/>
      <c r="Q282" s="2026"/>
      <c r="X282" s="384"/>
      <c r="Y282" s="384"/>
      <c r="Z282" s="384"/>
      <c r="AA282" s="384"/>
      <c r="AB282" s="384"/>
      <c r="AC282" s="384"/>
      <c r="AD282" s="384"/>
      <c r="AE282" s="384"/>
      <c r="AF282" s="384"/>
      <c r="AG282" s="384"/>
      <c r="AH282" s="384"/>
      <c r="AI282" s="384"/>
      <c r="AJ282" s="384"/>
      <c r="AK282" s="384"/>
      <c r="AL282" s="384"/>
      <c r="AM282" s="384"/>
      <c r="AN282" s="384"/>
      <c r="AO282" s="384"/>
      <c r="AP282" s="384"/>
      <c r="AQ282" s="384"/>
      <c r="AR282" s="384"/>
    </row>
    <row r="283" spans="2:44" s="637" customFormat="1" ht="12" customHeight="1">
      <c r="B283" s="744"/>
      <c r="C283" s="705" t="s">
        <v>2768</v>
      </c>
      <c r="D283" s="705" t="s">
        <v>1397</v>
      </c>
      <c r="E283" s="740" t="s">
        <v>2769</v>
      </c>
      <c r="F283" s="740" t="s">
        <v>2796</v>
      </c>
      <c r="G283" s="741" t="s">
        <v>2086</v>
      </c>
      <c r="H283" s="742" t="s">
        <v>443</v>
      </c>
      <c r="I283" s="2025" t="s">
        <v>2781</v>
      </c>
      <c r="J283" s="729" t="s">
        <v>2205</v>
      </c>
      <c r="K283" s="730"/>
      <c r="L283" s="727"/>
      <c r="M283" s="728"/>
      <c r="N283" s="1180" t="s">
        <v>2200</v>
      </c>
      <c r="O283" s="1180" t="s">
        <v>336</v>
      </c>
      <c r="P283" s="349"/>
      <c r="Q283" s="2026"/>
      <c r="X283" s="384"/>
      <c r="Y283" s="384"/>
      <c r="Z283" s="384"/>
      <c r="AA283" s="384"/>
      <c r="AB283" s="384"/>
      <c r="AC283" s="384"/>
      <c r="AD283" s="384"/>
      <c r="AE283" s="384"/>
      <c r="AF283" s="384"/>
      <c r="AG283" s="384"/>
      <c r="AH283" s="384"/>
      <c r="AI283" s="384"/>
      <c r="AJ283" s="384"/>
      <c r="AK283" s="384"/>
      <c r="AL283" s="384"/>
      <c r="AM283" s="384"/>
      <c r="AN283" s="384"/>
      <c r="AO283" s="384"/>
      <c r="AP283" s="384"/>
      <c r="AQ283" s="384"/>
      <c r="AR283" s="384"/>
    </row>
    <row r="284" spans="2:44" s="637" customFormat="1" ht="12" customHeight="1">
      <c r="B284" s="744"/>
      <c r="C284" s="705" t="s">
        <v>2770</v>
      </c>
      <c r="D284" s="705" t="s">
        <v>1421</v>
      </c>
      <c r="E284" s="743" t="s">
        <v>168</v>
      </c>
      <c r="F284" s="743" t="s">
        <v>2796</v>
      </c>
      <c r="G284" s="741" t="s">
        <v>1801</v>
      </c>
      <c r="H284" s="742" t="s">
        <v>443</v>
      </c>
      <c r="I284" s="2025" t="s">
        <v>1268</v>
      </c>
      <c r="J284" s="729" t="s">
        <v>2207</v>
      </c>
      <c r="K284" s="730"/>
      <c r="L284" s="727"/>
      <c r="M284" s="728"/>
      <c r="N284" s="1180" t="s">
        <v>2202</v>
      </c>
      <c r="O284" s="1180" t="s">
        <v>669</v>
      </c>
      <c r="P284" s="349"/>
      <c r="Q284" s="2026"/>
      <c r="X284" s="384"/>
      <c r="Y284" s="384"/>
      <c r="Z284" s="384"/>
      <c r="AA284" s="384"/>
      <c r="AB284" s="384"/>
      <c r="AC284" s="384"/>
      <c r="AD284" s="384"/>
      <c r="AE284" s="384"/>
      <c r="AF284" s="384"/>
      <c r="AG284" s="384"/>
      <c r="AH284" s="384"/>
      <c r="AI284" s="384"/>
      <c r="AJ284" s="384"/>
      <c r="AK284" s="384"/>
      <c r="AL284" s="384"/>
      <c r="AM284" s="384"/>
      <c r="AN284" s="384"/>
      <c r="AO284" s="384"/>
      <c r="AP284" s="384"/>
      <c r="AQ284" s="384"/>
      <c r="AR284" s="384"/>
    </row>
    <row r="285" spans="2:44" s="637" customFormat="1" ht="12" customHeight="1">
      <c r="B285" s="744"/>
      <c r="C285" s="705" t="s">
        <v>2771</v>
      </c>
      <c r="D285" s="705" t="s">
        <v>1421</v>
      </c>
      <c r="E285" s="743" t="s">
        <v>815</v>
      </c>
      <c r="F285" s="743" t="s">
        <v>2796</v>
      </c>
      <c r="G285" s="741" t="s">
        <v>2758</v>
      </c>
      <c r="H285" s="742" t="s">
        <v>443</v>
      </c>
      <c r="I285" s="2024" t="s">
        <v>1268</v>
      </c>
      <c r="J285" s="729" t="s">
        <v>721</v>
      </c>
      <c r="K285" s="730"/>
      <c r="L285" s="727"/>
      <c r="M285" s="728"/>
      <c r="N285" s="1180" t="s">
        <v>2204</v>
      </c>
      <c r="O285" s="1180" t="s">
        <v>2768</v>
      </c>
      <c r="P285" s="349"/>
      <c r="Q285" s="2026"/>
      <c r="X285" s="384"/>
      <c r="Y285" s="384"/>
      <c r="Z285" s="384"/>
      <c r="AA285" s="384"/>
      <c r="AB285" s="384"/>
      <c r="AC285" s="384"/>
      <c r="AD285" s="384"/>
      <c r="AE285" s="384"/>
      <c r="AF285" s="384"/>
      <c r="AG285" s="384"/>
      <c r="AH285" s="384"/>
      <c r="AI285" s="384"/>
      <c r="AJ285" s="384"/>
      <c r="AK285" s="384"/>
      <c r="AL285" s="384"/>
      <c r="AM285" s="384"/>
      <c r="AN285" s="384"/>
      <c r="AO285" s="384"/>
      <c r="AP285" s="384"/>
      <c r="AQ285" s="384"/>
      <c r="AR285" s="384"/>
    </row>
    <row r="286" spans="2:44" s="637" customFormat="1" ht="12" customHeight="1">
      <c r="B286" s="744"/>
      <c r="C286" s="705" t="s">
        <v>2772</v>
      </c>
      <c r="D286" s="705" t="s">
        <v>1421</v>
      </c>
      <c r="E286" s="740" t="s">
        <v>2181</v>
      </c>
      <c r="F286" s="740" t="s">
        <v>2796</v>
      </c>
      <c r="G286" s="741" t="s">
        <v>661</v>
      </c>
      <c r="H286" s="742" t="s">
        <v>443</v>
      </c>
      <c r="I286" s="2025" t="s">
        <v>2781</v>
      </c>
      <c r="J286" s="729" t="s">
        <v>2478</v>
      </c>
      <c r="K286" s="730"/>
      <c r="L286" s="727"/>
      <c r="M286" s="728"/>
      <c r="N286" s="1180" t="s">
        <v>735</v>
      </c>
      <c r="O286" s="1180" t="s">
        <v>1283</v>
      </c>
      <c r="P286" s="349"/>
      <c r="Q286" s="2026"/>
      <c r="X286" s="384"/>
      <c r="Y286" s="384"/>
      <c r="Z286" s="384"/>
      <c r="AA286" s="384"/>
      <c r="AB286" s="384"/>
      <c r="AC286" s="384"/>
      <c r="AD286" s="384"/>
      <c r="AE286" s="384"/>
      <c r="AF286" s="384"/>
      <c r="AG286" s="384"/>
      <c r="AH286" s="384"/>
      <c r="AI286" s="384"/>
      <c r="AJ286" s="384"/>
      <c r="AK286" s="384"/>
      <c r="AL286" s="384"/>
      <c r="AM286" s="384"/>
      <c r="AN286" s="384"/>
      <c r="AO286" s="384"/>
      <c r="AP286" s="384"/>
      <c r="AQ286" s="384"/>
      <c r="AR286" s="384"/>
    </row>
    <row r="287" spans="2:44" s="637" customFormat="1" ht="12" customHeight="1">
      <c r="B287" s="744"/>
      <c r="C287" s="705" t="s">
        <v>2773</v>
      </c>
      <c r="D287" s="705" t="s">
        <v>1421</v>
      </c>
      <c r="E287" s="740" t="s">
        <v>2181</v>
      </c>
      <c r="F287" s="740" t="s">
        <v>2796</v>
      </c>
      <c r="G287" s="741" t="s">
        <v>661</v>
      </c>
      <c r="H287" s="742" t="s">
        <v>443</v>
      </c>
      <c r="I287" s="2025" t="s">
        <v>2781</v>
      </c>
      <c r="J287" s="729" t="s">
        <v>2479</v>
      </c>
      <c r="K287" s="730"/>
      <c r="L287" s="727"/>
      <c r="M287" s="728"/>
      <c r="N287" s="1180" t="s">
        <v>2747</v>
      </c>
      <c r="O287" s="1180" t="s">
        <v>2143</v>
      </c>
      <c r="P287" s="349"/>
      <c r="Q287" s="2026"/>
      <c r="X287" s="384"/>
      <c r="Y287" s="384"/>
      <c r="Z287" s="384"/>
      <c r="AA287" s="384"/>
      <c r="AB287" s="384"/>
      <c r="AC287" s="384"/>
      <c r="AD287" s="384"/>
      <c r="AE287" s="384"/>
      <c r="AF287" s="384"/>
      <c r="AG287" s="384"/>
      <c r="AH287" s="384"/>
      <c r="AI287" s="384"/>
      <c r="AJ287" s="384"/>
      <c r="AK287" s="384"/>
      <c r="AL287" s="384"/>
      <c r="AM287" s="384"/>
      <c r="AN287" s="384"/>
      <c r="AO287" s="384"/>
      <c r="AP287" s="384"/>
      <c r="AQ287" s="384"/>
      <c r="AR287" s="384"/>
    </row>
    <row r="288" spans="2:44" s="637" customFormat="1" ht="12" customHeight="1">
      <c r="B288" s="744"/>
      <c r="C288" s="705" t="s">
        <v>2774</v>
      </c>
      <c r="D288" s="705" t="s">
        <v>1397</v>
      </c>
      <c r="E288" s="743" t="s">
        <v>815</v>
      </c>
      <c r="F288" s="743" t="s">
        <v>2796</v>
      </c>
      <c r="G288" s="741" t="s">
        <v>2758</v>
      </c>
      <c r="H288" s="742" t="s">
        <v>443</v>
      </c>
      <c r="I288" s="2024" t="s">
        <v>1268</v>
      </c>
      <c r="J288" s="729" t="s">
        <v>1324</v>
      </c>
      <c r="K288" s="730"/>
      <c r="L288" s="727"/>
      <c r="M288" s="728"/>
      <c r="N288" s="1180" t="s">
        <v>2206</v>
      </c>
      <c r="O288" s="1180" t="s">
        <v>207</v>
      </c>
      <c r="P288" s="349"/>
      <c r="Q288" s="2026"/>
      <c r="X288" s="384"/>
      <c r="Y288" s="384"/>
      <c r="Z288" s="384"/>
      <c r="AA288" s="384"/>
      <c r="AB288" s="384"/>
      <c r="AC288" s="384"/>
      <c r="AD288" s="384"/>
      <c r="AE288" s="384"/>
      <c r="AF288" s="384"/>
      <c r="AG288" s="384"/>
      <c r="AH288" s="384"/>
      <c r="AI288" s="384"/>
      <c r="AJ288" s="384"/>
      <c r="AK288" s="384"/>
      <c r="AL288" s="384"/>
      <c r="AM288" s="384"/>
      <c r="AN288" s="384"/>
      <c r="AO288" s="384"/>
      <c r="AP288" s="384"/>
      <c r="AQ288" s="384"/>
      <c r="AR288" s="384"/>
    </row>
    <row r="289" spans="2:44" s="637" customFormat="1" ht="12" customHeight="1">
      <c r="B289" s="744"/>
      <c r="C289" s="705" t="s">
        <v>1156</v>
      </c>
      <c r="D289" s="705" t="s">
        <v>1421</v>
      </c>
      <c r="E289" s="743" t="s">
        <v>1157</v>
      </c>
      <c r="F289" s="743" t="s">
        <v>2795</v>
      </c>
      <c r="G289" s="741" t="s">
        <v>2087</v>
      </c>
      <c r="H289" s="742" t="s">
        <v>442</v>
      </c>
      <c r="I289" s="2025" t="s">
        <v>2781</v>
      </c>
      <c r="J289" s="729" t="s">
        <v>1326</v>
      </c>
      <c r="K289" s="730"/>
      <c r="L289" s="727"/>
      <c r="M289" s="728"/>
      <c r="N289" s="1180" t="s">
        <v>3490</v>
      </c>
      <c r="O289" s="1180" t="s">
        <v>708</v>
      </c>
      <c r="P289" s="349"/>
      <c r="Q289" s="2026"/>
      <c r="X289" s="384"/>
      <c r="Y289" s="384"/>
      <c r="Z289" s="384"/>
      <c r="AA289" s="384"/>
      <c r="AB289" s="384"/>
      <c r="AC289" s="384"/>
      <c r="AD289" s="384"/>
      <c r="AE289" s="384"/>
      <c r="AF289" s="384"/>
      <c r="AG289" s="384"/>
      <c r="AH289" s="384"/>
      <c r="AI289" s="384"/>
      <c r="AJ289" s="384"/>
      <c r="AK289" s="384"/>
      <c r="AL289" s="384"/>
      <c r="AM289" s="384"/>
      <c r="AN289" s="384"/>
      <c r="AO289" s="384"/>
      <c r="AP289" s="384"/>
      <c r="AQ289" s="384"/>
      <c r="AR289" s="384"/>
    </row>
    <row r="290" spans="2:44" s="637" customFormat="1" ht="12" customHeight="1">
      <c r="B290" s="744"/>
      <c r="C290" s="705" t="s">
        <v>1158</v>
      </c>
      <c r="D290" s="705" t="s">
        <v>1397</v>
      </c>
      <c r="E290" s="743" t="s">
        <v>815</v>
      </c>
      <c r="F290" s="743" t="s">
        <v>2796</v>
      </c>
      <c r="G290" s="741" t="s">
        <v>2758</v>
      </c>
      <c r="H290" s="742" t="s">
        <v>443</v>
      </c>
      <c r="I290" s="2024" t="s">
        <v>1268</v>
      </c>
      <c r="J290" s="729" t="s">
        <v>1328</v>
      </c>
      <c r="K290" s="730"/>
      <c r="L290" s="727"/>
      <c r="M290" s="728"/>
      <c r="N290" s="1180" t="s">
        <v>2208</v>
      </c>
      <c r="O290" s="1180" t="s">
        <v>207</v>
      </c>
      <c r="P290" s="349"/>
      <c r="Q290" s="2026"/>
      <c r="X290" s="384"/>
      <c r="Y290" s="384"/>
      <c r="Z290" s="384"/>
      <c r="AA290" s="384"/>
      <c r="AB290" s="384"/>
      <c r="AC290" s="384"/>
      <c r="AD290" s="384"/>
      <c r="AE290" s="384"/>
      <c r="AF290" s="384"/>
      <c r="AG290" s="384"/>
      <c r="AH290" s="384"/>
      <c r="AI290" s="384"/>
      <c r="AJ290" s="384"/>
      <c r="AK290" s="384"/>
      <c r="AL290" s="384"/>
      <c r="AM290" s="384"/>
      <c r="AN290" s="384"/>
      <c r="AO290" s="384"/>
      <c r="AP290" s="384"/>
      <c r="AQ290" s="384"/>
      <c r="AR290" s="384"/>
    </row>
    <row r="291" spans="2:44" s="637" customFormat="1" ht="12" customHeight="1">
      <c r="B291" s="744"/>
      <c r="C291" s="705" t="s">
        <v>1159</v>
      </c>
      <c r="D291" s="705" t="s">
        <v>1288</v>
      </c>
      <c r="E291" s="740" t="s">
        <v>1160</v>
      </c>
      <c r="F291" s="740" t="s">
        <v>2795</v>
      </c>
      <c r="G291" s="741" t="s">
        <v>2088</v>
      </c>
      <c r="H291" s="742" t="s">
        <v>442</v>
      </c>
      <c r="I291" s="2025" t="s">
        <v>2781</v>
      </c>
      <c r="J291" s="729" t="s">
        <v>1329</v>
      </c>
      <c r="K291" s="730"/>
      <c r="L291" s="727"/>
      <c r="M291" s="728"/>
      <c r="N291" s="1180" t="s">
        <v>722</v>
      </c>
      <c r="O291" s="1180" t="s">
        <v>2143</v>
      </c>
      <c r="P291" s="349"/>
      <c r="Q291" s="2026"/>
      <c r="X291" s="384"/>
      <c r="Y291" s="384"/>
      <c r="Z291" s="384"/>
      <c r="AA291" s="384"/>
      <c r="AB291" s="384"/>
      <c r="AC291" s="384"/>
      <c r="AD291" s="384"/>
      <c r="AE291" s="384"/>
      <c r="AF291" s="384"/>
      <c r="AG291" s="384"/>
      <c r="AH291" s="384"/>
      <c r="AI291" s="384"/>
      <c r="AJ291" s="384"/>
      <c r="AK291" s="384"/>
      <c r="AL291" s="384"/>
      <c r="AM291" s="384"/>
      <c r="AN291" s="384"/>
      <c r="AO291" s="384"/>
      <c r="AP291" s="384"/>
      <c r="AQ291" s="384"/>
      <c r="AR291" s="384"/>
    </row>
    <row r="292" spans="2:44" s="637" customFormat="1" ht="12" customHeight="1">
      <c r="B292" s="744"/>
      <c r="C292" s="705" t="s">
        <v>1161</v>
      </c>
      <c r="D292" s="705" t="s">
        <v>1421</v>
      </c>
      <c r="E292" s="743" t="s">
        <v>815</v>
      </c>
      <c r="F292" s="743" t="s">
        <v>2796</v>
      </c>
      <c r="G292" s="741" t="s">
        <v>2758</v>
      </c>
      <c r="H292" s="742" t="s">
        <v>443</v>
      </c>
      <c r="I292" s="2024" t="s">
        <v>1268</v>
      </c>
      <c r="J292" s="729" t="s">
        <v>1331</v>
      </c>
      <c r="K292" s="730"/>
      <c r="L292" s="727"/>
      <c r="M292" s="728"/>
      <c r="N292" s="1180" t="s">
        <v>2480</v>
      </c>
      <c r="O292" s="1180" t="s">
        <v>125</v>
      </c>
      <c r="P292" s="349"/>
      <c r="Q292" s="384"/>
      <c r="X292" s="384"/>
      <c r="Y292" s="384"/>
      <c r="Z292" s="384"/>
      <c r="AA292" s="384"/>
      <c r="AB292" s="384"/>
      <c r="AC292" s="384"/>
      <c r="AD292" s="384"/>
      <c r="AE292" s="384"/>
      <c r="AF292" s="384"/>
      <c r="AG292" s="384"/>
      <c r="AH292" s="384"/>
      <c r="AI292" s="384"/>
      <c r="AJ292" s="384"/>
      <c r="AK292" s="384"/>
      <c r="AL292" s="384"/>
      <c r="AM292" s="384"/>
      <c r="AN292" s="384"/>
      <c r="AO292" s="384"/>
      <c r="AP292" s="384"/>
      <c r="AQ292" s="384"/>
      <c r="AR292" s="384"/>
    </row>
    <row r="293" spans="2:44" s="637" customFormat="1" ht="12" customHeight="1">
      <c r="B293" s="744"/>
      <c r="C293" s="705" t="s">
        <v>1162</v>
      </c>
      <c r="D293" s="705" t="s">
        <v>1397</v>
      </c>
      <c r="E293" s="740" t="s">
        <v>1163</v>
      </c>
      <c r="F293" s="740" t="s">
        <v>2795</v>
      </c>
      <c r="G293" s="741" t="s">
        <v>2089</v>
      </c>
      <c r="H293" s="742" t="s">
        <v>442</v>
      </c>
      <c r="I293" s="2025" t="s">
        <v>2781</v>
      </c>
      <c r="J293" s="729" t="s">
        <v>2662</v>
      </c>
      <c r="K293" s="730"/>
      <c r="L293" s="727"/>
      <c r="M293" s="728"/>
      <c r="N293" s="1180" t="s">
        <v>1325</v>
      </c>
      <c r="O293" s="1180" t="s">
        <v>669</v>
      </c>
      <c r="P293" s="349"/>
      <c r="Q293" s="2026"/>
      <c r="X293" s="384"/>
      <c r="Y293" s="384"/>
      <c r="Z293" s="384"/>
      <c r="AA293" s="384"/>
      <c r="AB293" s="384"/>
      <c r="AC293" s="384"/>
      <c r="AD293" s="384"/>
      <c r="AE293" s="384"/>
      <c r="AF293" s="384"/>
      <c r="AG293" s="384"/>
      <c r="AH293" s="384"/>
      <c r="AI293" s="384"/>
      <c r="AJ293" s="384"/>
      <c r="AK293" s="384"/>
      <c r="AL293" s="384"/>
      <c r="AM293" s="384"/>
      <c r="AN293" s="384"/>
      <c r="AO293" s="384"/>
      <c r="AP293" s="384"/>
      <c r="AQ293" s="384"/>
      <c r="AR293" s="384"/>
    </row>
    <row r="294" spans="2:44" s="637" customFormat="1" ht="12" customHeight="1">
      <c r="B294" s="744"/>
      <c r="C294" s="705" t="s">
        <v>1164</v>
      </c>
      <c r="D294" s="705" t="s">
        <v>1288</v>
      </c>
      <c r="E294" s="743" t="s">
        <v>1165</v>
      </c>
      <c r="F294" s="743" t="s">
        <v>2795</v>
      </c>
      <c r="G294" s="741" t="s">
        <v>2090</v>
      </c>
      <c r="H294" s="742" t="s">
        <v>442</v>
      </c>
      <c r="I294" s="2025" t="s">
        <v>2781</v>
      </c>
      <c r="J294" s="729" t="s">
        <v>85</v>
      </c>
      <c r="K294" s="730"/>
      <c r="L294" s="727"/>
      <c r="M294" s="728"/>
      <c r="N294" s="1180" t="s">
        <v>1327</v>
      </c>
      <c r="O294" s="1180" t="s">
        <v>2392</v>
      </c>
      <c r="P294" s="349"/>
      <c r="Q294" s="2026"/>
      <c r="X294" s="384"/>
      <c r="Y294" s="384"/>
      <c r="Z294" s="384"/>
      <c r="AA294" s="384"/>
      <c r="AB294" s="384"/>
      <c r="AC294" s="384"/>
      <c r="AD294" s="384"/>
      <c r="AE294" s="384"/>
      <c r="AF294" s="384"/>
      <c r="AG294" s="384"/>
      <c r="AH294" s="384"/>
      <c r="AI294" s="384"/>
      <c r="AJ294" s="384"/>
      <c r="AK294" s="384"/>
      <c r="AL294" s="384"/>
      <c r="AM294" s="384"/>
      <c r="AN294" s="384"/>
      <c r="AO294" s="384"/>
      <c r="AP294" s="384"/>
      <c r="AQ294" s="384"/>
      <c r="AR294" s="384"/>
    </row>
    <row r="295" spans="2:44" s="637" customFormat="1" ht="12" customHeight="1">
      <c r="B295" s="744"/>
      <c r="C295" s="705" t="s">
        <v>1166</v>
      </c>
      <c r="D295" s="705" t="s">
        <v>1421</v>
      </c>
      <c r="E295" s="743" t="s">
        <v>1167</v>
      </c>
      <c r="F295" s="743" t="s">
        <v>2795</v>
      </c>
      <c r="G295" s="741" t="s">
        <v>2091</v>
      </c>
      <c r="H295" s="742" t="s">
        <v>442</v>
      </c>
      <c r="I295" s="2025" t="s">
        <v>2781</v>
      </c>
      <c r="J295" s="729" t="s">
        <v>86</v>
      </c>
      <c r="K295" s="730"/>
      <c r="L295" s="727"/>
      <c r="M295" s="728"/>
      <c r="N295" s="1180" t="s">
        <v>2651</v>
      </c>
      <c r="O295" s="1180" t="s">
        <v>1170</v>
      </c>
      <c r="P295" s="349"/>
      <c r="Q295" s="2026"/>
      <c r="X295" s="384"/>
      <c r="Y295" s="384"/>
      <c r="Z295" s="384"/>
      <c r="AA295" s="384"/>
      <c r="AB295" s="384"/>
      <c r="AC295" s="384"/>
      <c r="AD295" s="384"/>
      <c r="AE295" s="384"/>
      <c r="AF295" s="384"/>
      <c r="AG295" s="384"/>
      <c r="AH295" s="384"/>
      <c r="AI295" s="384"/>
      <c r="AJ295" s="384"/>
      <c r="AK295" s="384"/>
      <c r="AL295" s="384"/>
      <c r="AM295" s="384"/>
      <c r="AN295" s="384"/>
      <c r="AO295" s="384"/>
      <c r="AP295" s="384"/>
      <c r="AQ295" s="384"/>
      <c r="AR295" s="384"/>
    </row>
    <row r="296" spans="2:44" s="637" customFormat="1" ht="12" customHeight="1">
      <c r="B296" s="744"/>
      <c r="C296" s="705" t="s">
        <v>1168</v>
      </c>
      <c r="D296" s="705" t="s">
        <v>1288</v>
      </c>
      <c r="E296" s="740" t="s">
        <v>1169</v>
      </c>
      <c r="F296" s="740" t="s">
        <v>2795</v>
      </c>
      <c r="G296" s="741" t="s">
        <v>1908</v>
      </c>
      <c r="H296" s="742" t="s">
        <v>442</v>
      </c>
      <c r="I296" s="2025" t="s">
        <v>2781</v>
      </c>
      <c r="J296" s="729" t="s">
        <v>87</v>
      </c>
      <c r="K296" s="730"/>
      <c r="L296" s="727"/>
      <c r="M296" s="728"/>
      <c r="N296" s="1180" t="s">
        <v>1330</v>
      </c>
      <c r="O296" s="1180" t="s">
        <v>329</v>
      </c>
      <c r="P296" s="2027"/>
      <c r="Q296" s="384"/>
      <c r="X296" s="384"/>
      <c r="Y296" s="384"/>
      <c r="Z296" s="384"/>
      <c r="AA296" s="384"/>
      <c r="AB296" s="384"/>
      <c r="AC296" s="384"/>
      <c r="AD296" s="384"/>
      <c r="AE296" s="384"/>
      <c r="AF296" s="384"/>
      <c r="AG296" s="384"/>
      <c r="AH296" s="384"/>
      <c r="AI296" s="384"/>
      <c r="AJ296" s="384"/>
      <c r="AK296" s="384"/>
      <c r="AL296" s="384"/>
      <c r="AM296" s="384"/>
      <c r="AN296" s="384"/>
      <c r="AO296" s="384"/>
      <c r="AP296" s="384"/>
      <c r="AQ296" s="384"/>
      <c r="AR296" s="384"/>
    </row>
    <row r="297" spans="2:44" s="637" customFormat="1" ht="12" customHeight="1">
      <c r="B297" s="744"/>
      <c r="C297" s="705" t="s">
        <v>1170</v>
      </c>
      <c r="D297" s="705" t="s">
        <v>1397</v>
      </c>
      <c r="E297" s="740" t="s">
        <v>1171</v>
      </c>
      <c r="F297" s="740" t="s">
        <v>2795</v>
      </c>
      <c r="G297" s="741" t="s">
        <v>1909</v>
      </c>
      <c r="H297" s="742" t="s">
        <v>442</v>
      </c>
      <c r="I297" s="2025" t="s">
        <v>2781</v>
      </c>
      <c r="J297" s="729" t="s">
        <v>89</v>
      </c>
      <c r="K297" s="730"/>
      <c r="L297" s="727"/>
      <c r="M297" s="728"/>
      <c r="N297" s="1180" t="s">
        <v>2661</v>
      </c>
      <c r="O297" s="1180" t="s">
        <v>117</v>
      </c>
      <c r="P297" s="349"/>
      <c r="Q297" s="2026"/>
      <c r="X297" s="384"/>
      <c r="Y297" s="384"/>
      <c r="Z297" s="384"/>
      <c r="AA297" s="384"/>
      <c r="AB297" s="384"/>
      <c r="AC297" s="384"/>
      <c r="AD297" s="384"/>
      <c r="AE297" s="384"/>
      <c r="AF297" s="384"/>
      <c r="AG297" s="384"/>
      <c r="AH297" s="384"/>
      <c r="AI297" s="384"/>
      <c r="AJ297" s="384"/>
      <c r="AK297" s="384"/>
      <c r="AL297" s="384"/>
      <c r="AM297" s="384"/>
      <c r="AN297" s="384"/>
      <c r="AO297" s="384"/>
      <c r="AP297" s="384"/>
      <c r="AQ297" s="384"/>
      <c r="AR297" s="384"/>
    </row>
    <row r="298" spans="2:44" s="637" customFormat="1" ht="12" customHeight="1">
      <c r="B298" s="744"/>
      <c r="C298" s="705" t="s">
        <v>1172</v>
      </c>
      <c r="D298" s="705" t="s">
        <v>1288</v>
      </c>
      <c r="E298" s="740" t="s">
        <v>1173</v>
      </c>
      <c r="F298" s="740" t="s">
        <v>2795</v>
      </c>
      <c r="G298" s="741" t="s">
        <v>1910</v>
      </c>
      <c r="H298" s="742" t="s">
        <v>442</v>
      </c>
      <c r="I298" s="2025" t="s">
        <v>2781</v>
      </c>
      <c r="J298" s="729" t="s">
        <v>1304</v>
      </c>
      <c r="K298" s="730"/>
      <c r="L298" s="727"/>
      <c r="M298" s="728"/>
      <c r="N298" s="1180" t="s">
        <v>84</v>
      </c>
      <c r="O298" s="1180" t="s">
        <v>204</v>
      </c>
      <c r="P298" s="349"/>
      <c r="Q298" s="2026"/>
      <c r="X298" s="384"/>
      <c r="Y298" s="384"/>
      <c r="Z298" s="384"/>
      <c r="AA298" s="384"/>
      <c r="AB298" s="384"/>
      <c r="AC298" s="384"/>
      <c r="AD298" s="384"/>
      <c r="AE298" s="384"/>
      <c r="AF298" s="384"/>
      <c r="AG298" s="384"/>
      <c r="AH298" s="384"/>
      <c r="AI298" s="384"/>
      <c r="AJ298" s="384"/>
      <c r="AK298" s="384"/>
      <c r="AL298" s="384"/>
      <c r="AM298" s="384"/>
      <c r="AN298" s="384"/>
      <c r="AO298" s="384"/>
      <c r="AP298" s="384"/>
      <c r="AQ298" s="384"/>
      <c r="AR298" s="384"/>
    </row>
    <row r="299" spans="2:44" s="637" customFormat="1" ht="12" customHeight="1">
      <c r="B299" s="744"/>
      <c r="C299" s="705" t="s">
        <v>1174</v>
      </c>
      <c r="D299" s="705" t="s">
        <v>1421</v>
      </c>
      <c r="E299" s="743" t="s">
        <v>816</v>
      </c>
      <c r="F299" s="743" t="s">
        <v>2796</v>
      </c>
      <c r="G299" s="741" t="s">
        <v>2780</v>
      </c>
      <c r="H299" s="742" t="s">
        <v>443</v>
      </c>
      <c r="I299" s="2025" t="s">
        <v>1268</v>
      </c>
      <c r="J299" s="729" t="s">
        <v>1306</v>
      </c>
      <c r="K299" s="730"/>
      <c r="L299" s="727"/>
      <c r="M299" s="728"/>
      <c r="N299" s="1180" t="s">
        <v>88</v>
      </c>
      <c r="O299" s="1180" t="s">
        <v>2323</v>
      </c>
      <c r="P299" s="349"/>
      <c r="Q299" s="2026"/>
      <c r="X299" s="384"/>
      <c r="Y299" s="384"/>
      <c r="Z299" s="384"/>
      <c r="AA299" s="384"/>
      <c r="AB299" s="384"/>
      <c r="AC299" s="384"/>
      <c r="AD299" s="384"/>
      <c r="AE299" s="384"/>
      <c r="AF299" s="384"/>
      <c r="AG299" s="384"/>
      <c r="AH299" s="384"/>
      <c r="AI299" s="384"/>
      <c r="AJ299" s="384"/>
      <c r="AK299" s="384"/>
      <c r="AL299" s="384"/>
      <c r="AM299" s="384"/>
      <c r="AN299" s="384"/>
      <c r="AO299" s="384"/>
      <c r="AP299" s="384"/>
      <c r="AQ299" s="384"/>
      <c r="AR299" s="384"/>
    </row>
    <row r="300" spans="2:44" s="637" customFormat="1" ht="12" customHeight="1">
      <c r="B300" s="744"/>
      <c r="C300" s="705" t="s">
        <v>1175</v>
      </c>
      <c r="D300" s="705" t="s">
        <v>1421</v>
      </c>
      <c r="E300" s="743" t="s">
        <v>815</v>
      </c>
      <c r="F300" s="743" t="s">
        <v>2796</v>
      </c>
      <c r="G300" s="741" t="s">
        <v>2758</v>
      </c>
      <c r="H300" s="742" t="s">
        <v>443</v>
      </c>
      <c r="I300" s="2024" t="s">
        <v>1268</v>
      </c>
      <c r="J300" s="729" t="s">
        <v>1308</v>
      </c>
      <c r="K300" s="730"/>
      <c r="L300" s="727"/>
      <c r="M300" s="728"/>
      <c r="N300" s="1180" t="s">
        <v>90</v>
      </c>
      <c r="O300" s="1180" t="s">
        <v>1407</v>
      </c>
      <c r="P300" s="2027"/>
      <c r="Q300" s="384"/>
      <c r="X300" s="384"/>
      <c r="Y300" s="384"/>
      <c r="Z300" s="384"/>
      <c r="AA300" s="384"/>
      <c r="AB300" s="384"/>
      <c r="AC300" s="384"/>
      <c r="AD300" s="384"/>
      <c r="AE300" s="384"/>
      <c r="AF300" s="384"/>
      <c r="AG300" s="384"/>
      <c r="AH300" s="384"/>
      <c r="AI300" s="384"/>
      <c r="AJ300" s="384"/>
      <c r="AK300" s="384"/>
      <c r="AL300" s="384"/>
      <c r="AM300" s="384"/>
      <c r="AN300" s="384"/>
      <c r="AO300" s="384"/>
      <c r="AP300" s="384"/>
      <c r="AQ300" s="384"/>
      <c r="AR300" s="384"/>
    </row>
    <row r="301" spans="2:44" s="637" customFormat="1" ht="12" customHeight="1">
      <c r="B301" s="744"/>
      <c r="C301" s="705" t="s">
        <v>1176</v>
      </c>
      <c r="D301" s="705" t="s">
        <v>1421</v>
      </c>
      <c r="E301" s="740" t="s">
        <v>2307</v>
      </c>
      <c r="F301" s="740" t="s">
        <v>2795</v>
      </c>
      <c r="G301" s="741" t="s">
        <v>1911</v>
      </c>
      <c r="H301" s="742" t="s">
        <v>442</v>
      </c>
      <c r="I301" s="2025" t="s">
        <v>2781</v>
      </c>
      <c r="J301" s="729" t="s">
        <v>1310</v>
      </c>
      <c r="K301" s="730"/>
      <c r="L301" s="727"/>
      <c r="M301" s="728"/>
      <c r="N301" s="1180" t="s">
        <v>1305</v>
      </c>
      <c r="O301" s="1180" t="s">
        <v>2084</v>
      </c>
      <c r="P301" s="349"/>
      <c r="Q301" s="2026"/>
      <c r="X301" s="384"/>
      <c r="Y301" s="384"/>
      <c r="Z301" s="384"/>
      <c r="AA301" s="384"/>
      <c r="AB301" s="384"/>
      <c r="AC301" s="384"/>
      <c r="AD301" s="384"/>
      <c r="AE301" s="384"/>
      <c r="AF301" s="384"/>
      <c r="AG301" s="384"/>
      <c r="AH301" s="384"/>
      <c r="AI301" s="384"/>
      <c r="AJ301" s="384"/>
      <c r="AK301" s="384"/>
      <c r="AL301" s="384"/>
      <c r="AM301" s="384"/>
      <c r="AN301" s="384"/>
      <c r="AO301" s="384"/>
      <c r="AP301" s="384"/>
      <c r="AQ301" s="384"/>
      <c r="AR301" s="384"/>
    </row>
    <row r="302" spans="2:44" s="637" customFormat="1" ht="12" customHeight="1">
      <c r="B302" s="744"/>
      <c r="C302" s="705" t="s">
        <v>2308</v>
      </c>
      <c r="D302" s="705" t="s">
        <v>1288</v>
      </c>
      <c r="E302" s="740" t="s">
        <v>2309</v>
      </c>
      <c r="F302" s="740" t="s">
        <v>2795</v>
      </c>
      <c r="G302" s="741" t="s">
        <v>1912</v>
      </c>
      <c r="H302" s="742" t="s">
        <v>442</v>
      </c>
      <c r="I302" s="2025" t="s">
        <v>2781</v>
      </c>
      <c r="J302" s="729" t="s">
        <v>1312</v>
      </c>
      <c r="K302" s="730"/>
      <c r="L302" s="727"/>
      <c r="M302" s="728"/>
      <c r="N302" s="1180" t="s">
        <v>1307</v>
      </c>
      <c r="O302" s="1180" t="s">
        <v>186</v>
      </c>
      <c r="P302" s="349"/>
      <c r="Q302" s="2026"/>
      <c r="X302" s="384"/>
      <c r="Y302" s="384"/>
      <c r="Z302" s="384"/>
      <c r="AA302" s="384"/>
      <c r="AB302" s="384"/>
      <c r="AC302" s="384"/>
      <c r="AD302" s="384"/>
      <c r="AE302" s="384"/>
      <c r="AF302" s="384"/>
      <c r="AG302" s="384"/>
      <c r="AH302" s="384"/>
      <c r="AI302" s="384"/>
      <c r="AJ302" s="384"/>
      <c r="AK302" s="384"/>
      <c r="AL302" s="384"/>
      <c r="AM302" s="384"/>
      <c r="AN302" s="384"/>
      <c r="AO302" s="384"/>
      <c r="AP302" s="384"/>
      <c r="AQ302" s="384"/>
      <c r="AR302" s="384"/>
    </row>
    <row r="303" spans="2:44" s="637" customFormat="1" ht="12" customHeight="1">
      <c r="B303" s="744"/>
      <c r="C303" s="705" t="s">
        <v>1717</v>
      </c>
      <c r="D303" s="705" t="s">
        <v>1717</v>
      </c>
      <c r="E303" s="728" t="s">
        <v>1717</v>
      </c>
      <c r="F303" s="740"/>
      <c r="G303" s="741"/>
      <c r="H303" s="742"/>
      <c r="I303" s="2025" t="s">
        <v>3211</v>
      </c>
      <c r="J303" s="729" t="s">
        <v>1314</v>
      </c>
      <c r="K303" s="730"/>
      <c r="L303" s="727"/>
      <c r="M303" s="728"/>
      <c r="N303" s="1180" t="s">
        <v>1309</v>
      </c>
      <c r="O303" s="1180" t="s">
        <v>1172</v>
      </c>
      <c r="P303" s="349"/>
      <c r="Q303" s="384"/>
      <c r="X303" s="384"/>
      <c r="Y303" s="384"/>
      <c r="Z303" s="384"/>
      <c r="AA303" s="384"/>
      <c r="AB303" s="384"/>
      <c r="AC303" s="384"/>
      <c r="AD303" s="384"/>
      <c r="AE303" s="384"/>
      <c r="AF303" s="384"/>
      <c r="AG303" s="384"/>
      <c r="AH303" s="384"/>
      <c r="AI303" s="384"/>
      <c r="AJ303" s="384"/>
      <c r="AK303" s="384"/>
      <c r="AL303" s="384"/>
      <c r="AM303" s="384"/>
      <c r="AN303" s="384"/>
      <c r="AO303" s="384"/>
      <c r="AP303" s="384"/>
      <c r="AQ303" s="384"/>
      <c r="AR303" s="384"/>
    </row>
    <row r="304" spans="2:44" s="637" customFormat="1" ht="12" customHeight="1">
      <c r="B304" s="744"/>
      <c r="C304" s="705" t="s">
        <v>2310</v>
      </c>
      <c r="D304" s="705" t="s">
        <v>1288</v>
      </c>
      <c r="E304" s="743" t="s">
        <v>2311</v>
      </c>
      <c r="F304" s="740" t="s">
        <v>2795</v>
      </c>
      <c r="G304" s="741" t="s">
        <v>480</v>
      </c>
      <c r="H304" s="742" t="s">
        <v>442</v>
      </c>
      <c r="I304" s="2025" t="s">
        <v>2781</v>
      </c>
      <c r="J304" s="729" t="s">
        <v>947</v>
      </c>
      <c r="K304" s="730"/>
      <c r="L304" s="727"/>
      <c r="M304" s="728"/>
      <c r="N304" s="705" t="s">
        <v>1311</v>
      </c>
      <c r="O304" s="705" t="s">
        <v>1283</v>
      </c>
      <c r="P304" s="2028"/>
      <c r="Q304" s="384"/>
      <c r="X304" s="384"/>
      <c r="Y304" s="384"/>
      <c r="Z304" s="384"/>
      <c r="AA304" s="384"/>
      <c r="AB304" s="384"/>
      <c r="AC304" s="384"/>
      <c r="AD304" s="384"/>
      <c r="AE304" s="384"/>
      <c r="AF304" s="384"/>
      <c r="AG304" s="384"/>
      <c r="AH304" s="384"/>
      <c r="AI304" s="384"/>
      <c r="AJ304" s="384"/>
      <c r="AK304" s="384"/>
      <c r="AL304" s="384"/>
      <c r="AM304" s="384"/>
      <c r="AN304" s="384"/>
      <c r="AO304" s="384"/>
      <c r="AP304" s="384"/>
      <c r="AQ304" s="384"/>
      <c r="AR304" s="384"/>
    </row>
    <row r="305" spans="2:44" s="637" customFormat="1" ht="12" customHeight="1">
      <c r="B305" s="744"/>
      <c r="C305" s="705" t="s">
        <v>2312</v>
      </c>
      <c r="D305" s="705" t="s">
        <v>1421</v>
      </c>
      <c r="E305" s="743" t="s">
        <v>815</v>
      </c>
      <c r="F305" s="743" t="s">
        <v>2796</v>
      </c>
      <c r="G305" s="741" t="s">
        <v>2758</v>
      </c>
      <c r="H305" s="742" t="s">
        <v>443</v>
      </c>
      <c r="I305" s="2024" t="s">
        <v>1268</v>
      </c>
      <c r="J305" s="729" t="s">
        <v>948</v>
      </c>
      <c r="K305" s="730"/>
      <c r="L305" s="727"/>
      <c r="M305" s="728"/>
      <c r="N305" s="1180" t="s">
        <v>1313</v>
      </c>
      <c r="O305" s="1180" t="s">
        <v>2323</v>
      </c>
      <c r="P305" s="349"/>
      <c r="Q305" s="2026"/>
      <c r="X305" s="384"/>
      <c r="Y305" s="384"/>
      <c r="Z305" s="384"/>
      <c r="AA305" s="384"/>
      <c r="AB305" s="384"/>
      <c r="AC305" s="384"/>
      <c r="AD305" s="384"/>
      <c r="AE305" s="384"/>
      <c r="AF305" s="384"/>
      <c r="AG305" s="384"/>
      <c r="AH305" s="384"/>
      <c r="AI305" s="384"/>
      <c r="AJ305" s="384"/>
      <c r="AK305" s="384"/>
      <c r="AL305" s="384"/>
      <c r="AM305" s="384"/>
      <c r="AN305" s="384"/>
      <c r="AO305" s="384"/>
      <c r="AP305" s="384"/>
      <c r="AQ305" s="384"/>
      <c r="AR305" s="384"/>
    </row>
    <row r="306" spans="2:44" s="637" customFormat="1" ht="12" customHeight="1">
      <c r="B306" s="744"/>
      <c r="C306" s="705" t="s">
        <v>2313</v>
      </c>
      <c r="D306" s="705" t="s">
        <v>1397</v>
      </c>
      <c r="E306" s="743" t="s">
        <v>2314</v>
      </c>
      <c r="F306" s="743" t="s">
        <v>2795</v>
      </c>
      <c r="G306" s="741" t="s">
        <v>232</v>
      </c>
      <c r="H306" s="742" t="s">
        <v>442</v>
      </c>
      <c r="I306" s="2025" t="s">
        <v>2781</v>
      </c>
      <c r="J306" s="729" t="s">
        <v>950</v>
      </c>
      <c r="K306" s="730"/>
      <c r="L306" s="727"/>
      <c r="M306" s="728"/>
      <c r="N306" s="1180" t="s">
        <v>2657</v>
      </c>
      <c r="O306" s="1180" t="s">
        <v>1742</v>
      </c>
      <c r="P306" s="349"/>
      <c r="Q306" s="2026"/>
      <c r="X306" s="384"/>
      <c r="Y306" s="384"/>
      <c r="Z306" s="384"/>
      <c r="AA306" s="384"/>
      <c r="AB306" s="384"/>
      <c r="AC306" s="384"/>
      <c r="AD306" s="384"/>
      <c r="AE306" s="384"/>
      <c r="AF306" s="384"/>
      <c r="AG306" s="384"/>
      <c r="AH306" s="384"/>
      <c r="AI306" s="384"/>
      <c r="AJ306" s="384"/>
      <c r="AK306" s="384"/>
      <c r="AL306" s="384"/>
      <c r="AM306" s="384"/>
      <c r="AN306" s="384"/>
      <c r="AO306" s="384"/>
      <c r="AP306" s="384"/>
      <c r="AQ306" s="384"/>
      <c r="AR306" s="384"/>
    </row>
    <row r="307" spans="2:44" s="637" customFormat="1" ht="12" customHeight="1">
      <c r="B307" s="744"/>
      <c r="C307" s="705" t="s">
        <v>2315</v>
      </c>
      <c r="D307" s="705" t="s">
        <v>1288</v>
      </c>
      <c r="E307" s="740" t="s">
        <v>2316</v>
      </c>
      <c r="F307" s="743" t="s">
        <v>2795</v>
      </c>
      <c r="G307" s="741" t="s">
        <v>1514</v>
      </c>
      <c r="H307" s="742" t="s">
        <v>442</v>
      </c>
      <c r="I307" s="2025" t="s">
        <v>2781</v>
      </c>
      <c r="J307" s="729" t="s">
        <v>952</v>
      </c>
      <c r="K307" s="730"/>
      <c r="L307" s="727"/>
      <c r="M307" s="728"/>
      <c r="N307" s="1180" t="s">
        <v>168</v>
      </c>
      <c r="O307" s="1180" t="s">
        <v>2770</v>
      </c>
      <c r="P307" s="349"/>
      <c r="Q307" s="2026"/>
      <c r="X307" s="384"/>
      <c r="Y307" s="384"/>
      <c r="Z307" s="384"/>
      <c r="AA307" s="384"/>
      <c r="AB307" s="384"/>
      <c r="AC307" s="384"/>
      <c r="AD307" s="384"/>
      <c r="AE307" s="384"/>
      <c r="AF307" s="384"/>
      <c r="AG307" s="384"/>
      <c r="AH307" s="384"/>
      <c r="AI307" s="384"/>
      <c r="AJ307" s="384"/>
      <c r="AK307" s="384"/>
      <c r="AL307" s="384"/>
      <c r="AM307" s="384"/>
      <c r="AN307" s="384"/>
      <c r="AO307" s="384"/>
      <c r="AP307" s="384"/>
      <c r="AQ307" s="384"/>
      <c r="AR307" s="384"/>
    </row>
    <row r="308" spans="2:44" s="637" customFormat="1" ht="12" customHeight="1">
      <c r="B308" s="744"/>
      <c r="C308" s="705" t="s">
        <v>2317</v>
      </c>
      <c r="D308" s="705" t="s">
        <v>1288</v>
      </c>
      <c r="E308" s="740" t="s">
        <v>2318</v>
      </c>
      <c r="F308" s="740" t="s">
        <v>2795</v>
      </c>
      <c r="G308" s="741" t="s">
        <v>1515</v>
      </c>
      <c r="H308" s="742" t="s">
        <v>442</v>
      </c>
      <c r="I308" s="2025" t="s">
        <v>2781</v>
      </c>
      <c r="J308" s="729" t="s">
        <v>2276</v>
      </c>
      <c r="K308" s="730"/>
      <c r="L308" s="727"/>
      <c r="M308" s="728"/>
      <c r="N308" s="1180" t="s">
        <v>949</v>
      </c>
      <c r="O308" s="1180" t="s">
        <v>186</v>
      </c>
      <c r="P308" s="2027"/>
      <c r="Q308" s="384"/>
      <c r="X308" s="384"/>
      <c r="Y308" s="384"/>
      <c r="Z308" s="384"/>
      <c r="AA308" s="384"/>
      <c r="AB308" s="384"/>
      <c r="AC308" s="384"/>
      <c r="AD308" s="384"/>
      <c r="AE308" s="384"/>
      <c r="AF308" s="384"/>
      <c r="AG308" s="384"/>
      <c r="AH308" s="384"/>
      <c r="AI308" s="384"/>
      <c r="AJ308" s="384"/>
      <c r="AK308" s="384"/>
      <c r="AL308" s="384"/>
      <c r="AM308" s="384"/>
      <c r="AN308" s="384"/>
      <c r="AO308" s="384"/>
      <c r="AP308" s="384"/>
      <c r="AQ308" s="384"/>
      <c r="AR308" s="384"/>
    </row>
    <row r="309" spans="2:44" s="637" customFormat="1" ht="12" customHeight="1">
      <c r="B309" s="744"/>
      <c r="C309" s="705" t="s">
        <v>2319</v>
      </c>
      <c r="D309" s="705" t="s">
        <v>1421</v>
      </c>
      <c r="E309" s="740" t="s">
        <v>2320</v>
      </c>
      <c r="F309" s="740" t="s">
        <v>2795</v>
      </c>
      <c r="G309" s="741" t="s">
        <v>1516</v>
      </c>
      <c r="H309" s="742" t="s">
        <v>442</v>
      </c>
      <c r="I309" s="2025" t="s">
        <v>2781</v>
      </c>
      <c r="J309" s="729" t="s">
        <v>2277</v>
      </c>
      <c r="K309" s="730"/>
      <c r="L309" s="727"/>
      <c r="M309" s="728"/>
      <c r="N309" s="1180" t="s">
        <v>951</v>
      </c>
      <c r="O309" s="1180" t="s">
        <v>341</v>
      </c>
      <c r="P309" s="349"/>
      <c r="Q309" s="2026"/>
      <c r="X309" s="384"/>
      <c r="Y309" s="384"/>
      <c r="Z309" s="384"/>
      <c r="AA309" s="384"/>
      <c r="AB309" s="384"/>
      <c r="AC309" s="384"/>
      <c r="AD309" s="384"/>
      <c r="AE309" s="384"/>
      <c r="AF309" s="384"/>
      <c r="AG309" s="384"/>
      <c r="AH309" s="384"/>
      <c r="AI309" s="384"/>
      <c r="AJ309" s="384"/>
      <c r="AK309" s="384"/>
      <c r="AL309" s="384"/>
      <c r="AM309" s="384"/>
      <c r="AN309" s="384"/>
      <c r="AO309" s="384"/>
      <c r="AP309" s="384"/>
      <c r="AQ309" s="384"/>
      <c r="AR309" s="384"/>
    </row>
    <row r="310" spans="2:44" s="637" customFormat="1" ht="12" customHeight="1">
      <c r="B310" s="744"/>
      <c r="C310" s="705" t="s">
        <v>2321</v>
      </c>
      <c r="D310" s="705" t="s">
        <v>1421</v>
      </c>
      <c r="E310" s="740" t="s">
        <v>2322</v>
      </c>
      <c r="F310" s="740" t="s">
        <v>2795</v>
      </c>
      <c r="G310" s="741" t="s">
        <v>2148</v>
      </c>
      <c r="H310" s="742" t="s">
        <v>442</v>
      </c>
      <c r="I310" s="2025" t="s">
        <v>2781</v>
      </c>
      <c r="J310" s="729" t="s">
        <v>2193</v>
      </c>
      <c r="K310" s="730"/>
      <c r="L310" s="727"/>
      <c r="M310" s="728"/>
      <c r="N310" s="705" t="s">
        <v>953</v>
      </c>
      <c r="O310" s="705" t="s">
        <v>1161</v>
      </c>
      <c r="P310" s="2028"/>
      <c r="Q310" s="2026"/>
      <c r="X310" s="384"/>
      <c r="Y310" s="384"/>
      <c r="Z310" s="384"/>
      <c r="AA310" s="384"/>
      <c r="AB310" s="384"/>
      <c r="AC310" s="384"/>
      <c r="AD310" s="384"/>
      <c r="AE310" s="384"/>
      <c r="AF310" s="384"/>
      <c r="AG310" s="384"/>
      <c r="AH310" s="384"/>
      <c r="AI310" s="384"/>
      <c r="AJ310" s="384"/>
      <c r="AK310" s="384"/>
      <c r="AL310" s="384"/>
      <c r="AM310" s="384"/>
      <c r="AN310" s="384"/>
      <c r="AO310" s="384"/>
      <c r="AP310" s="384"/>
      <c r="AQ310" s="384"/>
      <c r="AR310" s="384"/>
    </row>
    <row r="311" spans="2:44" s="637" customFormat="1" ht="12" customHeight="1">
      <c r="B311" s="744"/>
      <c r="C311" s="705" t="s">
        <v>2323</v>
      </c>
      <c r="D311" s="705" t="s">
        <v>1288</v>
      </c>
      <c r="E311" s="740" t="s">
        <v>2324</v>
      </c>
      <c r="F311" s="740" t="s">
        <v>2795</v>
      </c>
      <c r="G311" s="741" t="s">
        <v>2149</v>
      </c>
      <c r="H311" s="742" t="s">
        <v>442</v>
      </c>
      <c r="I311" s="2025" t="s">
        <v>2781</v>
      </c>
      <c r="J311" s="729" t="s">
        <v>2195</v>
      </c>
      <c r="K311" s="730"/>
      <c r="L311" s="727"/>
      <c r="M311" s="728"/>
      <c r="N311" s="1180" t="s">
        <v>2748</v>
      </c>
      <c r="O311" s="1180" t="s">
        <v>2651</v>
      </c>
      <c r="P311" s="349"/>
      <c r="Q311" s="384"/>
      <c r="X311" s="384"/>
      <c r="Y311" s="384"/>
      <c r="Z311" s="384"/>
      <c r="AA311" s="384"/>
      <c r="AB311" s="384"/>
      <c r="AC311" s="384"/>
      <c r="AD311" s="384"/>
      <c r="AE311" s="384"/>
      <c r="AF311" s="384"/>
      <c r="AG311" s="384"/>
      <c r="AH311" s="384"/>
      <c r="AI311" s="384"/>
      <c r="AJ311" s="384"/>
      <c r="AK311" s="384"/>
      <c r="AL311" s="384"/>
      <c r="AM311" s="384"/>
      <c r="AN311" s="384"/>
      <c r="AO311" s="384"/>
      <c r="AP311" s="384"/>
      <c r="AQ311" s="384"/>
      <c r="AR311" s="384"/>
    </row>
    <row r="312" spans="2:44" s="637" customFormat="1" ht="12" customHeight="1">
      <c r="B312" s="744"/>
      <c r="C312" s="705" t="s">
        <v>2325</v>
      </c>
      <c r="D312" s="705" t="s">
        <v>1421</v>
      </c>
      <c r="E312" s="740" t="s">
        <v>925</v>
      </c>
      <c r="F312" s="740" t="s">
        <v>2795</v>
      </c>
      <c r="G312" s="741" t="s">
        <v>2150</v>
      </c>
      <c r="H312" s="742" t="s">
        <v>442</v>
      </c>
      <c r="I312" s="2025" t="s">
        <v>2781</v>
      </c>
      <c r="J312" s="729" t="s">
        <v>638</v>
      </c>
      <c r="K312" s="730"/>
      <c r="L312" s="727"/>
      <c r="M312" s="728"/>
      <c r="N312" s="1180" t="s">
        <v>2278</v>
      </c>
      <c r="O312" s="1180" t="s">
        <v>1175</v>
      </c>
      <c r="P312" s="349"/>
      <c r="Q312" s="2026"/>
      <c r="X312" s="384"/>
      <c r="Y312" s="384"/>
      <c r="Z312" s="384"/>
      <c r="AA312" s="384"/>
      <c r="AB312" s="384"/>
      <c r="AC312" s="384"/>
      <c r="AD312" s="384"/>
      <c r="AE312" s="384"/>
      <c r="AF312" s="384"/>
      <c r="AG312" s="384"/>
      <c r="AH312" s="384"/>
      <c r="AI312" s="384"/>
      <c r="AJ312" s="384"/>
      <c r="AK312" s="384"/>
      <c r="AL312" s="384"/>
      <c r="AM312" s="384"/>
      <c r="AN312" s="384"/>
      <c r="AO312" s="384"/>
      <c r="AP312" s="384"/>
      <c r="AQ312" s="384"/>
      <c r="AR312" s="384"/>
    </row>
    <row r="313" spans="2:44" s="637" customFormat="1" ht="12" customHeight="1">
      <c r="B313" s="744"/>
      <c r="C313" s="705" t="s">
        <v>926</v>
      </c>
      <c r="D313" s="705" t="s">
        <v>1288</v>
      </c>
      <c r="E313" s="740" t="s">
        <v>927</v>
      </c>
      <c r="F313" s="740" t="s">
        <v>2795</v>
      </c>
      <c r="G313" s="741" t="s">
        <v>2151</v>
      </c>
      <c r="H313" s="742" t="s">
        <v>442</v>
      </c>
      <c r="I313" s="2025" t="s">
        <v>2781</v>
      </c>
      <c r="J313" s="729" t="s">
        <v>639</v>
      </c>
      <c r="K313" s="730"/>
      <c r="L313" s="727"/>
      <c r="M313" s="728"/>
      <c r="N313" s="1180" t="s">
        <v>2194</v>
      </c>
      <c r="O313" s="1180" t="s">
        <v>1779</v>
      </c>
      <c r="P313" s="349"/>
      <c r="Q313" s="2026"/>
      <c r="X313" s="384"/>
      <c r="Y313" s="384"/>
      <c r="Z313" s="384"/>
      <c r="AA313" s="384"/>
      <c r="AB313" s="384"/>
      <c r="AC313" s="384"/>
      <c r="AD313" s="384"/>
      <c r="AE313" s="384"/>
      <c r="AF313" s="384"/>
      <c r="AG313" s="384"/>
      <c r="AH313" s="384"/>
      <c r="AI313" s="384"/>
      <c r="AJ313" s="384"/>
      <c r="AK313" s="384"/>
      <c r="AL313" s="384"/>
      <c r="AM313" s="384"/>
      <c r="AN313" s="384"/>
      <c r="AO313" s="384"/>
      <c r="AP313" s="384"/>
      <c r="AQ313" s="384"/>
      <c r="AR313" s="384"/>
    </row>
    <row r="314" spans="2:44" s="637" customFormat="1" ht="12" customHeight="1">
      <c r="B314" s="744"/>
      <c r="C314" s="705" t="s">
        <v>1778</v>
      </c>
      <c r="D314" s="705" t="s">
        <v>1288</v>
      </c>
      <c r="E314" s="743" t="s">
        <v>1906</v>
      </c>
      <c r="F314" s="740" t="s">
        <v>2796</v>
      </c>
      <c r="G314" s="741" t="s">
        <v>1231</v>
      </c>
      <c r="H314" s="742" t="s">
        <v>443</v>
      </c>
      <c r="I314" s="2025" t="s">
        <v>2781</v>
      </c>
      <c r="J314" s="729" t="s">
        <v>641</v>
      </c>
      <c r="K314" s="730"/>
      <c r="L314" s="727"/>
      <c r="M314" s="728"/>
      <c r="N314" s="1180" t="s">
        <v>2196</v>
      </c>
      <c r="O314" s="1180" t="s">
        <v>2706</v>
      </c>
      <c r="P314" s="349"/>
      <c r="Q314" s="2026"/>
      <c r="X314" s="384"/>
      <c r="Y314" s="384"/>
      <c r="Z314" s="384"/>
      <c r="AA314" s="384"/>
      <c r="AB314" s="384"/>
      <c r="AC314" s="384"/>
      <c r="AD314" s="384"/>
      <c r="AE314" s="384"/>
      <c r="AF314" s="384"/>
      <c r="AG314" s="384"/>
      <c r="AH314" s="384"/>
      <c r="AI314" s="384"/>
      <c r="AJ314" s="384"/>
      <c r="AK314" s="384"/>
      <c r="AL314" s="384"/>
      <c r="AM314" s="384"/>
      <c r="AN314" s="384"/>
      <c r="AO314" s="384"/>
      <c r="AP314" s="384"/>
      <c r="AQ314" s="384"/>
      <c r="AR314" s="384"/>
    </row>
    <row r="315" spans="2:44" s="637" customFormat="1" ht="12" customHeight="1">
      <c r="B315" s="744"/>
      <c r="C315" s="705" t="s">
        <v>1779</v>
      </c>
      <c r="D315" s="705" t="s">
        <v>1288</v>
      </c>
      <c r="E315" s="743" t="s">
        <v>1780</v>
      </c>
      <c r="F315" s="743" t="s">
        <v>2795</v>
      </c>
      <c r="G315" s="741" t="s">
        <v>2152</v>
      </c>
      <c r="H315" s="742" t="s">
        <v>442</v>
      </c>
      <c r="I315" s="2025" t="s">
        <v>2781</v>
      </c>
      <c r="J315" s="729" t="s">
        <v>643</v>
      </c>
      <c r="K315" s="730"/>
      <c r="L315" s="727"/>
      <c r="M315" s="728"/>
      <c r="N315" s="1180" t="s">
        <v>880</v>
      </c>
      <c r="O315" s="1180" t="s">
        <v>336</v>
      </c>
      <c r="P315" s="349"/>
      <c r="Q315" s="384"/>
      <c r="X315" s="384"/>
      <c r="Y315" s="384"/>
      <c r="Z315" s="384"/>
      <c r="AA315" s="384"/>
      <c r="AB315" s="384"/>
      <c r="AC315" s="384"/>
      <c r="AD315" s="384"/>
      <c r="AE315" s="384"/>
      <c r="AF315" s="384"/>
      <c r="AG315" s="384"/>
      <c r="AH315" s="384"/>
      <c r="AI315" s="384"/>
      <c r="AJ315" s="384"/>
      <c r="AK315" s="384"/>
      <c r="AL315" s="384"/>
      <c r="AM315" s="384"/>
      <c r="AN315" s="384"/>
      <c r="AO315" s="384"/>
      <c r="AP315" s="384"/>
      <c r="AQ315" s="384"/>
      <c r="AR315" s="384"/>
    </row>
    <row r="316" spans="2:44" s="637" customFormat="1" ht="12" customHeight="1">
      <c r="B316" s="744"/>
      <c r="C316" s="705" t="s">
        <v>1781</v>
      </c>
      <c r="D316" s="705" t="s">
        <v>1288</v>
      </c>
      <c r="E316" s="743" t="s">
        <v>2042</v>
      </c>
      <c r="F316" s="743" t="s">
        <v>2795</v>
      </c>
      <c r="G316" s="741" t="s">
        <v>1236</v>
      </c>
      <c r="H316" s="742" t="s">
        <v>442</v>
      </c>
      <c r="I316" s="2025" t="s">
        <v>2781</v>
      </c>
      <c r="J316" s="729" t="s">
        <v>644</v>
      </c>
      <c r="K316" s="730"/>
      <c r="L316" s="727"/>
      <c r="M316" s="728"/>
      <c r="N316" s="1180" t="s">
        <v>640</v>
      </c>
      <c r="O316" s="1180" t="s">
        <v>125</v>
      </c>
      <c r="P316" s="2027"/>
      <c r="Q316" s="2026"/>
      <c r="X316" s="384"/>
      <c r="Y316" s="384"/>
      <c r="Z316" s="384"/>
      <c r="AA316" s="384"/>
      <c r="AB316" s="384"/>
      <c r="AC316" s="384"/>
      <c r="AD316" s="384"/>
      <c r="AE316" s="384"/>
      <c r="AF316" s="384"/>
      <c r="AG316" s="384"/>
      <c r="AH316" s="384"/>
      <c r="AI316" s="384"/>
      <c r="AJ316" s="384"/>
      <c r="AK316" s="384"/>
      <c r="AL316" s="384"/>
      <c r="AM316" s="384"/>
      <c r="AN316" s="384"/>
      <c r="AO316" s="384"/>
      <c r="AP316" s="384"/>
      <c r="AQ316" s="384"/>
      <c r="AR316" s="384"/>
    </row>
    <row r="317" spans="2:44" s="637" customFormat="1" ht="12" customHeight="1">
      <c r="B317" s="744"/>
      <c r="C317" s="705" t="s">
        <v>2043</v>
      </c>
      <c r="D317" s="705" t="s">
        <v>1288</v>
      </c>
      <c r="E317" s="743" t="s">
        <v>2044</v>
      </c>
      <c r="F317" s="743" t="s">
        <v>2795</v>
      </c>
      <c r="G317" s="741" t="s">
        <v>1237</v>
      </c>
      <c r="H317" s="742" t="s">
        <v>442</v>
      </c>
      <c r="I317" s="2025" t="s">
        <v>2781</v>
      </c>
      <c r="J317" s="729" t="s">
        <v>645</v>
      </c>
      <c r="K317" s="730"/>
      <c r="L317" s="727"/>
      <c r="M317" s="728"/>
      <c r="N317" s="1180" t="s">
        <v>2749</v>
      </c>
      <c r="O317" s="1180" t="s">
        <v>1413</v>
      </c>
      <c r="P317" s="349"/>
      <c r="Q317" s="2026"/>
      <c r="X317" s="384"/>
      <c r="Y317" s="384"/>
      <c r="Z317" s="384"/>
      <c r="AA317" s="384"/>
      <c r="AB317" s="384"/>
      <c r="AC317" s="384"/>
      <c r="AD317" s="384"/>
      <c r="AE317" s="384"/>
      <c r="AF317" s="384"/>
      <c r="AG317" s="384"/>
      <c r="AH317" s="384"/>
      <c r="AI317" s="384"/>
      <c r="AJ317" s="384"/>
      <c r="AK317" s="384"/>
      <c r="AL317" s="384"/>
      <c r="AM317" s="384"/>
      <c r="AN317" s="384"/>
      <c r="AO317" s="384"/>
      <c r="AP317" s="384"/>
      <c r="AQ317" s="384"/>
      <c r="AR317" s="384"/>
    </row>
    <row r="318" spans="2:44" s="637" customFormat="1" ht="12" customHeight="1">
      <c r="B318" s="744"/>
      <c r="C318" s="705" t="s">
        <v>2045</v>
      </c>
      <c r="D318" s="705" t="s">
        <v>1397</v>
      </c>
      <c r="E318" s="743" t="s">
        <v>2046</v>
      </c>
      <c r="F318" s="743" t="s">
        <v>2795</v>
      </c>
      <c r="G318" s="741" t="s">
        <v>1238</v>
      </c>
      <c r="H318" s="742" t="s">
        <v>442</v>
      </c>
      <c r="I318" s="2025" t="s">
        <v>2781</v>
      </c>
      <c r="J318" s="729" t="s">
        <v>647</v>
      </c>
      <c r="K318" s="730"/>
      <c r="L318" s="727"/>
      <c r="M318" s="728"/>
      <c r="N318" s="1180" t="s">
        <v>642</v>
      </c>
      <c r="O318" s="1180" t="s">
        <v>2771</v>
      </c>
      <c r="P318" s="349"/>
      <c r="Q318" s="2026"/>
      <c r="X318" s="384"/>
      <c r="Y318" s="384"/>
      <c r="Z318" s="384"/>
      <c r="AA318" s="384"/>
      <c r="AB318" s="384"/>
      <c r="AC318" s="384"/>
      <c r="AD318" s="384"/>
      <c r="AE318" s="384"/>
      <c r="AF318" s="384"/>
      <c r="AG318" s="384"/>
      <c r="AH318" s="384"/>
      <c r="AI318" s="384"/>
      <c r="AJ318" s="384"/>
      <c r="AK318" s="384"/>
      <c r="AL318" s="384"/>
      <c r="AM318" s="384"/>
      <c r="AN318" s="384"/>
      <c r="AO318" s="384"/>
      <c r="AP318" s="384"/>
      <c r="AQ318" s="384"/>
      <c r="AR318" s="384"/>
    </row>
    <row r="319" spans="2:44" s="637" customFormat="1" ht="12" customHeight="1">
      <c r="B319" s="744"/>
      <c r="C319" s="705" t="s">
        <v>2047</v>
      </c>
      <c r="D319" s="705" t="s">
        <v>1288</v>
      </c>
      <c r="E319" s="743" t="s">
        <v>2048</v>
      </c>
      <c r="F319" s="743" t="s">
        <v>2795</v>
      </c>
      <c r="G319" s="741" t="s">
        <v>1239</v>
      </c>
      <c r="H319" s="742" t="s">
        <v>442</v>
      </c>
      <c r="I319" s="2025" t="s">
        <v>2781</v>
      </c>
      <c r="J319" s="729" t="s">
        <v>649</v>
      </c>
      <c r="K319" s="730"/>
      <c r="L319" s="727"/>
      <c r="M319" s="728"/>
      <c r="N319" s="1180" t="s">
        <v>2705</v>
      </c>
      <c r="O319" s="1180" t="s">
        <v>2773</v>
      </c>
      <c r="P319" s="349"/>
      <c r="Q319" s="2026"/>
      <c r="X319" s="384"/>
      <c r="Y319" s="384"/>
      <c r="Z319" s="384"/>
      <c r="AA319" s="384"/>
      <c r="AB319" s="384"/>
      <c r="AC319" s="384"/>
      <c r="AD319" s="384"/>
      <c r="AE319" s="384"/>
      <c r="AF319" s="384"/>
      <c r="AG319" s="384"/>
      <c r="AH319" s="384"/>
      <c r="AI319" s="384"/>
      <c r="AJ319" s="384"/>
      <c r="AK319" s="384"/>
      <c r="AL319" s="384"/>
      <c r="AM319" s="384"/>
      <c r="AN319" s="384"/>
      <c r="AO319" s="384"/>
      <c r="AP319" s="384"/>
      <c r="AQ319" s="384"/>
      <c r="AR319" s="384"/>
    </row>
    <row r="320" spans="2:44" s="637" customFormat="1" ht="12" customHeight="1">
      <c r="B320" s="744"/>
      <c r="C320" s="705" t="s">
        <v>2049</v>
      </c>
      <c r="D320" s="705" t="s">
        <v>1421</v>
      </c>
      <c r="E320" s="740" t="s">
        <v>2050</v>
      </c>
      <c r="F320" s="743" t="s">
        <v>2795</v>
      </c>
      <c r="G320" s="741" t="s">
        <v>1240</v>
      </c>
      <c r="H320" s="742" t="s">
        <v>442</v>
      </c>
      <c r="I320" s="2025" t="s">
        <v>2781</v>
      </c>
      <c r="J320" s="729" t="s">
        <v>580</v>
      </c>
      <c r="K320" s="730"/>
      <c r="L320" s="727"/>
      <c r="M320" s="728"/>
      <c r="N320" s="1180" t="s">
        <v>646</v>
      </c>
      <c r="O320" s="1180" t="s">
        <v>2321</v>
      </c>
      <c r="P320" s="349"/>
      <c r="Q320" s="2026"/>
      <c r="X320" s="384"/>
      <c r="Y320" s="384"/>
      <c r="Z320" s="384"/>
      <c r="AA320" s="384"/>
      <c r="AB320" s="384"/>
      <c r="AC320" s="384"/>
      <c r="AD320" s="384"/>
      <c r="AE320" s="384"/>
      <c r="AF320" s="384"/>
      <c r="AG320" s="384"/>
      <c r="AH320" s="384"/>
      <c r="AI320" s="384"/>
      <c r="AJ320" s="384"/>
      <c r="AK320" s="384"/>
      <c r="AL320" s="384"/>
      <c r="AM320" s="384"/>
      <c r="AN320" s="384"/>
      <c r="AO320" s="384"/>
      <c r="AP320" s="384"/>
      <c r="AQ320" s="384"/>
      <c r="AR320" s="384"/>
    </row>
    <row r="321" spans="2:44" s="637" customFormat="1" ht="12" customHeight="1">
      <c r="B321" s="744"/>
      <c r="C321" s="705" t="s">
        <v>2051</v>
      </c>
      <c r="D321" s="705" t="s">
        <v>1288</v>
      </c>
      <c r="E321" s="743" t="s">
        <v>2052</v>
      </c>
      <c r="F321" s="740" t="s">
        <v>2795</v>
      </c>
      <c r="G321" s="741" t="s">
        <v>1241</v>
      </c>
      <c r="H321" s="742" t="s">
        <v>442</v>
      </c>
      <c r="I321" s="2025" t="s">
        <v>2781</v>
      </c>
      <c r="J321" s="729" t="s">
        <v>1226</v>
      </c>
      <c r="K321" s="730"/>
      <c r="L321" s="727"/>
      <c r="M321" s="728"/>
      <c r="N321" s="1180" t="s">
        <v>3491</v>
      </c>
      <c r="O321" s="1180" t="s">
        <v>1166</v>
      </c>
      <c r="P321" s="349"/>
      <c r="Q321" s="2026"/>
      <c r="X321" s="384"/>
      <c r="Y321" s="384"/>
      <c r="Z321" s="384"/>
      <c r="AA321" s="384"/>
      <c r="AB321" s="384"/>
      <c r="AC321" s="384"/>
      <c r="AD321" s="384"/>
      <c r="AE321" s="384"/>
      <c r="AF321" s="384"/>
      <c r="AG321" s="384"/>
      <c r="AH321" s="384"/>
      <c r="AI321" s="384"/>
      <c r="AJ321" s="384"/>
      <c r="AK321" s="384"/>
      <c r="AL321" s="384"/>
      <c r="AM321" s="384"/>
      <c r="AN321" s="384"/>
      <c r="AO321" s="384"/>
      <c r="AP321" s="384"/>
      <c r="AQ321" s="384"/>
      <c r="AR321" s="384"/>
    </row>
    <row r="322" spans="2:44" s="637" customFormat="1" ht="12" customHeight="1">
      <c r="B322" s="744"/>
      <c r="C322" s="705" t="s">
        <v>2053</v>
      </c>
      <c r="D322" s="705" t="s">
        <v>1421</v>
      </c>
      <c r="E322" s="743" t="s">
        <v>1406</v>
      </c>
      <c r="F322" s="743" t="s">
        <v>2796</v>
      </c>
      <c r="G322" s="741" t="s">
        <v>2761</v>
      </c>
      <c r="H322" s="742" t="s">
        <v>443</v>
      </c>
      <c r="I322" s="2025" t="s">
        <v>2781</v>
      </c>
      <c r="J322" s="729" t="s">
        <v>797</v>
      </c>
      <c r="K322" s="730"/>
      <c r="L322" s="727"/>
      <c r="M322" s="728"/>
      <c r="N322" s="1180" t="s">
        <v>648</v>
      </c>
      <c r="O322" s="1180" t="s">
        <v>1746</v>
      </c>
      <c r="P322" s="349"/>
      <c r="Q322" s="2026"/>
      <c r="X322" s="384"/>
      <c r="Y322" s="384"/>
      <c r="Z322" s="384"/>
      <c r="AA322" s="384"/>
      <c r="AB322" s="384"/>
      <c r="AC322" s="384"/>
      <c r="AD322" s="384"/>
      <c r="AE322" s="384"/>
      <c r="AF322" s="384"/>
      <c r="AG322" s="384"/>
      <c r="AH322" s="384"/>
      <c r="AI322" s="384"/>
      <c r="AJ322" s="384"/>
      <c r="AK322" s="384"/>
      <c r="AL322" s="384"/>
      <c r="AM322" s="384"/>
      <c r="AN322" s="384"/>
      <c r="AO322" s="384"/>
      <c r="AP322" s="384"/>
      <c r="AQ322" s="384"/>
      <c r="AR322" s="384"/>
    </row>
    <row r="323" spans="2:44" s="637" customFormat="1" ht="12" customHeight="1">
      <c r="B323" s="744"/>
      <c r="C323" s="705" t="s">
        <v>2054</v>
      </c>
      <c r="D323" s="705" t="s">
        <v>1397</v>
      </c>
      <c r="E323" s="743" t="s">
        <v>2055</v>
      </c>
      <c r="F323" s="743" t="s">
        <v>2795</v>
      </c>
      <c r="G323" s="741" t="s">
        <v>1242</v>
      </c>
      <c r="H323" s="742" t="s">
        <v>442</v>
      </c>
      <c r="I323" s="2025" t="s">
        <v>2781</v>
      </c>
      <c r="J323" s="729" t="s">
        <v>38</v>
      </c>
      <c r="K323" s="730"/>
      <c r="L323" s="727"/>
      <c r="M323" s="728"/>
      <c r="N323" s="1180" t="s">
        <v>579</v>
      </c>
      <c r="O323" s="1180" t="s">
        <v>705</v>
      </c>
      <c r="P323" s="349"/>
      <c r="Q323" s="2026"/>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row>
    <row r="324" spans="2:44" s="637" customFormat="1" ht="12" customHeight="1">
      <c r="B324" s="744"/>
      <c r="C324" s="705" t="s">
        <v>2141</v>
      </c>
      <c r="D324" s="705" t="s">
        <v>1421</v>
      </c>
      <c r="E324" s="740" t="s">
        <v>2142</v>
      </c>
      <c r="F324" s="743" t="s">
        <v>2795</v>
      </c>
      <c r="G324" s="741" t="s">
        <v>1243</v>
      </c>
      <c r="H324" s="742" t="s">
        <v>442</v>
      </c>
      <c r="I324" s="2025" t="s">
        <v>2781</v>
      </c>
      <c r="J324" s="729" t="s">
        <v>2099</v>
      </c>
      <c r="K324" s="730"/>
      <c r="L324" s="727"/>
      <c r="M324" s="728"/>
      <c r="N324" s="1180" t="s">
        <v>581</v>
      </c>
      <c r="O324" s="1180" t="s">
        <v>167</v>
      </c>
      <c r="P324" s="349"/>
      <c r="Q324" s="2026"/>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row>
    <row r="325" spans="2:44" s="637" customFormat="1" ht="12" customHeight="1">
      <c r="B325" s="744"/>
      <c r="C325" s="705" t="s">
        <v>2143</v>
      </c>
      <c r="D325" s="705" t="s">
        <v>1397</v>
      </c>
      <c r="E325" s="743" t="s">
        <v>1627</v>
      </c>
      <c r="F325" s="740" t="s">
        <v>2796</v>
      </c>
      <c r="G325" s="741" t="s">
        <v>1799</v>
      </c>
      <c r="H325" s="742" t="s">
        <v>443</v>
      </c>
      <c r="I325" s="2025" t="s">
        <v>2781</v>
      </c>
      <c r="J325" s="729" t="s">
        <v>2101</v>
      </c>
      <c r="K325" s="730"/>
      <c r="L325" s="727"/>
      <c r="M325" s="728"/>
      <c r="N325" s="1180" t="s">
        <v>796</v>
      </c>
      <c r="O325" s="1180" t="s">
        <v>1172</v>
      </c>
      <c r="P325" s="349"/>
      <c r="Q325" s="2026"/>
      <c r="X325" s="384"/>
      <c r="Y325" s="384"/>
      <c r="Z325" s="384"/>
      <c r="AA325" s="384"/>
      <c r="AB325" s="384"/>
      <c r="AC325" s="384"/>
      <c r="AD325" s="384"/>
      <c r="AE325" s="384"/>
      <c r="AF325" s="384"/>
      <c r="AG325" s="384"/>
      <c r="AH325" s="384"/>
      <c r="AI325" s="384"/>
      <c r="AJ325" s="384"/>
      <c r="AK325" s="384"/>
      <c r="AL325" s="384"/>
      <c r="AM325" s="384"/>
      <c r="AN325" s="384"/>
      <c r="AO325" s="384"/>
      <c r="AP325" s="384"/>
      <c r="AQ325" s="384"/>
      <c r="AR325" s="384"/>
    </row>
    <row r="326" spans="2:44" s="637" customFormat="1" ht="12" customHeight="1">
      <c r="B326" s="744"/>
      <c r="C326" s="705" t="s">
        <v>2144</v>
      </c>
      <c r="D326" s="705" t="s">
        <v>1421</v>
      </c>
      <c r="E326" s="743" t="s">
        <v>815</v>
      </c>
      <c r="F326" s="743" t="s">
        <v>2796</v>
      </c>
      <c r="G326" s="741" t="s">
        <v>2758</v>
      </c>
      <c r="H326" s="742" t="s">
        <v>443</v>
      </c>
      <c r="I326" s="2024" t="s">
        <v>1268</v>
      </c>
      <c r="J326" s="729" t="s">
        <v>352</v>
      </c>
      <c r="K326" s="730"/>
      <c r="L326" s="727"/>
      <c r="M326" s="728"/>
      <c r="N326" s="1180" t="s">
        <v>798</v>
      </c>
      <c r="O326" s="1180" t="s">
        <v>124</v>
      </c>
      <c r="P326" s="349"/>
      <c r="Q326" s="2026"/>
      <c r="X326" s="384"/>
      <c r="Y326" s="384"/>
      <c r="Z326" s="384"/>
      <c r="AA326" s="384"/>
      <c r="AB326" s="384"/>
      <c r="AC326" s="384"/>
      <c r="AD326" s="384"/>
      <c r="AE326" s="384"/>
      <c r="AF326" s="384"/>
      <c r="AG326" s="384"/>
      <c r="AH326" s="384"/>
      <c r="AI326" s="384"/>
      <c r="AJ326" s="384"/>
      <c r="AK326" s="384"/>
      <c r="AL326" s="384"/>
      <c r="AM326" s="384"/>
      <c r="AN326" s="384"/>
      <c r="AO326" s="384"/>
      <c r="AP326" s="384"/>
      <c r="AQ326" s="384"/>
      <c r="AR326" s="384"/>
    </row>
    <row r="327" spans="2:44" s="637" customFormat="1" ht="12" customHeight="1">
      <c r="B327" s="744"/>
      <c r="C327" s="705" t="s">
        <v>2145</v>
      </c>
      <c r="D327" s="705" t="s">
        <v>1288</v>
      </c>
      <c r="E327" s="743" t="s">
        <v>106</v>
      </c>
      <c r="F327" s="743" t="s">
        <v>2795</v>
      </c>
      <c r="G327" s="741" t="s">
        <v>1244</v>
      </c>
      <c r="H327" s="742" t="s">
        <v>442</v>
      </c>
      <c r="I327" s="2025" t="s">
        <v>2781</v>
      </c>
      <c r="J327" s="729" t="s">
        <v>354</v>
      </c>
      <c r="K327" s="730"/>
      <c r="L327" s="727"/>
      <c r="M327" s="728"/>
      <c r="N327" s="1180" t="s">
        <v>39</v>
      </c>
      <c r="O327" s="1180" t="s">
        <v>183</v>
      </c>
      <c r="P327" s="349"/>
      <c r="Q327" s="2026"/>
      <c r="X327" s="384"/>
      <c r="Y327" s="384"/>
      <c r="Z327" s="384"/>
      <c r="AA327" s="384"/>
      <c r="AB327" s="384"/>
      <c r="AC327" s="384"/>
      <c r="AD327" s="384"/>
      <c r="AE327" s="384"/>
      <c r="AF327" s="384"/>
      <c r="AG327" s="384"/>
      <c r="AH327" s="384"/>
      <c r="AI327" s="384"/>
      <c r="AJ327" s="384"/>
      <c r="AK327" s="384"/>
      <c r="AL327" s="384"/>
      <c r="AM327" s="384"/>
      <c r="AN327" s="384"/>
      <c r="AO327" s="384"/>
      <c r="AP327" s="384"/>
      <c r="AQ327" s="384"/>
      <c r="AR327" s="384"/>
    </row>
    <row r="328" spans="2:44" s="637" customFormat="1" ht="12" customHeight="1">
      <c r="B328" s="744"/>
      <c r="C328" s="705" t="s">
        <v>107</v>
      </c>
      <c r="D328" s="705" t="s">
        <v>1421</v>
      </c>
      <c r="E328" s="743" t="s">
        <v>108</v>
      </c>
      <c r="F328" s="743" t="s">
        <v>2795</v>
      </c>
      <c r="G328" s="741" t="s">
        <v>1245</v>
      </c>
      <c r="H328" s="742" t="s">
        <v>442</v>
      </c>
      <c r="I328" s="2025" t="s">
        <v>2781</v>
      </c>
      <c r="J328" s="729" t="s">
        <v>356</v>
      </c>
      <c r="K328" s="730"/>
      <c r="L328" s="727"/>
      <c r="M328" s="728"/>
      <c r="N328" s="1180" t="s">
        <v>2100</v>
      </c>
      <c r="O328" s="1180" t="s">
        <v>2392</v>
      </c>
      <c r="P328" s="349"/>
      <c r="Q328" s="2026"/>
      <c r="X328" s="384"/>
      <c r="Y328" s="384"/>
      <c r="Z328" s="384"/>
      <c r="AA328" s="384"/>
      <c r="AB328" s="384"/>
      <c r="AC328" s="384"/>
      <c r="AD328" s="384"/>
      <c r="AE328" s="384"/>
      <c r="AF328" s="384"/>
      <c r="AG328" s="384"/>
      <c r="AH328" s="384"/>
      <c r="AI328" s="384"/>
      <c r="AJ328" s="384"/>
      <c r="AK328" s="384"/>
      <c r="AL328" s="384"/>
      <c r="AM328" s="384"/>
      <c r="AN328" s="384"/>
      <c r="AO328" s="384"/>
      <c r="AP328" s="384"/>
      <c r="AQ328" s="384"/>
      <c r="AR328" s="384"/>
    </row>
    <row r="329" spans="2:44" s="637" customFormat="1" ht="12" customHeight="1">
      <c r="B329" s="744"/>
      <c r="C329" s="705" t="s">
        <v>109</v>
      </c>
      <c r="D329" s="705" t="s">
        <v>1288</v>
      </c>
      <c r="E329" s="743" t="s">
        <v>110</v>
      </c>
      <c r="F329" s="743" t="s">
        <v>2795</v>
      </c>
      <c r="G329" s="741" t="s">
        <v>1246</v>
      </c>
      <c r="H329" s="742" t="s">
        <v>442</v>
      </c>
      <c r="I329" s="2025" t="s">
        <v>2781</v>
      </c>
      <c r="J329" s="729" t="s">
        <v>358</v>
      </c>
      <c r="K329" s="730"/>
      <c r="L329" s="727"/>
      <c r="M329" s="728"/>
      <c r="N329" s="1180" t="s">
        <v>2102</v>
      </c>
      <c r="O329" s="1180" t="s">
        <v>2774</v>
      </c>
      <c r="P329" s="349"/>
      <c r="Q329" s="2026"/>
      <c r="X329" s="384"/>
      <c r="Y329" s="384"/>
      <c r="Z329" s="384"/>
      <c r="AA329" s="384"/>
      <c r="AB329" s="384"/>
      <c r="AC329" s="384"/>
      <c r="AD329" s="384"/>
      <c r="AE329" s="384"/>
      <c r="AF329" s="384"/>
      <c r="AG329" s="384"/>
      <c r="AH329" s="384"/>
      <c r="AI329" s="384"/>
      <c r="AJ329" s="384"/>
      <c r="AK329" s="384"/>
      <c r="AL329" s="384"/>
      <c r="AM329" s="384"/>
      <c r="AN329" s="384"/>
      <c r="AO329" s="384"/>
      <c r="AP329" s="384"/>
      <c r="AQ329" s="384"/>
      <c r="AR329" s="384"/>
    </row>
    <row r="330" spans="2:44" s="637" customFormat="1" ht="12" customHeight="1">
      <c r="B330" s="744"/>
      <c r="C330" s="705" t="s">
        <v>111</v>
      </c>
      <c r="D330" s="705" t="s">
        <v>1288</v>
      </c>
      <c r="E330" s="743" t="s">
        <v>112</v>
      </c>
      <c r="F330" s="743" t="s">
        <v>2795</v>
      </c>
      <c r="G330" s="741" t="s">
        <v>1247</v>
      </c>
      <c r="H330" s="742" t="s">
        <v>442</v>
      </c>
      <c r="I330" s="2025" t="s">
        <v>2781</v>
      </c>
      <c r="J330" s="729" t="s">
        <v>360</v>
      </c>
      <c r="K330" s="730"/>
      <c r="L330" s="727"/>
      <c r="M330" s="728"/>
      <c r="N330" s="1180" t="s">
        <v>353</v>
      </c>
      <c r="O330" s="1180" t="s">
        <v>2084</v>
      </c>
      <c r="P330" s="349"/>
      <c r="Q330" s="2026"/>
      <c r="X330" s="384"/>
      <c r="Y330" s="384"/>
      <c r="Z330" s="384"/>
      <c r="AA330" s="384"/>
      <c r="AB330" s="384"/>
      <c r="AC330" s="384"/>
      <c r="AD330" s="384"/>
      <c r="AE330" s="384"/>
      <c r="AF330" s="384"/>
      <c r="AG330" s="384"/>
      <c r="AH330" s="384"/>
      <c r="AI330" s="384"/>
      <c r="AJ330" s="384"/>
      <c r="AK330" s="384"/>
      <c r="AL330" s="384"/>
      <c r="AM330" s="384"/>
      <c r="AN330" s="384"/>
      <c r="AO330" s="384"/>
      <c r="AP330" s="384"/>
      <c r="AQ330" s="384"/>
      <c r="AR330" s="384"/>
    </row>
    <row r="331" spans="2:44" s="637" customFormat="1" ht="12" customHeight="1">
      <c r="B331" s="744"/>
      <c r="C331" s="705" t="s">
        <v>113</v>
      </c>
      <c r="D331" s="705" t="s">
        <v>1288</v>
      </c>
      <c r="E331" s="743" t="s">
        <v>114</v>
      </c>
      <c r="F331" s="743" t="s">
        <v>2795</v>
      </c>
      <c r="G331" s="741" t="s">
        <v>1248</v>
      </c>
      <c r="H331" s="742" t="s">
        <v>442</v>
      </c>
      <c r="I331" s="2025" t="s">
        <v>2781</v>
      </c>
      <c r="J331" s="729" t="s">
        <v>362</v>
      </c>
      <c r="K331" s="730"/>
      <c r="L331" s="727"/>
      <c r="M331" s="728"/>
      <c r="N331" s="1180" t="s">
        <v>355</v>
      </c>
      <c r="O331" s="1180" t="s">
        <v>929</v>
      </c>
      <c r="P331" s="349"/>
      <c r="Q331" s="2026"/>
      <c r="X331" s="384"/>
      <c r="Y331" s="384"/>
      <c r="Z331" s="384"/>
      <c r="AA331" s="384"/>
      <c r="AB331" s="384"/>
      <c r="AC331" s="384"/>
      <c r="AD331" s="384"/>
      <c r="AE331" s="384"/>
      <c r="AF331" s="384"/>
      <c r="AG331" s="384"/>
      <c r="AH331" s="384"/>
      <c r="AI331" s="384"/>
      <c r="AJ331" s="384"/>
      <c r="AK331" s="384"/>
      <c r="AL331" s="384"/>
      <c r="AM331" s="384"/>
      <c r="AN331" s="384"/>
      <c r="AO331" s="384"/>
      <c r="AP331" s="384"/>
      <c r="AQ331" s="384"/>
      <c r="AR331" s="384"/>
    </row>
    <row r="332" spans="2:44" s="637" customFormat="1" ht="12" customHeight="1">
      <c r="B332" s="744"/>
      <c r="C332" s="705" t="s">
        <v>115</v>
      </c>
      <c r="D332" s="705" t="s">
        <v>1288</v>
      </c>
      <c r="E332" s="743" t="s">
        <v>116</v>
      </c>
      <c r="F332" s="743" t="s">
        <v>2795</v>
      </c>
      <c r="G332" s="741" t="s">
        <v>2511</v>
      </c>
      <c r="H332" s="742" t="s">
        <v>442</v>
      </c>
      <c r="I332" s="2025" t="s">
        <v>2781</v>
      </c>
      <c r="J332" s="729" t="s">
        <v>2074</v>
      </c>
      <c r="K332" s="730"/>
      <c r="L332" s="727"/>
      <c r="M332" s="728"/>
      <c r="N332" s="1180" t="s">
        <v>357</v>
      </c>
      <c r="O332" s="1180" t="s">
        <v>186</v>
      </c>
      <c r="P332" s="349"/>
      <c r="Q332" s="2026"/>
      <c r="X332" s="384"/>
      <c r="Y332" s="384"/>
      <c r="Z332" s="384"/>
      <c r="AA332" s="384"/>
      <c r="AB332" s="384"/>
      <c r="AC332" s="384"/>
      <c r="AD332" s="384"/>
      <c r="AE332" s="384"/>
      <c r="AF332" s="384"/>
      <c r="AG332" s="384"/>
      <c r="AH332" s="384"/>
      <c r="AI332" s="384"/>
      <c r="AJ332" s="384"/>
      <c r="AK332" s="384"/>
      <c r="AL332" s="384"/>
      <c r="AM332" s="384"/>
      <c r="AN332" s="384"/>
      <c r="AO332" s="384"/>
      <c r="AP332" s="384"/>
      <c r="AQ332" s="384"/>
      <c r="AR332" s="384"/>
    </row>
    <row r="333" spans="2:44" s="637" customFormat="1" ht="12" customHeight="1">
      <c r="B333" s="744"/>
      <c r="C333" s="705" t="s">
        <v>117</v>
      </c>
      <c r="D333" s="705" t="s">
        <v>1397</v>
      </c>
      <c r="E333" s="743" t="s">
        <v>118</v>
      </c>
      <c r="F333" s="743" t="s">
        <v>2795</v>
      </c>
      <c r="G333" s="741" t="s">
        <v>2512</v>
      </c>
      <c r="H333" s="742" t="s">
        <v>442</v>
      </c>
      <c r="I333" s="2025" t="s">
        <v>2781</v>
      </c>
      <c r="J333" s="729" t="s">
        <v>2076</v>
      </c>
      <c r="K333" s="730"/>
      <c r="L333" s="727"/>
      <c r="M333" s="728"/>
      <c r="N333" s="1180" t="s">
        <v>359</v>
      </c>
      <c r="O333" s="1180" t="s">
        <v>2558</v>
      </c>
      <c r="P333" s="349"/>
      <c r="Q333" s="2026"/>
      <c r="X333" s="384"/>
      <c r="Y333" s="384"/>
      <c r="Z333" s="384"/>
      <c r="AA333" s="384"/>
      <c r="AB333" s="384"/>
      <c r="AC333" s="384"/>
      <c r="AD333" s="384"/>
      <c r="AE333" s="384"/>
      <c r="AF333" s="384"/>
      <c r="AG333" s="384"/>
      <c r="AH333" s="384"/>
      <c r="AI333" s="384"/>
      <c r="AJ333" s="384"/>
      <c r="AK333" s="384"/>
      <c r="AL333" s="384"/>
      <c r="AM333" s="384"/>
      <c r="AN333" s="384"/>
      <c r="AO333" s="384"/>
      <c r="AP333" s="384"/>
      <c r="AQ333" s="384"/>
      <c r="AR333" s="384"/>
    </row>
    <row r="334" spans="2:44" s="637" customFormat="1" ht="12" customHeight="1">
      <c r="B334" s="744"/>
      <c r="C334" s="705" t="s">
        <v>2084</v>
      </c>
      <c r="D334" s="705" t="s">
        <v>1397</v>
      </c>
      <c r="E334" s="740" t="s">
        <v>353</v>
      </c>
      <c r="F334" s="743" t="s">
        <v>2796</v>
      </c>
      <c r="G334" s="741" t="s">
        <v>2513</v>
      </c>
      <c r="H334" s="742" t="s">
        <v>443</v>
      </c>
      <c r="I334" s="2025" t="s">
        <v>1268</v>
      </c>
      <c r="J334" s="729" t="s">
        <v>2292</v>
      </c>
      <c r="K334" s="730"/>
      <c r="L334" s="727"/>
      <c r="M334" s="728"/>
      <c r="N334" s="705" t="s">
        <v>361</v>
      </c>
      <c r="O334" s="705" t="s">
        <v>2010</v>
      </c>
      <c r="P334" s="2028"/>
      <c r="Q334" s="2026"/>
      <c r="X334" s="384"/>
      <c r="Y334" s="384"/>
      <c r="Z334" s="384"/>
      <c r="AA334" s="384"/>
      <c r="AB334" s="384"/>
      <c r="AC334" s="384"/>
      <c r="AD334" s="384"/>
      <c r="AE334" s="384"/>
      <c r="AF334" s="384"/>
      <c r="AG334" s="384"/>
      <c r="AH334" s="384"/>
      <c r="AI334" s="384"/>
      <c r="AJ334" s="384"/>
      <c r="AK334" s="384"/>
      <c r="AL334" s="384"/>
      <c r="AM334" s="384"/>
      <c r="AN334" s="384"/>
      <c r="AO334" s="384"/>
      <c r="AP334" s="384"/>
      <c r="AQ334" s="384"/>
      <c r="AR334" s="384"/>
    </row>
    <row r="335" spans="2:44" s="637" customFormat="1" ht="12" customHeight="1">
      <c r="B335" s="744"/>
      <c r="C335" s="705" t="s">
        <v>2085</v>
      </c>
      <c r="D335" s="705" t="s">
        <v>1288</v>
      </c>
      <c r="E335" s="743" t="s">
        <v>2555</v>
      </c>
      <c r="F335" s="740" t="s">
        <v>2795</v>
      </c>
      <c r="G335" s="741" t="s">
        <v>2514</v>
      </c>
      <c r="H335" s="742" t="s">
        <v>442</v>
      </c>
      <c r="I335" s="2025" t="s">
        <v>2781</v>
      </c>
      <c r="J335" s="729" t="s">
        <v>160</v>
      </c>
      <c r="K335" s="730"/>
      <c r="L335" s="727"/>
      <c r="M335" s="728"/>
      <c r="N335" s="1180" t="s">
        <v>363</v>
      </c>
      <c r="O335" s="1180" t="s">
        <v>182</v>
      </c>
      <c r="P335" s="349"/>
      <c r="Q335" s="2026"/>
      <c r="X335" s="384"/>
      <c r="Y335" s="384"/>
      <c r="Z335" s="384"/>
      <c r="AA335" s="384"/>
      <c r="AB335" s="384"/>
      <c r="AC335" s="384"/>
      <c r="AD335" s="384"/>
      <c r="AE335" s="384"/>
      <c r="AF335" s="384"/>
      <c r="AG335" s="384"/>
      <c r="AH335" s="384"/>
      <c r="AI335" s="384"/>
      <c r="AJ335" s="384"/>
      <c r="AK335" s="384"/>
      <c r="AL335" s="384"/>
      <c r="AM335" s="384"/>
      <c r="AN335" s="384"/>
      <c r="AO335" s="384"/>
      <c r="AP335" s="384"/>
      <c r="AQ335" s="384"/>
      <c r="AR335" s="384"/>
    </row>
    <row r="336" spans="2:44" s="637" customFormat="1" ht="12" customHeight="1">
      <c r="B336" s="744"/>
      <c r="C336" s="705" t="s">
        <v>2556</v>
      </c>
      <c r="D336" s="705" t="s">
        <v>1421</v>
      </c>
      <c r="E336" s="743" t="s">
        <v>2557</v>
      </c>
      <c r="F336" s="743" t="s">
        <v>2795</v>
      </c>
      <c r="G336" s="741" t="s">
        <v>440</v>
      </c>
      <c r="H336" s="742" t="s">
        <v>442</v>
      </c>
      <c r="I336" s="2025" t="s">
        <v>2781</v>
      </c>
      <c r="J336" s="729" t="s">
        <v>161</v>
      </c>
      <c r="K336" s="730"/>
      <c r="L336" s="727"/>
      <c r="M336" s="728"/>
      <c r="N336" s="1180" t="s">
        <v>2075</v>
      </c>
      <c r="O336" s="1180" t="s">
        <v>109</v>
      </c>
      <c r="P336" s="349"/>
      <c r="Q336" s="2026"/>
      <c r="R336" s="705"/>
      <c r="S336" s="705"/>
      <c r="X336" s="384"/>
      <c r="Y336" s="384"/>
      <c r="Z336" s="384"/>
      <c r="AA336" s="384"/>
      <c r="AB336" s="384"/>
      <c r="AC336" s="384"/>
      <c r="AD336" s="384"/>
      <c r="AE336" s="384"/>
      <c r="AF336" s="384"/>
      <c r="AG336" s="384"/>
      <c r="AH336" s="384"/>
      <c r="AI336" s="384"/>
      <c r="AJ336" s="384"/>
      <c r="AK336" s="384"/>
      <c r="AL336" s="384"/>
      <c r="AM336" s="384"/>
      <c r="AN336" s="384"/>
      <c r="AO336" s="384"/>
      <c r="AP336" s="384"/>
      <c r="AQ336" s="384"/>
      <c r="AR336" s="384"/>
    </row>
    <row r="337" spans="2:44" s="637" customFormat="1" ht="12" customHeight="1">
      <c r="B337" s="744"/>
      <c r="C337" s="705" t="s">
        <v>2558</v>
      </c>
      <c r="D337" s="705" t="s">
        <v>1421</v>
      </c>
      <c r="E337" s="743" t="s">
        <v>2559</v>
      </c>
      <c r="F337" s="743" t="s">
        <v>2795</v>
      </c>
      <c r="G337" s="741" t="s">
        <v>441</v>
      </c>
      <c r="H337" s="742" t="s">
        <v>442</v>
      </c>
      <c r="I337" s="2025" t="s">
        <v>2781</v>
      </c>
      <c r="J337" s="729" t="s">
        <v>1688</v>
      </c>
      <c r="K337" s="730"/>
      <c r="L337" s="727"/>
      <c r="M337" s="728"/>
      <c r="N337" s="1180" t="s">
        <v>203</v>
      </c>
      <c r="O337" s="1180" t="s">
        <v>1778</v>
      </c>
      <c r="P337" s="349"/>
      <c r="Q337" s="2026"/>
      <c r="R337" s="705"/>
      <c r="S337" s="705"/>
      <c r="X337" s="384"/>
      <c r="Y337" s="384"/>
      <c r="Z337" s="384"/>
      <c r="AA337" s="384"/>
      <c r="AB337" s="384"/>
      <c r="AC337" s="384"/>
      <c r="AD337" s="384"/>
      <c r="AE337" s="384"/>
      <c r="AF337" s="384"/>
      <c r="AG337" s="384"/>
      <c r="AH337" s="384"/>
      <c r="AI337" s="384"/>
      <c r="AJ337" s="384"/>
      <c r="AK337" s="384"/>
      <c r="AL337" s="384"/>
      <c r="AM337" s="384"/>
      <c r="AN337" s="384"/>
      <c r="AO337" s="384"/>
      <c r="AP337" s="384"/>
      <c r="AQ337" s="384"/>
      <c r="AR337" s="384"/>
    </row>
    <row r="338" spans="2:44" s="637" customFormat="1" ht="12" customHeight="1">
      <c r="B338" s="636"/>
      <c r="C338" s="705" t="s">
        <v>2560</v>
      </c>
      <c r="D338" s="705" t="s">
        <v>1288</v>
      </c>
      <c r="E338" s="743" t="s">
        <v>1906</v>
      </c>
      <c r="F338" s="743" t="s">
        <v>2796</v>
      </c>
      <c r="G338" s="741" t="s">
        <v>1231</v>
      </c>
      <c r="H338" s="742" t="s">
        <v>443</v>
      </c>
      <c r="I338" s="2025" t="s">
        <v>2781</v>
      </c>
      <c r="J338" s="729" t="s">
        <v>844</v>
      </c>
      <c r="K338" s="730"/>
      <c r="L338" s="727"/>
      <c r="M338" s="728"/>
      <c r="N338" s="1180" t="s">
        <v>2293</v>
      </c>
      <c r="O338" s="1180" t="s">
        <v>203</v>
      </c>
      <c r="P338" s="349"/>
      <c r="Q338" s="2026"/>
      <c r="R338" s="705"/>
      <c r="S338" s="705"/>
      <c r="X338" s="384"/>
      <c r="Y338" s="384"/>
      <c r="Z338" s="384"/>
      <c r="AA338" s="384"/>
      <c r="AB338" s="384"/>
      <c r="AC338" s="384"/>
      <c r="AD338" s="384"/>
      <c r="AE338" s="384"/>
      <c r="AF338" s="384"/>
      <c r="AG338" s="384"/>
      <c r="AH338" s="384"/>
      <c r="AI338" s="384"/>
      <c r="AJ338" s="384"/>
      <c r="AK338" s="384"/>
      <c r="AL338" s="384"/>
      <c r="AM338" s="384"/>
      <c r="AN338" s="384"/>
      <c r="AO338" s="384"/>
      <c r="AP338" s="384"/>
      <c r="AQ338" s="384"/>
      <c r="AR338" s="384"/>
    </row>
    <row r="339" spans="2:44" s="637" customFormat="1" ht="12" customHeight="1">
      <c r="B339" s="636"/>
      <c r="F339" s="745"/>
      <c r="I339" s="746"/>
      <c r="J339" s="729" t="s">
        <v>846</v>
      </c>
      <c r="K339" s="730"/>
      <c r="L339" s="727"/>
      <c r="M339" s="728"/>
      <c r="N339" s="1180" t="s">
        <v>736</v>
      </c>
      <c r="O339" s="1180" t="s">
        <v>2317</v>
      </c>
      <c r="P339" s="349"/>
      <c r="Q339" s="384"/>
      <c r="R339" s="705"/>
      <c r="S339" s="705"/>
      <c r="X339" s="384"/>
      <c r="Y339" s="384"/>
      <c r="Z339" s="384"/>
      <c r="AA339" s="384"/>
      <c r="AB339" s="384"/>
      <c r="AC339" s="384"/>
      <c r="AD339" s="384"/>
      <c r="AE339" s="384"/>
      <c r="AF339" s="384"/>
      <c r="AG339" s="384"/>
      <c r="AH339" s="384"/>
      <c r="AI339" s="384"/>
      <c r="AJ339" s="384"/>
      <c r="AK339" s="384"/>
      <c r="AL339" s="384"/>
      <c r="AM339" s="384"/>
      <c r="AN339" s="384"/>
      <c r="AO339" s="384"/>
      <c r="AP339" s="384"/>
      <c r="AQ339" s="384"/>
      <c r="AR339" s="384"/>
    </row>
    <row r="340" spans="2:44" s="637" customFormat="1" ht="12" customHeight="1">
      <c r="B340" s="636"/>
      <c r="J340" s="729" t="s">
        <v>848</v>
      </c>
      <c r="K340" s="730"/>
      <c r="L340" s="727"/>
      <c r="M340" s="728"/>
      <c r="N340" s="705" t="s">
        <v>162</v>
      </c>
      <c r="O340" s="705" t="s">
        <v>2009</v>
      </c>
      <c r="P340" s="2028"/>
      <c r="Q340" s="384"/>
      <c r="R340" s="705"/>
      <c r="S340" s="705"/>
      <c r="X340" s="384"/>
      <c r="Y340" s="384"/>
      <c r="Z340" s="384"/>
      <c r="AA340" s="384"/>
      <c r="AB340" s="384"/>
      <c r="AC340" s="384"/>
      <c r="AD340" s="384"/>
      <c r="AE340" s="384"/>
      <c r="AF340" s="384"/>
      <c r="AG340" s="384"/>
      <c r="AH340" s="384"/>
      <c r="AI340" s="384"/>
      <c r="AJ340" s="384"/>
      <c r="AK340" s="384"/>
      <c r="AL340" s="384"/>
      <c r="AM340" s="384"/>
      <c r="AN340" s="384"/>
      <c r="AO340" s="384"/>
      <c r="AP340" s="384"/>
      <c r="AQ340" s="384"/>
      <c r="AR340" s="384"/>
    </row>
    <row r="341" spans="2:44" s="637" customFormat="1" ht="12" customHeight="1">
      <c r="B341" s="636"/>
      <c r="J341" s="729" t="s">
        <v>2586</v>
      </c>
      <c r="K341" s="730"/>
      <c r="L341" s="727"/>
      <c r="M341" s="728"/>
      <c r="N341" s="1180" t="s">
        <v>204</v>
      </c>
      <c r="O341" s="1180" t="s">
        <v>669</v>
      </c>
      <c r="P341" s="705"/>
      <c r="R341" s="705"/>
      <c r="S341" s="705"/>
      <c r="X341" s="384"/>
      <c r="Y341" s="384"/>
      <c r="Z341" s="384"/>
      <c r="AA341" s="384"/>
      <c r="AB341" s="384"/>
      <c r="AC341" s="384"/>
      <c r="AD341" s="384"/>
      <c r="AE341" s="384"/>
      <c r="AF341" s="384"/>
      <c r="AG341" s="384"/>
      <c r="AH341" s="384"/>
      <c r="AI341" s="384"/>
      <c r="AJ341" s="384"/>
      <c r="AK341" s="384"/>
      <c r="AL341" s="384"/>
      <c r="AM341" s="384"/>
      <c r="AN341" s="384"/>
      <c r="AO341" s="384"/>
      <c r="AP341" s="384"/>
      <c r="AQ341" s="384"/>
      <c r="AR341" s="384"/>
    </row>
    <row r="342" spans="2:44" s="637" customFormat="1" ht="12" customHeight="1">
      <c r="B342" s="636"/>
      <c r="J342" s="729" t="s">
        <v>2587</v>
      </c>
      <c r="K342" s="730"/>
      <c r="L342" s="727"/>
      <c r="M342" s="728"/>
      <c r="N342" s="1180" t="s">
        <v>2750</v>
      </c>
      <c r="O342" s="1180" t="s">
        <v>2145</v>
      </c>
      <c r="P342" s="705"/>
      <c r="R342" s="705"/>
      <c r="S342" s="705"/>
      <c r="X342" s="384"/>
      <c r="Y342" s="384"/>
      <c r="Z342" s="384"/>
      <c r="AA342" s="384"/>
      <c r="AB342" s="384"/>
      <c r="AC342" s="384"/>
      <c r="AD342" s="384"/>
      <c r="AE342" s="384"/>
      <c r="AF342" s="384"/>
      <c r="AG342" s="384"/>
      <c r="AH342" s="384"/>
      <c r="AI342" s="384"/>
      <c r="AJ342" s="384"/>
      <c r="AK342" s="384"/>
      <c r="AL342" s="384"/>
      <c r="AM342" s="384"/>
      <c r="AN342" s="384"/>
      <c r="AO342" s="384"/>
      <c r="AP342" s="384"/>
      <c r="AQ342" s="384"/>
      <c r="AR342" s="384"/>
    </row>
    <row r="343" spans="2:44" s="637" customFormat="1" ht="12" customHeight="1">
      <c r="B343" s="636"/>
      <c r="J343" s="729" t="s">
        <v>2589</v>
      </c>
      <c r="K343" s="730"/>
      <c r="L343" s="727"/>
      <c r="M343" s="728"/>
      <c r="N343" s="1180" t="s">
        <v>845</v>
      </c>
      <c r="O343" s="1180" t="s">
        <v>109</v>
      </c>
      <c r="P343" s="705"/>
      <c r="X343" s="384"/>
      <c r="Y343" s="384"/>
      <c r="Z343" s="384"/>
      <c r="AA343" s="384"/>
      <c r="AB343" s="384"/>
      <c r="AC343" s="384"/>
      <c r="AD343" s="384"/>
      <c r="AE343" s="384"/>
      <c r="AF343" s="384"/>
      <c r="AG343" s="384"/>
      <c r="AH343" s="384"/>
      <c r="AI343" s="384"/>
      <c r="AJ343" s="384"/>
      <c r="AK343" s="384"/>
      <c r="AL343" s="384"/>
      <c r="AM343" s="384"/>
      <c r="AN343" s="384"/>
      <c r="AO343" s="384"/>
      <c r="AP343" s="384"/>
      <c r="AQ343" s="384"/>
      <c r="AR343" s="384"/>
    </row>
    <row r="344" spans="2:44" s="637" customFormat="1" ht="12" customHeight="1">
      <c r="B344" s="636"/>
      <c r="J344" s="729" t="s">
        <v>2591</v>
      </c>
      <c r="K344" s="730"/>
      <c r="L344" s="727"/>
      <c r="M344" s="728"/>
      <c r="N344" s="1180" t="s">
        <v>847</v>
      </c>
      <c r="O344" s="1180" t="s">
        <v>125</v>
      </c>
      <c r="P344" s="705"/>
      <c r="X344" s="384"/>
      <c r="Y344" s="384"/>
      <c r="Z344" s="384"/>
      <c r="AA344" s="384"/>
      <c r="AB344" s="384"/>
      <c r="AC344" s="384"/>
      <c r="AD344" s="384"/>
      <c r="AE344" s="384"/>
      <c r="AF344" s="384"/>
      <c r="AG344" s="384"/>
      <c r="AH344" s="384"/>
      <c r="AI344" s="384"/>
      <c r="AJ344" s="384"/>
      <c r="AK344" s="384"/>
      <c r="AL344" s="384"/>
      <c r="AM344" s="384"/>
      <c r="AN344" s="384"/>
      <c r="AO344" s="384"/>
      <c r="AP344" s="384"/>
      <c r="AQ344" s="384"/>
      <c r="AR344" s="384"/>
    </row>
    <row r="345" spans="2:44" s="637" customFormat="1" ht="12" customHeight="1">
      <c r="B345" s="636"/>
      <c r="J345" s="729" t="s">
        <v>2592</v>
      </c>
      <c r="K345" s="730"/>
      <c r="L345" s="727"/>
      <c r="M345" s="728"/>
      <c r="N345" s="1180" t="s">
        <v>849</v>
      </c>
      <c r="O345" s="1180" t="s">
        <v>344</v>
      </c>
      <c r="P345" s="705"/>
      <c r="X345" s="384"/>
      <c r="Y345" s="384"/>
      <c r="Z345" s="384"/>
      <c r="AA345" s="384"/>
      <c r="AB345" s="384"/>
      <c r="AC345" s="384"/>
      <c r="AD345" s="384"/>
      <c r="AE345" s="384"/>
      <c r="AF345" s="384"/>
      <c r="AG345" s="384"/>
      <c r="AH345" s="384"/>
      <c r="AI345" s="384"/>
      <c r="AJ345" s="384"/>
      <c r="AK345" s="384"/>
      <c r="AL345" s="384"/>
      <c r="AM345" s="384"/>
      <c r="AN345" s="384"/>
      <c r="AO345" s="384"/>
      <c r="AP345" s="384"/>
      <c r="AQ345" s="384"/>
      <c r="AR345" s="384"/>
    </row>
    <row r="346" spans="2:44" s="637" customFormat="1" ht="12" customHeight="1">
      <c r="B346" s="636"/>
      <c r="J346" s="729" t="s">
        <v>400</v>
      </c>
      <c r="K346" s="730"/>
      <c r="L346" s="727"/>
      <c r="M346" s="728"/>
      <c r="N346" s="1180" t="s">
        <v>3492</v>
      </c>
      <c r="O346" s="1180" t="s">
        <v>933</v>
      </c>
      <c r="P346" s="705"/>
      <c r="X346" s="384"/>
      <c r="Y346" s="384"/>
      <c r="Z346" s="384"/>
      <c r="AA346" s="384"/>
      <c r="AB346" s="384"/>
      <c r="AC346" s="384"/>
      <c r="AD346" s="384"/>
      <c r="AE346" s="384"/>
      <c r="AF346" s="384"/>
      <c r="AG346" s="384"/>
      <c r="AH346" s="384"/>
      <c r="AI346" s="384"/>
      <c r="AJ346" s="384"/>
      <c r="AK346" s="384"/>
      <c r="AL346" s="384"/>
      <c r="AM346" s="384"/>
      <c r="AN346" s="384"/>
      <c r="AO346" s="384"/>
      <c r="AP346" s="384"/>
      <c r="AQ346" s="384"/>
      <c r="AR346" s="384"/>
    </row>
    <row r="347" spans="2:44" s="637" customFormat="1" ht="12" customHeight="1">
      <c r="B347" s="636"/>
      <c r="J347" s="729" t="s">
        <v>50</v>
      </c>
      <c r="K347" s="730"/>
      <c r="L347" s="727"/>
      <c r="M347" s="728"/>
      <c r="N347" s="705" t="s">
        <v>2588</v>
      </c>
      <c r="O347" s="705" t="s">
        <v>1549</v>
      </c>
      <c r="P347" s="2029"/>
      <c r="X347" s="384"/>
      <c r="Y347" s="384"/>
      <c r="Z347" s="384"/>
      <c r="AA347" s="384"/>
      <c r="AB347" s="384"/>
      <c r="AC347" s="384"/>
      <c r="AD347" s="384"/>
      <c r="AE347" s="384"/>
      <c r="AF347" s="384"/>
      <c r="AG347" s="384"/>
      <c r="AH347" s="384"/>
      <c r="AI347" s="384"/>
      <c r="AJ347" s="384"/>
      <c r="AK347" s="384"/>
      <c r="AL347" s="384"/>
      <c r="AM347" s="384"/>
      <c r="AN347" s="384"/>
      <c r="AO347" s="384"/>
      <c r="AP347" s="384"/>
      <c r="AQ347" s="384"/>
      <c r="AR347" s="384"/>
    </row>
    <row r="348" spans="2:44" s="637" customFormat="1" ht="12" customHeight="1">
      <c r="B348" s="636"/>
      <c r="J348" s="729" t="s">
        <v>52</v>
      </c>
      <c r="K348" s="730"/>
      <c r="L348" s="727"/>
      <c r="M348" s="728"/>
      <c r="N348" s="1180" t="s">
        <v>2590</v>
      </c>
      <c r="O348" s="1180" t="s">
        <v>1170</v>
      </c>
      <c r="P348" s="705"/>
      <c r="X348" s="384"/>
      <c r="Y348" s="384"/>
      <c r="Z348" s="384"/>
      <c r="AA348" s="384"/>
      <c r="AB348" s="384"/>
      <c r="AC348" s="384"/>
      <c r="AD348" s="384"/>
      <c r="AE348" s="384"/>
      <c r="AF348" s="384"/>
      <c r="AG348" s="384"/>
      <c r="AH348" s="384"/>
      <c r="AI348" s="384"/>
      <c r="AJ348" s="384"/>
      <c r="AK348" s="384"/>
      <c r="AL348" s="384"/>
      <c r="AM348" s="384"/>
      <c r="AN348" s="384"/>
      <c r="AO348" s="384"/>
      <c r="AP348" s="384"/>
      <c r="AQ348" s="384"/>
      <c r="AR348" s="384"/>
    </row>
    <row r="349" spans="2:44" s="637" customFormat="1" ht="12" customHeight="1">
      <c r="B349" s="636"/>
      <c r="J349" s="729" t="s">
        <v>2056</v>
      </c>
      <c r="K349" s="730"/>
      <c r="L349" s="727"/>
      <c r="M349" s="728"/>
      <c r="N349" s="1180" t="s">
        <v>2751</v>
      </c>
      <c r="O349" s="1180" t="s">
        <v>712</v>
      </c>
      <c r="P349" s="705"/>
      <c r="X349" s="384"/>
      <c r="Y349" s="384"/>
      <c r="Z349" s="384"/>
      <c r="AA349" s="384"/>
      <c r="AB349" s="384"/>
      <c r="AC349" s="384"/>
      <c r="AD349" s="384"/>
      <c r="AE349" s="384"/>
      <c r="AF349" s="384"/>
      <c r="AG349" s="384"/>
      <c r="AH349" s="384"/>
      <c r="AI349" s="384"/>
      <c r="AJ349" s="384"/>
      <c r="AK349" s="384"/>
      <c r="AL349" s="384"/>
      <c r="AM349" s="384"/>
      <c r="AN349" s="384"/>
      <c r="AO349" s="384"/>
      <c r="AP349" s="384"/>
      <c r="AQ349" s="384"/>
      <c r="AR349" s="384"/>
    </row>
    <row r="350" spans="2:44" s="637" customFormat="1" ht="12" customHeight="1">
      <c r="B350" s="636"/>
      <c r="J350" s="729" t="s">
        <v>2057</v>
      </c>
      <c r="K350" s="730"/>
      <c r="L350" s="727"/>
      <c r="M350" s="728"/>
      <c r="N350" s="1180" t="s">
        <v>399</v>
      </c>
      <c r="O350" s="1180" t="s">
        <v>2657</v>
      </c>
      <c r="P350" s="705"/>
      <c r="X350" s="384"/>
      <c r="Y350" s="384"/>
      <c r="Z350" s="384"/>
      <c r="AA350" s="384"/>
      <c r="AB350" s="384"/>
      <c r="AC350" s="384"/>
      <c r="AD350" s="384"/>
      <c r="AE350" s="384"/>
      <c r="AF350" s="384"/>
      <c r="AG350" s="384"/>
      <c r="AH350" s="384"/>
      <c r="AI350" s="384"/>
      <c r="AJ350" s="384"/>
      <c r="AK350" s="384"/>
      <c r="AL350" s="384"/>
      <c r="AM350" s="384"/>
      <c r="AN350" s="384"/>
      <c r="AO350" s="384"/>
      <c r="AP350" s="384"/>
      <c r="AQ350" s="384"/>
      <c r="AR350" s="384"/>
    </row>
    <row r="351" spans="2:44" s="637" customFormat="1" ht="12" customHeight="1">
      <c r="B351" s="636"/>
      <c r="J351" s="729" t="s">
        <v>2059</v>
      </c>
      <c r="K351" s="730"/>
      <c r="L351" s="727"/>
      <c r="M351" s="728"/>
      <c r="N351" s="638" t="s">
        <v>401</v>
      </c>
      <c r="O351" s="1180" t="s">
        <v>2310</v>
      </c>
      <c r="P351" s="705"/>
      <c r="X351" s="384"/>
      <c r="Y351" s="384"/>
      <c r="Z351" s="384"/>
      <c r="AA351" s="384"/>
      <c r="AB351" s="384"/>
      <c r="AC351" s="384"/>
      <c r="AD351" s="384"/>
      <c r="AE351" s="384"/>
      <c r="AF351" s="384"/>
      <c r="AG351" s="384"/>
      <c r="AH351" s="384"/>
      <c r="AI351" s="384"/>
      <c r="AJ351" s="384"/>
      <c r="AK351" s="384"/>
      <c r="AL351" s="384"/>
      <c r="AM351" s="384"/>
      <c r="AN351" s="384"/>
      <c r="AO351" s="384"/>
      <c r="AP351" s="384"/>
      <c r="AQ351" s="384"/>
      <c r="AR351" s="384"/>
    </row>
    <row r="352" spans="2:44" s="637" customFormat="1" ht="12" customHeight="1">
      <c r="B352" s="636"/>
      <c r="J352" s="729" t="s">
        <v>2060</v>
      </c>
      <c r="K352" s="730"/>
      <c r="L352" s="727"/>
      <c r="M352" s="728"/>
      <c r="N352" s="1180" t="s">
        <v>51</v>
      </c>
      <c r="O352" s="1180" t="s">
        <v>1010</v>
      </c>
      <c r="P352" s="705"/>
      <c r="X352" s="384"/>
      <c r="Y352" s="384"/>
      <c r="Z352" s="384"/>
      <c r="AA352" s="384"/>
      <c r="AB352" s="384"/>
      <c r="AC352" s="384"/>
      <c r="AD352" s="384"/>
      <c r="AE352" s="384"/>
      <c r="AF352" s="384"/>
      <c r="AG352" s="384"/>
      <c r="AH352" s="384"/>
      <c r="AI352" s="384"/>
      <c r="AJ352" s="384"/>
      <c r="AK352" s="384"/>
      <c r="AL352" s="384"/>
      <c r="AM352" s="384"/>
      <c r="AN352" s="384"/>
      <c r="AO352" s="384"/>
      <c r="AP352" s="384"/>
      <c r="AQ352" s="384"/>
      <c r="AR352" s="384"/>
    </row>
    <row r="353" spans="2:44" s="637" customFormat="1" ht="12" customHeight="1">
      <c r="B353" s="636"/>
      <c r="J353" s="729" t="s">
        <v>2061</v>
      </c>
      <c r="K353" s="730"/>
      <c r="L353" s="727"/>
      <c r="M353" s="728"/>
      <c r="N353" s="1180" t="s">
        <v>53</v>
      </c>
      <c r="O353" s="1180" t="s">
        <v>669</v>
      </c>
      <c r="P353" s="705"/>
      <c r="X353" s="384"/>
      <c r="Y353" s="384"/>
      <c r="Z353" s="384"/>
      <c r="AA353" s="384"/>
      <c r="AB353" s="384"/>
      <c r="AC353" s="384"/>
      <c r="AD353" s="384"/>
      <c r="AE353" s="384"/>
      <c r="AF353" s="384"/>
      <c r="AG353" s="384"/>
      <c r="AH353" s="384"/>
      <c r="AI353" s="384"/>
      <c r="AJ353" s="384"/>
      <c r="AK353" s="384"/>
      <c r="AL353" s="384"/>
      <c r="AM353" s="384"/>
      <c r="AN353" s="384"/>
      <c r="AO353" s="384"/>
      <c r="AP353" s="384"/>
      <c r="AQ353" s="384"/>
      <c r="AR353" s="384"/>
    </row>
    <row r="354" spans="2:44" s="637" customFormat="1" ht="12" customHeight="1">
      <c r="B354" s="636"/>
      <c r="J354" s="729" t="s">
        <v>2063</v>
      </c>
      <c r="K354" s="730"/>
      <c r="L354" s="727"/>
      <c r="M354" s="728"/>
      <c r="N354" s="1180" t="s">
        <v>928</v>
      </c>
      <c r="O354" s="1180" t="s">
        <v>2655</v>
      </c>
      <c r="P354" s="728"/>
      <c r="X354" s="384"/>
      <c r="Y354" s="384"/>
      <c r="Z354" s="384"/>
      <c r="AA354" s="384"/>
      <c r="AB354" s="384"/>
      <c r="AC354" s="384"/>
      <c r="AD354" s="384"/>
      <c r="AE354" s="384"/>
      <c r="AF354" s="384"/>
      <c r="AG354" s="384"/>
      <c r="AH354" s="384"/>
      <c r="AI354" s="384"/>
      <c r="AJ354" s="384"/>
      <c r="AK354" s="384"/>
      <c r="AL354" s="384"/>
      <c r="AM354" s="384"/>
      <c r="AN354" s="384"/>
      <c r="AO354" s="384"/>
      <c r="AP354" s="384"/>
      <c r="AQ354" s="384"/>
      <c r="AR354" s="384"/>
    </row>
    <row r="355" spans="2:44" s="637" customFormat="1" ht="12" customHeight="1">
      <c r="B355" s="636"/>
      <c r="J355" s="729" t="s">
        <v>764</v>
      </c>
      <c r="K355" s="730"/>
      <c r="L355" s="727"/>
      <c r="M355" s="728"/>
      <c r="N355" s="705" t="s">
        <v>2058</v>
      </c>
      <c r="O355" s="705" t="s">
        <v>928</v>
      </c>
      <c r="P355" s="2029"/>
      <c r="X355" s="384"/>
      <c r="Y355" s="384"/>
      <c r="Z355" s="384"/>
      <c r="AA355" s="384"/>
      <c r="AB355" s="384"/>
      <c r="AC355" s="384"/>
      <c r="AD355" s="384"/>
      <c r="AE355" s="384"/>
      <c r="AF355" s="384"/>
      <c r="AG355" s="384"/>
      <c r="AH355" s="384"/>
      <c r="AI355" s="384"/>
      <c r="AJ355" s="384"/>
      <c r="AK355" s="384"/>
      <c r="AL355" s="384"/>
      <c r="AM355" s="384"/>
      <c r="AN355" s="384"/>
      <c r="AO355" s="384"/>
      <c r="AP355" s="384"/>
      <c r="AQ355" s="384"/>
      <c r="AR355" s="384"/>
    </row>
    <row r="356" spans="2:44" s="637" customFormat="1" ht="12" customHeight="1">
      <c r="B356" s="636"/>
      <c r="J356" s="729" t="s">
        <v>1208</v>
      </c>
      <c r="K356" s="730"/>
      <c r="L356" s="727"/>
      <c r="M356" s="728"/>
      <c r="N356" s="705" t="s">
        <v>2752</v>
      </c>
      <c r="O356" s="705" t="s">
        <v>669</v>
      </c>
      <c r="P356" s="2029"/>
      <c r="X356" s="384"/>
      <c r="Y356" s="384"/>
      <c r="Z356" s="384"/>
      <c r="AA356" s="384"/>
      <c r="AB356" s="384"/>
      <c r="AC356" s="384"/>
      <c r="AD356" s="384"/>
      <c r="AE356" s="384"/>
      <c r="AF356" s="384"/>
      <c r="AG356" s="384"/>
      <c r="AH356" s="384"/>
      <c r="AI356" s="384"/>
      <c r="AJ356" s="384"/>
      <c r="AK356" s="384"/>
      <c r="AL356" s="384"/>
      <c r="AM356" s="384"/>
      <c r="AN356" s="384"/>
      <c r="AO356" s="384"/>
      <c r="AP356" s="384"/>
      <c r="AQ356" s="384"/>
      <c r="AR356" s="384"/>
    </row>
    <row r="357" spans="2:44" s="637" customFormat="1" ht="12" customHeight="1">
      <c r="B357" s="636"/>
      <c r="J357" s="729" t="s">
        <v>1210</v>
      </c>
      <c r="K357" s="730"/>
      <c r="L357" s="727"/>
      <c r="M357" s="728"/>
      <c r="N357" s="1180" t="s">
        <v>3493</v>
      </c>
      <c r="O357" s="1180" t="s">
        <v>2652</v>
      </c>
      <c r="P357" s="728"/>
      <c r="X357" s="384"/>
      <c r="Y357" s="384"/>
      <c r="Z357" s="384"/>
      <c r="AA357" s="384"/>
      <c r="AB357" s="384"/>
      <c r="AC357" s="384"/>
      <c r="AD357" s="384"/>
      <c r="AE357" s="384"/>
      <c r="AF357" s="384"/>
      <c r="AG357" s="384"/>
      <c r="AH357" s="384"/>
      <c r="AI357" s="384"/>
      <c r="AJ357" s="384"/>
      <c r="AK357" s="384"/>
      <c r="AL357" s="384"/>
      <c r="AM357" s="384"/>
      <c r="AN357" s="384"/>
      <c r="AO357" s="384"/>
      <c r="AP357" s="384"/>
      <c r="AQ357" s="384"/>
      <c r="AR357" s="384"/>
    </row>
    <row r="358" spans="2:44" s="637" customFormat="1" ht="12" customHeight="1">
      <c r="B358" s="636"/>
      <c r="J358" s="729" t="s">
        <v>1212</v>
      </c>
      <c r="K358" s="730"/>
      <c r="L358" s="727"/>
      <c r="M358" s="728"/>
      <c r="N358" s="1180" t="s">
        <v>2062</v>
      </c>
      <c r="O358" s="1180" t="s">
        <v>1549</v>
      </c>
      <c r="P358" s="728"/>
      <c r="X358" s="384"/>
      <c r="Y358" s="384"/>
      <c r="Z358" s="384"/>
      <c r="AA358" s="384"/>
      <c r="AB358" s="384"/>
      <c r="AC358" s="384"/>
      <c r="AD358" s="384"/>
      <c r="AE358" s="384"/>
      <c r="AF358" s="384"/>
      <c r="AG358" s="384"/>
      <c r="AH358" s="384"/>
      <c r="AI358" s="384"/>
      <c r="AJ358" s="384"/>
      <c r="AK358" s="384"/>
      <c r="AL358" s="384"/>
      <c r="AM358" s="384"/>
      <c r="AN358" s="384"/>
      <c r="AO358" s="384"/>
      <c r="AP358" s="384"/>
      <c r="AQ358" s="384"/>
      <c r="AR358" s="384"/>
    </row>
    <row r="359" spans="2:44" s="637" customFormat="1" ht="12" customHeight="1">
      <c r="B359" s="636"/>
      <c r="J359" s="729" t="s">
        <v>2684</v>
      </c>
      <c r="K359" s="730"/>
      <c r="L359" s="727"/>
      <c r="M359" s="728"/>
      <c r="N359" s="1180" t="s">
        <v>2064</v>
      </c>
      <c r="O359" s="1180" t="s">
        <v>1549</v>
      </c>
      <c r="P359" s="728"/>
      <c r="X359" s="384"/>
      <c r="Y359" s="384"/>
      <c r="Z359" s="384"/>
      <c r="AA359" s="384"/>
      <c r="AB359" s="384"/>
      <c r="AC359" s="384"/>
      <c r="AD359" s="384"/>
      <c r="AE359" s="384"/>
      <c r="AF359" s="384"/>
      <c r="AG359" s="384"/>
      <c r="AH359" s="384"/>
      <c r="AI359" s="384"/>
      <c r="AJ359" s="384"/>
      <c r="AK359" s="384"/>
      <c r="AL359" s="384"/>
      <c r="AM359" s="384"/>
      <c r="AN359" s="384"/>
      <c r="AO359" s="384"/>
      <c r="AP359" s="384"/>
      <c r="AQ359" s="384"/>
      <c r="AR359" s="384"/>
    </row>
    <row r="360" spans="2:44" s="637" customFormat="1" ht="12" customHeight="1">
      <c r="B360" s="636"/>
      <c r="J360" s="729" t="s">
        <v>2686</v>
      </c>
      <c r="K360" s="730"/>
      <c r="L360" s="727"/>
      <c r="M360" s="728"/>
      <c r="N360" s="1180" t="s">
        <v>765</v>
      </c>
      <c r="O360" s="1180" t="s">
        <v>124</v>
      </c>
      <c r="P360" s="728"/>
      <c r="X360" s="384"/>
      <c r="Y360" s="384"/>
      <c r="Z360" s="384"/>
      <c r="AA360" s="384"/>
      <c r="AB360" s="384"/>
      <c r="AC360" s="384"/>
      <c r="AD360" s="384"/>
      <c r="AE360" s="384"/>
      <c r="AF360" s="384"/>
      <c r="AG360" s="384"/>
      <c r="AH360" s="384"/>
      <c r="AI360" s="384"/>
      <c r="AJ360" s="384"/>
      <c r="AK360" s="384"/>
      <c r="AL360" s="384"/>
      <c r="AM360" s="384"/>
      <c r="AN360" s="384"/>
      <c r="AO360" s="384"/>
      <c r="AP360" s="384"/>
      <c r="AQ360" s="384"/>
      <c r="AR360" s="384"/>
    </row>
    <row r="361" spans="2:44" s="637" customFormat="1" ht="12" customHeight="1">
      <c r="B361" s="636"/>
      <c r="J361" s="729" t="s">
        <v>195</v>
      </c>
      <c r="K361" s="730"/>
      <c r="L361" s="727"/>
      <c r="M361" s="728"/>
      <c r="N361" s="1180" t="s">
        <v>737</v>
      </c>
      <c r="O361" s="1180" t="s">
        <v>669</v>
      </c>
      <c r="P361" s="728"/>
      <c r="X361" s="384"/>
      <c r="Y361" s="384"/>
      <c r="Z361" s="384"/>
      <c r="AA361" s="384"/>
      <c r="AB361" s="384"/>
      <c r="AC361" s="384"/>
      <c r="AD361" s="384"/>
      <c r="AE361" s="384"/>
      <c r="AF361" s="384"/>
      <c r="AG361" s="384"/>
      <c r="AH361" s="384"/>
      <c r="AI361" s="384"/>
      <c r="AJ361" s="384"/>
      <c r="AK361" s="384"/>
      <c r="AL361" s="384"/>
      <c r="AM361" s="384"/>
      <c r="AN361" s="384"/>
      <c r="AO361" s="384"/>
      <c r="AP361" s="384"/>
      <c r="AQ361" s="384"/>
      <c r="AR361" s="384"/>
    </row>
    <row r="362" spans="2:44" s="637" customFormat="1" ht="12" customHeight="1">
      <c r="B362" s="636"/>
      <c r="J362" s="729" t="s">
        <v>197</v>
      </c>
      <c r="K362" s="730"/>
      <c r="L362" s="727"/>
      <c r="M362" s="728"/>
      <c r="N362" s="1180" t="s">
        <v>3494</v>
      </c>
      <c r="O362" s="1180" t="s">
        <v>166</v>
      </c>
      <c r="P362" s="728"/>
      <c r="X362" s="384"/>
      <c r="Y362" s="384"/>
      <c r="Z362" s="384"/>
      <c r="AA362" s="384"/>
      <c r="AB362" s="384"/>
      <c r="AC362" s="384"/>
      <c r="AD362" s="384"/>
      <c r="AE362" s="384"/>
      <c r="AF362" s="384"/>
      <c r="AG362" s="384"/>
      <c r="AH362" s="384"/>
      <c r="AI362" s="384"/>
      <c r="AJ362" s="384"/>
      <c r="AK362" s="384"/>
      <c r="AL362" s="384"/>
      <c r="AM362" s="384"/>
      <c r="AN362" s="384"/>
      <c r="AO362" s="384"/>
      <c r="AP362" s="384"/>
      <c r="AQ362" s="384"/>
      <c r="AR362" s="384"/>
    </row>
    <row r="363" spans="2:44" s="637" customFormat="1" ht="12" customHeight="1">
      <c r="B363" s="636"/>
      <c r="J363" s="729" t="s">
        <v>1952</v>
      </c>
      <c r="K363" s="730"/>
      <c r="L363" s="727"/>
      <c r="M363" s="728"/>
      <c r="N363" s="1180" t="s">
        <v>3495</v>
      </c>
      <c r="O363" s="1180" t="s">
        <v>334</v>
      </c>
      <c r="P363" s="728"/>
      <c r="X363" s="384"/>
      <c r="Y363" s="384"/>
      <c r="Z363" s="384"/>
      <c r="AA363" s="384"/>
      <c r="AB363" s="384"/>
      <c r="AC363" s="384"/>
      <c r="AD363" s="384"/>
      <c r="AE363" s="384"/>
      <c r="AF363" s="384"/>
      <c r="AG363" s="384"/>
      <c r="AH363" s="384"/>
      <c r="AI363" s="384"/>
      <c r="AJ363" s="384"/>
      <c r="AK363" s="384"/>
      <c r="AL363" s="384"/>
      <c r="AM363" s="384"/>
      <c r="AN363" s="384"/>
      <c r="AO363" s="384"/>
      <c r="AP363" s="384"/>
      <c r="AQ363" s="384"/>
      <c r="AR363" s="384"/>
    </row>
    <row r="364" spans="2:44" s="637" customFormat="1" ht="12" customHeight="1">
      <c r="B364" s="636"/>
      <c r="J364" s="729" t="s">
        <v>1954</v>
      </c>
      <c r="K364" s="730"/>
      <c r="L364" s="727"/>
      <c r="M364" s="728"/>
      <c r="N364" s="1180" t="s">
        <v>1209</v>
      </c>
      <c r="O364" s="1180" t="s">
        <v>1549</v>
      </c>
      <c r="P364" s="728"/>
      <c r="X364" s="384"/>
      <c r="Y364" s="384"/>
      <c r="Z364" s="384"/>
      <c r="AA364" s="384"/>
      <c r="AB364" s="384"/>
      <c r="AC364" s="384"/>
      <c r="AD364" s="384"/>
      <c r="AE364" s="384"/>
      <c r="AF364" s="384"/>
      <c r="AG364" s="384"/>
      <c r="AH364" s="384"/>
      <c r="AI364" s="384"/>
      <c r="AJ364" s="384"/>
      <c r="AK364" s="384"/>
      <c r="AL364" s="384"/>
      <c r="AM364" s="384"/>
      <c r="AN364" s="384"/>
      <c r="AO364" s="384"/>
      <c r="AP364" s="384"/>
      <c r="AQ364" s="384"/>
      <c r="AR364" s="384"/>
    </row>
    <row r="365" spans="2:44" s="637" customFormat="1" ht="12" customHeight="1">
      <c r="B365" s="636"/>
      <c r="J365" s="729" t="s">
        <v>2024</v>
      </c>
      <c r="K365" s="730"/>
      <c r="L365" s="727"/>
      <c r="M365" s="728"/>
      <c r="N365" s="1180" t="s">
        <v>1211</v>
      </c>
      <c r="O365" s="1180" t="s">
        <v>708</v>
      </c>
      <c r="P365" s="728"/>
      <c r="X365" s="384"/>
      <c r="Y365" s="384"/>
      <c r="Z365" s="384"/>
      <c r="AA365" s="384"/>
      <c r="AB365" s="384"/>
      <c r="AC365" s="384"/>
      <c r="AD365" s="384"/>
      <c r="AE365" s="384"/>
      <c r="AF365" s="384"/>
      <c r="AG365" s="384"/>
      <c r="AH365" s="384"/>
      <c r="AI365" s="384"/>
      <c r="AJ365" s="384"/>
      <c r="AK365" s="384"/>
      <c r="AL365" s="384"/>
      <c r="AM365" s="384"/>
      <c r="AN365" s="384"/>
      <c r="AO365" s="384"/>
      <c r="AP365" s="384"/>
      <c r="AQ365" s="384"/>
      <c r="AR365" s="384"/>
    </row>
    <row r="366" spans="2:44" s="637" customFormat="1" ht="12" customHeight="1">
      <c r="B366" s="636"/>
      <c r="J366" s="729" t="s">
        <v>2026</v>
      </c>
      <c r="K366" s="730"/>
      <c r="L366" s="727"/>
      <c r="M366" s="728"/>
      <c r="N366" s="1180" t="s">
        <v>2753</v>
      </c>
      <c r="O366" s="1180" t="s">
        <v>2312</v>
      </c>
      <c r="P366" s="728"/>
      <c r="X366" s="384"/>
      <c r="Y366" s="384"/>
      <c r="Z366" s="384"/>
      <c r="AA366" s="384"/>
      <c r="AB366" s="384"/>
      <c r="AC366" s="384"/>
      <c r="AD366" s="384"/>
      <c r="AE366" s="384"/>
      <c r="AF366" s="384"/>
      <c r="AG366" s="384"/>
      <c r="AH366" s="384"/>
      <c r="AI366" s="384"/>
      <c r="AJ366" s="384"/>
      <c r="AK366" s="384"/>
      <c r="AL366" s="384"/>
      <c r="AM366" s="384"/>
      <c r="AN366" s="384"/>
      <c r="AO366" s="384"/>
      <c r="AP366" s="384"/>
      <c r="AQ366" s="384"/>
      <c r="AR366" s="384"/>
    </row>
    <row r="367" spans="2:44" s="637" customFormat="1" ht="12" customHeight="1">
      <c r="B367" s="636"/>
      <c r="J367" s="729" t="s">
        <v>2027</v>
      </c>
      <c r="K367" s="730"/>
      <c r="L367" s="727"/>
      <c r="M367" s="728"/>
      <c r="N367" s="1180" t="s">
        <v>2754</v>
      </c>
      <c r="O367" s="1180" t="s">
        <v>2704</v>
      </c>
      <c r="P367" s="728"/>
      <c r="X367" s="384"/>
      <c r="Y367" s="384"/>
      <c r="Z367" s="384"/>
      <c r="AA367" s="384"/>
      <c r="AB367" s="384"/>
      <c r="AC367" s="384"/>
      <c r="AD367" s="384"/>
      <c r="AE367" s="384"/>
      <c r="AF367" s="384"/>
      <c r="AG367" s="384"/>
      <c r="AH367" s="384"/>
      <c r="AI367" s="384"/>
      <c r="AJ367" s="384"/>
      <c r="AK367" s="384"/>
      <c r="AL367" s="384"/>
      <c r="AM367" s="384"/>
      <c r="AN367" s="384"/>
      <c r="AO367" s="384"/>
      <c r="AP367" s="384"/>
      <c r="AQ367" s="384"/>
      <c r="AR367" s="384"/>
    </row>
    <row r="368" spans="2:44" s="637" customFormat="1" ht="12" customHeight="1">
      <c r="B368" s="636"/>
      <c r="J368" s="729" t="s">
        <v>2029</v>
      </c>
      <c r="K368" s="730"/>
      <c r="L368" s="727"/>
      <c r="M368" s="728"/>
      <c r="N368" s="1180" t="s">
        <v>1213</v>
      </c>
      <c r="O368" s="1180" t="s">
        <v>1283</v>
      </c>
      <c r="P368" s="728"/>
      <c r="X368" s="384"/>
      <c r="Y368" s="384"/>
      <c r="Z368" s="384"/>
      <c r="AA368" s="384"/>
      <c r="AB368" s="384"/>
      <c r="AC368" s="384"/>
      <c r="AD368" s="384"/>
      <c r="AE368" s="384"/>
      <c r="AF368" s="384"/>
      <c r="AG368" s="384"/>
      <c r="AH368" s="384"/>
      <c r="AI368" s="384"/>
      <c r="AJ368" s="384"/>
      <c r="AK368" s="384"/>
      <c r="AL368" s="384"/>
      <c r="AM368" s="384"/>
      <c r="AN368" s="384"/>
      <c r="AO368" s="384"/>
      <c r="AP368" s="384"/>
      <c r="AQ368" s="384"/>
      <c r="AR368" s="384"/>
    </row>
    <row r="369" spans="2:44" s="637" customFormat="1" ht="12" customHeight="1">
      <c r="B369" s="636"/>
      <c r="J369" s="729" t="s">
        <v>2031</v>
      </c>
      <c r="K369" s="730"/>
      <c r="L369" s="727"/>
      <c r="M369" s="728"/>
      <c r="N369" s="1180" t="s">
        <v>2685</v>
      </c>
      <c r="O369" s="1180" t="s">
        <v>207</v>
      </c>
      <c r="P369" s="728"/>
      <c r="X369" s="384"/>
      <c r="Y369" s="384"/>
      <c r="Z369" s="384"/>
      <c r="AA369" s="384"/>
      <c r="AB369" s="384"/>
      <c r="AC369" s="384"/>
      <c r="AD369" s="384"/>
      <c r="AE369" s="384"/>
      <c r="AF369" s="384"/>
      <c r="AG369" s="384"/>
      <c r="AH369" s="384"/>
      <c r="AI369" s="384"/>
      <c r="AJ369" s="384"/>
      <c r="AK369" s="384"/>
      <c r="AL369" s="384"/>
      <c r="AM369" s="384"/>
      <c r="AN369" s="384"/>
      <c r="AO369" s="384"/>
      <c r="AP369" s="384"/>
      <c r="AQ369" s="384"/>
      <c r="AR369" s="384"/>
    </row>
    <row r="370" spans="2:44" s="637" customFormat="1" ht="12" customHeight="1">
      <c r="B370" s="636"/>
      <c r="J370" s="729" t="s">
        <v>2066</v>
      </c>
      <c r="K370" s="730"/>
      <c r="L370" s="727"/>
      <c r="M370" s="728"/>
      <c r="N370" s="1180" t="s">
        <v>479</v>
      </c>
      <c r="O370" s="1180" t="s">
        <v>1166</v>
      </c>
      <c r="P370" s="728"/>
      <c r="X370" s="384"/>
      <c r="Y370" s="384"/>
      <c r="Z370" s="384"/>
      <c r="AA370" s="384"/>
      <c r="AB370" s="384"/>
      <c r="AC370" s="384"/>
      <c r="AD370" s="384"/>
      <c r="AE370" s="384"/>
      <c r="AF370" s="384"/>
      <c r="AG370" s="384"/>
      <c r="AH370" s="384"/>
      <c r="AI370" s="384"/>
      <c r="AJ370" s="384"/>
      <c r="AK370" s="384"/>
      <c r="AL370" s="384"/>
      <c r="AM370" s="384"/>
      <c r="AN370" s="384"/>
      <c r="AO370" s="384"/>
      <c r="AP370" s="384"/>
      <c r="AQ370" s="384"/>
      <c r="AR370" s="384"/>
    </row>
    <row r="371" spans="2:44" s="637" customFormat="1" ht="12" customHeight="1">
      <c r="B371" s="636"/>
      <c r="J371" s="729" t="s">
        <v>2068</v>
      </c>
      <c r="K371" s="730"/>
      <c r="L371" s="727"/>
      <c r="M371" s="728"/>
      <c r="N371" s="705" t="s">
        <v>196</v>
      </c>
      <c r="O371" s="705" t="s">
        <v>710</v>
      </c>
      <c r="P371" s="2029"/>
      <c r="X371" s="384"/>
      <c r="Y371" s="384"/>
      <c r="Z371" s="384"/>
      <c r="AA371" s="384"/>
      <c r="AB371" s="384"/>
      <c r="AC371" s="384"/>
      <c r="AD371" s="384"/>
      <c r="AE371" s="384"/>
      <c r="AF371" s="384"/>
      <c r="AG371" s="384"/>
      <c r="AH371" s="384"/>
      <c r="AI371" s="384"/>
      <c r="AJ371" s="384"/>
      <c r="AK371" s="384"/>
      <c r="AL371" s="384"/>
      <c r="AM371" s="384"/>
      <c r="AN371" s="384"/>
      <c r="AO371" s="384"/>
      <c r="AP371" s="384"/>
      <c r="AQ371" s="384"/>
      <c r="AR371" s="384"/>
    </row>
    <row r="372" spans="2:44" s="637" customFormat="1" ht="12" customHeight="1">
      <c r="B372" s="636"/>
      <c r="J372" s="729" t="s">
        <v>2069</v>
      </c>
      <c r="K372" s="730"/>
      <c r="L372" s="727"/>
      <c r="M372" s="728"/>
      <c r="N372" s="705" t="s">
        <v>317</v>
      </c>
      <c r="O372" s="705" t="s">
        <v>1418</v>
      </c>
      <c r="P372" s="2029"/>
      <c r="X372" s="384"/>
      <c r="Y372" s="384"/>
      <c r="Z372" s="384"/>
      <c r="AA372" s="384"/>
      <c r="AB372" s="384"/>
      <c r="AC372" s="384"/>
      <c r="AD372" s="384"/>
      <c r="AE372" s="384"/>
      <c r="AF372" s="384"/>
      <c r="AG372" s="384"/>
      <c r="AH372" s="384"/>
      <c r="AI372" s="384"/>
      <c r="AJ372" s="384"/>
      <c r="AK372" s="384"/>
      <c r="AL372" s="384"/>
      <c r="AM372" s="384"/>
      <c r="AN372" s="384"/>
      <c r="AO372" s="384"/>
      <c r="AP372" s="384"/>
      <c r="AQ372" s="384"/>
      <c r="AR372" s="384"/>
    </row>
    <row r="373" spans="2:44" s="637" customFormat="1" ht="12" customHeight="1">
      <c r="B373" s="636"/>
      <c r="J373" s="729" t="s">
        <v>2071</v>
      </c>
      <c r="K373" s="730"/>
      <c r="L373" s="727"/>
      <c r="M373" s="728"/>
      <c r="N373" s="705" t="s">
        <v>1953</v>
      </c>
      <c r="O373" s="705" t="s">
        <v>933</v>
      </c>
      <c r="P373" s="2029"/>
      <c r="X373" s="384"/>
      <c r="Y373" s="384"/>
      <c r="Z373" s="384"/>
      <c r="AA373" s="384"/>
      <c r="AB373" s="384"/>
      <c r="AC373" s="384"/>
      <c r="AD373" s="384"/>
      <c r="AE373" s="384"/>
      <c r="AF373" s="384"/>
      <c r="AG373" s="384"/>
      <c r="AH373" s="384"/>
      <c r="AI373" s="384"/>
      <c r="AJ373" s="384"/>
      <c r="AK373" s="384"/>
      <c r="AL373" s="384"/>
      <c r="AM373" s="384"/>
      <c r="AN373" s="384"/>
      <c r="AO373" s="384"/>
      <c r="AP373" s="384"/>
      <c r="AQ373" s="384"/>
      <c r="AR373" s="384"/>
    </row>
    <row r="374" spans="2:44" s="637" customFormat="1" ht="12" customHeight="1">
      <c r="B374" s="636"/>
      <c r="J374" s="729" t="s">
        <v>2073</v>
      </c>
      <c r="K374" s="730"/>
      <c r="L374" s="727"/>
      <c r="M374" s="728"/>
      <c r="N374" s="1180" t="s">
        <v>1955</v>
      </c>
      <c r="O374" s="1180" t="s">
        <v>1176</v>
      </c>
      <c r="P374" s="728"/>
      <c r="X374" s="384"/>
      <c r="Y374" s="384"/>
      <c r="Z374" s="384"/>
      <c r="AA374" s="384"/>
      <c r="AB374" s="384"/>
      <c r="AC374" s="384"/>
      <c r="AD374" s="384"/>
      <c r="AE374" s="384"/>
      <c r="AF374" s="384"/>
      <c r="AG374" s="384"/>
      <c r="AH374" s="384"/>
      <c r="AI374" s="384"/>
      <c r="AJ374" s="384"/>
      <c r="AK374" s="384"/>
      <c r="AL374" s="384"/>
      <c r="AM374" s="384"/>
      <c r="AN374" s="384"/>
      <c r="AO374" s="384"/>
      <c r="AP374" s="384"/>
      <c r="AQ374" s="384"/>
      <c r="AR374" s="384"/>
    </row>
    <row r="375" spans="2:44" s="637" customFormat="1" ht="12" customHeight="1">
      <c r="B375" s="636"/>
      <c r="J375" s="729" t="s">
        <v>438</v>
      </c>
      <c r="K375" s="730"/>
      <c r="L375" s="727"/>
      <c r="M375" s="728"/>
      <c r="N375" s="1180" t="s">
        <v>2025</v>
      </c>
      <c r="O375" s="1180" t="s">
        <v>2657</v>
      </c>
      <c r="P375" s="728"/>
      <c r="X375" s="384"/>
      <c r="Y375" s="384"/>
      <c r="Z375" s="384"/>
      <c r="AA375" s="384"/>
      <c r="AB375" s="384"/>
      <c r="AC375" s="384"/>
      <c r="AD375" s="384"/>
      <c r="AE375" s="384"/>
      <c r="AF375" s="384"/>
      <c r="AG375" s="384"/>
      <c r="AH375" s="384"/>
      <c r="AI375" s="384"/>
      <c r="AJ375" s="384"/>
      <c r="AK375" s="384"/>
      <c r="AL375" s="384"/>
      <c r="AM375" s="384"/>
      <c r="AN375" s="384"/>
      <c r="AO375" s="384"/>
      <c r="AP375" s="384"/>
      <c r="AQ375" s="384"/>
      <c r="AR375" s="384"/>
    </row>
    <row r="376" spans="2:44" s="637" customFormat="1" ht="12" customHeight="1">
      <c r="B376" s="636"/>
      <c r="J376" s="729" t="s">
        <v>136</v>
      </c>
      <c r="K376" s="730"/>
      <c r="L376" s="727"/>
      <c r="M376" s="728"/>
      <c r="N376" s="705" t="s">
        <v>2028</v>
      </c>
      <c r="O376" s="705" t="s">
        <v>708</v>
      </c>
      <c r="P376" s="2029"/>
      <c r="X376" s="384"/>
      <c r="Y376" s="384"/>
      <c r="Z376" s="384"/>
      <c r="AA376" s="384"/>
      <c r="AB376" s="384"/>
      <c r="AC376" s="384"/>
      <c r="AD376" s="384"/>
      <c r="AE376" s="384"/>
      <c r="AF376" s="384"/>
      <c r="AG376" s="384"/>
      <c r="AH376" s="384"/>
      <c r="AI376" s="384"/>
      <c r="AJ376" s="384"/>
      <c r="AK376" s="384"/>
      <c r="AL376" s="384"/>
      <c r="AM376" s="384"/>
      <c r="AN376" s="384"/>
      <c r="AO376" s="384"/>
      <c r="AP376" s="384"/>
      <c r="AQ376" s="384"/>
      <c r="AR376" s="384"/>
    </row>
    <row r="377" spans="2:44" s="637" customFormat="1" ht="12" customHeight="1">
      <c r="B377" s="636"/>
      <c r="J377" s="729" t="s">
        <v>1793</v>
      </c>
      <c r="K377" s="730"/>
      <c r="L377" s="727"/>
      <c r="M377" s="728"/>
      <c r="N377" s="1180" t="s">
        <v>2030</v>
      </c>
      <c r="O377" s="1180" t="s">
        <v>1400</v>
      </c>
      <c r="P377" s="728"/>
      <c r="X377" s="384"/>
      <c r="Y377" s="384"/>
      <c r="Z377" s="384"/>
      <c r="AA377" s="384"/>
      <c r="AB377" s="384"/>
      <c r="AC377" s="384"/>
      <c r="AD377" s="384"/>
      <c r="AE377" s="384"/>
      <c r="AF377" s="384"/>
      <c r="AG377" s="384"/>
      <c r="AH377" s="384"/>
      <c r="AI377" s="384"/>
      <c r="AJ377" s="384"/>
      <c r="AK377" s="384"/>
      <c r="AL377" s="384"/>
      <c r="AM377" s="384"/>
      <c r="AN377" s="384"/>
      <c r="AO377" s="384"/>
      <c r="AP377" s="384"/>
      <c r="AQ377" s="384"/>
      <c r="AR377" s="384"/>
    </row>
    <row r="378" spans="2:44" s="637" customFormat="1" ht="12" customHeight="1">
      <c r="B378" s="636"/>
      <c r="J378" s="729" t="s">
        <v>1871</v>
      </c>
      <c r="K378" s="730"/>
      <c r="L378" s="727"/>
      <c r="M378" s="728"/>
      <c r="N378" s="1180" t="s">
        <v>3496</v>
      </c>
      <c r="O378" s="1180" t="s">
        <v>207</v>
      </c>
      <c r="P378" s="728"/>
      <c r="X378" s="384"/>
      <c r="Y378" s="384"/>
      <c r="Z378" s="384"/>
      <c r="AA378" s="384"/>
      <c r="AB378" s="384"/>
      <c r="AC378" s="384"/>
      <c r="AD378" s="384"/>
      <c r="AE378" s="384"/>
      <c r="AF378" s="384"/>
      <c r="AG378" s="384"/>
      <c r="AH378" s="384"/>
      <c r="AI378" s="384"/>
      <c r="AJ378" s="384"/>
      <c r="AK378" s="384"/>
      <c r="AL378" s="384"/>
      <c r="AM378" s="384"/>
      <c r="AN378" s="384"/>
      <c r="AO378" s="384"/>
      <c r="AP378" s="384"/>
      <c r="AQ378" s="384"/>
      <c r="AR378" s="384"/>
    </row>
    <row r="379" spans="2:44" s="637" customFormat="1" ht="12" customHeight="1">
      <c r="B379" s="636"/>
      <c r="J379" s="729" t="s">
        <v>2426</v>
      </c>
      <c r="K379" s="730"/>
      <c r="L379" s="727"/>
      <c r="M379" s="728"/>
      <c r="N379" s="1180" t="s">
        <v>2032</v>
      </c>
      <c r="O379" s="1180" t="s">
        <v>1403</v>
      </c>
      <c r="P379" s="728"/>
      <c r="X379" s="384"/>
      <c r="Y379" s="384"/>
      <c r="Z379" s="384"/>
      <c r="AA379" s="384"/>
      <c r="AB379" s="384"/>
      <c r="AC379" s="384"/>
      <c r="AD379" s="384"/>
      <c r="AE379" s="384"/>
      <c r="AF379" s="384"/>
      <c r="AG379" s="384"/>
      <c r="AH379" s="384"/>
      <c r="AI379" s="384"/>
      <c r="AJ379" s="384"/>
      <c r="AK379" s="384"/>
      <c r="AL379" s="384"/>
      <c r="AM379" s="384"/>
      <c r="AN379" s="384"/>
      <c r="AO379" s="384"/>
      <c r="AP379" s="384"/>
      <c r="AQ379" s="384"/>
      <c r="AR379" s="384"/>
    </row>
    <row r="380" spans="2:44" s="637" customFormat="1" ht="12" customHeight="1">
      <c r="B380" s="636"/>
      <c r="J380" s="729" t="s">
        <v>2428</v>
      </c>
      <c r="K380" s="730"/>
      <c r="L380" s="727"/>
      <c r="M380" s="728"/>
      <c r="N380" s="1180" t="s">
        <v>2067</v>
      </c>
      <c r="O380" s="1180" t="s">
        <v>336</v>
      </c>
      <c r="P380" s="728"/>
      <c r="X380" s="384"/>
      <c r="Y380" s="384"/>
      <c r="Z380" s="384"/>
      <c r="AA380" s="384"/>
      <c r="AB380" s="384"/>
      <c r="AC380" s="384"/>
      <c r="AD380" s="384"/>
      <c r="AE380" s="384"/>
      <c r="AF380" s="384"/>
      <c r="AG380" s="384"/>
      <c r="AH380" s="384"/>
      <c r="AI380" s="384"/>
      <c r="AJ380" s="384"/>
      <c r="AK380" s="384"/>
      <c r="AL380" s="384"/>
      <c r="AM380" s="384"/>
      <c r="AN380" s="384"/>
      <c r="AO380" s="384"/>
      <c r="AP380" s="384"/>
      <c r="AQ380" s="384"/>
      <c r="AR380" s="384"/>
    </row>
    <row r="381" spans="2:44" s="637" customFormat="1" ht="12" customHeight="1">
      <c r="B381" s="636"/>
      <c r="J381" s="729" t="s">
        <v>1052</v>
      </c>
      <c r="K381" s="730"/>
      <c r="L381" s="727"/>
      <c r="M381" s="728"/>
      <c r="N381" s="1180" t="s">
        <v>3497</v>
      </c>
      <c r="O381" s="1180" t="s">
        <v>701</v>
      </c>
      <c r="P381" s="728"/>
      <c r="X381" s="384"/>
      <c r="Y381" s="384"/>
      <c r="Z381" s="384"/>
      <c r="AA381" s="384"/>
      <c r="AB381" s="384"/>
      <c r="AC381" s="384"/>
      <c r="AD381" s="384"/>
      <c r="AE381" s="384"/>
      <c r="AF381" s="384"/>
      <c r="AG381" s="384"/>
      <c r="AH381" s="384"/>
      <c r="AI381" s="384"/>
      <c r="AJ381" s="384"/>
      <c r="AK381" s="384"/>
      <c r="AL381" s="384"/>
      <c r="AM381" s="384"/>
      <c r="AN381" s="384"/>
      <c r="AO381" s="384"/>
      <c r="AP381" s="384"/>
      <c r="AQ381" s="384"/>
      <c r="AR381" s="384"/>
    </row>
    <row r="382" spans="2:44" s="637" customFormat="1" ht="12" customHeight="1">
      <c r="B382" s="636"/>
      <c r="J382" s="729" t="s">
        <v>723</v>
      </c>
      <c r="K382" s="730"/>
      <c r="L382" s="727"/>
      <c r="M382" s="728"/>
      <c r="N382" s="1180" t="s">
        <v>2070</v>
      </c>
      <c r="O382" s="1180" t="s">
        <v>2768</v>
      </c>
      <c r="P382" s="728"/>
      <c r="X382" s="384"/>
      <c r="Y382" s="384"/>
      <c r="Z382" s="384"/>
      <c r="AA382" s="384"/>
      <c r="AB382" s="384"/>
      <c r="AC382" s="384"/>
      <c r="AD382" s="384"/>
      <c r="AE382" s="384"/>
      <c r="AF382" s="384"/>
      <c r="AG382" s="384"/>
      <c r="AH382" s="384"/>
      <c r="AI382" s="384"/>
      <c r="AJ382" s="384"/>
      <c r="AK382" s="384"/>
      <c r="AL382" s="384"/>
      <c r="AM382" s="384"/>
      <c r="AN382" s="384"/>
      <c r="AO382" s="384"/>
      <c r="AP382" s="384"/>
      <c r="AQ382" s="384"/>
      <c r="AR382" s="384"/>
    </row>
    <row r="383" spans="2:44" s="637" customFormat="1" ht="12" customHeight="1">
      <c r="B383" s="636"/>
      <c r="J383" s="729" t="s">
        <v>605</v>
      </c>
      <c r="K383" s="730"/>
      <c r="L383" s="727"/>
      <c r="M383" s="728"/>
      <c r="N383" s="1180" t="s">
        <v>2072</v>
      </c>
      <c r="O383" s="1180" t="s">
        <v>1400</v>
      </c>
      <c r="P383" s="728"/>
      <c r="X383" s="384"/>
      <c r="Y383" s="384"/>
      <c r="Z383" s="384"/>
      <c r="AA383" s="384"/>
      <c r="AB383" s="384"/>
      <c r="AC383" s="384"/>
      <c r="AD383" s="384"/>
      <c r="AE383" s="384"/>
      <c r="AF383" s="384"/>
      <c r="AG383" s="384"/>
      <c r="AH383" s="384"/>
      <c r="AI383" s="384"/>
      <c r="AJ383" s="384"/>
      <c r="AK383" s="384"/>
      <c r="AL383" s="384"/>
      <c r="AM383" s="384"/>
      <c r="AN383" s="384"/>
      <c r="AO383" s="384"/>
      <c r="AP383" s="384"/>
      <c r="AQ383" s="384"/>
      <c r="AR383" s="384"/>
    </row>
    <row r="384" spans="2:44" s="637" customFormat="1" ht="12" customHeight="1">
      <c r="B384" s="636"/>
      <c r="J384" s="729" t="s">
        <v>719</v>
      </c>
      <c r="K384" s="730"/>
      <c r="L384" s="727"/>
      <c r="M384" s="728"/>
      <c r="N384" s="1180" t="s">
        <v>2392</v>
      </c>
      <c r="O384" s="1180" t="s">
        <v>2701</v>
      </c>
      <c r="P384" s="728"/>
      <c r="X384" s="384"/>
      <c r="Y384" s="384"/>
      <c r="Z384" s="384"/>
      <c r="AA384" s="384"/>
      <c r="AB384" s="384"/>
      <c r="AC384" s="384"/>
      <c r="AD384" s="384"/>
      <c r="AE384" s="384"/>
      <c r="AF384" s="384"/>
      <c r="AG384" s="384"/>
      <c r="AH384" s="384"/>
      <c r="AI384" s="384"/>
      <c r="AJ384" s="384"/>
      <c r="AK384" s="384"/>
      <c r="AL384" s="384"/>
      <c r="AM384" s="384"/>
      <c r="AN384" s="384"/>
      <c r="AO384" s="384"/>
      <c r="AP384" s="384"/>
      <c r="AQ384" s="384"/>
      <c r="AR384" s="384"/>
    </row>
    <row r="385" spans="2:44" s="637" customFormat="1" ht="12" customHeight="1">
      <c r="B385" s="636"/>
      <c r="J385" s="729" t="s">
        <v>2546</v>
      </c>
      <c r="K385" s="730"/>
      <c r="L385" s="727"/>
      <c r="M385" s="728"/>
      <c r="N385" s="1180" t="s">
        <v>2755</v>
      </c>
      <c r="O385" s="1180" t="s">
        <v>2312</v>
      </c>
      <c r="P385" s="728"/>
      <c r="X385" s="384"/>
      <c r="Y385" s="384"/>
      <c r="Z385" s="384"/>
      <c r="AA385" s="384"/>
      <c r="AB385" s="384"/>
      <c r="AC385" s="384"/>
      <c r="AD385" s="384"/>
      <c r="AE385" s="384"/>
      <c r="AF385" s="384"/>
      <c r="AG385" s="384"/>
      <c r="AH385" s="384"/>
      <c r="AI385" s="384"/>
      <c r="AJ385" s="384"/>
      <c r="AK385" s="384"/>
      <c r="AL385" s="384"/>
      <c r="AM385" s="384"/>
      <c r="AN385" s="384"/>
      <c r="AO385" s="384"/>
      <c r="AP385" s="384"/>
      <c r="AQ385" s="384"/>
      <c r="AR385" s="384"/>
    </row>
    <row r="386" spans="2:44" s="637" customFormat="1" ht="12" customHeight="1">
      <c r="B386" s="636"/>
      <c r="J386" s="729" t="s">
        <v>230</v>
      </c>
      <c r="K386" s="730"/>
      <c r="L386" s="727"/>
      <c r="M386" s="728"/>
      <c r="N386" s="1180" t="s">
        <v>2756</v>
      </c>
      <c r="O386" s="1180" t="s">
        <v>2654</v>
      </c>
      <c r="P386" s="728"/>
      <c r="X386" s="384"/>
      <c r="Y386" s="384"/>
      <c r="Z386" s="384"/>
      <c r="AA386" s="384"/>
      <c r="AB386" s="384"/>
      <c r="AC386" s="384"/>
      <c r="AD386" s="384"/>
      <c r="AE386" s="384"/>
      <c r="AF386" s="384"/>
      <c r="AG386" s="384"/>
      <c r="AH386" s="384"/>
      <c r="AI386" s="384"/>
      <c r="AJ386" s="384"/>
      <c r="AK386" s="384"/>
      <c r="AL386" s="384"/>
      <c r="AM386" s="384"/>
      <c r="AN386" s="384"/>
      <c r="AO386" s="384"/>
      <c r="AP386" s="384"/>
      <c r="AQ386" s="384"/>
      <c r="AR386" s="384"/>
    </row>
    <row r="387" spans="2:44" s="637" customFormat="1" ht="12" customHeight="1">
      <c r="B387" s="636"/>
      <c r="J387" s="729" t="s">
        <v>833</v>
      </c>
      <c r="K387" s="730"/>
      <c r="L387" s="727"/>
      <c r="M387" s="728"/>
      <c r="N387" s="1180" t="s">
        <v>439</v>
      </c>
      <c r="O387" s="1180" t="s">
        <v>1283</v>
      </c>
      <c r="P387" s="728"/>
      <c r="X387" s="384"/>
      <c r="Y387" s="384"/>
      <c r="Z387" s="384"/>
      <c r="AA387" s="384"/>
      <c r="AB387" s="384"/>
      <c r="AC387" s="384"/>
      <c r="AD387" s="384"/>
      <c r="AE387" s="384"/>
      <c r="AF387" s="384"/>
      <c r="AG387" s="384"/>
      <c r="AH387" s="384"/>
      <c r="AI387" s="384"/>
      <c r="AJ387" s="384"/>
      <c r="AK387" s="384"/>
      <c r="AL387" s="384"/>
      <c r="AM387" s="384"/>
      <c r="AN387" s="384"/>
      <c r="AO387" s="384"/>
      <c r="AP387" s="384"/>
      <c r="AQ387" s="384"/>
      <c r="AR387" s="384"/>
    </row>
    <row r="388" spans="2:44" s="637" customFormat="1" ht="12" customHeight="1">
      <c r="B388" s="636"/>
      <c r="J388" s="729" t="s">
        <v>834</v>
      </c>
      <c r="K388" s="730"/>
      <c r="L388" s="727"/>
      <c r="M388" s="728"/>
      <c r="N388" s="705" t="s">
        <v>238</v>
      </c>
      <c r="O388" s="705" t="s">
        <v>713</v>
      </c>
      <c r="P388" s="2029"/>
      <c r="X388" s="384"/>
      <c r="Y388" s="384"/>
      <c r="Z388" s="384"/>
      <c r="AA388" s="384"/>
      <c r="AB388" s="384"/>
      <c r="AC388" s="384"/>
      <c r="AD388" s="384"/>
      <c r="AE388" s="384"/>
      <c r="AF388" s="384"/>
      <c r="AG388" s="384"/>
      <c r="AH388" s="384"/>
      <c r="AI388" s="384"/>
      <c r="AJ388" s="384"/>
      <c r="AK388" s="384"/>
      <c r="AL388" s="384"/>
      <c r="AM388" s="384"/>
      <c r="AN388" s="384"/>
      <c r="AO388" s="384"/>
      <c r="AP388" s="384"/>
      <c r="AQ388" s="384"/>
      <c r="AR388" s="384"/>
    </row>
    <row r="389" spans="2:44" s="637" customFormat="1" ht="12" customHeight="1">
      <c r="B389" s="636"/>
      <c r="J389" s="729" t="s">
        <v>242</v>
      </c>
      <c r="K389" s="730"/>
      <c r="L389" s="727"/>
      <c r="M389" s="728"/>
      <c r="N389" s="1180" t="s">
        <v>2757</v>
      </c>
      <c r="O389" s="1180" t="s">
        <v>2143</v>
      </c>
      <c r="P389" s="728"/>
      <c r="X389" s="384"/>
      <c r="Y389" s="384"/>
      <c r="Z389" s="384"/>
      <c r="AA389" s="384"/>
      <c r="AB389" s="384"/>
      <c r="AC389" s="384"/>
      <c r="AD389" s="384"/>
      <c r="AE389" s="384"/>
      <c r="AF389" s="384"/>
      <c r="AG389" s="384"/>
      <c r="AH389" s="384"/>
      <c r="AI389" s="384"/>
      <c r="AJ389" s="384"/>
      <c r="AK389" s="384"/>
      <c r="AL389" s="384"/>
      <c r="AM389" s="384"/>
      <c r="AN389" s="384"/>
      <c r="AO389" s="384"/>
      <c r="AP389" s="384"/>
      <c r="AQ389" s="384"/>
      <c r="AR389" s="384"/>
    </row>
    <row r="390" spans="2:44" s="637" customFormat="1" ht="12" customHeight="1">
      <c r="B390" s="636"/>
      <c r="J390" s="729" t="s">
        <v>244</v>
      </c>
      <c r="K390" s="730"/>
      <c r="L390" s="727"/>
      <c r="M390" s="728"/>
      <c r="N390" s="1180" t="s">
        <v>1794</v>
      </c>
      <c r="O390" s="1180" t="s">
        <v>2652</v>
      </c>
      <c r="P390" s="728"/>
      <c r="X390" s="384"/>
      <c r="Y390" s="384"/>
      <c r="Z390" s="384"/>
      <c r="AA390" s="384"/>
      <c r="AB390" s="384"/>
      <c r="AC390" s="384"/>
      <c r="AD390" s="384"/>
      <c r="AE390" s="384"/>
      <c r="AF390" s="384"/>
      <c r="AG390" s="384"/>
      <c r="AH390" s="384"/>
      <c r="AI390" s="384"/>
      <c r="AJ390" s="384"/>
      <c r="AK390" s="384"/>
      <c r="AL390" s="384"/>
      <c r="AM390" s="384"/>
      <c r="AN390" s="384"/>
      <c r="AO390" s="384"/>
      <c r="AP390" s="384"/>
      <c r="AQ390" s="384"/>
      <c r="AR390" s="384"/>
    </row>
    <row r="391" spans="2:44" s="637" customFormat="1" ht="12" customHeight="1">
      <c r="B391" s="636"/>
      <c r="J391" s="729" t="s">
        <v>246</v>
      </c>
      <c r="K391" s="730"/>
      <c r="L391" s="727"/>
      <c r="M391" s="728"/>
      <c r="N391" s="1180" t="s">
        <v>2427</v>
      </c>
      <c r="O391" s="1180" t="s">
        <v>703</v>
      </c>
      <c r="P391" s="728"/>
      <c r="X391" s="384"/>
      <c r="Y391" s="384"/>
      <c r="Z391" s="384"/>
      <c r="AA391" s="384"/>
      <c r="AB391" s="384"/>
      <c r="AC391" s="384"/>
      <c r="AD391" s="384"/>
      <c r="AE391" s="384"/>
      <c r="AF391" s="384"/>
      <c r="AG391" s="384"/>
      <c r="AH391" s="384"/>
      <c r="AI391" s="384"/>
      <c r="AJ391" s="384"/>
      <c r="AK391" s="384"/>
      <c r="AL391" s="384"/>
      <c r="AM391" s="384"/>
      <c r="AN391" s="384"/>
      <c r="AO391" s="384"/>
      <c r="AP391" s="384"/>
      <c r="AQ391" s="384"/>
      <c r="AR391" s="384"/>
    </row>
    <row r="392" spans="2:44" s="637" customFormat="1" ht="12" customHeight="1">
      <c r="B392" s="636"/>
      <c r="J392" s="729" t="s">
        <v>839</v>
      </c>
      <c r="K392" s="730"/>
      <c r="L392" s="727"/>
      <c r="M392" s="728"/>
      <c r="N392" s="1180" t="s">
        <v>2429</v>
      </c>
      <c r="O392" s="1180" t="s">
        <v>1401</v>
      </c>
      <c r="P392" s="728"/>
      <c r="X392" s="384"/>
      <c r="Y392" s="384"/>
      <c r="Z392" s="384"/>
      <c r="AA392" s="384"/>
      <c r="AB392" s="384"/>
      <c r="AC392" s="384"/>
      <c r="AD392" s="384"/>
      <c r="AE392" s="384"/>
      <c r="AF392" s="384"/>
      <c r="AG392" s="384"/>
      <c r="AH392" s="384"/>
      <c r="AI392" s="384"/>
      <c r="AJ392" s="384"/>
      <c r="AK392" s="384"/>
      <c r="AL392" s="384"/>
      <c r="AM392" s="384"/>
      <c r="AN392" s="384"/>
      <c r="AO392" s="384"/>
      <c r="AP392" s="384"/>
      <c r="AQ392" s="384"/>
      <c r="AR392" s="384"/>
    </row>
    <row r="393" spans="2:44" s="637" customFormat="1" ht="12" customHeight="1">
      <c r="B393" s="636"/>
      <c r="J393" s="729" t="s">
        <v>840</v>
      </c>
      <c r="K393" s="730"/>
      <c r="L393" s="727"/>
      <c r="M393" s="728"/>
      <c r="N393" s="1180" t="s">
        <v>1053</v>
      </c>
      <c r="O393" s="1180" t="s">
        <v>1552</v>
      </c>
      <c r="P393" s="728"/>
      <c r="X393" s="384"/>
      <c r="Y393" s="384"/>
      <c r="Z393" s="384"/>
      <c r="AA393" s="384"/>
      <c r="AB393" s="384"/>
      <c r="AC393" s="384"/>
      <c r="AD393" s="384"/>
      <c r="AE393" s="384"/>
      <c r="AF393" s="384"/>
      <c r="AG393" s="384"/>
      <c r="AH393" s="384"/>
      <c r="AI393" s="384"/>
      <c r="AJ393" s="384"/>
      <c r="AK393" s="384"/>
      <c r="AL393" s="384"/>
      <c r="AM393" s="384"/>
      <c r="AN393" s="384"/>
      <c r="AO393" s="384"/>
      <c r="AP393" s="384"/>
      <c r="AQ393" s="384"/>
      <c r="AR393" s="384"/>
    </row>
    <row r="394" spans="2:44" s="637" customFormat="1" ht="12" customHeight="1">
      <c r="B394" s="636"/>
      <c r="J394" s="729" t="s">
        <v>842</v>
      </c>
      <c r="K394" s="730"/>
      <c r="L394" s="727"/>
      <c r="M394" s="728"/>
      <c r="N394" s="1180" t="s">
        <v>606</v>
      </c>
      <c r="O394" s="1180" t="s">
        <v>1417</v>
      </c>
      <c r="P394" s="728"/>
      <c r="X394" s="384"/>
      <c r="Y394" s="384"/>
      <c r="Z394" s="384"/>
      <c r="AA394" s="384"/>
      <c r="AB394" s="384"/>
      <c r="AC394" s="384"/>
      <c r="AD394" s="384"/>
      <c r="AE394" s="384"/>
      <c r="AF394" s="384"/>
      <c r="AG394" s="384"/>
      <c r="AH394" s="384"/>
      <c r="AI394" s="384"/>
      <c r="AJ394" s="384"/>
      <c r="AK394" s="384"/>
      <c r="AL394" s="384"/>
      <c r="AM394" s="384"/>
      <c r="AN394" s="384"/>
      <c r="AO394" s="384"/>
      <c r="AP394" s="384"/>
      <c r="AQ394" s="384"/>
      <c r="AR394" s="384"/>
    </row>
    <row r="395" spans="2:44" s="637" customFormat="1" ht="12" customHeight="1">
      <c r="B395" s="636"/>
      <c r="J395" s="729" t="s">
        <v>1662</v>
      </c>
      <c r="K395" s="730"/>
      <c r="L395" s="727"/>
      <c r="M395" s="728"/>
      <c r="N395" s="1180" t="s">
        <v>720</v>
      </c>
      <c r="O395" s="1180" t="s">
        <v>329</v>
      </c>
      <c r="P395" s="728"/>
      <c r="X395" s="384"/>
      <c r="Y395" s="384"/>
      <c r="Z395" s="384"/>
      <c r="AA395" s="384"/>
      <c r="AB395" s="384"/>
      <c r="AC395" s="384"/>
      <c r="AD395" s="384"/>
      <c r="AE395" s="384"/>
      <c r="AF395" s="384"/>
      <c r="AG395" s="384"/>
      <c r="AH395" s="384"/>
      <c r="AI395" s="384"/>
      <c r="AJ395" s="384"/>
      <c r="AK395" s="384"/>
      <c r="AL395" s="384"/>
      <c r="AM395" s="384"/>
      <c r="AN395" s="384"/>
      <c r="AO395" s="384"/>
      <c r="AP395" s="384"/>
      <c r="AQ395" s="384"/>
      <c r="AR395" s="384"/>
    </row>
    <row r="396" spans="2:44" s="637" customFormat="1" ht="12" customHeight="1">
      <c r="B396" s="636"/>
      <c r="J396" s="729" t="s">
        <v>1297</v>
      </c>
      <c r="K396" s="730"/>
      <c r="L396" s="727"/>
      <c r="M396" s="728"/>
      <c r="N396" s="1180" t="s">
        <v>2547</v>
      </c>
      <c r="O396" s="1180" t="s">
        <v>164</v>
      </c>
      <c r="P396" s="728"/>
      <c r="X396" s="384"/>
      <c r="Y396" s="384"/>
      <c r="Z396" s="384"/>
      <c r="AA396" s="384"/>
      <c r="AB396" s="384"/>
      <c r="AC396" s="384"/>
      <c r="AD396" s="384"/>
      <c r="AE396" s="384"/>
      <c r="AF396" s="384"/>
      <c r="AG396" s="384"/>
      <c r="AH396" s="384"/>
      <c r="AI396" s="384"/>
      <c r="AJ396" s="384"/>
      <c r="AK396" s="384"/>
      <c r="AL396" s="384"/>
      <c r="AM396" s="384"/>
      <c r="AN396" s="384"/>
      <c r="AO396" s="384"/>
      <c r="AP396" s="384"/>
      <c r="AQ396" s="384"/>
      <c r="AR396" s="384"/>
    </row>
    <row r="397" spans="2:44" s="637" customFormat="1" ht="12" customHeight="1">
      <c r="B397" s="636"/>
      <c r="J397" s="729" t="s">
        <v>1299</v>
      </c>
      <c r="K397" s="730"/>
      <c r="L397" s="727"/>
      <c r="M397" s="728"/>
      <c r="N397" s="1180" t="s">
        <v>231</v>
      </c>
      <c r="O397" s="1180" t="s">
        <v>2651</v>
      </c>
      <c r="P397" s="728"/>
      <c r="X397" s="384"/>
      <c r="Y397" s="384"/>
      <c r="Z397" s="384"/>
      <c r="AA397" s="384"/>
      <c r="AB397" s="384"/>
      <c r="AC397" s="384"/>
      <c r="AD397" s="384"/>
      <c r="AE397" s="384"/>
      <c r="AF397" s="384"/>
      <c r="AG397" s="384"/>
      <c r="AH397" s="384"/>
      <c r="AI397" s="384"/>
      <c r="AJ397" s="384"/>
      <c r="AK397" s="384"/>
      <c r="AL397" s="384"/>
      <c r="AM397" s="384"/>
      <c r="AN397" s="384"/>
      <c r="AO397" s="384"/>
      <c r="AP397" s="384"/>
      <c r="AQ397" s="384"/>
      <c r="AR397" s="384"/>
    </row>
    <row r="398" spans="2:44" s="637" customFormat="1" ht="12" customHeight="1">
      <c r="B398" s="636"/>
      <c r="J398" s="729" t="s">
        <v>954</v>
      </c>
      <c r="K398" s="730"/>
      <c r="L398" s="727"/>
      <c r="M398" s="728"/>
      <c r="N398" s="1180" t="s">
        <v>705</v>
      </c>
      <c r="O398" s="1180" t="s">
        <v>1746</v>
      </c>
      <c r="P398" s="2030"/>
      <c r="X398" s="384"/>
      <c r="Y398" s="384"/>
      <c r="Z398" s="384"/>
      <c r="AA398" s="384"/>
      <c r="AB398" s="384"/>
      <c r="AC398" s="384"/>
      <c r="AD398" s="384"/>
      <c r="AE398" s="384"/>
      <c r="AF398" s="384"/>
      <c r="AG398" s="384"/>
      <c r="AH398" s="384"/>
      <c r="AI398" s="384"/>
      <c r="AJ398" s="384"/>
      <c r="AK398" s="384"/>
      <c r="AL398" s="384"/>
      <c r="AM398" s="384"/>
      <c r="AN398" s="384"/>
      <c r="AO398" s="384"/>
      <c r="AP398" s="384"/>
      <c r="AQ398" s="384"/>
      <c r="AR398" s="384"/>
    </row>
    <row r="399" spans="2:44" s="637" customFormat="1" ht="12" customHeight="1">
      <c r="B399" s="636"/>
      <c r="J399" s="729" t="s">
        <v>2629</v>
      </c>
      <c r="K399" s="730"/>
      <c r="L399" s="727"/>
      <c r="M399" s="728"/>
      <c r="N399" s="1180" t="s">
        <v>2517</v>
      </c>
      <c r="O399" s="1180" t="s">
        <v>2649</v>
      </c>
      <c r="P399" s="728"/>
      <c r="X399" s="384"/>
      <c r="Y399" s="384"/>
      <c r="Z399" s="384"/>
      <c r="AA399" s="384"/>
      <c r="AB399" s="384"/>
      <c r="AC399" s="384"/>
      <c r="AD399" s="384"/>
      <c r="AE399" s="384"/>
      <c r="AF399" s="384"/>
      <c r="AG399" s="384"/>
      <c r="AH399" s="384"/>
      <c r="AI399" s="384"/>
      <c r="AJ399" s="384"/>
      <c r="AK399" s="384"/>
      <c r="AL399" s="384"/>
      <c r="AM399" s="384"/>
      <c r="AN399" s="384"/>
      <c r="AO399" s="384"/>
      <c r="AP399" s="384"/>
      <c r="AQ399" s="384"/>
      <c r="AR399" s="384"/>
    </row>
    <row r="400" spans="2:44" s="637" customFormat="1" ht="12" customHeight="1">
      <c r="B400" s="636"/>
      <c r="J400" s="729" t="s">
        <v>957</v>
      </c>
      <c r="K400" s="730"/>
      <c r="L400" s="727"/>
      <c r="M400" s="728"/>
      <c r="N400" s="1180" t="s">
        <v>243</v>
      </c>
      <c r="O400" s="1180" t="s">
        <v>1626</v>
      </c>
      <c r="P400" s="728"/>
      <c r="X400" s="384"/>
      <c r="Y400" s="384"/>
      <c r="Z400" s="384"/>
      <c r="AA400" s="384"/>
      <c r="AB400" s="384"/>
      <c r="AC400" s="384"/>
      <c r="AD400" s="384"/>
      <c r="AE400" s="384"/>
      <c r="AF400" s="384"/>
      <c r="AG400" s="384"/>
      <c r="AH400" s="384"/>
      <c r="AI400" s="384"/>
      <c r="AJ400" s="384"/>
      <c r="AK400" s="384"/>
      <c r="AL400" s="384"/>
      <c r="AM400" s="384"/>
      <c r="AN400" s="384"/>
      <c r="AO400" s="384"/>
      <c r="AP400" s="384"/>
      <c r="AQ400" s="384"/>
      <c r="AR400" s="384"/>
    </row>
    <row r="401" spans="2:44" s="637" customFormat="1" ht="12" customHeight="1">
      <c r="B401" s="636"/>
      <c r="J401" s="729" t="s">
        <v>959</v>
      </c>
      <c r="K401" s="730"/>
      <c r="L401" s="727"/>
      <c r="M401" s="728"/>
      <c r="N401" s="1180" t="s">
        <v>1110</v>
      </c>
      <c r="O401" s="1180" t="s">
        <v>1552</v>
      </c>
      <c r="P401" s="728"/>
      <c r="X401" s="384"/>
      <c r="Y401" s="384"/>
      <c r="Z401" s="384"/>
      <c r="AA401" s="384"/>
      <c r="AB401" s="384"/>
      <c r="AC401" s="384"/>
      <c r="AD401" s="384"/>
      <c r="AE401" s="384"/>
      <c r="AF401" s="384"/>
      <c r="AG401" s="384"/>
      <c r="AH401" s="384"/>
      <c r="AI401" s="384"/>
      <c r="AJ401" s="384"/>
      <c r="AK401" s="384"/>
      <c r="AL401" s="384"/>
      <c r="AM401" s="384"/>
      <c r="AN401" s="384"/>
      <c r="AO401" s="384"/>
      <c r="AP401" s="384"/>
      <c r="AQ401" s="384"/>
      <c r="AR401" s="384"/>
    </row>
    <row r="402" spans="2:44" s="637" customFormat="1" ht="12" customHeight="1">
      <c r="B402" s="636"/>
      <c r="J402" s="729" t="s">
        <v>961</v>
      </c>
      <c r="K402" s="730"/>
      <c r="L402" s="727"/>
      <c r="M402" s="728"/>
      <c r="N402" s="1180" t="s">
        <v>245</v>
      </c>
      <c r="O402" s="1180" t="s">
        <v>1156</v>
      </c>
      <c r="P402" s="728"/>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row>
    <row r="403" spans="2:44" s="637" customFormat="1" ht="12" customHeight="1">
      <c r="B403" s="636"/>
      <c r="J403" s="729" t="s">
        <v>963</v>
      </c>
      <c r="K403" s="730"/>
      <c r="L403" s="727"/>
      <c r="M403" s="728"/>
      <c r="N403" s="1180" t="s">
        <v>706</v>
      </c>
      <c r="O403" s="1180" t="s">
        <v>336</v>
      </c>
      <c r="P403" s="728"/>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row>
    <row r="404" spans="2:44" s="637" customFormat="1" ht="12" customHeight="1">
      <c r="B404" s="636"/>
      <c r="J404" s="729" t="s">
        <v>965</v>
      </c>
      <c r="K404" s="730"/>
      <c r="L404" s="727"/>
      <c r="M404" s="728"/>
      <c r="N404" s="1180" t="s">
        <v>841</v>
      </c>
      <c r="O404" s="1180" t="s">
        <v>706</v>
      </c>
      <c r="P404" s="728"/>
      <c r="X404" s="384"/>
      <c r="Y404" s="384"/>
      <c r="Z404" s="384"/>
      <c r="AA404" s="384"/>
      <c r="AB404" s="384"/>
      <c r="AC404" s="384"/>
      <c r="AD404" s="384"/>
      <c r="AE404" s="384"/>
      <c r="AF404" s="384"/>
      <c r="AG404" s="384"/>
      <c r="AH404" s="384"/>
      <c r="AI404" s="384"/>
      <c r="AJ404" s="384"/>
      <c r="AK404" s="384"/>
      <c r="AL404" s="384"/>
      <c r="AM404" s="384"/>
      <c r="AN404" s="384"/>
      <c r="AO404" s="384"/>
      <c r="AP404" s="384"/>
      <c r="AQ404" s="384"/>
      <c r="AR404" s="384"/>
    </row>
    <row r="405" spans="2:44" s="637" customFormat="1" ht="12" customHeight="1">
      <c r="B405" s="636"/>
      <c r="J405" s="729" t="s">
        <v>725</v>
      </c>
      <c r="K405" s="730"/>
      <c r="L405" s="727"/>
      <c r="M405" s="728"/>
      <c r="N405" s="1180" t="s">
        <v>1296</v>
      </c>
      <c r="O405" s="1180" t="s">
        <v>2657</v>
      </c>
      <c r="P405" s="728"/>
      <c r="X405" s="384"/>
      <c r="Y405" s="384"/>
      <c r="Z405" s="384"/>
      <c r="AA405" s="384"/>
      <c r="AB405" s="384"/>
      <c r="AC405" s="384"/>
      <c r="AD405" s="384"/>
      <c r="AE405" s="384"/>
      <c r="AF405" s="384"/>
      <c r="AG405" s="384"/>
      <c r="AH405" s="384"/>
      <c r="AI405" s="384"/>
      <c r="AJ405" s="384"/>
      <c r="AK405" s="384"/>
      <c r="AL405" s="384"/>
      <c r="AM405" s="384"/>
      <c r="AN405" s="384"/>
      <c r="AO405" s="384"/>
      <c r="AP405" s="384"/>
      <c r="AQ405" s="384"/>
      <c r="AR405" s="384"/>
    </row>
    <row r="406" spans="2:44" s="637" customFormat="1" ht="12" customHeight="1">
      <c r="B406" s="636"/>
      <c r="J406" s="729" t="s">
        <v>57</v>
      </c>
      <c r="K406" s="730"/>
      <c r="L406" s="727"/>
      <c r="M406" s="728"/>
      <c r="N406" s="1180" t="s">
        <v>1298</v>
      </c>
      <c r="O406" s="1180" t="s">
        <v>329</v>
      </c>
      <c r="P406" s="728"/>
      <c r="X406" s="384"/>
      <c r="Y406" s="384"/>
      <c r="Z406" s="384"/>
      <c r="AA406" s="384"/>
      <c r="AB406" s="384"/>
      <c r="AC406" s="384"/>
      <c r="AD406" s="384"/>
      <c r="AE406" s="384"/>
      <c r="AF406" s="384"/>
      <c r="AG406" s="384"/>
      <c r="AH406" s="384"/>
      <c r="AI406" s="384"/>
      <c r="AJ406" s="384"/>
      <c r="AK406" s="384"/>
      <c r="AL406" s="384"/>
      <c r="AM406" s="384"/>
      <c r="AN406" s="384"/>
      <c r="AO406" s="384"/>
      <c r="AP406" s="384"/>
      <c r="AQ406" s="384"/>
      <c r="AR406" s="384"/>
    </row>
    <row r="407" spans="2:44" s="637" customFormat="1" ht="12" customHeight="1">
      <c r="B407" s="636"/>
      <c r="J407" s="729" t="s">
        <v>1018</v>
      </c>
      <c r="K407" s="730"/>
      <c r="L407" s="727"/>
      <c r="M407" s="728"/>
      <c r="N407" s="1180" t="s">
        <v>1300</v>
      </c>
      <c r="O407" s="1180" t="s">
        <v>166</v>
      </c>
      <c r="P407" s="728"/>
      <c r="X407" s="384"/>
      <c r="Y407" s="384"/>
      <c r="Z407" s="384"/>
      <c r="AA407" s="384"/>
      <c r="AB407" s="384"/>
      <c r="AC407" s="384"/>
      <c r="AD407" s="384"/>
      <c r="AE407" s="384"/>
      <c r="AF407" s="384"/>
      <c r="AG407" s="384"/>
      <c r="AH407" s="384"/>
      <c r="AI407" s="384"/>
      <c r="AJ407" s="384"/>
      <c r="AK407" s="384"/>
      <c r="AL407" s="384"/>
      <c r="AM407" s="384"/>
      <c r="AN407" s="384"/>
      <c r="AO407" s="384"/>
      <c r="AP407" s="384"/>
      <c r="AQ407" s="384"/>
      <c r="AR407" s="384"/>
    </row>
    <row r="408" spans="2:44" s="637" customFormat="1" ht="12" customHeight="1">
      <c r="B408" s="636"/>
      <c r="J408" s="729" t="s">
        <v>1864</v>
      </c>
      <c r="K408" s="730"/>
      <c r="L408" s="727"/>
      <c r="M408" s="728"/>
      <c r="N408" s="1180" t="s">
        <v>955</v>
      </c>
      <c r="O408" s="1180" t="s">
        <v>2390</v>
      </c>
      <c r="P408" s="728"/>
      <c r="X408" s="384"/>
      <c r="Y408" s="384"/>
      <c r="Z408" s="384"/>
      <c r="AA408" s="384"/>
      <c r="AB408" s="384"/>
      <c r="AC408" s="384"/>
      <c r="AD408" s="384"/>
      <c r="AE408" s="384"/>
      <c r="AF408" s="384"/>
      <c r="AG408" s="384"/>
      <c r="AH408" s="384"/>
      <c r="AI408" s="384"/>
      <c r="AJ408" s="384"/>
      <c r="AK408" s="384"/>
      <c r="AL408" s="384"/>
      <c r="AM408" s="384"/>
      <c r="AN408" s="384"/>
      <c r="AO408" s="384"/>
      <c r="AP408" s="384"/>
      <c r="AQ408" s="384"/>
      <c r="AR408" s="384"/>
    </row>
    <row r="409" spans="2:44" s="637" customFormat="1" ht="12" customHeight="1">
      <c r="B409" s="636"/>
      <c r="J409" s="729" t="s">
        <v>1058</v>
      </c>
      <c r="K409" s="730"/>
      <c r="L409" s="727"/>
      <c r="M409" s="728"/>
      <c r="N409" s="1180" t="s">
        <v>2630</v>
      </c>
      <c r="O409" s="1180" t="s">
        <v>2011</v>
      </c>
      <c r="P409" s="728"/>
      <c r="X409" s="384"/>
      <c r="Y409" s="384"/>
      <c r="Z409" s="384"/>
      <c r="AA409" s="384"/>
      <c r="AB409" s="384"/>
      <c r="AC409" s="384"/>
      <c r="AD409" s="384"/>
      <c r="AE409" s="384"/>
      <c r="AF409" s="384"/>
      <c r="AG409" s="384"/>
      <c r="AH409" s="384"/>
      <c r="AI409" s="384"/>
      <c r="AJ409" s="384"/>
      <c r="AK409" s="384"/>
      <c r="AL409" s="384"/>
      <c r="AM409" s="384"/>
      <c r="AN409" s="384"/>
      <c r="AO409" s="384"/>
      <c r="AP409" s="384"/>
      <c r="AQ409" s="384"/>
      <c r="AR409" s="384"/>
    </row>
    <row r="410" spans="2:44" s="637" customFormat="1" ht="12" customHeight="1">
      <c r="B410" s="636"/>
      <c r="J410" s="729" t="s">
        <v>1059</v>
      </c>
      <c r="K410" s="730"/>
      <c r="L410" s="727"/>
      <c r="M410" s="728"/>
      <c r="N410" s="1180" t="s">
        <v>958</v>
      </c>
      <c r="O410" s="1180" t="s">
        <v>2319</v>
      </c>
      <c r="P410" s="728"/>
      <c r="X410" s="384"/>
      <c r="Y410" s="384"/>
      <c r="Z410" s="384"/>
      <c r="AA410" s="384"/>
      <c r="AB410" s="384"/>
      <c r="AC410" s="384"/>
      <c r="AD410" s="384"/>
      <c r="AE410" s="384"/>
      <c r="AF410" s="384"/>
      <c r="AG410" s="384"/>
      <c r="AH410" s="384"/>
      <c r="AI410" s="384"/>
      <c r="AJ410" s="384"/>
      <c r="AK410" s="384"/>
      <c r="AL410" s="384"/>
      <c r="AM410" s="384"/>
      <c r="AN410" s="384"/>
      <c r="AO410" s="384"/>
      <c r="AP410" s="384"/>
      <c r="AQ410" s="384"/>
      <c r="AR410" s="384"/>
    </row>
    <row r="411" spans="2:44" s="637" customFormat="1" ht="12" customHeight="1">
      <c r="B411" s="636"/>
      <c r="J411" s="729" t="s">
        <v>1061</v>
      </c>
      <c r="K411" s="730"/>
      <c r="L411" s="727"/>
      <c r="M411" s="728"/>
      <c r="N411" s="705" t="s">
        <v>960</v>
      </c>
      <c r="O411" s="705" t="s">
        <v>1168</v>
      </c>
      <c r="P411" s="728"/>
      <c r="X411" s="384"/>
      <c r="Y411" s="384"/>
      <c r="Z411" s="384"/>
      <c r="AA411" s="384"/>
      <c r="AB411" s="384"/>
      <c r="AC411" s="384"/>
      <c r="AD411" s="384"/>
      <c r="AE411" s="384"/>
      <c r="AF411" s="384"/>
      <c r="AG411" s="384"/>
      <c r="AH411" s="384"/>
      <c r="AI411" s="384"/>
      <c r="AJ411" s="384"/>
      <c r="AK411" s="384"/>
      <c r="AL411" s="384"/>
      <c r="AM411" s="384"/>
      <c r="AN411" s="384"/>
      <c r="AO411" s="384"/>
      <c r="AP411" s="384"/>
      <c r="AQ411" s="384"/>
      <c r="AR411" s="384"/>
    </row>
    <row r="412" spans="2:44" s="637" customFormat="1" ht="12" customHeight="1">
      <c r="B412" s="636"/>
      <c r="J412" s="729" t="s">
        <v>1040</v>
      </c>
      <c r="K412" s="730"/>
      <c r="L412" s="727"/>
      <c r="M412" s="728"/>
      <c r="N412" s="1180" t="s">
        <v>962</v>
      </c>
      <c r="O412" s="1180" t="s">
        <v>710</v>
      </c>
      <c r="P412" s="2029"/>
      <c r="X412" s="384"/>
      <c r="Y412" s="384"/>
      <c r="Z412" s="384"/>
      <c r="AA412" s="384"/>
      <c r="AB412" s="384"/>
      <c r="AC412" s="384"/>
      <c r="AD412" s="384"/>
      <c r="AE412" s="384"/>
      <c r="AF412" s="384"/>
      <c r="AG412" s="384"/>
      <c r="AH412" s="384"/>
      <c r="AI412" s="384"/>
      <c r="AJ412" s="384"/>
      <c r="AK412" s="384"/>
      <c r="AL412" s="384"/>
      <c r="AM412" s="384"/>
      <c r="AN412" s="384"/>
      <c r="AO412" s="384"/>
      <c r="AP412" s="384"/>
      <c r="AQ412" s="384"/>
      <c r="AR412" s="384"/>
    </row>
    <row r="413" spans="2:44" s="637" customFormat="1" ht="12" customHeight="1">
      <c r="B413" s="636"/>
      <c r="J413" s="729" t="s">
        <v>1042</v>
      </c>
      <c r="K413" s="730"/>
      <c r="L413" s="727"/>
      <c r="M413" s="728"/>
      <c r="N413" s="1180" t="s">
        <v>964</v>
      </c>
      <c r="O413" s="1180" t="s">
        <v>329</v>
      </c>
      <c r="P413" s="728"/>
      <c r="X413" s="384"/>
      <c r="Y413" s="384"/>
      <c r="Z413" s="384"/>
      <c r="AA413" s="384"/>
      <c r="AB413" s="384"/>
      <c r="AC413" s="384"/>
      <c r="AD413" s="384"/>
      <c r="AE413" s="384"/>
      <c r="AF413" s="384"/>
      <c r="AG413" s="384"/>
      <c r="AH413" s="384"/>
      <c r="AI413" s="384"/>
      <c r="AJ413" s="384"/>
      <c r="AK413" s="384"/>
      <c r="AL413" s="384"/>
      <c r="AM413" s="384"/>
      <c r="AN413" s="384"/>
      <c r="AO413" s="384"/>
      <c r="AP413" s="384"/>
      <c r="AQ413" s="384"/>
      <c r="AR413" s="384"/>
    </row>
    <row r="414" spans="2:44" s="637" customFormat="1" ht="12" customHeight="1">
      <c r="B414" s="636"/>
      <c r="J414" s="729" t="s">
        <v>1044</v>
      </c>
      <c r="K414" s="730"/>
      <c r="L414" s="727"/>
      <c r="M414" s="728"/>
      <c r="N414" s="1180" t="s">
        <v>966</v>
      </c>
      <c r="O414" s="1180" t="s">
        <v>1415</v>
      </c>
      <c r="P414" s="728"/>
      <c r="X414" s="384"/>
      <c r="Y414" s="384"/>
      <c r="Z414" s="384"/>
      <c r="AA414" s="384"/>
      <c r="AB414" s="384"/>
      <c r="AC414" s="384"/>
      <c r="AD414" s="384"/>
      <c r="AE414" s="384"/>
      <c r="AF414" s="384"/>
      <c r="AG414" s="384"/>
      <c r="AH414" s="384"/>
      <c r="AI414" s="384"/>
      <c r="AJ414" s="384"/>
      <c r="AK414" s="384"/>
      <c r="AL414" s="384"/>
      <c r="AM414" s="384"/>
      <c r="AN414" s="384"/>
      <c r="AO414" s="384"/>
      <c r="AP414" s="384"/>
      <c r="AQ414" s="384"/>
      <c r="AR414" s="384"/>
    </row>
    <row r="415" spans="2:44" s="637" customFormat="1" ht="12" customHeight="1">
      <c r="B415" s="636"/>
      <c r="J415" s="729" t="s">
        <v>1046</v>
      </c>
      <c r="K415" s="730"/>
      <c r="L415" s="727"/>
      <c r="M415" s="728"/>
      <c r="N415" s="705" t="s">
        <v>726</v>
      </c>
      <c r="O415" s="705" t="s">
        <v>2323</v>
      </c>
      <c r="P415" s="728"/>
      <c r="X415" s="384"/>
      <c r="Y415" s="384"/>
      <c r="Z415" s="384"/>
      <c r="AA415" s="384"/>
      <c r="AB415" s="384"/>
      <c r="AC415" s="384"/>
      <c r="AD415" s="384"/>
      <c r="AE415" s="384"/>
      <c r="AF415" s="384"/>
      <c r="AG415" s="384"/>
      <c r="AH415" s="384"/>
      <c r="AI415" s="384"/>
      <c r="AJ415" s="384"/>
      <c r="AK415" s="384"/>
      <c r="AL415" s="384"/>
      <c r="AM415" s="384"/>
      <c r="AN415" s="384"/>
      <c r="AO415" s="384"/>
      <c r="AP415" s="384"/>
      <c r="AQ415" s="384"/>
      <c r="AR415" s="384"/>
    </row>
    <row r="416" spans="2:44" s="637" customFormat="1" ht="12" customHeight="1">
      <c r="B416" s="636"/>
      <c r="J416" s="729" t="s">
        <v>609</v>
      </c>
      <c r="K416" s="730"/>
      <c r="L416" s="727"/>
      <c r="M416" s="728"/>
      <c r="N416" s="1180" t="s">
        <v>58</v>
      </c>
      <c r="O416" s="1180" t="s">
        <v>115</v>
      </c>
      <c r="P416" s="2029"/>
      <c r="X416" s="384"/>
      <c r="Y416" s="384"/>
      <c r="Z416" s="384"/>
      <c r="AA416" s="384"/>
      <c r="AB416" s="384"/>
      <c r="AC416" s="384"/>
      <c r="AD416" s="384"/>
      <c r="AE416" s="384"/>
      <c r="AF416" s="384"/>
      <c r="AG416" s="384"/>
      <c r="AH416" s="384"/>
      <c r="AI416" s="384"/>
      <c r="AJ416" s="384"/>
      <c r="AK416" s="384"/>
      <c r="AL416" s="384"/>
      <c r="AM416" s="384"/>
      <c r="AN416" s="384"/>
      <c r="AO416" s="384"/>
      <c r="AP416" s="384"/>
      <c r="AQ416" s="384"/>
      <c r="AR416" s="384"/>
    </row>
    <row r="417" spans="2:44" s="637" customFormat="1" ht="12" customHeight="1">
      <c r="B417" s="636"/>
      <c r="J417" s="729" t="s">
        <v>390</v>
      </c>
      <c r="K417" s="730"/>
      <c r="L417" s="727"/>
      <c r="M417" s="728"/>
      <c r="N417" s="1180" t="s">
        <v>1019</v>
      </c>
      <c r="O417" s="1180" t="s">
        <v>2144</v>
      </c>
      <c r="P417" s="728"/>
      <c r="X417" s="384"/>
      <c r="Y417" s="384"/>
      <c r="Z417" s="384"/>
      <c r="AA417" s="384"/>
      <c r="AB417" s="384"/>
      <c r="AC417" s="384"/>
      <c r="AD417" s="384"/>
      <c r="AE417" s="384"/>
      <c r="AF417" s="384"/>
      <c r="AG417" s="384"/>
      <c r="AH417" s="384"/>
      <c r="AI417" s="384"/>
      <c r="AJ417" s="384"/>
      <c r="AK417" s="384"/>
      <c r="AL417" s="384"/>
      <c r="AM417" s="384"/>
      <c r="AN417" s="384"/>
      <c r="AO417" s="384"/>
      <c r="AP417" s="384"/>
      <c r="AQ417" s="384"/>
      <c r="AR417" s="384"/>
    </row>
    <row r="418" spans="2:44" s="637" customFormat="1" ht="12" customHeight="1">
      <c r="B418" s="636"/>
      <c r="J418" s="729" t="s">
        <v>392</v>
      </c>
      <c r="K418" s="730"/>
      <c r="L418" s="727"/>
      <c r="M418" s="728"/>
      <c r="N418" s="1180" t="s">
        <v>713</v>
      </c>
      <c r="O418" s="1180" t="s">
        <v>2558</v>
      </c>
      <c r="P418" s="728"/>
      <c r="X418" s="384"/>
      <c r="Y418" s="384"/>
      <c r="Z418" s="384"/>
      <c r="AA418" s="384"/>
      <c r="AB418" s="384"/>
      <c r="AC418" s="384"/>
      <c r="AD418" s="384"/>
      <c r="AE418" s="384"/>
      <c r="AF418" s="384"/>
      <c r="AG418" s="384"/>
      <c r="AH418" s="384"/>
      <c r="AI418" s="384"/>
      <c r="AJ418" s="384"/>
      <c r="AK418" s="384"/>
      <c r="AL418" s="384"/>
      <c r="AM418" s="384"/>
      <c r="AN418" s="384"/>
      <c r="AO418" s="384"/>
      <c r="AP418" s="384"/>
      <c r="AQ418" s="384"/>
      <c r="AR418" s="384"/>
    </row>
    <row r="419" spans="2:44" s="637" customFormat="1" ht="12" customHeight="1">
      <c r="B419" s="636"/>
      <c r="J419" s="729" t="s">
        <v>394</v>
      </c>
      <c r="K419" s="730"/>
      <c r="L419" s="727"/>
      <c r="M419" s="728"/>
      <c r="N419" s="1180" t="s">
        <v>1060</v>
      </c>
      <c r="O419" s="1180" t="s">
        <v>1287</v>
      </c>
      <c r="P419" s="728"/>
      <c r="X419" s="384"/>
      <c r="Y419" s="384"/>
      <c r="Z419" s="384"/>
      <c r="AA419" s="384"/>
      <c r="AB419" s="384"/>
      <c r="AC419" s="384"/>
      <c r="AD419" s="384"/>
      <c r="AE419" s="384"/>
      <c r="AF419" s="384"/>
      <c r="AG419" s="384"/>
      <c r="AH419" s="384"/>
      <c r="AI419" s="384"/>
      <c r="AJ419" s="384"/>
      <c r="AK419" s="384"/>
      <c r="AL419" s="384"/>
      <c r="AM419" s="384"/>
      <c r="AN419" s="384"/>
      <c r="AO419" s="384"/>
      <c r="AP419" s="384"/>
      <c r="AQ419" s="384"/>
      <c r="AR419" s="384"/>
    </row>
    <row r="420" spans="2:44" s="637" customFormat="1" ht="12" customHeight="1">
      <c r="B420" s="636"/>
      <c r="J420" s="729" t="s">
        <v>637</v>
      </c>
      <c r="K420" s="730"/>
      <c r="L420" s="727"/>
      <c r="M420" s="728"/>
      <c r="N420" s="1180" t="s">
        <v>1062</v>
      </c>
      <c r="O420" s="1180" t="s">
        <v>2704</v>
      </c>
      <c r="P420" s="728"/>
      <c r="X420" s="384"/>
      <c r="Y420" s="384"/>
      <c r="Z420" s="384"/>
      <c r="AA420" s="384"/>
      <c r="AB420" s="384"/>
      <c r="AC420" s="384"/>
      <c r="AD420" s="384"/>
      <c r="AE420" s="384"/>
      <c r="AF420" s="384"/>
      <c r="AG420" s="384"/>
      <c r="AH420" s="384"/>
      <c r="AI420" s="384"/>
      <c r="AJ420" s="384"/>
      <c r="AK420" s="384"/>
      <c r="AL420" s="384"/>
      <c r="AM420" s="384"/>
      <c r="AN420" s="384"/>
      <c r="AO420" s="384"/>
      <c r="AP420" s="384"/>
      <c r="AQ420" s="384"/>
      <c r="AR420" s="384"/>
    </row>
    <row r="421" spans="2:44" s="637" customFormat="1" ht="12" customHeight="1">
      <c r="B421" s="636"/>
      <c r="J421" s="729" t="s">
        <v>1508</v>
      </c>
      <c r="K421" s="730"/>
      <c r="L421" s="727"/>
      <c r="M421" s="728"/>
      <c r="N421" s="705" t="s">
        <v>1041</v>
      </c>
      <c r="O421" s="705" t="s">
        <v>449</v>
      </c>
      <c r="P421" s="728"/>
      <c r="X421" s="384"/>
      <c r="Y421" s="384"/>
      <c r="Z421" s="384"/>
      <c r="AA421" s="384"/>
      <c r="AB421" s="384"/>
      <c r="AC421" s="384"/>
      <c r="AD421" s="384"/>
      <c r="AE421" s="384"/>
      <c r="AF421" s="384"/>
      <c r="AG421" s="384"/>
      <c r="AH421" s="384"/>
      <c r="AI421" s="384"/>
      <c r="AJ421" s="384"/>
      <c r="AK421" s="384"/>
      <c r="AL421" s="384"/>
      <c r="AM421" s="384"/>
      <c r="AN421" s="384"/>
      <c r="AO421" s="384"/>
      <c r="AP421" s="384"/>
      <c r="AQ421" s="384"/>
      <c r="AR421" s="384"/>
    </row>
    <row r="422" spans="2:44" s="637" customFormat="1" ht="12" customHeight="1">
      <c r="B422" s="636"/>
      <c r="J422" s="729" t="s">
        <v>1702</v>
      </c>
      <c r="K422" s="730"/>
      <c r="L422" s="727"/>
      <c r="M422" s="728"/>
      <c r="N422" s="1180" t="s">
        <v>1043</v>
      </c>
      <c r="O422" s="1180" t="s">
        <v>124</v>
      </c>
      <c r="P422" s="2029"/>
      <c r="X422" s="384"/>
      <c r="Y422" s="384"/>
      <c r="Z422" s="384"/>
      <c r="AA422" s="384"/>
      <c r="AB422" s="384"/>
      <c r="AC422" s="384"/>
      <c r="AD422" s="384"/>
      <c r="AE422" s="384"/>
      <c r="AF422" s="384"/>
      <c r="AG422" s="384"/>
      <c r="AH422" s="384"/>
      <c r="AI422" s="384"/>
      <c r="AJ422" s="384"/>
      <c r="AK422" s="384"/>
      <c r="AL422" s="384"/>
      <c r="AM422" s="384"/>
      <c r="AN422" s="384"/>
      <c r="AO422" s="384"/>
      <c r="AP422" s="384"/>
      <c r="AQ422" s="384"/>
      <c r="AR422" s="384"/>
    </row>
    <row r="423" spans="2:44" s="637" customFormat="1" ht="12" customHeight="1">
      <c r="B423" s="636"/>
      <c r="J423" s="729" t="s">
        <v>1068</v>
      </c>
      <c r="K423" s="730"/>
      <c r="L423" s="727"/>
      <c r="M423" s="728"/>
      <c r="N423" s="1180" t="s">
        <v>1045</v>
      </c>
      <c r="O423" s="1180" t="s">
        <v>717</v>
      </c>
      <c r="P423" s="728"/>
      <c r="X423" s="384"/>
      <c r="Y423" s="384"/>
      <c r="Z423" s="384"/>
      <c r="AA423" s="384"/>
      <c r="AB423" s="384"/>
      <c r="AC423" s="384"/>
      <c r="AD423" s="384"/>
      <c r="AE423" s="384"/>
      <c r="AF423" s="384"/>
      <c r="AG423" s="384"/>
      <c r="AH423" s="384"/>
      <c r="AI423" s="384"/>
      <c r="AJ423" s="384"/>
      <c r="AK423" s="384"/>
      <c r="AL423" s="384"/>
      <c r="AM423" s="384"/>
      <c r="AN423" s="384"/>
      <c r="AO423" s="384"/>
      <c r="AP423" s="384"/>
      <c r="AQ423" s="384"/>
      <c r="AR423" s="384"/>
    </row>
    <row r="424" spans="2:44" s="637" customFormat="1" ht="12" customHeight="1">
      <c r="B424" s="636"/>
      <c r="J424" s="729" t="s">
        <v>1070</v>
      </c>
      <c r="K424" s="730"/>
      <c r="L424" s="727"/>
      <c r="M424" s="728"/>
      <c r="N424" s="1180" t="s">
        <v>1047</v>
      </c>
      <c r="O424" s="1180" t="s">
        <v>2011</v>
      </c>
      <c r="P424" s="728"/>
      <c r="X424" s="384"/>
      <c r="Y424" s="384"/>
      <c r="Z424" s="384"/>
      <c r="AA424" s="384"/>
      <c r="AB424" s="384"/>
      <c r="AC424" s="384"/>
      <c r="AD424" s="384"/>
      <c r="AE424" s="384"/>
      <c r="AF424" s="384"/>
      <c r="AG424" s="384"/>
      <c r="AH424" s="384"/>
      <c r="AI424" s="384"/>
      <c r="AJ424" s="384"/>
      <c r="AK424" s="384"/>
      <c r="AL424" s="384"/>
      <c r="AM424" s="384"/>
      <c r="AN424" s="384"/>
      <c r="AO424" s="384"/>
      <c r="AP424" s="384"/>
      <c r="AQ424" s="384"/>
      <c r="AR424" s="384"/>
    </row>
    <row r="425" spans="2:44" s="637" customFormat="1" ht="12" customHeight="1">
      <c r="B425" s="636"/>
      <c r="J425" s="729" t="s">
        <v>1072</v>
      </c>
      <c r="K425" s="730"/>
      <c r="L425" s="727"/>
      <c r="M425" s="728"/>
      <c r="N425" s="1180" t="s">
        <v>1111</v>
      </c>
      <c r="O425" s="1180" t="s">
        <v>669</v>
      </c>
      <c r="P425" s="728"/>
      <c r="X425" s="384"/>
      <c r="Y425" s="384"/>
      <c r="Z425" s="384"/>
      <c r="AA425" s="384"/>
      <c r="AB425" s="384"/>
      <c r="AC425" s="384"/>
      <c r="AD425" s="384"/>
      <c r="AE425" s="384"/>
      <c r="AF425" s="384"/>
      <c r="AG425" s="384"/>
      <c r="AH425" s="384"/>
      <c r="AI425" s="384"/>
      <c r="AJ425" s="384"/>
      <c r="AK425" s="384"/>
      <c r="AL425" s="384"/>
      <c r="AM425" s="384"/>
      <c r="AN425" s="384"/>
      <c r="AO425" s="384"/>
      <c r="AP425" s="384"/>
      <c r="AQ425" s="384"/>
      <c r="AR425" s="384"/>
    </row>
    <row r="426" spans="2:44" s="637" customFormat="1" ht="12" customHeight="1">
      <c r="B426" s="636"/>
      <c r="J426" s="729" t="s">
        <v>1795</v>
      </c>
      <c r="K426" s="730"/>
      <c r="L426" s="727"/>
      <c r="M426" s="728"/>
      <c r="N426" s="1180" t="s">
        <v>610</v>
      </c>
      <c r="O426" s="1180" t="s">
        <v>2312</v>
      </c>
      <c r="P426" s="728"/>
      <c r="X426" s="384"/>
      <c r="Y426" s="384"/>
      <c r="Z426" s="384"/>
      <c r="AA426" s="384"/>
      <c r="AB426" s="384"/>
      <c r="AC426" s="384"/>
      <c r="AD426" s="384"/>
      <c r="AE426" s="384"/>
      <c r="AF426" s="384"/>
      <c r="AG426" s="384"/>
      <c r="AH426" s="384"/>
      <c r="AI426" s="384"/>
      <c r="AJ426" s="384"/>
      <c r="AK426" s="384"/>
      <c r="AL426" s="384"/>
      <c r="AM426" s="384"/>
      <c r="AN426" s="384"/>
      <c r="AO426" s="384"/>
      <c r="AP426" s="384"/>
      <c r="AQ426" s="384"/>
      <c r="AR426" s="384"/>
    </row>
    <row r="427" spans="2:44" s="637" customFormat="1" ht="12" customHeight="1">
      <c r="B427" s="636"/>
      <c r="J427" s="729" t="s">
        <v>1796</v>
      </c>
      <c r="K427" s="730"/>
      <c r="L427" s="727"/>
      <c r="M427" s="728"/>
      <c r="N427" s="1180" t="s">
        <v>391</v>
      </c>
      <c r="O427" s="1180" t="s">
        <v>2701</v>
      </c>
      <c r="P427" s="728"/>
      <c r="X427" s="384"/>
      <c r="Y427" s="384"/>
      <c r="Z427" s="384"/>
      <c r="AA427" s="384"/>
      <c r="AB427" s="384"/>
      <c r="AC427" s="384"/>
      <c r="AD427" s="384"/>
      <c r="AE427" s="384"/>
      <c r="AF427" s="384"/>
      <c r="AG427" s="384"/>
      <c r="AH427" s="384"/>
      <c r="AI427" s="384"/>
      <c r="AJ427" s="384"/>
      <c r="AK427" s="384"/>
      <c r="AL427" s="384"/>
      <c r="AM427" s="384"/>
      <c r="AN427" s="384"/>
      <c r="AO427" s="384"/>
      <c r="AP427" s="384"/>
      <c r="AQ427" s="384"/>
      <c r="AR427" s="384"/>
    </row>
    <row r="428" spans="2:44" s="637" customFormat="1" ht="12" customHeight="1">
      <c r="B428" s="636"/>
      <c r="J428" s="729" t="s">
        <v>1797</v>
      </c>
      <c r="K428" s="730"/>
      <c r="L428" s="727"/>
      <c r="M428" s="728"/>
      <c r="N428" s="1180" t="s">
        <v>393</v>
      </c>
      <c r="O428" s="1180" t="s">
        <v>1552</v>
      </c>
      <c r="P428" s="728"/>
      <c r="X428" s="384"/>
      <c r="Y428" s="384"/>
      <c r="Z428" s="384"/>
      <c r="AA428" s="384"/>
      <c r="AB428" s="384"/>
      <c r="AC428" s="384"/>
      <c r="AD428" s="384"/>
      <c r="AE428" s="384"/>
      <c r="AF428" s="384"/>
      <c r="AG428" s="384"/>
      <c r="AH428" s="384"/>
      <c r="AI428" s="384"/>
      <c r="AJ428" s="384"/>
      <c r="AK428" s="384"/>
      <c r="AL428" s="384"/>
      <c r="AM428" s="384"/>
      <c r="AN428" s="384"/>
      <c r="AO428" s="384"/>
      <c r="AP428" s="384"/>
      <c r="AQ428" s="384"/>
      <c r="AR428" s="384"/>
    </row>
    <row r="429" spans="2:44" s="637" customFormat="1" ht="12" customHeight="1">
      <c r="B429" s="636"/>
      <c r="J429" s="729" t="s">
        <v>917</v>
      </c>
      <c r="K429" s="730"/>
      <c r="L429" s="727"/>
      <c r="M429" s="728"/>
      <c r="N429" s="1180" t="s">
        <v>1112</v>
      </c>
      <c r="O429" s="1180" t="s">
        <v>2045</v>
      </c>
      <c r="P429" s="728"/>
      <c r="X429" s="384"/>
      <c r="Y429" s="384"/>
      <c r="Z429" s="384"/>
      <c r="AA429" s="384"/>
      <c r="AB429" s="384"/>
      <c r="AC429" s="384"/>
      <c r="AD429" s="384"/>
      <c r="AE429" s="384"/>
      <c r="AF429" s="384"/>
      <c r="AG429" s="384"/>
      <c r="AH429" s="384"/>
      <c r="AI429" s="384"/>
      <c r="AJ429" s="384"/>
      <c r="AK429" s="384"/>
      <c r="AL429" s="384"/>
      <c r="AM429" s="384"/>
      <c r="AN429" s="384"/>
      <c r="AO429" s="384"/>
      <c r="AP429" s="384"/>
      <c r="AQ429" s="384"/>
      <c r="AR429" s="384"/>
    </row>
    <row r="430" spans="2:44" s="637" customFormat="1" ht="12" customHeight="1">
      <c r="B430" s="636"/>
      <c r="J430" s="729" t="s">
        <v>919</v>
      </c>
      <c r="K430" s="730"/>
      <c r="L430" s="727"/>
      <c r="M430" s="728"/>
      <c r="N430" s="1180" t="s">
        <v>395</v>
      </c>
      <c r="O430" s="1180" t="s">
        <v>932</v>
      </c>
      <c r="P430" s="728"/>
      <c r="X430" s="384"/>
      <c r="Y430" s="384"/>
      <c r="Z430" s="384"/>
      <c r="AA430" s="384"/>
      <c r="AB430" s="384"/>
      <c r="AC430" s="384"/>
      <c r="AD430" s="384"/>
      <c r="AE430" s="384"/>
      <c r="AF430" s="384"/>
      <c r="AG430" s="384"/>
      <c r="AH430" s="384"/>
      <c r="AI430" s="384"/>
      <c r="AJ430" s="384"/>
      <c r="AK430" s="384"/>
      <c r="AL430" s="384"/>
      <c r="AM430" s="384"/>
      <c r="AN430" s="384"/>
      <c r="AO430" s="384"/>
      <c r="AP430" s="384"/>
      <c r="AQ430" s="384"/>
      <c r="AR430" s="384"/>
    </row>
    <row r="431" spans="2:44" s="637" customFormat="1" ht="12" customHeight="1">
      <c r="B431" s="636"/>
      <c r="J431" s="729" t="s">
        <v>921</v>
      </c>
      <c r="K431" s="730"/>
      <c r="L431" s="727"/>
      <c r="M431" s="728"/>
      <c r="N431" s="1180" t="s">
        <v>1509</v>
      </c>
      <c r="O431" s="1180" t="s">
        <v>2392</v>
      </c>
      <c r="P431" s="728"/>
      <c r="X431" s="384"/>
      <c r="Y431" s="384"/>
      <c r="Z431" s="384"/>
      <c r="AA431" s="384"/>
      <c r="AB431" s="384"/>
      <c r="AC431" s="384"/>
      <c r="AD431" s="384"/>
      <c r="AE431" s="384"/>
      <c r="AF431" s="384"/>
      <c r="AG431" s="384"/>
      <c r="AH431" s="384"/>
      <c r="AI431" s="384"/>
      <c r="AJ431" s="384"/>
      <c r="AK431" s="384"/>
      <c r="AL431" s="384"/>
      <c r="AM431" s="384"/>
      <c r="AN431" s="384"/>
      <c r="AO431" s="384"/>
      <c r="AP431" s="384"/>
      <c r="AQ431" s="384"/>
      <c r="AR431" s="384"/>
    </row>
    <row r="432" spans="2:44" s="637" customFormat="1" ht="12" customHeight="1">
      <c r="B432" s="636"/>
      <c r="J432" s="729" t="s">
        <v>453</v>
      </c>
      <c r="K432" s="730"/>
      <c r="L432" s="727"/>
      <c r="M432" s="728"/>
      <c r="N432" s="1180" t="s">
        <v>1703</v>
      </c>
      <c r="O432" s="1180" t="s">
        <v>182</v>
      </c>
      <c r="P432" s="728"/>
      <c r="X432" s="384"/>
      <c r="Y432" s="384"/>
      <c r="Z432" s="384"/>
      <c r="AA432" s="384"/>
      <c r="AB432" s="384"/>
      <c r="AC432" s="384"/>
      <c r="AD432" s="384"/>
      <c r="AE432" s="384"/>
      <c r="AF432" s="384"/>
      <c r="AG432" s="384"/>
      <c r="AH432" s="384"/>
      <c r="AI432" s="384"/>
      <c r="AJ432" s="384"/>
      <c r="AK432" s="384"/>
      <c r="AL432" s="384"/>
      <c r="AM432" s="384"/>
      <c r="AN432" s="384"/>
      <c r="AO432" s="384"/>
      <c r="AP432" s="384"/>
      <c r="AQ432" s="384"/>
      <c r="AR432" s="384"/>
    </row>
    <row r="433" spans="2:44" s="637" customFormat="1" ht="12" customHeight="1">
      <c r="B433" s="636"/>
      <c r="J433" s="729" t="s">
        <v>1843</v>
      </c>
      <c r="K433" s="730"/>
      <c r="L433" s="727"/>
      <c r="M433" s="728"/>
      <c r="N433" s="1180" t="s">
        <v>1069</v>
      </c>
      <c r="O433" s="1180" t="s">
        <v>333</v>
      </c>
      <c r="P433" s="728"/>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row>
    <row r="434" spans="2:44" s="637" customFormat="1" ht="12" customHeight="1">
      <c r="B434" s="636"/>
      <c r="J434" s="729" t="s">
        <v>2435</v>
      </c>
      <c r="K434" s="730"/>
      <c r="L434" s="727"/>
      <c r="M434" s="728"/>
      <c r="N434" s="705" t="s">
        <v>1071</v>
      </c>
      <c r="O434" s="705" t="s">
        <v>337</v>
      </c>
      <c r="P434" s="728"/>
      <c r="X434" s="384"/>
      <c r="Y434" s="384"/>
      <c r="Z434" s="384"/>
      <c r="AA434" s="384"/>
      <c r="AB434" s="384"/>
      <c r="AC434" s="384"/>
      <c r="AD434" s="384"/>
      <c r="AE434" s="384"/>
      <c r="AF434" s="384"/>
      <c r="AG434" s="384"/>
      <c r="AH434" s="384"/>
      <c r="AI434" s="384"/>
      <c r="AJ434" s="384"/>
      <c r="AK434" s="384"/>
      <c r="AL434" s="384"/>
      <c r="AM434" s="384"/>
      <c r="AN434" s="384"/>
      <c r="AO434" s="384"/>
      <c r="AP434" s="384"/>
      <c r="AQ434" s="384"/>
      <c r="AR434" s="384"/>
    </row>
    <row r="435" spans="2:44" s="637" customFormat="1" ht="12" customHeight="1">
      <c r="B435" s="636"/>
      <c r="J435" s="729" t="s">
        <v>2139</v>
      </c>
      <c r="K435" s="730"/>
      <c r="L435" s="727"/>
      <c r="M435" s="728"/>
      <c r="N435" s="1180" t="s">
        <v>1113</v>
      </c>
      <c r="O435" s="1180" t="s">
        <v>2141</v>
      </c>
      <c r="P435" s="2029"/>
      <c r="X435" s="384"/>
      <c r="Y435" s="384"/>
      <c r="Z435" s="384"/>
      <c r="AA435" s="384"/>
      <c r="AB435" s="384"/>
      <c r="AC435" s="384"/>
      <c r="AD435" s="384"/>
      <c r="AE435" s="384"/>
      <c r="AF435" s="384"/>
      <c r="AG435" s="384"/>
      <c r="AH435" s="384"/>
      <c r="AI435" s="384"/>
      <c r="AJ435" s="384"/>
      <c r="AK435" s="384"/>
      <c r="AL435" s="384"/>
      <c r="AM435" s="384"/>
      <c r="AN435" s="384"/>
      <c r="AO435" s="384"/>
      <c r="AP435" s="384"/>
      <c r="AQ435" s="384"/>
      <c r="AR435" s="384"/>
    </row>
    <row r="436" spans="2:44" s="637" customFormat="1" ht="12" customHeight="1">
      <c r="B436" s="636"/>
      <c r="J436" s="729" t="s">
        <v>1094</v>
      </c>
      <c r="K436" s="730"/>
      <c r="L436" s="727"/>
      <c r="M436" s="728"/>
      <c r="N436" s="1180" t="s">
        <v>1073</v>
      </c>
      <c r="O436" s="1180" t="s">
        <v>1283</v>
      </c>
      <c r="P436" s="728"/>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row>
    <row r="437" spans="2:44" s="637" customFormat="1" ht="12" customHeight="1">
      <c r="B437" s="636"/>
      <c r="J437" s="729" t="s">
        <v>430</v>
      </c>
      <c r="K437" s="730"/>
      <c r="L437" s="727"/>
      <c r="M437" s="728"/>
      <c r="N437" s="1180" t="s">
        <v>332</v>
      </c>
      <c r="O437" s="1180" t="s">
        <v>2704</v>
      </c>
      <c r="P437" s="728"/>
      <c r="X437" s="384"/>
      <c r="Y437" s="384"/>
      <c r="Z437" s="384"/>
      <c r="AA437" s="384"/>
      <c r="AB437" s="384"/>
      <c r="AC437" s="384"/>
      <c r="AD437" s="384"/>
      <c r="AE437" s="384"/>
      <c r="AF437" s="384"/>
      <c r="AG437" s="384"/>
      <c r="AH437" s="384"/>
      <c r="AI437" s="384"/>
      <c r="AJ437" s="384"/>
      <c r="AK437" s="384"/>
      <c r="AL437" s="384"/>
      <c r="AM437" s="384"/>
      <c r="AN437" s="384"/>
      <c r="AO437" s="384"/>
      <c r="AP437" s="384"/>
      <c r="AQ437" s="384"/>
      <c r="AR437" s="384"/>
    </row>
    <row r="438" spans="2:44" s="637" customFormat="1" ht="12" customHeight="1">
      <c r="B438" s="636"/>
      <c r="J438" s="729" t="s">
        <v>432</v>
      </c>
      <c r="K438" s="730"/>
      <c r="L438" s="727"/>
      <c r="M438" s="728"/>
      <c r="N438" s="1180" t="s">
        <v>3498</v>
      </c>
      <c r="O438" s="1180" t="s">
        <v>1907</v>
      </c>
      <c r="P438" s="728"/>
      <c r="X438" s="384"/>
      <c r="Y438" s="384"/>
      <c r="Z438" s="384"/>
      <c r="AA438" s="384"/>
      <c r="AB438" s="384"/>
      <c r="AC438" s="384"/>
      <c r="AD438" s="384"/>
      <c r="AE438" s="384"/>
      <c r="AF438" s="384"/>
      <c r="AG438" s="384"/>
      <c r="AH438" s="384"/>
      <c r="AI438" s="384"/>
      <c r="AJ438" s="384"/>
      <c r="AK438" s="384"/>
      <c r="AL438" s="384"/>
      <c r="AM438" s="384"/>
      <c r="AN438" s="384"/>
      <c r="AO438" s="384"/>
      <c r="AP438" s="384"/>
      <c r="AQ438" s="384"/>
      <c r="AR438" s="384"/>
    </row>
    <row r="439" spans="2:44" s="637" customFormat="1" ht="12" customHeight="1">
      <c r="B439" s="636"/>
      <c r="J439" s="729" t="s">
        <v>433</v>
      </c>
      <c r="K439" s="730"/>
      <c r="L439" s="727"/>
      <c r="M439" s="728"/>
      <c r="N439" s="1180" t="s">
        <v>1798</v>
      </c>
      <c r="O439" s="1180" t="s">
        <v>2701</v>
      </c>
      <c r="P439" s="728"/>
      <c r="X439" s="384"/>
      <c r="Y439" s="384"/>
      <c r="Z439" s="384"/>
      <c r="AA439" s="384"/>
      <c r="AB439" s="384"/>
      <c r="AC439" s="384"/>
      <c r="AD439" s="384"/>
      <c r="AE439" s="384"/>
      <c r="AF439" s="384"/>
      <c r="AG439" s="384"/>
      <c r="AH439" s="384"/>
      <c r="AI439" s="384"/>
      <c r="AJ439" s="384"/>
      <c r="AK439" s="384"/>
      <c r="AL439" s="384"/>
      <c r="AM439" s="384"/>
      <c r="AN439" s="384"/>
      <c r="AO439" s="384"/>
      <c r="AP439" s="384"/>
      <c r="AQ439" s="384"/>
      <c r="AR439" s="384"/>
    </row>
    <row r="440" spans="2:44" s="637" customFormat="1" ht="12" customHeight="1">
      <c r="B440" s="636"/>
      <c r="J440" s="729" t="s">
        <v>2077</v>
      </c>
      <c r="K440" s="730"/>
      <c r="L440" s="727"/>
      <c r="M440" s="728"/>
      <c r="N440" s="1180" t="s">
        <v>918</v>
      </c>
      <c r="O440" s="1180" t="s">
        <v>109</v>
      </c>
      <c r="P440" s="728"/>
      <c r="X440" s="384"/>
      <c r="Y440" s="384"/>
      <c r="Z440" s="384"/>
      <c r="AA440" s="384"/>
      <c r="AB440" s="384"/>
      <c r="AC440" s="384"/>
      <c r="AD440" s="384"/>
      <c r="AE440" s="384"/>
      <c r="AF440" s="384"/>
      <c r="AG440" s="384"/>
      <c r="AH440" s="384"/>
      <c r="AI440" s="384"/>
      <c r="AJ440" s="384"/>
      <c r="AK440" s="384"/>
      <c r="AL440" s="384"/>
      <c r="AM440" s="384"/>
      <c r="AN440" s="384"/>
      <c r="AO440" s="384"/>
      <c r="AP440" s="384"/>
      <c r="AQ440" s="384"/>
      <c r="AR440" s="384"/>
    </row>
    <row r="441" spans="2:44" s="637" customFormat="1" ht="12" customHeight="1">
      <c r="B441" s="636"/>
      <c r="J441" s="729" t="s">
        <v>523</v>
      </c>
      <c r="K441" s="730"/>
      <c r="L441" s="727"/>
      <c r="M441" s="728"/>
      <c r="N441" s="1180" t="s">
        <v>920</v>
      </c>
      <c r="O441" s="1180" t="s">
        <v>334</v>
      </c>
      <c r="P441" s="728"/>
      <c r="X441" s="384"/>
      <c r="Y441" s="384"/>
      <c r="Z441" s="384"/>
      <c r="AA441" s="384"/>
      <c r="AB441" s="384"/>
      <c r="AC441" s="384"/>
      <c r="AD441" s="384"/>
      <c r="AE441" s="384"/>
      <c r="AF441" s="384"/>
      <c r="AG441" s="384"/>
      <c r="AH441" s="384"/>
      <c r="AI441" s="384"/>
      <c r="AJ441" s="384"/>
      <c r="AK441" s="384"/>
      <c r="AL441" s="384"/>
      <c r="AM441" s="384"/>
      <c r="AN441" s="384"/>
      <c r="AO441" s="384"/>
      <c r="AP441" s="384"/>
      <c r="AQ441" s="384"/>
      <c r="AR441" s="384"/>
    </row>
    <row r="442" spans="2:44" s="637" customFormat="1" ht="12" customHeight="1">
      <c r="B442" s="636"/>
      <c r="J442" s="729" t="s">
        <v>2300</v>
      </c>
      <c r="K442" s="730"/>
      <c r="L442" s="727"/>
      <c r="M442" s="728"/>
      <c r="N442" s="1180" t="s">
        <v>1863</v>
      </c>
      <c r="O442" s="1180" t="s">
        <v>1164</v>
      </c>
      <c r="P442" s="728"/>
      <c r="X442" s="384"/>
      <c r="Y442" s="384"/>
      <c r="Z442" s="384"/>
      <c r="AA442" s="384"/>
      <c r="AB442" s="384"/>
      <c r="AC442" s="384"/>
      <c r="AD442" s="384"/>
      <c r="AE442" s="384"/>
      <c r="AF442" s="384"/>
      <c r="AG442" s="384"/>
      <c r="AH442" s="384"/>
      <c r="AI442" s="384"/>
      <c r="AJ442" s="384"/>
      <c r="AK442" s="384"/>
      <c r="AL442" s="384"/>
      <c r="AM442" s="384"/>
      <c r="AN442" s="384"/>
      <c r="AO442" s="384"/>
      <c r="AP442" s="384"/>
      <c r="AQ442" s="384"/>
      <c r="AR442" s="384"/>
    </row>
    <row r="443" spans="2:44" s="637" customFormat="1" ht="12" customHeight="1">
      <c r="B443" s="636"/>
      <c r="J443" s="729" t="s">
        <v>1758</v>
      </c>
      <c r="K443" s="730"/>
      <c r="L443" s="727"/>
      <c r="M443" s="728"/>
      <c r="N443" s="1180" t="s">
        <v>672</v>
      </c>
      <c r="O443" s="1180" t="s">
        <v>344</v>
      </c>
      <c r="P443" s="728"/>
      <c r="X443" s="384"/>
      <c r="Y443" s="384"/>
      <c r="Z443" s="384"/>
      <c r="AA443" s="384"/>
      <c r="AB443" s="384"/>
      <c r="AC443" s="384"/>
      <c r="AD443" s="384"/>
      <c r="AE443" s="384"/>
      <c r="AF443" s="384"/>
      <c r="AG443" s="384"/>
      <c r="AH443" s="384"/>
      <c r="AI443" s="384"/>
      <c r="AJ443" s="384"/>
      <c r="AK443" s="384"/>
      <c r="AL443" s="384"/>
      <c r="AM443" s="384"/>
      <c r="AN443" s="384"/>
      <c r="AO443" s="384"/>
      <c r="AP443" s="384"/>
      <c r="AQ443" s="384"/>
      <c r="AR443" s="384"/>
    </row>
    <row r="444" spans="2:44" s="637" customFormat="1" ht="12" customHeight="1">
      <c r="B444" s="636"/>
      <c r="J444" s="729" t="s">
        <v>1760</v>
      </c>
      <c r="K444" s="730"/>
      <c r="L444" s="727"/>
      <c r="M444" s="728"/>
      <c r="N444" s="1180" t="s">
        <v>1844</v>
      </c>
      <c r="O444" s="1180" t="s">
        <v>117</v>
      </c>
      <c r="P444" s="728"/>
      <c r="X444" s="384"/>
      <c r="Y444" s="384"/>
      <c r="Z444" s="384"/>
      <c r="AA444" s="384"/>
      <c r="AB444" s="384"/>
      <c r="AC444" s="384"/>
      <c r="AD444" s="384"/>
      <c r="AE444" s="384"/>
      <c r="AF444" s="384"/>
      <c r="AG444" s="384"/>
      <c r="AH444" s="384"/>
      <c r="AI444" s="384"/>
      <c r="AJ444" s="384"/>
      <c r="AK444" s="384"/>
      <c r="AL444" s="384"/>
      <c r="AM444" s="384"/>
      <c r="AN444" s="384"/>
      <c r="AO444" s="384"/>
      <c r="AP444" s="384"/>
      <c r="AQ444" s="384"/>
      <c r="AR444" s="384"/>
    </row>
    <row r="445" spans="2:44" s="637" customFormat="1" ht="12" customHeight="1">
      <c r="B445" s="636"/>
      <c r="J445" s="729" t="s">
        <v>324</v>
      </c>
      <c r="K445" s="730"/>
      <c r="L445" s="727"/>
      <c r="M445" s="728"/>
      <c r="N445" s="1180" t="s">
        <v>2436</v>
      </c>
      <c r="O445" s="1180" t="s">
        <v>926</v>
      </c>
      <c r="P445" s="728"/>
      <c r="X445" s="384"/>
      <c r="Y445" s="384"/>
      <c r="Z445" s="384"/>
      <c r="AA445" s="384"/>
      <c r="AB445" s="384"/>
      <c r="AC445" s="384"/>
      <c r="AD445" s="384"/>
      <c r="AE445" s="384"/>
      <c r="AF445" s="384"/>
      <c r="AG445" s="384"/>
      <c r="AH445" s="384"/>
      <c r="AI445" s="384"/>
      <c r="AJ445" s="384"/>
      <c r="AK445" s="384"/>
      <c r="AL445" s="384"/>
      <c r="AM445" s="384"/>
      <c r="AN445" s="384"/>
      <c r="AO445" s="384"/>
      <c r="AP445" s="384"/>
      <c r="AQ445" s="384"/>
      <c r="AR445" s="384"/>
    </row>
    <row r="446" spans="2:44" s="637" customFormat="1" ht="12" customHeight="1">
      <c r="B446" s="636"/>
      <c r="J446" s="729" t="s">
        <v>326</v>
      </c>
      <c r="K446" s="730"/>
      <c r="L446" s="727"/>
      <c r="M446" s="728"/>
      <c r="N446" s="1180" t="s">
        <v>3499</v>
      </c>
      <c r="O446" s="1180" t="s">
        <v>166</v>
      </c>
      <c r="P446" s="728"/>
      <c r="X446" s="384"/>
      <c r="Y446" s="384"/>
      <c r="Z446" s="384"/>
      <c r="AA446" s="384"/>
      <c r="AB446" s="384"/>
      <c r="AC446" s="384"/>
      <c r="AD446" s="384"/>
      <c r="AE446" s="384"/>
      <c r="AF446" s="384"/>
      <c r="AG446" s="384"/>
      <c r="AH446" s="384"/>
      <c r="AI446" s="384"/>
      <c r="AJ446" s="384"/>
      <c r="AK446" s="384"/>
      <c r="AL446" s="384"/>
      <c r="AM446" s="384"/>
      <c r="AN446" s="384"/>
      <c r="AO446" s="384"/>
      <c r="AP446" s="384"/>
      <c r="AQ446" s="384"/>
      <c r="AR446" s="384"/>
    </row>
    <row r="447" spans="2:44" s="637" customFormat="1" ht="12" customHeight="1">
      <c r="B447" s="636"/>
      <c r="J447" s="729" t="s">
        <v>998</v>
      </c>
      <c r="K447" s="730"/>
      <c r="L447" s="727"/>
      <c r="M447" s="728"/>
      <c r="N447" s="1180" t="s">
        <v>2140</v>
      </c>
      <c r="O447" s="1180" t="s">
        <v>1174</v>
      </c>
      <c r="P447" s="728"/>
      <c r="X447" s="384"/>
      <c r="Y447" s="384"/>
      <c r="Z447" s="384"/>
      <c r="AA447" s="384"/>
      <c r="AB447" s="384"/>
      <c r="AC447" s="384"/>
      <c r="AD447" s="384"/>
      <c r="AE447" s="384"/>
      <c r="AF447" s="384"/>
      <c r="AG447" s="384"/>
      <c r="AH447" s="384"/>
      <c r="AI447" s="384"/>
      <c r="AJ447" s="384"/>
      <c r="AK447" s="384"/>
      <c r="AL447" s="384"/>
      <c r="AM447" s="384"/>
      <c r="AN447" s="384"/>
      <c r="AO447" s="384"/>
      <c r="AP447" s="384"/>
      <c r="AQ447" s="384"/>
      <c r="AR447" s="384"/>
    </row>
    <row r="448" spans="2:44" s="637" customFormat="1" ht="12" customHeight="1">
      <c r="B448" s="636"/>
      <c r="J448" s="729" t="s">
        <v>2470</v>
      </c>
      <c r="K448" s="730"/>
      <c r="L448" s="727"/>
      <c r="M448" s="728"/>
      <c r="N448" s="705" t="s">
        <v>3500</v>
      </c>
      <c r="O448" s="705" t="s">
        <v>337</v>
      </c>
      <c r="P448" s="728"/>
      <c r="X448" s="384"/>
      <c r="Y448" s="384"/>
      <c r="Z448" s="384"/>
      <c r="AA448" s="384"/>
      <c r="AB448" s="384"/>
      <c r="AC448" s="384"/>
      <c r="AD448" s="384"/>
      <c r="AE448" s="384"/>
      <c r="AF448" s="384"/>
      <c r="AG448" s="384"/>
      <c r="AH448" s="384"/>
      <c r="AI448" s="384"/>
      <c r="AJ448" s="384"/>
      <c r="AK448" s="384"/>
      <c r="AL448" s="384"/>
      <c r="AM448" s="384"/>
      <c r="AN448" s="384"/>
      <c r="AO448" s="384"/>
      <c r="AP448" s="384"/>
      <c r="AQ448" s="384"/>
      <c r="AR448" s="384"/>
    </row>
    <row r="449" spans="2:44" s="637" customFormat="1" ht="12" customHeight="1">
      <c r="B449" s="636"/>
      <c r="J449" s="729" t="s">
        <v>2471</v>
      </c>
      <c r="K449" s="730"/>
      <c r="L449" s="727"/>
      <c r="M449" s="728"/>
      <c r="N449" s="1180" t="s">
        <v>1095</v>
      </c>
      <c r="O449" s="1180" t="s">
        <v>2045</v>
      </c>
      <c r="P449" s="2029"/>
      <c r="X449" s="384"/>
      <c r="Y449" s="384"/>
      <c r="Z449" s="384"/>
      <c r="AA449" s="384"/>
      <c r="AB449" s="384"/>
      <c r="AC449" s="384"/>
      <c r="AD449" s="384"/>
      <c r="AE449" s="384"/>
      <c r="AF449" s="384"/>
      <c r="AG449" s="384"/>
      <c r="AH449" s="384"/>
      <c r="AI449" s="384"/>
      <c r="AJ449" s="384"/>
      <c r="AK449" s="384"/>
      <c r="AL449" s="384"/>
      <c r="AM449" s="384"/>
      <c r="AN449" s="384"/>
      <c r="AO449" s="384"/>
      <c r="AP449" s="384"/>
      <c r="AQ449" s="384"/>
      <c r="AR449" s="384"/>
    </row>
    <row r="450" spans="2:44" s="637" customFormat="1" ht="12" customHeight="1">
      <c r="B450" s="636"/>
      <c r="J450" s="729" t="s">
        <v>2452</v>
      </c>
      <c r="K450" s="730"/>
      <c r="L450" s="727"/>
      <c r="M450" s="728"/>
      <c r="N450" s="705" t="s">
        <v>431</v>
      </c>
      <c r="O450" s="705" t="s">
        <v>191</v>
      </c>
      <c r="P450" s="728"/>
      <c r="X450" s="384"/>
      <c r="Y450" s="384"/>
      <c r="Z450" s="384"/>
      <c r="AA450" s="384"/>
      <c r="AB450" s="384"/>
      <c r="AC450" s="384"/>
      <c r="AD450" s="384"/>
      <c r="AE450" s="384"/>
      <c r="AF450" s="384"/>
      <c r="AG450" s="384"/>
      <c r="AH450" s="384"/>
      <c r="AI450" s="384"/>
      <c r="AJ450" s="384"/>
      <c r="AK450" s="384"/>
      <c r="AL450" s="384"/>
      <c r="AM450" s="384"/>
      <c r="AN450" s="384"/>
      <c r="AO450" s="384"/>
      <c r="AP450" s="384"/>
      <c r="AQ450" s="384"/>
      <c r="AR450" s="384"/>
    </row>
    <row r="451" spans="2:44" s="637" customFormat="1" ht="12" customHeight="1">
      <c r="B451" s="636"/>
      <c r="J451" s="729" t="s">
        <v>2453</v>
      </c>
      <c r="K451" s="730"/>
      <c r="L451" s="727"/>
      <c r="M451" s="728"/>
      <c r="N451" s="1180" t="s">
        <v>1114</v>
      </c>
      <c r="O451" s="1180" t="s">
        <v>1161</v>
      </c>
      <c r="P451" s="2029"/>
      <c r="X451" s="384"/>
      <c r="Y451" s="384"/>
      <c r="Z451" s="384"/>
      <c r="AA451" s="384"/>
      <c r="AB451" s="384"/>
      <c r="AC451" s="384"/>
      <c r="AD451" s="384"/>
      <c r="AE451" s="384"/>
      <c r="AF451" s="384"/>
      <c r="AG451" s="384"/>
      <c r="AH451" s="384"/>
      <c r="AI451" s="384"/>
      <c r="AJ451" s="384"/>
      <c r="AK451" s="384"/>
      <c r="AL451" s="384"/>
      <c r="AM451" s="384"/>
      <c r="AN451" s="384"/>
      <c r="AO451" s="384"/>
      <c r="AP451" s="384"/>
      <c r="AQ451" s="384"/>
      <c r="AR451" s="384"/>
    </row>
    <row r="452" spans="2:44" s="637" customFormat="1" ht="12" customHeight="1">
      <c r="B452" s="636"/>
      <c r="J452" s="729" t="s">
        <v>2455</v>
      </c>
      <c r="K452" s="730"/>
      <c r="L452" s="727"/>
      <c r="M452" s="728"/>
      <c r="N452" s="705" t="s">
        <v>434</v>
      </c>
      <c r="O452" s="705" t="s">
        <v>2308</v>
      </c>
      <c r="P452" s="728"/>
      <c r="X452" s="384"/>
      <c r="Y452" s="384"/>
      <c r="Z452" s="384"/>
      <c r="AA452" s="384"/>
      <c r="AB452" s="384"/>
      <c r="AC452" s="384"/>
      <c r="AD452" s="384"/>
      <c r="AE452" s="384"/>
      <c r="AF452" s="384"/>
      <c r="AG452" s="384"/>
      <c r="AH452" s="384"/>
      <c r="AI452" s="384"/>
      <c r="AJ452" s="384"/>
      <c r="AK452" s="384"/>
      <c r="AL452" s="384"/>
      <c r="AM452" s="384"/>
      <c r="AN452" s="384"/>
      <c r="AO452" s="384"/>
      <c r="AP452" s="384"/>
      <c r="AQ452" s="384"/>
      <c r="AR452" s="384"/>
    </row>
    <row r="453" spans="2:44" s="637" customFormat="1" ht="12" customHeight="1">
      <c r="B453" s="636"/>
      <c r="J453" s="729" t="s">
        <v>542</v>
      </c>
      <c r="K453" s="730"/>
      <c r="L453" s="727"/>
      <c r="M453" s="728"/>
      <c r="N453" s="1180" t="s">
        <v>2078</v>
      </c>
      <c r="O453" s="1180" t="s">
        <v>1552</v>
      </c>
      <c r="P453" s="2029"/>
      <c r="X453" s="384"/>
      <c r="Y453" s="384"/>
      <c r="Z453" s="384"/>
      <c r="AA453" s="384"/>
      <c r="AB453" s="384"/>
      <c r="AC453" s="384"/>
      <c r="AD453" s="384"/>
      <c r="AE453" s="384"/>
      <c r="AF453" s="384"/>
      <c r="AG453" s="384"/>
      <c r="AH453" s="384"/>
      <c r="AI453" s="384"/>
      <c r="AJ453" s="384"/>
      <c r="AK453" s="384"/>
      <c r="AL453" s="384"/>
      <c r="AM453" s="384"/>
      <c r="AN453" s="384"/>
      <c r="AO453" s="384"/>
      <c r="AP453" s="384"/>
      <c r="AQ453" s="384"/>
      <c r="AR453" s="384"/>
    </row>
    <row r="454" spans="2:44" s="637" customFormat="1" ht="12" customHeight="1">
      <c r="B454" s="636"/>
      <c r="J454" s="729" t="s">
        <v>193</v>
      </c>
      <c r="K454" s="730"/>
      <c r="L454" s="727"/>
      <c r="M454" s="728"/>
      <c r="N454" s="1180" t="s">
        <v>524</v>
      </c>
      <c r="O454" s="1180" t="s">
        <v>2774</v>
      </c>
      <c r="P454" s="728"/>
      <c r="X454" s="384"/>
      <c r="Y454" s="384"/>
      <c r="Z454" s="384"/>
      <c r="AA454" s="384"/>
      <c r="AB454" s="384"/>
      <c r="AC454" s="384"/>
      <c r="AD454" s="384"/>
      <c r="AE454" s="384"/>
      <c r="AF454" s="384"/>
      <c r="AG454" s="384"/>
      <c r="AH454" s="384"/>
      <c r="AI454" s="384"/>
      <c r="AJ454" s="384"/>
      <c r="AK454" s="384"/>
      <c r="AL454" s="384"/>
      <c r="AM454" s="384"/>
      <c r="AN454" s="384"/>
      <c r="AO454" s="384"/>
      <c r="AP454" s="384"/>
      <c r="AQ454" s="384"/>
      <c r="AR454" s="384"/>
    </row>
    <row r="455" spans="2:44" s="637" customFormat="1" ht="12" customHeight="1">
      <c r="B455" s="636"/>
      <c r="J455" s="729" t="s">
        <v>2252</v>
      </c>
      <c r="K455" s="730"/>
      <c r="L455" s="727"/>
      <c r="M455" s="728"/>
      <c r="N455" s="1180" t="s">
        <v>2301</v>
      </c>
      <c r="O455" s="1180" t="s">
        <v>1409</v>
      </c>
      <c r="P455" s="728"/>
      <c r="X455" s="384"/>
      <c r="Y455" s="384"/>
      <c r="Z455" s="384"/>
      <c r="AA455" s="384"/>
      <c r="AB455" s="384"/>
      <c r="AC455" s="384"/>
      <c r="AD455" s="384"/>
      <c r="AE455" s="384"/>
      <c r="AF455" s="384"/>
      <c r="AG455" s="384"/>
      <c r="AH455" s="384"/>
      <c r="AI455" s="384"/>
      <c r="AJ455" s="384"/>
      <c r="AK455" s="384"/>
      <c r="AL455" s="384"/>
      <c r="AM455" s="384"/>
      <c r="AN455" s="384"/>
      <c r="AO455" s="384"/>
      <c r="AP455" s="384"/>
      <c r="AQ455" s="384"/>
      <c r="AR455" s="384"/>
    </row>
    <row r="456" spans="2:44" s="637" customFormat="1" ht="12" customHeight="1">
      <c r="B456" s="636"/>
      <c r="J456" s="729" t="s">
        <v>2110</v>
      </c>
      <c r="K456" s="730"/>
      <c r="L456" s="727"/>
      <c r="M456" s="728"/>
      <c r="N456" s="1180" t="s">
        <v>1759</v>
      </c>
      <c r="O456" s="1180" t="s">
        <v>2049</v>
      </c>
      <c r="P456" s="728"/>
      <c r="X456" s="384"/>
      <c r="Y456" s="384"/>
      <c r="Z456" s="384"/>
      <c r="AA456" s="384"/>
      <c r="AB456" s="384"/>
      <c r="AC456" s="384"/>
      <c r="AD456" s="384"/>
      <c r="AE456" s="384"/>
      <c r="AF456" s="384"/>
      <c r="AG456" s="384"/>
      <c r="AH456" s="384"/>
      <c r="AI456" s="384"/>
      <c r="AJ456" s="384"/>
      <c r="AK456" s="384"/>
      <c r="AL456" s="384"/>
      <c r="AM456" s="384"/>
      <c r="AN456" s="384"/>
      <c r="AO456" s="384"/>
      <c r="AP456" s="384"/>
      <c r="AQ456" s="384"/>
      <c r="AR456" s="384"/>
    </row>
    <row r="457" spans="2:44" s="637" customFormat="1" ht="12" customHeight="1">
      <c r="B457" s="636"/>
      <c r="J457" s="729" t="s">
        <v>2112</v>
      </c>
      <c r="K457" s="730"/>
      <c r="L457" s="727"/>
      <c r="M457" s="728"/>
      <c r="N457" s="1180" t="s">
        <v>1761</v>
      </c>
      <c r="O457" s="1180" t="s">
        <v>171</v>
      </c>
      <c r="P457" s="728"/>
      <c r="X457" s="384"/>
      <c r="Y457" s="384"/>
      <c r="Z457" s="384"/>
      <c r="AA457" s="384"/>
      <c r="AB457" s="384"/>
      <c r="AC457" s="384"/>
      <c r="AD457" s="384"/>
      <c r="AE457" s="384"/>
      <c r="AF457" s="384"/>
      <c r="AG457" s="384"/>
      <c r="AH457" s="384"/>
      <c r="AI457" s="384"/>
      <c r="AJ457" s="384"/>
      <c r="AK457" s="384"/>
      <c r="AL457" s="384"/>
      <c r="AM457" s="384"/>
      <c r="AN457" s="384"/>
      <c r="AO457" s="384"/>
      <c r="AP457" s="384"/>
      <c r="AQ457" s="384"/>
      <c r="AR457" s="384"/>
    </row>
    <row r="458" spans="2:44" s="637" customFormat="1" ht="12" customHeight="1">
      <c r="B458" s="636"/>
      <c r="J458" s="729" t="s">
        <v>1214</v>
      </c>
      <c r="K458" s="730"/>
      <c r="L458" s="727"/>
      <c r="M458" s="728"/>
      <c r="N458" s="1180" t="s">
        <v>325</v>
      </c>
      <c r="O458" s="1180" t="s">
        <v>164</v>
      </c>
      <c r="P458" s="728"/>
      <c r="X458" s="384"/>
      <c r="Y458" s="384"/>
      <c r="Z458" s="384"/>
      <c r="AA458" s="384"/>
      <c r="AB458" s="384"/>
      <c r="AC458" s="384"/>
      <c r="AD458" s="384"/>
      <c r="AE458" s="384"/>
      <c r="AF458" s="384"/>
      <c r="AG458" s="384"/>
      <c r="AH458" s="384"/>
      <c r="AI458" s="384"/>
      <c r="AJ458" s="384"/>
      <c r="AK458" s="384"/>
      <c r="AL458" s="384"/>
      <c r="AM458" s="384"/>
      <c r="AN458" s="384"/>
      <c r="AO458" s="384"/>
      <c r="AP458" s="384"/>
      <c r="AQ458" s="384"/>
      <c r="AR458" s="384"/>
    </row>
    <row r="459" spans="2:44" s="637" customFormat="1" ht="12" customHeight="1">
      <c r="B459" s="636"/>
      <c r="J459" s="729" t="s">
        <v>1216</v>
      </c>
      <c r="K459" s="730"/>
      <c r="L459" s="727"/>
      <c r="M459" s="728"/>
      <c r="N459" s="1180" t="s">
        <v>327</v>
      </c>
      <c r="O459" s="1180" t="s">
        <v>1396</v>
      </c>
      <c r="P459" s="728"/>
      <c r="X459" s="384"/>
      <c r="Y459" s="384"/>
      <c r="Z459" s="384"/>
      <c r="AA459" s="384"/>
      <c r="AB459" s="384"/>
      <c r="AC459" s="384"/>
      <c r="AD459" s="384"/>
      <c r="AE459" s="384"/>
      <c r="AF459" s="384"/>
      <c r="AG459" s="384"/>
      <c r="AH459" s="384"/>
      <c r="AI459" s="384"/>
      <c r="AJ459" s="384"/>
      <c r="AK459" s="384"/>
      <c r="AL459" s="384"/>
      <c r="AM459" s="384"/>
      <c r="AN459" s="384"/>
      <c r="AO459" s="384"/>
      <c r="AP459" s="384"/>
      <c r="AQ459" s="384"/>
      <c r="AR459" s="384"/>
    </row>
    <row r="460" spans="2:44" s="637" customFormat="1" ht="12" customHeight="1">
      <c r="B460" s="636"/>
      <c r="J460" s="729" t="s">
        <v>1178</v>
      </c>
      <c r="K460" s="730"/>
      <c r="L460" s="727"/>
      <c r="M460" s="728"/>
      <c r="N460" s="1180" t="s">
        <v>999</v>
      </c>
      <c r="O460" s="1180" t="s">
        <v>2652</v>
      </c>
      <c r="P460" s="728"/>
      <c r="X460" s="384"/>
      <c r="Y460" s="384"/>
      <c r="Z460" s="384"/>
      <c r="AA460" s="384"/>
      <c r="AB460" s="384"/>
      <c r="AC460" s="384"/>
      <c r="AD460" s="384"/>
      <c r="AE460" s="384"/>
      <c r="AF460" s="384"/>
      <c r="AG460" s="384"/>
      <c r="AH460" s="384"/>
      <c r="AI460" s="384"/>
      <c r="AJ460" s="384"/>
      <c r="AK460" s="384"/>
      <c r="AL460" s="384"/>
      <c r="AM460" s="384"/>
      <c r="AN460" s="384"/>
      <c r="AO460" s="384"/>
      <c r="AP460" s="384"/>
      <c r="AQ460" s="384"/>
      <c r="AR460" s="384"/>
    </row>
    <row r="461" spans="2:44" s="637" customFormat="1" ht="12" customHeight="1">
      <c r="B461" s="636"/>
      <c r="J461" s="729" t="s">
        <v>1179</v>
      </c>
      <c r="K461" s="730"/>
      <c r="L461" s="727"/>
      <c r="M461" s="728"/>
      <c r="N461" s="1180" t="s">
        <v>2472</v>
      </c>
      <c r="O461" s="1180" t="s">
        <v>341</v>
      </c>
      <c r="P461" s="728"/>
      <c r="X461" s="384"/>
      <c r="Y461" s="384"/>
      <c r="Z461" s="384"/>
      <c r="AA461" s="384"/>
      <c r="AB461" s="384"/>
      <c r="AC461" s="384"/>
      <c r="AD461" s="384"/>
      <c r="AE461" s="384"/>
      <c r="AF461" s="384"/>
      <c r="AG461" s="384"/>
      <c r="AH461" s="384"/>
      <c r="AI461" s="384"/>
      <c r="AJ461" s="384"/>
      <c r="AK461" s="384"/>
      <c r="AL461" s="384"/>
      <c r="AM461" s="384"/>
      <c r="AN461" s="384"/>
      <c r="AO461" s="384"/>
      <c r="AP461" s="384"/>
      <c r="AQ461" s="384"/>
      <c r="AR461" s="384"/>
    </row>
    <row r="462" spans="2:44" s="637" customFormat="1" ht="12" customHeight="1">
      <c r="B462" s="636"/>
      <c r="J462" s="729" t="s">
        <v>75</v>
      </c>
      <c r="K462" s="730"/>
      <c r="L462" s="727"/>
      <c r="M462" s="728"/>
      <c r="N462" s="1180" t="s">
        <v>3501</v>
      </c>
      <c r="O462" s="1180" t="s">
        <v>2325</v>
      </c>
      <c r="P462" s="728"/>
      <c r="X462" s="384"/>
      <c r="Y462" s="384"/>
      <c r="Z462" s="384"/>
      <c r="AA462" s="384"/>
      <c r="AB462" s="384"/>
      <c r="AC462" s="384"/>
      <c r="AD462" s="384"/>
      <c r="AE462" s="384"/>
      <c r="AF462" s="384"/>
      <c r="AG462" s="384"/>
      <c r="AH462" s="384"/>
      <c r="AI462" s="384"/>
      <c r="AJ462" s="384"/>
      <c r="AK462" s="384"/>
      <c r="AL462" s="384"/>
      <c r="AM462" s="384"/>
      <c r="AN462" s="384"/>
      <c r="AO462" s="384"/>
      <c r="AP462" s="384"/>
      <c r="AQ462" s="384"/>
      <c r="AR462" s="384"/>
    </row>
    <row r="463" spans="2:44" s="637" customFormat="1" ht="12" customHeight="1">
      <c r="B463" s="636"/>
      <c r="J463" s="729" t="s">
        <v>386</v>
      </c>
      <c r="K463" s="730"/>
      <c r="L463" s="727"/>
      <c r="M463" s="728"/>
      <c r="N463" s="638" t="s">
        <v>2454</v>
      </c>
      <c r="O463" s="1180" t="s">
        <v>186</v>
      </c>
      <c r="P463" s="728"/>
      <c r="X463" s="384"/>
      <c r="Y463" s="384"/>
      <c r="Z463" s="384"/>
      <c r="AA463" s="384"/>
      <c r="AB463" s="384"/>
      <c r="AC463" s="384"/>
      <c r="AD463" s="384"/>
      <c r="AE463" s="384"/>
      <c r="AF463" s="384"/>
      <c r="AG463" s="384"/>
      <c r="AH463" s="384"/>
      <c r="AI463" s="384"/>
      <c r="AJ463" s="384"/>
      <c r="AK463" s="384"/>
      <c r="AL463" s="384"/>
      <c r="AM463" s="384"/>
      <c r="AN463" s="384"/>
      <c r="AO463" s="384"/>
      <c r="AP463" s="384"/>
      <c r="AQ463" s="384"/>
      <c r="AR463" s="384"/>
    </row>
    <row r="464" spans="2:44" s="637" customFormat="1" ht="12" customHeight="1">
      <c r="B464" s="636"/>
      <c r="J464" s="729" t="s">
        <v>2397</v>
      </c>
      <c r="K464" s="730"/>
      <c r="L464" s="727"/>
      <c r="M464" s="728"/>
      <c r="N464" s="1180" t="s">
        <v>2456</v>
      </c>
      <c r="O464" s="1180" t="s">
        <v>1406</v>
      </c>
      <c r="P464" s="728"/>
      <c r="X464" s="384"/>
      <c r="Y464" s="384"/>
      <c r="Z464" s="384"/>
      <c r="AA464" s="384"/>
      <c r="AB464" s="384"/>
      <c r="AC464" s="384"/>
      <c r="AD464" s="384"/>
      <c r="AE464" s="384"/>
      <c r="AF464" s="384"/>
      <c r="AG464" s="384"/>
      <c r="AH464" s="384"/>
      <c r="AI464" s="384"/>
      <c r="AJ464" s="384"/>
      <c r="AK464" s="384"/>
      <c r="AL464" s="384"/>
      <c r="AM464" s="384"/>
      <c r="AN464" s="384"/>
      <c r="AO464" s="384"/>
      <c r="AP464" s="384"/>
      <c r="AQ464" s="384"/>
      <c r="AR464" s="384"/>
    </row>
    <row r="465" spans="2:44" s="637" customFormat="1" ht="12" customHeight="1">
      <c r="B465" s="636"/>
      <c r="J465" s="729" t="s">
        <v>1945</v>
      </c>
      <c r="K465" s="730"/>
      <c r="L465" s="727"/>
      <c r="M465" s="728"/>
      <c r="N465" s="1180" t="s">
        <v>543</v>
      </c>
      <c r="O465" s="1180" t="s">
        <v>186</v>
      </c>
      <c r="P465" s="728"/>
      <c r="X465" s="384"/>
      <c r="Y465" s="384"/>
      <c r="Z465" s="384"/>
      <c r="AA465" s="384"/>
      <c r="AB465" s="384"/>
      <c r="AC465" s="384"/>
      <c r="AD465" s="384"/>
      <c r="AE465" s="384"/>
      <c r="AF465" s="384"/>
      <c r="AG465" s="384"/>
      <c r="AH465" s="384"/>
      <c r="AI465" s="384"/>
      <c r="AJ465" s="384"/>
      <c r="AK465" s="384"/>
      <c r="AL465" s="384"/>
      <c r="AM465" s="384"/>
      <c r="AN465" s="384"/>
      <c r="AO465" s="384"/>
      <c r="AP465" s="384"/>
      <c r="AQ465" s="384"/>
      <c r="AR465" s="384"/>
    </row>
    <row r="466" spans="2:44" s="637" customFormat="1" ht="12" customHeight="1">
      <c r="B466" s="636"/>
      <c r="J466" s="729" t="s">
        <v>1878</v>
      </c>
      <c r="K466" s="730"/>
      <c r="L466" s="727"/>
      <c r="M466" s="728"/>
      <c r="N466" s="1180" t="s">
        <v>1115</v>
      </c>
      <c r="O466" s="1180" t="s">
        <v>1626</v>
      </c>
      <c r="P466" s="728"/>
      <c r="X466" s="384"/>
      <c r="Y466" s="384"/>
      <c r="Z466" s="384"/>
      <c r="AA466" s="384"/>
      <c r="AB466" s="384"/>
      <c r="AC466" s="384"/>
      <c r="AD466" s="384"/>
      <c r="AE466" s="384"/>
      <c r="AF466" s="384"/>
      <c r="AG466" s="384"/>
      <c r="AH466" s="384"/>
      <c r="AI466" s="384"/>
      <c r="AJ466" s="384"/>
      <c r="AK466" s="384"/>
      <c r="AL466" s="384"/>
      <c r="AM466" s="384"/>
      <c r="AN466" s="384"/>
      <c r="AO466" s="384"/>
      <c r="AP466" s="384"/>
      <c r="AQ466" s="384"/>
      <c r="AR466" s="384"/>
    </row>
    <row r="467" spans="2:44" s="637" customFormat="1" ht="12" customHeight="1">
      <c r="B467" s="636"/>
      <c r="J467" s="729" t="s">
        <v>288</v>
      </c>
      <c r="K467" s="730"/>
      <c r="L467" s="727"/>
      <c r="M467" s="728"/>
      <c r="N467" s="1180" t="s">
        <v>194</v>
      </c>
      <c r="O467" s="1180" t="s">
        <v>2310</v>
      </c>
      <c r="P467" s="728"/>
      <c r="X467" s="384"/>
      <c r="Y467" s="384"/>
      <c r="Z467" s="384"/>
      <c r="AA467" s="384"/>
      <c r="AB467" s="384"/>
      <c r="AC467" s="384"/>
      <c r="AD467" s="384"/>
      <c r="AE467" s="384"/>
      <c r="AF467" s="384"/>
      <c r="AG467" s="384"/>
      <c r="AH467" s="384"/>
      <c r="AI467" s="384"/>
      <c r="AJ467" s="384"/>
      <c r="AK467" s="384"/>
      <c r="AL467" s="384"/>
      <c r="AM467" s="384"/>
      <c r="AN467" s="384"/>
      <c r="AO467" s="384"/>
      <c r="AP467" s="384"/>
      <c r="AQ467" s="384"/>
      <c r="AR467" s="384"/>
    </row>
    <row r="468" spans="2:44" s="637" customFormat="1" ht="12" customHeight="1">
      <c r="B468" s="636"/>
      <c r="J468" s="729" t="s">
        <v>2507</v>
      </c>
      <c r="K468" s="730"/>
      <c r="L468" s="727"/>
      <c r="M468" s="728"/>
      <c r="N468" s="705" t="s">
        <v>1116</v>
      </c>
      <c r="O468" s="705" t="s">
        <v>2651</v>
      </c>
      <c r="P468" s="728"/>
      <c r="X468" s="384"/>
      <c r="Y468" s="384"/>
      <c r="Z468" s="384"/>
      <c r="AA468" s="384"/>
      <c r="AB468" s="384"/>
      <c r="AC468" s="384"/>
      <c r="AD468" s="384"/>
      <c r="AE468" s="384"/>
      <c r="AF468" s="384"/>
      <c r="AG468" s="384"/>
      <c r="AH468" s="384"/>
      <c r="AI468" s="384"/>
      <c r="AJ468" s="384"/>
      <c r="AK468" s="384"/>
      <c r="AL468" s="384"/>
      <c r="AM468" s="384"/>
      <c r="AN468" s="384"/>
      <c r="AO468" s="384"/>
      <c r="AP468" s="384"/>
      <c r="AQ468" s="384"/>
      <c r="AR468" s="384"/>
    </row>
    <row r="469" spans="2:44" s="637" customFormat="1" ht="12" customHeight="1">
      <c r="B469" s="636"/>
      <c r="J469" s="729" t="s">
        <v>498</v>
      </c>
      <c r="K469" s="730"/>
      <c r="L469" s="727"/>
      <c r="M469" s="728"/>
      <c r="N469" s="1180" t="s">
        <v>2109</v>
      </c>
      <c r="O469" s="1180" t="s">
        <v>2558</v>
      </c>
      <c r="P469" s="2029"/>
      <c r="X469" s="384"/>
      <c r="Y469" s="384"/>
      <c r="Z469" s="384"/>
      <c r="AA469" s="384"/>
      <c r="AB469" s="384"/>
      <c r="AC469" s="384"/>
      <c r="AD469" s="384"/>
      <c r="AE469" s="384"/>
      <c r="AF469" s="384"/>
      <c r="AG469" s="384"/>
      <c r="AH469" s="384"/>
      <c r="AI469" s="384"/>
      <c r="AJ469" s="384"/>
      <c r="AK469" s="384"/>
      <c r="AL469" s="384"/>
      <c r="AM469" s="384"/>
      <c r="AN469" s="384"/>
      <c r="AO469" s="384"/>
      <c r="AP469" s="384"/>
      <c r="AQ469" s="384"/>
      <c r="AR469" s="384"/>
    </row>
    <row r="470" spans="2:44" s="637" customFormat="1" ht="12" customHeight="1">
      <c r="B470" s="636"/>
      <c r="J470" s="729" t="s">
        <v>499</v>
      </c>
      <c r="K470" s="730"/>
      <c r="L470" s="727"/>
      <c r="M470" s="728"/>
      <c r="N470" s="1180" t="s">
        <v>1117</v>
      </c>
      <c r="O470" s="1180" t="s">
        <v>166</v>
      </c>
      <c r="P470" s="728"/>
      <c r="X470" s="384"/>
      <c r="Y470" s="384"/>
      <c r="Z470" s="384"/>
      <c r="AA470" s="384"/>
      <c r="AB470" s="384"/>
      <c r="AC470" s="384"/>
      <c r="AD470" s="384"/>
      <c r="AE470" s="384"/>
      <c r="AF470" s="384"/>
      <c r="AG470" s="384"/>
      <c r="AH470" s="384"/>
      <c r="AI470" s="384"/>
      <c r="AJ470" s="384"/>
      <c r="AK470" s="384"/>
      <c r="AL470" s="384"/>
      <c r="AM470" s="384"/>
      <c r="AN470" s="384"/>
      <c r="AO470" s="384"/>
      <c r="AP470" s="384"/>
      <c r="AQ470" s="384"/>
      <c r="AR470" s="384"/>
    </row>
    <row r="471" spans="2:44" s="637" customFormat="1" ht="12" customHeight="1">
      <c r="B471" s="636"/>
      <c r="J471" s="729" t="s">
        <v>501</v>
      </c>
      <c r="K471" s="730"/>
      <c r="L471" s="727"/>
      <c r="M471" s="728"/>
      <c r="N471" s="1180" t="s">
        <v>2111</v>
      </c>
      <c r="O471" s="1180" t="s">
        <v>2558</v>
      </c>
      <c r="P471" s="728"/>
      <c r="X471" s="384"/>
      <c r="Y471" s="384"/>
      <c r="Z471" s="384"/>
      <c r="AA471" s="384"/>
      <c r="AB471" s="384"/>
      <c r="AC471" s="384"/>
      <c r="AD471" s="384"/>
      <c r="AE471" s="384"/>
      <c r="AF471" s="384"/>
      <c r="AG471" s="384"/>
      <c r="AH471" s="384"/>
      <c r="AI471" s="384"/>
      <c r="AJ471" s="384"/>
      <c r="AK471" s="384"/>
      <c r="AL471" s="384"/>
      <c r="AM471" s="384"/>
      <c r="AN471" s="384"/>
      <c r="AO471" s="384"/>
      <c r="AP471" s="384"/>
      <c r="AQ471" s="384"/>
      <c r="AR471" s="384"/>
    </row>
    <row r="472" spans="2:44" s="637" customFormat="1" ht="12" customHeight="1">
      <c r="B472" s="636"/>
      <c r="J472" s="729" t="s">
        <v>503</v>
      </c>
      <c r="K472" s="730"/>
      <c r="L472" s="727"/>
      <c r="M472" s="728"/>
      <c r="N472" s="1180" t="s">
        <v>341</v>
      </c>
      <c r="O472" s="1180" t="s">
        <v>1417</v>
      </c>
      <c r="P472" s="728"/>
      <c r="X472" s="384"/>
      <c r="Y472" s="384"/>
      <c r="Z472" s="384"/>
      <c r="AA472" s="384"/>
      <c r="AB472" s="384"/>
      <c r="AC472" s="384"/>
      <c r="AD472" s="384"/>
      <c r="AE472" s="384"/>
      <c r="AF472" s="384"/>
      <c r="AG472" s="384"/>
      <c r="AH472" s="384"/>
      <c r="AI472" s="384"/>
      <c r="AJ472" s="384"/>
      <c r="AK472" s="384"/>
      <c r="AL472" s="384"/>
      <c r="AM472" s="384"/>
      <c r="AN472" s="384"/>
      <c r="AO472" s="384"/>
      <c r="AP472" s="384"/>
      <c r="AQ472" s="384"/>
      <c r="AR472" s="384"/>
    </row>
    <row r="473" spans="2:44" s="637" customFormat="1" ht="12" customHeight="1">
      <c r="B473" s="636"/>
      <c r="J473" s="729" t="s">
        <v>1318</v>
      </c>
      <c r="K473" s="730"/>
      <c r="L473" s="727"/>
      <c r="M473" s="728"/>
      <c r="N473" s="1180" t="s">
        <v>1215</v>
      </c>
      <c r="O473" s="1180" t="s">
        <v>926</v>
      </c>
      <c r="P473" s="728"/>
      <c r="X473" s="384"/>
      <c r="Y473" s="384"/>
      <c r="Z473" s="384"/>
      <c r="AA473" s="384"/>
      <c r="AB473" s="384"/>
      <c r="AC473" s="384"/>
      <c r="AD473" s="384"/>
      <c r="AE473" s="384"/>
      <c r="AF473" s="384"/>
      <c r="AG473" s="384"/>
      <c r="AH473" s="384"/>
      <c r="AI473" s="384"/>
      <c r="AJ473" s="384"/>
      <c r="AK473" s="384"/>
      <c r="AL473" s="384"/>
      <c r="AM473" s="384"/>
      <c r="AN473" s="384"/>
      <c r="AO473" s="384"/>
      <c r="AP473" s="384"/>
      <c r="AQ473" s="384"/>
      <c r="AR473" s="384"/>
    </row>
    <row r="474" spans="2:44" s="637" customFormat="1" ht="12" customHeight="1">
      <c r="B474" s="636"/>
      <c r="J474" s="729" t="s">
        <v>1320</v>
      </c>
      <c r="K474" s="730"/>
      <c r="L474" s="727"/>
      <c r="M474" s="728"/>
      <c r="N474" s="1180" t="s">
        <v>1177</v>
      </c>
      <c r="O474" s="1180" t="s">
        <v>929</v>
      </c>
      <c r="P474" s="728"/>
      <c r="X474" s="384"/>
      <c r="Y474" s="384"/>
      <c r="Z474" s="384"/>
      <c r="AA474" s="384"/>
      <c r="AB474" s="384"/>
      <c r="AC474" s="384"/>
      <c r="AD474" s="384"/>
      <c r="AE474" s="384"/>
      <c r="AF474" s="384"/>
      <c r="AG474" s="384"/>
      <c r="AH474" s="384"/>
      <c r="AI474" s="384"/>
      <c r="AJ474" s="384"/>
      <c r="AK474" s="384"/>
      <c r="AL474" s="384"/>
      <c r="AM474" s="384"/>
      <c r="AN474" s="384"/>
      <c r="AO474" s="384"/>
      <c r="AP474" s="384"/>
      <c r="AQ474" s="384"/>
      <c r="AR474" s="384"/>
    </row>
    <row r="475" spans="2:44" s="637" customFormat="1" ht="12" customHeight="1">
      <c r="B475" s="636"/>
      <c r="J475" s="729" t="s">
        <v>2129</v>
      </c>
      <c r="K475" s="730"/>
      <c r="L475" s="727"/>
      <c r="M475" s="728"/>
      <c r="N475" s="1180" t="s">
        <v>343</v>
      </c>
      <c r="O475" s="1180" t="s">
        <v>1158</v>
      </c>
      <c r="P475" s="728"/>
      <c r="X475" s="384"/>
      <c r="Y475" s="384"/>
      <c r="Z475" s="384"/>
      <c r="AA475" s="384"/>
      <c r="AB475" s="384"/>
      <c r="AC475" s="384"/>
      <c r="AD475" s="384"/>
      <c r="AE475" s="384"/>
      <c r="AF475" s="384"/>
      <c r="AG475" s="384"/>
      <c r="AH475" s="384"/>
      <c r="AI475" s="384"/>
      <c r="AJ475" s="384"/>
      <c r="AK475" s="384"/>
      <c r="AL475" s="384"/>
      <c r="AM475" s="384"/>
      <c r="AN475" s="384"/>
      <c r="AO475" s="384"/>
      <c r="AP475" s="384"/>
      <c r="AQ475" s="384"/>
      <c r="AR475" s="384"/>
    </row>
    <row r="476" spans="2:44" s="637" customFormat="1" ht="12" customHeight="1">
      <c r="B476" s="636"/>
      <c r="J476" s="729" t="s">
        <v>2130</v>
      </c>
      <c r="K476" s="730"/>
      <c r="L476" s="727"/>
      <c r="M476" s="728"/>
      <c r="N476" s="1180" t="s">
        <v>346</v>
      </c>
      <c r="O476" s="1180" t="s">
        <v>341</v>
      </c>
      <c r="P476" s="728"/>
      <c r="X476" s="384"/>
      <c r="Y476" s="384"/>
      <c r="Z476" s="384"/>
      <c r="AA476" s="384"/>
      <c r="AB476" s="384"/>
      <c r="AC476" s="384"/>
      <c r="AD476" s="384"/>
      <c r="AE476" s="384"/>
      <c r="AF476" s="384"/>
      <c r="AG476" s="384"/>
      <c r="AH476" s="384"/>
      <c r="AI476" s="384"/>
      <c r="AJ476" s="384"/>
      <c r="AK476" s="384"/>
      <c r="AL476" s="384"/>
      <c r="AM476" s="384"/>
      <c r="AN476" s="384"/>
      <c r="AO476" s="384"/>
      <c r="AP476" s="384"/>
      <c r="AQ476" s="384"/>
      <c r="AR476" s="384"/>
    </row>
    <row r="477" spans="2:44" s="637" customFormat="1" ht="12" customHeight="1">
      <c r="B477" s="636"/>
      <c r="J477" s="729" t="s">
        <v>78</v>
      </c>
      <c r="K477" s="730"/>
      <c r="L477" s="727"/>
      <c r="M477" s="728"/>
      <c r="N477" s="705" t="s">
        <v>76</v>
      </c>
      <c r="O477" s="705" t="s">
        <v>2053</v>
      </c>
      <c r="P477" s="728"/>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row>
    <row r="478" spans="2:44" s="637" customFormat="1" ht="12" customHeight="1">
      <c r="B478" s="636"/>
      <c r="J478" s="729" t="s">
        <v>80</v>
      </c>
      <c r="K478" s="730"/>
      <c r="L478" s="727"/>
      <c r="M478" s="728"/>
      <c r="N478" s="705" t="s">
        <v>2398</v>
      </c>
      <c r="O478" s="705" t="s">
        <v>1417</v>
      </c>
      <c r="P478" s="2029"/>
      <c r="X478" s="384"/>
      <c r="Y478" s="384"/>
      <c r="Z478" s="384"/>
      <c r="AA478" s="384"/>
      <c r="AB478" s="384"/>
      <c r="AC478" s="384"/>
      <c r="AD478" s="384"/>
      <c r="AE478" s="384"/>
      <c r="AF478" s="384"/>
      <c r="AG478" s="384"/>
      <c r="AH478" s="384"/>
      <c r="AI478" s="384"/>
      <c r="AJ478" s="384"/>
      <c r="AK478" s="384"/>
      <c r="AL478" s="384"/>
      <c r="AM478" s="384"/>
      <c r="AN478" s="384"/>
      <c r="AO478" s="384"/>
      <c r="AP478" s="384"/>
      <c r="AQ478" s="384"/>
      <c r="AR478" s="384"/>
    </row>
    <row r="479" spans="2:44" s="637" customFormat="1" ht="12" customHeight="1">
      <c r="B479" s="636"/>
      <c r="J479" s="729" t="s">
        <v>2575</v>
      </c>
      <c r="K479" s="730"/>
      <c r="L479" s="727"/>
      <c r="M479" s="728"/>
      <c r="N479" s="1180" t="s">
        <v>1877</v>
      </c>
      <c r="O479" s="1180" t="s">
        <v>2144</v>
      </c>
      <c r="P479" s="2029"/>
      <c r="X479" s="384"/>
      <c r="Y479" s="384"/>
      <c r="Z479" s="384"/>
      <c r="AA479" s="384"/>
      <c r="AB479" s="384"/>
      <c r="AC479" s="384"/>
      <c r="AD479" s="384"/>
      <c r="AE479" s="384"/>
      <c r="AF479" s="384"/>
      <c r="AG479" s="384"/>
      <c r="AH479" s="384"/>
      <c r="AI479" s="384"/>
      <c r="AJ479" s="384"/>
      <c r="AK479" s="384"/>
      <c r="AL479" s="384"/>
      <c r="AM479" s="384"/>
      <c r="AN479" s="384"/>
      <c r="AO479" s="384"/>
      <c r="AP479" s="384"/>
      <c r="AQ479" s="384"/>
      <c r="AR479" s="384"/>
    </row>
    <row r="480" spans="2:44" s="637" customFormat="1" ht="12" customHeight="1">
      <c r="B480" s="636"/>
      <c r="J480" s="729" t="s">
        <v>2339</v>
      </c>
      <c r="K480" s="730"/>
      <c r="L480" s="727"/>
      <c r="M480" s="728"/>
      <c r="N480" s="1180" t="s">
        <v>1879</v>
      </c>
      <c r="O480" s="1180" t="s">
        <v>111</v>
      </c>
      <c r="P480" s="728"/>
      <c r="X480" s="384"/>
      <c r="Y480" s="384"/>
      <c r="Z480" s="384"/>
      <c r="AA480" s="384"/>
      <c r="AB480" s="384"/>
      <c r="AC480" s="384"/>
      <c r="AD480" s="384"/>
      <c r="AE480" s="384"/>
      <c r="AF480" s="384"/>
      <c r="AG480" s="384"/>
      <c r="AH480" s="384"/>
      <c r="AI480" s="384"/>
      <c r="AJ480" s="384"/>
      <c r="AK480" s="384"/>
      <c r="AL480" s="384"/>
      <c r="AM480" s="384"/>
      <c r="AN480" s="384"/>
      <c r="AO480" s="384"/>
      <c r="AP480" s="384"/>
      <c r="AQ480" s="384"/>
      <c r="AR480" s="384"/>
    </row>
    <row r="481" spans="2:44" s="637" customFormat="1" ht="12" customHeight="1">
      <c r="B481" s="636"/>
      <c r="J481" s="729" t="s">
        <v>2340</v>
      </c>
      <c r="K481" s="730"/>
      <c r="L481" s="727"/>
      <c r="M481" s="728"/>
      <c r="N481" s="1180" t="s">
        <v>738</v>
      </c>
      <c r="O481" s="1180" t="s">
        <v>1283</v>
      </c>
      <c r="P481" s="728"/>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row>
    <row r="482" spans="2:44" s="637" customFormat="1" ht="12" customHeight="1">
      <c r="B482" s="636"/>
      <c r="J482" s="729" t="s">
        <v>1024</v>
      </c>
      <c r="K482" s="730"/>
      <c r="L482" s="727"/>
      <c r="M482" s="728"/>
      <c r="N482" s="1180" t="s">
        <v>2506</v>
      </c>
      <c r="O482" s="1180" t="s">
        <v>2651</v>
      </c>
      <c r="P482" s="728"/>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row>
    <row r="483" spans="2:44" s="637" customFormat="1" ht="12" customHeight="1">
      <c r="B483" s="636"/>
      <c r="J483" s="729" t="s">
        <v>1026</v>
      </c>
      <c r="K483" s="730"/>
      <c r="L483" s="727"/>
      <c r="M483" s="728"/>
      <c r="N483" s="1180" t="s">
        <v>2508</v>
      </c>
      <c r="O483" s="1180" t="s">
        <v>2319</v>
      </c>
      <c r="P483" s="728"/>
      <c r="X483" s="384"/>
      <c r="Y483" s="384"/>
      <c r="Z483" s="384"/>
      <c r="AA483" s="384"/>
      <c r="AB483" s="384"/>
      <c r="AC483" s="384"/>
      <c r="AD483" s="384"/>
      <c r="AE483" s="384"/>
      <c r="AF483" s="384"/>
      <c r="AG483" s="384"/>
      <c r="AH483" s="384"/>
      <c r="AI483" s="384"/>
      <c r="AJ483" s="384"/>
      <c r="AK483" s="384"/>
      <c r="AL483" s="384"/>
      <c r="AM483" s="384"/>
      <c r="AN483" s="384"/>
      <c r="AO483" s="384"/>
      <c r="AP483" s="384"/>
      <c r="AQ483" s="384"/>
      <c r="AR483" s="384"/>
    </row>
    <row r="484" spans="2:44" s="637" customFormat="1" ht="12" customHeight="1">
      <c r="B484" s="636"/>
      <c r="J484" s="729" t="s">
        <v>1592</v>
      </c>
      <c r="K484" s="730"/>
      <c r="L484" s="727"/>
      <c r="M484" s="728"/>
      <c r="N484" s="1180" t="s">
        <v>500</v>
      </c>
      <c r="O484" s="1180" t="s">
        <v>2654</v>
      </c>
      <c r="P484" s="728"/>
      <c r="X484" s="384"/>
      <c r="Y484" s="384"/>
      <c r="Z484" s="384"/>
      <c r="AA484" s="384"/>
      <c r="AB484" s="384"/>
      <c r="AC484" s="384"/>
      <c r="AD484" s="384"/>
      <c r="AE484" s="384"/>
      <c r="AF484" s="384"/>
      <c r="AG484" s="384"/>
      <c r="AH484" s="384"/>
      <c r="AI484" s="384"/>
      <c r="AJ484" s="384"/>
      <c r="AK484" s="384"/>
      <c r="AL484" s="384"/>
      <c r="AM484" s="384"/>
      <c r="AN484" s="384"/>
      <c r="AO484" s="384"/>
      <c r="AP484" s="384"/>
      <c r="AQ484" s="384"/>
      <c r="AR484" s="384"/>
    </row>
    <row r="485" spans="2:44" s="637" customFormat="1" ht="12" customHeight="1">
      <c r="B485" s="636"/>
      <c r="J485" s="729" t="s">
        <v>1593</v>
      </c>
      <c r="K485" s="730"/>
      <c r="L485" s="727"/>
      <c r="M485" s="728"/>
      <c r="N485" s="1180" t="s">
        <v>502</v>
      </c>
      <c r="O485" s="1180" t="s">
        <v>1415</v>
      </c>
      <c r="P485" s="728"/>
      <c r="X485" s="384"/>
      <c r="Y485" s="384"/>
      <c r="Z485" s="384"/>
      <c r="AA485" s="384"/>
      <c r="AB485" s="384"/>
      <c r="AC485" s="384"/>
      <c r="AD485" s="384"/>
      <c r="AE485" s="384"/>
      <c r="AF485" s="384"/>
      <c r="AG485" s="384"/>
      <c r="AH485" s="384"/>
      <c r="AI485" s="384"/>
      <c r="AJ485" s="384"/>
      <c r="AK485" s="384"/>
      <c r="AL485" s="384"/>
      <c r="AM485" s="384"/>
      <c r="AN485" s="384"/>
      <c r="AO485" s="384"/>
      <c r="AP485" s="384"/>
      <c r="AQ485" s="384"/>
      <c r="AR485" s="384"/>
    </row>
    <row r="486" spans="2:44" s="637" customFormat="1" ht="12" customHeight="1">
      <c r="B486" s="636"/>
      <c r="J486" s="729" t="s">
        <v>1595</v>
      </c>
      <c r="K486" s="730"/>
      <c r="L486" s="727"/>
      <c r="M486" s="728"/>
      <c r="N486" s="1180" t="s">
        <v>1118</v>
      </c>
      <c r="O486" s="1180" t="s">
        <v>1420</v>
      </c>
      <c r="P486" s="728"/>
      <c r="X486" s="384"/>
      <c r="Y486" s="384"/>
      <c r="Z486" s="384"/>
      <c r="AA486" s="384"/>
      <c r="AB486" s="384"/>
      <c r="AC486" s="384"/>
      <c r="AD486" s="384"/>
      <c r="AE486" s="384"/>
      <c r="AF486" s="384"/>
      <c r="AG486" s="384"/>
      <c r="AH486" s="384"/>
      <c r="AI486" s="384"/>
      <c r="AJ486" s="384"/>
      <c r="AK486" s="384"/>
      <c r="AL486" s="384"/>
      <c r="AM486" s="384"/>
      <c r="AN486" s="384"/>
      <c r="AO486" s="384"/>
      <c r="AP486" s="384"/>
      <c r="AQ486" s="384"/>
      <c r="AR486" s="384"/>
    </row>
    <row r="487" spans="2:44" s="637" customFormat="1" ht="12" customHeight="1">
      <c r="B487" s="636"/>
      <c r="J487" s="729" t="s">
        <v>1597</v>
      </c>
      <c r="K487" s="730"/>
      <c r="L487" s="727"/>
      <c r="M487" s="728"/>
      <c r="N487" s="1180" t="s">
        <v>504</v>
      </c>
      <c r="O487" s="1180" t="s">
        <v>1420</v>
      </c>
      <c r="P487" s="728"/>
      <c r="X487" s="384"/>
      <c r="Y487" s="384"/>
      <c r="Z487" s="384"/>
      <c r="AA487" s="384"/>
      <c r="AB487" s="384"/>
      <c r="AC487" s="384"/>
      <c r="AD487" s="384"/>
      <c r="AE487" s="384"/>
      <c r="AF487" s="384"/>
      <c r="AG487" s="384"/>
      <c r="AH487" s="384"/>
      <c r="AI487" s="384"/>
      <c r="AJ487" s="384"/>
      <c r="AK487" s="384"/>
      <c r="AL487" s="384"/>
      <c r="AM487" s="384"/>
      <c r="AN487" s="384"/>
      <c r="AO487" s="384"/>
      <c r="AP487" s="384"/>
      <c r="AQ487" s="384"/>
      <c r="AR487" s="384"/>
    </row>
    <row r="488" spans="2:44" s="637" customFormat="1" ht="12" customHeight="1">
      <c r="B488" s="636"/>
      <c r="J488" s="729" t="s">
        <v>1599</v>
      </c>
      <c r="K488" s="730"/>
      <c r="L488" s="727"/>
      <c r="M488" s="728"/>
      <c r="N488" s="705" t="s">
        <v>1319</v>
      </c>
      <c r="O488" s="705" t="s">
        <v>1400</v>
      </c>
      <c r="P488" s="728"/>
      <c r="X488" s="384"/>
      <c r="Y488" s="384"/>
      <c r="Z488" s="384"/>
      <c r="AA488" s="384"/>
      <c r="AB488" s="384"/>
      <c r="AC488" s="384"/>
      <c r="AD488" s="384"/>
      <c r="AE488" s="384"/>
      <c r="AF488" s="384"/>
      <c r="AG488" s="384"/>
      <c r="AH488" s="384"/>
      <c r="AI488" s="384"/>
      <c r="AJ488" s="384"/>
      <c r="AK488" s="384"/>
      <c r="AL488" s="384"/>
      <c r="AM488" s="384"/>
      <c r="AN488" s="384"/>
      <c r="AO488" s="384"/>
      <c r="AP488" s="384"/>
      <c r="AQ488" s="384"/>
      <c r="AR488" s="384"/>
    </row>
    <row r="489" spans="2:44" s="637" customFormat="1" ht="12" customHeight="1">
      <c r="B489" s="636"/>
      <c r="J489" s="729" t="s">
        <v>2488</v>
      </c>
      <c r="K489" s="730"/>
      <c r="L489" s="727"/>
      <c r="M489" s="728"/>
      <c r="N489" s="1180" t="s">
        <v>1321</v>
      </c>
      <c r="O489" s="1180" t="s">
        <v>350</v>
      </c>
      <c r="P489" s="2029"/>
      <c r="X489" s="384"/>
      <c r="Y489" s="384"/>
      <c r="Z489" s="384"/>
      <c r="AA489" s="384"/>
      <c r="AB489" s="384"/>
      <c r="AC489" s="384"/>
      <c r="AD489" s="384"/>
      <c r="AE489" s="384"/>
      <c r="AF489" s="384"/>
      <c r="AG489" s="384"/>
      <c r="AH489" s="384"/>
      <c r="AI489" s="384"/>
      <c r="AJ489" s="384"/>
      <c r="AK489" s="384"/>
      <c r="AL489" s="384"/>
      <c r="AM489" s="384"/>
      <c r="AN489" s="384"/>
      <c r="AO489" s="384"/>
      <c r="AP489" s="384"/>
      <c r="AQ489" s="384"/>
      <c r="AR489" s="384"/>
    </row>
    <row r="490" spans="2:44" s="637" customFormat="1" ht="12" customHeight="1">
      <c r="B490" s="636"/>
      <c r="J490" s="729" t="s">
        <v>2778</v>
      </c>
      <c r="K490" s="730"/>
      <c r="L490" s="727"/>
      <c r="M490" s="728"/>
      <c r="N490" s="1180" t="s">
        <v>3502</v>
      </c>
      <c r="O490" s="1180" t="s">
        <v>2705</v>
      </c>
      <c r="P490" s="728"/>
      <c r="X490" s="384"/>
      <c r="Y490" s="384"/>
      <c r="Z490" s="384"/>
      <c r="AA490" s="384"/>
      <c r="AB490" s="384"/>
      <c r="AC490" s="384"/>
      <c r="AD490" s="384"/>
      <c r="AE490" s="384"/>
      <c r="AF490" s="384"/>
      <c r="AG490" s="384"/>
      <c r="AH490" s="384"/>
      <c r="AI490" s="384"/>
      <c r="AJ490" s="384"/>
      <c r="AK490" s="384"/>
      <c r="AL490" s="384"/>
      <c r="AM490" s="384"/>
      <c r="AN490" s="384"/>
      <c r="AO490" s="384"/>
      <c r="AP490" s="384"/>
      <c r="AQ490" s="384"/>
      <c r="AR490" s="384"/>
    </row>
    <row r="491" spans="2:44" s="637" customFormat="1" ht="12" customHeight="1">
      <c r="B491" s="636"/>
      <c r="J491" s="729" t="s">
        <v>1362</v>
      </c>
      <c r="K491" s="730"/>
      <c r="L491" s="727"/>
      <c r="M491" s="728"/>
      <c r="N491" s="1180" t="s">
        <v>2131</v>
      </c>
      <c r="O491" s="1180" t="s">
        <v>2143</v>
      </c>
      <c r="P491" s="2030"/>
      <c r="X491" s="384"/>
      <c r="Y491" s="384"/>
      <c r="Z491" s="384"/>
      <c r="AA491" s="384"/>
      <c r="AB491" s="384"/>
      <c r="AC491" s="384"/>
      <c r="AD491" s="384"/>
      <c r="AE491" s="384"/>
      <c r="AF491" s="384"/>
      <c r="AG491" s="384"/>
      <c r="AH491" s="384"/>
      <c r="AI491" s="384"/>
      <c r="AJ491" s="384"/>
      <c r="AK491" s="384"/>
      <c r="AL491" s="384"/>
      <c r="AM491" s="384"/>
      <c r="AN491" s="384"/>
      <c r="AO491" s="384"/>
      <c r="AP491" s="384"/>
      <c r="AQ491" s="384"/>
      <c r="AR491" s="384"/>
    </row>
    <row r="492" spans="2:44" s="637" customFormat="1" ht="12" customHeight="1">
      <c r="B492" s="636"/>
      <c r="J492" s="729" t="s">
        <v>1614</v>
      </c>
      <c r="K492" s="730"/>
      <c r="L492" s="727"/>
      <c r="M492" s="728"/>
      <c r="N492" s="1180" t="s">
        <v>79</v>
      </c>
      <c r="O492" s="1180" t="s">
        <v>2049</v>
      </c>
      <c r="P492" s="2030"/>
      <c r="X492" s="384"/>
      <c r="Y492" s="384"/>
      <c r="Z492" s="384"/>
      <c r="AA492" s="384"/>
      <c r="AB492" s="384"/>
      <c r="AC492" s="384"/>
      <c r="AD492" s="384"/>
      <c r="AE492" s="384"/>
      <c r="AF492" s="384"/>
      <c r="AG492" s="384"/>
      <c r="AH492" s="384"/>
      <c r="AI492" s="384"/>
      <c r="AJ492" s="384"/>
      <c r="AK492" s="384"/>
      <c r="AL492" s="384"/>
      <c r="AM492" s="384"/>
      <c r="AN492" s="384"/>
      <c r="AO492" s="384"/>
      <c r="AP492" s="384"/>
      <c r="AQ492" s="384"/>
      <c r="AR492" s="384"/>
    </row>
    <row r="493" spans="2:44" s="637" customFormat="1" ht="12" customHeight="1">
      <c r="B493" s="636"/>
      <c r="J493" s="729" t="s">
        <v>873</v>
      </c>
      <c r="K493" s="730"/>
      <c r="L493" s="727"/>
      <c r="M493" s="728"/>
      <c r="N493" s="1180" t="s">
        <v>673</v>
      </c>
      <c r="O493" s="1180" t="s">
        <v>2651</v>
      </c>
      <c r="P493" s="728"/>
      <c r="X493" s="384"/>
      <c r="Y493" s="384"/>
      <c r="Z493" s="384"/>
      <c r="AA493" s="384"/>
      <c r="AB493" s="384"/>
      <c r="AC493" s="384"/>
      <c r="AD493" s="384"/>
      <c r="AE493" s="384"/>
      <c r="AF493" s="384"/>
      <c r="AG493" s="384"/>
      <c r="AH493" s="384"/>
      <c r="AI493" s="384"/>
      <c r="AJ493" s="384"/>
      <c r="AK493" s="384"/>
      <c r="AL493" s="384"/>
      <c r="AM493" s="384"/>
      <c r="AN493" s="384"/>
      <c r="AO493" s="384"/>
      <c r="AP493" s="384"/>
      <c r="AQ493" s="384"/>
      <c r="AR493" s="384"/>
    </row>
    <row r="494" spans="2:44" s="637" customFormat="1" ht="12" customHeight="1">
      <c r="B494" s="636"/>
      <c r="J494" s="729" t="s">
        <v>874</v>
      </c>
      <c r="K494" s="730"/>
      <c r="L494" s="727"/>
      <c r="M494" s="728"/>
      <c r="N494" s="1180" t="s">
        <v>81</v>
      </c>
      <c r="O494" s="1180" t="s">
        <v>182</v>
      </c>
      <c r="P494" s="728"/>
      <c r="X494" s="384"/>
      <c r="Y494" s="384"/>
      <c r="Z494" s="384"/>
      <c r="AA494" s="384"/>
      <c r="AB494" s="384"/>
      <c r="AC494" s="384"/>
      <c r="AD494" s="384"/>
      <c r="AE494" s="384"/>
      <c r="AF494" s="384"/>
      <c r="AG494" s="384"/>
      <c r="AH494" s="384"/>
      <c r="AI494" s="384"/>
      <c r="AJ494" s="384"/>
      <c r="AK494" s="384"/>
      <c r="AL494" s="384"/>
      <c r="AM494" s="384"/>
      <c r="AN494" s="384"/>
      <c r="AO494" s="384"/>
      <c r="AP494" s="384"/>
      <c r="AQ494" s="384"/>
      <c r="AR494" s="384"/>
    </row>
    <row r="495" spans="2:44" s="637" customFormat="1" ht="12" customHeight="1">
      <c r="B495" s="636"/>
      <c r="J495" s="729" t="s">
        <v>876</v>
      </c>
      <c r="K495" s="730"/>
      <c r="L495" s="727"/>
      <c r="M495" s="728"/>
      <c r="N495" s="1180" t="s">
        <v>2576</v>
      </c>
      <c r="O495" s="1180" t="s">
        <v>1548</v>
      </c>
      <c r="P495" s="728"/>
      <c r="X495" s="384"/>
      <c r="Y495" s="384"/>
      <c r="Z495" s="384"/>
      <c r="AA495" s="384"/>
      <c r="AB495" s="384"/>
      <c r="AC495" s="384"/>
      <c r="AD495" s="384"/>
      <c r="AE495" s="384"/>
      <c r="AF495" s="384"/>
      <c r="AG495" s="384"/>
      <c r="AH495" s="384"/>
      <c r="AI495" s="384"/>
      <c r="AJ495" s="384"/>
      <c r="AK495" s="384"/>
      <c r="AL495" s="384"/>
      <c r="AM495" s="384"/>
      <c r="AN495" s="384"/>
      <c r="AO495" s="384"/>
      <c r="AP495" s="384"/>
      <c r="AQ495" s="384"/>
      <c r="AR495" s="384"/>
    </row>
    <row r="496" spans="2:44" s="637" customFormat="1" ht="12" customHeight="1">
      <c r="B496" s="636"/>
      <c r="J496" s="729" t="s">
        <v>877</v>
      </c>
      <c r="K496" s="730"/>
      <c r="L496" s="727"/>
      <c r="M496" s="728"/>
      <c r="N496" s="1180" t="s">
        <v>1119</v>
      </c>
      <c r="O496" s="1180" t="s">
        <v>1626</v>
      </c>
      <c r="P496" s="728"/>
      <c r="X496" s="384"/>
      <c r="Y496" s="384"/>
      <c r="Z496" s="384"/>
      <c r="AA496" s="384"/>
      <c r="AB496" s="384"/>
      <c r="AC496" s="384"/>
      <c r="AD496" s="384"/>
      <c r="AE496" s="384"/>
      <c r="AF496" s="384"/>
      <c r="AG496" s="384"/>
      <c r="AH496" s="384"/>
      <c r="AI496" s="384"/>
      <c r="AJ496" s="384"/>
      <c r="AK496" s="384"/>
      <c r="AL496" s="384"/>
      <c r="AM496" s="384"/>
      <c r="AN496" s="384"/>
      <c r="AO496" s="384"/>
      <c r="AP496" s="384"/>
      <c r="AQ496" s="384"/>
      <c r="AR496" s="384"/>
    </row>
    <row r="497" spans="2:44" s="637" customFormat="1" ht="12" customHeight="1">
      <c r="B497" s="636"/>
      <c r="J497" s="729" t="s">
        <v>122</v>
      </c>
      <c r="K497" s="730"/>
      <c r="L497" s="727"/>
      <c r="M497" s="728"/>
      <c r="N497" s="1180" t="s">
        <v>1120</v>
      </c>
      <c r="O497" s="1180" t="s">
        <v>1175</v>
      </c>
      <c r="P497" s="728"/>
      <c r="X497" s="384"/>
      <c r="Y497" s="384"/>
      <c r="Z497" s="384"/>
      <c r="AA497" s="384"/>
      <c r="AB497" s="384"/>
      <c r="AC497" s="384"/>
      <c r="AD497" s="384"/>
      <c r="AE497" s="384"/>
      <c r="AF497" s="384"/>
      <c r="AG497" s="384"/>
      <c r="AH497" s="384"/>
      <c r="AI497" s="384"/>
      <c r="AJ497" s="384"/>
      <c r="AK497" s="384"/>
      <c r="AL497" s="384"/>
      <c r="AM497" s="384"/>
      <c r="AN497" s="384"/>
      <c r="AO497" s="384"/>
      <c r="AP497" s="384"/>
      <c r="AQ497" s="384"/>
      <c r="AR497" s="384"/>
    </row>
    <row r="498" spans="2:44" s="637" customFormat="1" ht="12" customHeight="1">
      <c r="B498" s="636"/>
      <c r="J498" s="729" t="s">
        <v>262</v>
      </c>
      <c r="K498" s="730"/>
      <c r="L498" s="727"/>
      <c r="M498" s="728"/>
      <c r="N498" s="1180" t="s">
        <v>654</v>
      </c>
      <c r="O498" s="1180" t="s">
        <v>706</v>
      </c>
      <c r="P498" s="728"/>
      <c r="X498" s="384"/>
      <c r="Y498" s="384"/>
      <c r="Z498" s="384"/>
      <c r="AA498" s="384"/>
      <c r="AB498" s="384"/>
      <c r="AC498" s="384"/>
      <c r="AD498" s="384"/>
      <c r="AE498" s="384"/>
      <c r="AF498" s="384"/>
      <c r="AG498" s="384"/>
      <c r="AH498" s="384"/>
      <c r="AI498" s="384"/>
      <c r="AJ498" s="384"/>
      <c r="AK498" s="384"/>
      <c r="AL498" s="384"/>
      <c r="AM498" s="384"/>
      <c r="AN498" s="384"/>
      <c r="AO498" s="384"/>
      <c r="AP498" s="384"/>
      <c r="AQ498" s="384"/>
      <c r="AR498" s="384"/>
    </row>
    <row r="499" spans="2:44" s="637" customFormat="1" ht="12" customHeight="1">
      <c r="B499" s="636"/>
      <c r="J499" s="729" t="s">
        <v>1611</v>
      </c>
      <c r="K499" s="730"/>
      <c r="L499" s="727"/>
      <c r="M499" s="728"/>
      <c r="N499" s="1180" t="s">
        <v>1025</v>
      </c>
      <c r="O499" s="1180" t="s">
        <v>124</v>
      </c>
      <c r="P499" s="728"/>
      <c r="X499" s="384"/>
      <c r="Y499" s="384"/>
      <c r="Z499" s="384"/>
      <c r="AA499" s="384"/>
      <c r="AB499" s="384"/>
      <c r="AC499" s="384"/>
      <c r="AD499" s="384"/>
      <c r="AE499" s="384"/>
      <c r="AF499" s="384"/>
      <c r="AG499" s="384"/>
      <c r="AH499" s="384"/>
      <c r="AI499" s="384"/>
      <c r="AJ499" s="384"/>
      <c r="AK499" s="384"/>
      <c r="AL499" s="384"/>
      <c r="AM499" s="384"/>
      <c r="AN499" s="384"/>
      <c r="AO499" s="384"/>
      <c r="AP499" s="384"/>
      <c r="AQ499" s="384"/>
      <c r="AR499" s="384"/>
    </row>
    <row r="500" spans="2:44" s="637" customFormat="1" ht="12" customHeight="1">
      <c r="B500" s="636"/>
      <c r="J500" s="729" t="s">
        <v>257</v>
      </c>
      <c r="K500" s="730"/>
      <c r="L500" s="727"/>
      <c r="M500" s="728"/>
      <c r="N500" s="1180" t="s">
        <v>1027</v>
      </c>
      <c r="O500" s="1180" t="s">
        <v>1418</v>
      </c>
      <c r="P500" s="728"/>
      <c r="X500" s="384"/>
      <c r="Y500" s="384"/>
      <c r="Z500" s="384"/>
      <c r="AA500" s="384"/>
      <c r="AB500" s="384"/>
      <c r="AC500" s="384"/>
      <c r="AD500" s="384"/>
      <c r="AE500" s="384"/>
      <c r="AF500" s="384"/>
      <c r="AG500" s="384"/>
      <c r="AH500" s="384"/>
      <c r="AI500" s="384"/>
      <c r="AJ500" s="384"/>
      <c r="AK500" s="384"/>
      <c r="AL500" s="384"/>
      <c r="AM500" s="384"/>
      <c r="AN500" s="384"/>
      <c r="AO500" s="384"/>
      <c r="AP500" s="384"/>
      <c r="AQ500" s="384"/>
      <c r="AR500" s="384"/>
    </row>
    <row r="501" spans="2:44" s="637" customFormat="1" ht="12" customHeight="1">
      <c r="B501" s="636"/>
      <c r="J501" s="729" t="s">
        <v>1616</v>
      </c>
      <c r="K501" s="730"/>
      <c r="L501" s="727"/>
      <c r="M501" s="728"/>
      <c r="N501" s="1180" t="s">
        <v>1594</v>
      </c>
      <c r="O501" s="1180" t="s">
        <v>1551</v>
      </c>
      <c r="P501" s="728"/>
      <c r="X501" s="384"/>
      <c r="Y501" s="384"/>
      <c r="Z501" s="384"/>
      <c r="AA501" s="384"/>
      <c r="AB501" s="384"/>
      <c r="AC501" s="384"/>
      <c r="AD501" s="384"/>
      <c r="AE501" s="384"/>
      <c r="AF501" s="384"/>
      <c r="AG501" s="384"/>
      <c r="AH501" s="384"/>
      <c r="AI501" s="384"/>
      <c r="AJ501" s="384"/>
      <c r="AK501" s="384"/>
      <c r="AL501" s="384"/>
      <c r="AM501" s="384"/>
      <c r="AN501" s="384"/>
      <c r="AO501" s="384"/>
      <c r="AP501" s="384"/>
      <c r="AQ501" s="384"/>
      <c r="AR501" s="384"/>
    </row>
    <row r="502" spans="2:44" s="637" customFormat="1" ht="12" customHeight="1">
      <c r="B502" s="636"/>
      <c r="J502" s="729" t="s">
        <v>1618</v>
      </c>
      <c r="K502" s="730"/>
      <c r="L502" s="727"/>
      <c r="M502" s="728"/>
      <c r="N502" s="1180" t="s">
        <v>1596</v>
      </c>
      <c r="O502" s="1180" t="s">
        <v>2702</v>
      </c>
      <c r="P502" s="728"/>
      <c r="X502" s="384"/>
      <c r="Y502" s="384"/>
      <c r="Z502" s="384"/>
      <c r="AA502" s="384"/>
      <c r="AB502" s="384"/>
      <c r="AC502" s="384"/>
      <c r="AD502" s="384"/>
      <c r="AE502" s="384"/>
      <c r="AF502" s="384"/>
      <c r="AG502" s="384"/>
      <c r="AH502" s="384"/>
      <c r="AI502" s="384"/>
      <c r="AJ502" s="384"/>
      <c r="AK502" s="384"/>
      <c r="AL502" s="384"/>
      <c r="AM502" s="384"/>
      <c r="AN502" s="384"/>
      <c r="AO502" s="384"/>
      <c r="AP502" s="384"/>
      <c r="AQ502" s="384"/>
      <c r="AR502" s="384"/>
    </row>
    <row r="503" spans="2:44" s="637" customFormat="1" ht="12" customHeight="1">
      <c r="B503" s="636"/>
      <c r="J503" s="729" t="s">
        <v>1482</v>
      </c>
      <c r="K503" s="730"/>
      <c r="L503" s="727"/>
      <c r="M503" s="728"/>
      <c r="N503" s="1180" t="s">
        <v>1598</v>
      </c>
      <c r="O503" s="1180" t="s">
        <v>2317</v>
      </c>
      <c r="P503" s="728"/>
      <c r="X503" s="384"/>
      <c r="Y503" s="384"/>
      <c r="Z503" s="384"/>
      <c r="AA503" s="384"/>
      <c r="AB503" s="384"/>
      <c r="AC503" s="384"/>
      <c r="AD503" s="384"/>
      <c r="AE503" s="384"/>
      <c r="AF503" s="384"/>
      <c r="AG503" s="384"/>
      <c r="AH503" s="384"/>
      <c r="AI503" s="384"/>
      <c r="AJ503" s="384"/>
      <c r="AK503" s="384"/>
      <c r="AL503" s="384"/>
      <c r="AM503" s="384"/>
      <c r="AN503" s="384"/>
      <c r="AO503" s="384"/>
      <c r="AP503" s="384"/>
      <c r="AQ503" s="384"/>
      <c r="AR503" s="384"/>
    </row>
    <row r="504" spans="2:44" s="637" customFormat="1" ht="12" customHeight="1">
      <c r="B504" s="636"/>
      <c r="J504" s="729" t="s">
        <v>1484</v>
      </c>
      <c r="K504" s="730"/>
      <c r="L504" s="727"/>
      <c r="M504" s="728"/>
      <c r="N504" s="1180" t="s">
        <v>2487</v>
      </c>
      <c r="O504" s="1180" t="s">
        <v>2773</v>
      </c>
      <c r="P504" s="728"/>
      <c r="X504" s="384"/>
      <c r="Y504" s="384"/>
      <c r="Z504" s="384"/>
      <c r="AA504" s="384"/>
      <c r="AB504" s="384"/>
      <c r="AC504" s="384"/>
      <c r="AD504" s="384"/>
      <c r="AE504" s="384"/>
      <c r="AF504" s="384"/>
      <c r="AG504" s="384"/>
      <c r="AH504" s="384"/>
      <c r="AI504" s="384"/>
      <c r="AJ504" s="384"/>
      <c r="AK504" s="384"/>
      <c r="AL504" s="384"/>
      <c r="AM504" s="384"/>
      <c r="AN504" s="384"/>
      <c r="AO504" s="384"/>
      <c r="AP504" s="384"/>
      <c r="AQ504" s="384"/>
      <c r="AR504" s="384"/>
    </row>
    <row r="505" spans="2:44" s="637" customFormat="1" ht="12" customHeight="1">
      <c r="B505" s="636"/>
      <c r="J505" s="729" t="s">
        <v>1486</v>
      </c>
      <c r="K505" s="730"/>
      <c r="L505" s="727"/>
      <c r="M505" s="728"/>
      <c r="N505" s="1180" t="s">
        <v>2489</v>
      </c>
      <c r="O505" s="1180" t="s">
        <v>124</v>
      </c>
      <c r="P505" s="728"/>
      <c r="X505" s="384"/>
      <c r="Y505" s="384"/>
      <c r="Z505" s="384"/>
      <c r="AA505" s="384"/>
      <c r="AB505" s="384"/>
      <c r="AC505" s="384"/>
      <c r="AD505" s="384"/>
      <c r="AE505" s="384"/>
      <c r="AF505" s="384"/>
      <c r="AG505" s="384"/>
      <c r="AH505" s="384"/>
      <c r="AI505" s="384"/>
      <c r="AJ505" s="384"/>
      <c r="AK505" s="384"/>
      <c r="AL505" s="384"/>
      <c r="AM505" s="384"/>
      <c r="AN505" s="384"/>
      <c r="AO505" s="384"/>
      <c r="AP505" s="384"/>
      <c r="AQ505" s="384"/>
      <c r="AR505" s="384"/>
    </row>
    <row r="506" spans="2:44" s="637" customFormat="1" ht="12" customHeight="1">
      <c r="B506" s="636"/>
      <c r="J506" s="729" t="s">
        <v>1487</v>
      </c>
      <c r="K506" s="730"/>
      <c r="L506" s="727"/>
      <c r="M506" s="728"/>
      <c r="N506" s="705" t="s">
        <v>1361</v>
      </c>
      <c r="O506" s="705" t="s">
        <v>1010</v>
      </c>
      <c r="P506" s="728"/>
      <c r="X506" s="384"/>
      <c r="Y506" s="384"/>
      <c r="Z506" s="384"/>
      <c r="AA506" s="384"/>
      <c r="AB506" s="384"/>
      <c r="AC506" s="384"/>
      <c r="AD506" s="384"/>
      <c r="AE506" s="384"/>
      <c r="AF506" s="384"/>
      <c r="AG506" s="384"/>
      <c r="AH506" s="384"/>
      <c r="AI506" s="384"/>
      <c r="AJ506" s="384"/>
      <c r="AK506" s="384"/>
      <c r="AL506" s="384"/>
      <c r="AM506" s="384"/>
      <c r="AN506" s="384"/>
      <c r="AO506" s="384"/>
      <c r="AP506" s="384"/>
      <c r="AQ506" s="384"/>
      <c r="AR506" s="384"/>
    </row>
    <row r="507" spans="2:44" s="637" customFormat="1" ht="12" customHeight="1">
      <c r="B507" s="636"/>
      <c r="J507" s="729" t="s">
        <v>1489</v>
      </c>
      <c r="K507" s="730"/>
      <c r="L507" s="727"/>
      <c r="M507" s="728"/>
      <c r="N507" s="1180" t="s">
        <v>1121</v>
      </c>
      <c r="O507" s="1180" t="s">
        <v>2141</v>
      </c>
      <c r="P507" s="2029"/>
      <c r="X507" s="384"/>
      <c r="Y507" s="384"/>
      <c r="Z507" s="384"/>
      <c r="AA507" s="384"/>
      <c r="AB507" s="384"/>
      <c r="AC507" s="384"/>
      <c r="AD507" s="384"/>
      <c r="AE507" s="384"/>
      <c r="AF507" s="384"/>
      <c r="AG507" s="384"/>
      <c r="AH507" s="384"/>
      <c r="AI507" s="384"/>
      <c r="AJ507" s="384"/>
      <c r="AK507" s="384"/>
      <c r="AL507" s="384"/>
      <c r="AM507" s="384"/>
      <c r="AN507" s="384"/>
      <c r="AO507" s="384"/>
      <c r="AP507" s="384"/>
      <c r="AQ507" s="384"/>
      <c r="AR507" s="384"/>
    </row>
    <row r="508" spans="2:44" s="637" customFormat="1" ht="12" customHeight="1">
      <c r="B508" s="636"/>
      <c r="J508" s="729" t="s">
        <v>1491</v>
      </c>
      <c r="K508" s="730"/>
      <c r="L508" s="727"/>
      <c r="M508" s="728"/>
      <c r="N508" s="1180" t="s">
        <v>1363</v>
      </c>
      <c r="O508" s="1180" t="s">
        <v>1553</v>
      </c>
      <c r="P508" s="728"/>
      <c r="X508" s="384"/>
      <c r="Y508" s="384"/>
      <c r="Z508" s="384"/>
      <c r="AA508" s="384"/>
      <c r="AB508" s="384"/>
      <c r="AC508" s="384"/>
      <c r="AD508" s="384"/>
      <c r="AE508" s="384"/>
      <c r="AF508" s="384"/>
      <c r="AG508" s="384"/>
      <c r="AH508" s="384"/>
      <c r="AI508" s="384"/>
      <c r="AJ508" s="384"/>
      <c r="AK508" s="384"/>
      <c r="AL508" s="384"/>
      <c r="AM508" s="384"/>
      <c r="AN508" s="384"/>
      <c r="AO508" s="384"/>
      <c r="AP508" s="384"/>
      <c r="AQ508" s="384"/>
      <c r="AR508" s="384"/>
    </row>
    <row r="509" spans="2:44" s="637" customFormat="1" ht="12" customHeight="1">
      <c r="B509" s="636"/>
      <c r="J509" s="729" t="s">
        <v>1677</v>
      </c>
      <c r="K509" s="730"/>
      <c r="L509" s="727"/>
      <c r="M509" s="728"/>
      <c r="N509" s="1180" t="s">
        <v>881</v>
      </c>
      <c r="O509" s="1180" t="s">
        <v>2143</v>
      </c>
      <c r="P509" s="728"/>
      <c r="X509" s="384"/>
      <c r="Y509" s="384"/>
      <c r="Z509" s="384"/>
      <c r="AA509" s="384"/>
      <c r="AB509" s="384"/>
      <c r="AC509" s="384"/>
      <c r="AD509" s="384"/>
      <c r="AE509" s="384"/>
      <c r="AF509" s="384"/>
      <c r="AG509" s="384"/>
      <c r="AH509" s="384"/>
      <c r="AI509" s="384"/>
      <c r="AJ509" s="384"/>
      <c r="AK509" s="384"/>
      <c r="AL509" s="384"/>
      <c r="AM509" s="384"/>
      <c r="AN509" s="384"/>
      <c r="AO509" s="384"/>
      <c r="AP509" s="384"/>
      <c r="AQ509" s="384"/>
      <c r="AR509" s="384"/>
    </row>
    <row r="510" spans="2:44" s="637" customFormat="1" ht="12" customHeight="1">
      <c r="B510" s="636"/>
      <c r="J510" s="729" t="s">
        <v>1678</v>
      </c>
      <c r="K510" s="730"/>
      <c r="L510" s="727"/>
      <c r="M510" s="728"/>
      <c r="N510" s="1180" t="s">
        <v>882</v>
      </c>
      <c r="O510" s="1180" t="s">
        <v>928</v>
      </c>
      <c r="P510" s="728"/>
      <c r="X510" s="384"/>
      <c r="Y510" s="384"/>
      <c r="Z510" s="384"/>
      <c r="AA510" s="384"/>
      <c r="AB510" s="384"/>
      <c r="AC510" s="384"/>
      <c r="AD510" s="384"/>
      <c r="AE510" s="384"/>
      <c r="AF510" s="384"/>
      <c r="AG510" s="384"/>
      <c r="AH510" s="384"/>
      <c r="AI510" s="384"/>
      <c r="AJ510" s="384"/>
      <c r="AK510" s="384"/>
      <c r="AL510" s="384"/>
      <c r="AM510" s="384"/>
      <c r="AN510" s="384"/>
      <c r="AO510" s="384"/>
      <c r="AP510" s="384"/>
      <c r="AQ510" s="384"/>
      <c r="AR510" s="384"/>
    </row>
    <row r="511" spans="2:44" s="637" customFormat="1" ht="12" customHeight="1">
      <c r="B511" s="636"/>
      <c r="J511" s="729" t="s">
        <v>1679</v>
      </c>
      <c r="K511" s="730"/>
      <c r="L511" s="727"/>
      <c r="M511" s="728"/>
      <c r="N511" s="1180" t="s">
        <v>875</v>
      </c>
      <c r="O511" s="1180" t="s">
        <v>669</v>
      </c>
      <c r="P511" s="728"/>
      <c r="X511" s="384"/>
      <c r="Y511" s="384"/>
      <c r="Z511" s="384"/>
      <c r="AA511" s="384"/>
      <c r="AB511" s="384"/>
      <c r="AC511" s="384"/>
      <c r="AD511" s="384"/>
      <c r="AE511" s="384"/>
      <c r="AF511" s="384"/>
      <c r="AG511" s="384"/>
      <c r="AH511" s="384"/>
      <c r="AI511" s="384"/>
      <c r="AJ511" s="384"/>
      <c r="AK511" s="384"/>
      <c r="AL511" s="384"/>
      <c r="AM511" s="384"/>
      <c r="AN511" s="384"/>
      <c r="AO511" s="384"/>
      <c r="AP511" s="384"/>
      <c r="AQ511" s="384"/>
      <c r="AR511" s="384"/>
    </row>
    <row r="512" spans="2:44" s="637" customFormat="1" ht="12" customHeight="1">
      <c r="B512" s="636"/>
      <c r="J512" s="729" t="s">
        <v>1680</v>
      </c>
      <c r="K512" s="730"/>
      <c r="L512" s="727"/>
      <c r="M512" s="728"/>
      <c r="N512" s="1180" t="s">
        <v>878</v>
      </c>
      <c r="O512" s="1180" t="s">
        <v>337</v>
      </c>
      <c r="P512" s="728"/>
      <c r="X512" s="384"/>
      <c r="Y512" s="384"/>
      <c r="Z512" s="384"/>
      <c r="AA512" s="384"/>
      <c r="AB512" s="384"/>
      <c r="AC512" s="384"/>
      <c r="AD512" s="384"/>
      <c r="AE512" s="384"/>
      <c r="AF512" s="384"/>
      <c r="AG512" s="384"/>
      <c r="AH512" s="384"/>
      <c r="AI512" s="384"/>
      <c r="AJ512" s="384"/>
      <c r="AK512" s="384"/>
      <c r="AL512" s="384"/>
      <c r="AM512" s="384"/>
      <c r="AN512" s="384"/>
      <c r="AO512" s="384"/>
      <c r="AP512" s="384"/>
      <c r="AQ512" s="384"/>
      <c r="AR512" s="384"/>
    </row>
    <row r="513" spans="2:44" s="637" customFormat="1" ht="12" customHeight="1">
      <c r="B513" s="636"/>
      <c r="J513" s="729" t="s">
        <v>1682</v>
      </c>
      <c r="K513" s="730"/>
      <c r="L513" s="727"/>
      <c r="M513" s="728"/>
      <c r="N513" s="1180" t="s">
        <v>123</v>
      </c>
      <c r="O513" s="1180" t="s">
        <v>2144</v>
      </c>
      <c r="P513" s="728"/>
      <c r="X513" s="384"/>
      <c r="Y513" s="384"/>
      <c r="Z513" s="384"/>
      <c r="AA513" s="384"/>
      <c r="AB513" s="384"/>
      <c r="AC513" s="384"/>
      <c r="AD513" s="384"/>
      <c r="AE513" s="384"/>
      <c r="AF513" s="384"/>
      <c r="AG513" s="384"/>
      <c r="AH513" s="384"/>
      <c r="AI513" s="384"/>
      <c r="AJ513" s="384"/>
      <c r="AK513" s="384"/>
      <c r="AL513" s="384"/>
      <c r="AM513" s="384"/>
      <c r="AN513" s="384"/>
      <c r="AO513" s="384"/>
      <c r="AP513" s="384"/>
      <c r="AQ513" s="384"/>
      <c r="AR513" s="384"/>
    </row>
    <row r="514" spans="2:44" s="637" customFormat="1" ht="12" customHeight="1">
      <c r="B514" s="636"/>
      <c r="J514" s="729" t="s">
        <v>1684</v>
      </c>
      <c r="K514" s="730"/>
      <c r="L514" s="727"/>
      <c r="M514" s="728"/>
      <c r="N514" s="1180" t="s">
        <v>263</v>
      </c>
      <c r="O514" s="1180" t="s">
        <v>2011</v>
      </c>
      <c r="P514" s="728"/>
      <c r="X514" s="384"/>
      <c r="Y514" s="384"/>
      <c r="Z514" s="384"/>
      <c r="AA514" s="384"/>
      <c r="AB514" s="384"/>
      <c r="AC514" s="384"/>
      <c r="AD514" s="384"/>
      <c r="AE514" s="384"/>
      <c r="AF514" s="384"/>
      <c r="AG514" s="384"/>
      <c r="AH514" s="384"/>
      <c r="AI514" s="384"/>
      <c r="AJ514" s="384"/>
      <c r="AK514" s="384"/>
      <c r="AL514" s="384"/>
      <c r="AM514" s="384"/>
      <c r="AN514" s="384"/>
      <c r="AO514" s="384"/>
      <c r="AP514" s="384"/>
      <c r="AQ514" s="384"/>
      <c r="AR514" s="384"/>
    </row>
    <row r="515" spans="2:44" s="637" customFormat="1" ht="12" customHeight="1">
      <c r="B515" s="636"/>
      <c r="J515" s="729" t="s">
        <v>1685</v>
      </c>
      <c r="K515" s="730"/>
      <c r="L515" s="727"/>
      <c r="M515" s="728"/>
      <c r="N515" s="705" t="s">
        <v>1612</v>
      </c>
      <c r="O515" s="705" t="s">
        <v>2143</v>
      </c>
      <c r="P515" s="728"/>
      <c r="X515" s="384"/>
      <c r="Y515" s="384"/>
      <c r="Z515" s="384"/>
      <c r="AA515" s="384"/>
      <c r="AB515" s="384"/>
      <c r="AC515" s="384"/>
      <c r="AD515" s="384"/>
      <c r="AE515" s="384"/>
      <c r="AF515" s="384"/>
      <c r="AG515" s="384"/>
      <c r="AH515" s="384"/>
      <c r="AI515" s="384"/>
      <c r="AJ515" s="384"/>
      <c r="AK515" s="384"/>
      <c r="AL515" s="384"/>
      <c r="AM515" s="384"/>
      <c r="AN515" s="384"/>
      <c r="AO515" s="384"/>
      <c r="AP515" s="384"/>
      <c r="AQ515" s="384"/>
      <c r="AR515" s="384"/>
    </row>
    <row r="516" spans="2:44" s="637" customFormat="1" ht="12" customHeight="1">
      <c r="B516" s="636"/>
      <c r="J516" s="729" t="s">
        <v>1687</v>
      </c>
      <c r="K516" s="730"/>
      <c r="L516" s="727"/>
      <c r="M516" s="728"/>
      <c r="N516" s="1180" t="s">
        <v>1615</v>
      </c>
      <c r="O516" s="1180" t="s">
        <v>346</v>
      </c>
      <c r="P516" s="2029"/>
      <c r="X516" s="384"/>
      <c r="Y516" s="384"/>
      <c r="Z516" s="384"/>
      <c r="AA516" s="384"/>
      <c r="AB516" s="384"/>
      <c r="AC516" s="384"/>
      <c r="AD516" s="384"/>
      <c r="AE516" s="384"/>
      <c r="AF516" s="384"/>
      <c r="AG516" s="384"/>
      <c r="AH516" s="384"/>
      <c r="AI516" s="384"/>
      <c r="AJ516" s="384"/>
      <c r="AK516" s="384"/>
      <c r="AL516" s="384"/>
      <c r="AM516" s="384"/>
      <c r="AN516" s="384"/>
      <c r="AO516" s="384"/>
      <c r="AP516" s="384"/>
      <c r="AQ516" s="384"/>
      <c r="AR516" s="384"/>
    </row>
    <row r="517" spans="2:44" s="637" customFormat="1" ht="12" customHeight="1">
      <c r="B517" s="636"/>
      <c r="J517" s="729" t="s">
        <v>397</v>
      </c>
      <c r="K517" s="730"/>
      <c r="L517" s="727"/>
      <c r="M517" s="728"/>
      <c r="N517" s="1180" t="s">
        <v>1617</v>
      </c>
      <c r="O517" s="1180" t="s">
        <v>2651</v>
      </c>
      <c r="P517" s="728"/>
      <c r="X517" s="384"/>
      <c r="Y517" s="384"/>
      <c r="Z517" s="384"/>
      <c r="AA517" s="384"/>
      <c r="AB517" s="384"/>
      <c r="AC517" s="384"/>
      <c r="AD517" s="384"/>
      <c r="AE517" s="384"/>
      <c r="AF517" s="384"/>
      <c r="AG517" s="384"/>
      <c r="AH517" s="384"/>
      <c r="AI517" s="384"/>
      <c r="AJ517" s="384"/>
      <c r="AK517" s="384"/>
      <c r="AL517" s="384"/>
      <c r="AM517" s="384"/>
      <c r="AN517" s="384"/>
      <c r="AO517" s="384"/>
      <c r="AP517" s="384"/>
      <c r="AQ517" s="384"/>
      <c r="AR517" s="384"/>
    </row>
    <row r="518" spans="2:44" s="637" customFormat="1" ht="12" customHeight="1">
      <c r="B518" s="636"/>
      <c r="J518" s="729" t="s">
        <v>259</v>
      </c>
      <c r="K518" s="730"/>
      <c r="L518" s="727"/>
      <c r="M518" s="728"/>
      <c r="N518" s="1180" t="s">
        <v>512</v>
      </c>
      <c r="O518" s="1180" t="s">
        <v>1555</v>
      </c>
      <c r="P518" s="728"/>
      <c r="X518" s="384"/>
      <c r="Y518" s="384"/>
      <c r="Z518" s="384"/>
      <c r="AA518" s="384"/>
      <c r="AB518" s="384"/>
      <c r="AC518" s="384"/>
      <c r="AD518" s="384"/>
      <c r="AE518" s="384"/>
      <c r="AF518" s="384"/>
      <c r="AG518" s="384"/>
      <c r="AH518" s="384"/>
      <c r="AI518" s="384"/>
      <c r="AJ518" s="384"/>
      <c r="AK518" s="384"/>
      <c r="AL518" s="384"/>
      <c r="AM518" s="384"/>
      <c r="AN518" s="384"/>
      <c r="AO518" s="384"/>
      <c r="AP518" s="384"/>
      <c r="AQ518" s="384"/>
      <c r="AR518" s="384"/>
    </row>
    <row r="519" spans="2:44" s="637" customFormat="1" ht="12" customHeight="1">
      <c r="B519" s="636"/>
      <c r="J519" s="729" t="s">
        <v>261</v>
      </c>
      <c r="K519" s="730"/>
      <c r="L519" s="727"/>
      <c r="M519" s="728"/>
      <c r="N519" s="1180" t="s">
        <v>1483</v>
      </c>
      <c r="O519" s="1180" t="s">
        <v>329</v>
      </c>
      <c r="P519" s="728"/>
      <c r="X519" s="384"/>
      <c r="Y519" s="384"/>
      <c r="Z519" s="384"/>
      <c r="AA519" s="384"/>
      <c r="AB519" s="384"/>
      <c r="AC519" s="384"/>
      <c r="AD519" s="384"/>
      <c r="AE519" s="384"/>
      <c r="AF519" s="384"/>
      <c r="AG519" s="384"/>
      <c r="AH519" s="384"/>
      <c r="AI519" s="384"/>
      <c r="AJ519" s="384"/>
      <c r="AK519" s="384"/>
      <c r="AL519" s="384"/>
      <c r="AM519" s="384"/>
      <c r="AN519" s="384"/>
      <c r="AO519" s="384"/>
      <c r="AP519" s="384"/>
      <c r="AQ519" s="384"/>
      <c r="AR519" s="384"/>
    </row>
    <row r="520" spans="2:44" s="637" customFormat="1" ht="12" customHeight="1">
      <c r="B520" s="636"/>
      <c r="J520" s="729" t="s">
        <v>15</v>
      </c>
      <c r="K520" s="730"/>
      <c r="L520" s="727"/>
      <c r="M520" s="728"/>
      <c r="N520" s="1180" t="s">
        <v>1485</v>
      </c>
      <c r="O520" s="1180" t="s">
        <v>926</v>
      </c>
      <c r="P520" s="728"/>
      <c r="X520" s="384"/>
      <c r="Y520" s="384"/>
      <c r="Z520" s="384"/>
      <c r="AA520" s="384"/>
      <c r="AB520" s="384"/>
      <c r="AC520" s="384"/>
      <c r="AD520" s="384"/>
      <c r="AE520" s="384"/>
      <c r="AF520" s="384"/>
      <c r="AG520" s="384"/>
      <c r="AH520" s="384"/>
      <c r="AI520" s="384"/>
      <c r="AJ520" s="384"/>
      <c r="AK520" s="384"/>
      <c r="AL520" s="384"/>
      <c r="AM520" s="384"/>
      <c r="AN520" s="384"/>
      <c r="AO520" s="384"/>
      <c r="AP520" s="384"/>
      <c r="AQ520" s="384"/>
      <c r="AR520" s="384"/>
    </row>
    <row r="521" spans="2:44" s="637" customFormat="1" ht="12" customHeight="1">
      <c r="B521" s="636"/>
      <c r="J521" s="729" t="s">
        <v>1150</v>
      </c>
      <c r="K521" s="730"/>
      <c r="L521" s="727"/>
      <c r="M521" s="728"/>
      <c r="N521" s="1180" t="s">
        <v>183</v>
      </c>
      <c r="O521" s="1180" t="s">
        <v>2315</v>
      </c>
      <c r="P521" s="728"/>
      <c r="X521" s="384"/>
      <c r="Y521" s="384"/>
      <c r="Z521" s="384"/>
      <c r="AA521" s="384"/>
      <c r="AB521" s="384"/>
      <c r="AC521" s="384"/>
      <c r="AD521" s="384"/>
      <c r="AE521" s="384"/>
      <c r="AF521" s="384"/>
      <c r="AG521" s="384"/>
      <c r="AH521" s="384"/>
      <c r="AI521" s="384"/>
      <c r="AJ521" s="384"/>
      <c r="AK521" s="384"/>
      <c r="AL521" s="384"/>
      <c r="AM521" s="384"/>
      <c r="AN521" s="384"/>
      <c r="AO521" s="384"/>
      <c r="AP521" s="384"/>
      <c r="AQ521" s="384"/>
      <c r="AR521" s="384"/>
    </row>
    <row r="522" spans="2:44" s="637" customFormat="1" ht="12" customHeight="1">
      <c r="B522" s="636"/>
      <c r="J522" s="729" t="s">
        <v>1152</v>
      </c>
      <c r="K522" s="730"/>
      <c r="L522" s="727"/>
      <c r="M522" s="728"/>
      <c r="N522" s="1180" t="s">
        <v>1488</v>
      </c>
      <c r="O522" s="1180" t="s">
        <v>2011</v>
      </c>
      <c r="P522" s="728"/>
      <c r="X522" s="384"/>
      <c r="Y522" s="384"/>
      <c r="Z522" s="384"/>
      <c r="AA522" s="384"/>
      <c r="AB522" s="384"/>
      <c r="AC522" s="384"/>
      <c r="AD522" s="384"/>
      <c r="AE522" s="384"/>
      <c r="AF522" s="384"/>
      <c r="AG522" s="384"/>
      <c r="AH522" s="384"/>
      <c r="AI522" s="384"/>
      <c r="AJ522" s="384"/>
      <c r="AK522" s="384"/>
      <c r="AL522" s="384"/>
      <c r="AM522" s="384"/>
      <c r="AN522" s="384"/>
      <c r="AO522" s="384"/>
      <c r="AP522" s="384"/>
      <c r="AQ522" s="384"/>
      <c r="AR522" s="384"/>
    </row>
    <row r="523" spans="2:44" s="637" customFormat="1" ht="12" customHeight="1">
      <c r="B523" s="636"/>
      <c r="J523" s="729" t="s">
        <v>1154</v>
      </c>
      <c r="K523" s="730"/>
      <c r="L523" s="727"/>
      <c r="M523" s="728"/>
      <c r="N523" s="1180" t="s">
        <v>1490</v>
      </c>
      <c r="O523" s="1180" t="s">
        <v>169</v>
      </c>
      <c r="P523" s="728"/>
      <c r="X523" s="384"/>
      <c r="Y523" s="384"/>
      <c r="Z523" s="384"/>
      <c r="AA523" s="384"/>
      <c r="AB523" s="384"/>
      <c r="AC523" s="384"/>
      <c r="AD523" s="384"/>
      <c r="AE523" s="384"/>
      <c r="AF523" s="384"/>
      <c r="AG523" s="384"/>
      <c r="AH523" s="384"/>
      <c r="AI523" s="384"/>
      <c r="AJ523" s="384"/>
      <c r="AK523" s="384"/>
      <c r="AL523" s="384"/>
      <c r="AM523" s="384"/>
      <c r="AN523" s="384"/>
      <c r="AO523" s="384"/>
      <c r="AP523" s="384"/>
      <c r="AQ523" s="384"/>
      <c r="AR523" s="384"/>
    </row>
    <row r="524" spans="2:44" s="637" customFormat="1" ht="12" customHeight="1">
      <c r="B524" s="636"/>
      <c r="J524" s="729" t="s">
        <v>271</v>
      </c>
      <c r="K524" s="730"/>
      <c r="L524" s="727"/>
      <c r="M524" s="728"/>
      <c r="N524" s="1180" t="s">
        <v>2660</v>
      </c>
      <c r="O524" s="1180" t="s">
        <v>2043</v>
      </c>
      <c r="P524" s="728"/>
      <c r="X524" s="384"/>
      <c r="Y524" s="384"/>
      <c r="Z524" s="384"/>
      <c r="AA524" s="384"/>
      <c r="AB524" s="384"/>
      <c r="AC524" s="384"/>
      <c r="AD524" s="384"/>
      <c r="AE524" s="384"/>
      <c r="AF524" s="384"/>
      <c r="AG524" s="384"/>
      <c r="AH524" s="384"/>
      <c r="AI524" s="384"/>
      <c r="AJ524" s="384"/>
      <c r="AK524" s="384"/>
      <c r="AL524" s="384"/>
      <c r="AM524" s="384"/>
      <c r="AN524" s="384"/>
      <c r="AO524" s="384"/>
      <c r="AP524" s="384"/>
      <c r="AQ524" s="384"/>
      <c r="AR524" s="384"/>
    </row>
    <row r="525" spans="2:44" s="637" customFormat="1" ht="12" customHeight="1">
      <c r="B525" s="636"/>
      <c r="J525" s="729" t="s">
        <v>273</v>
      </c>
      <c r="K525" s="730"/>
      <c r="L525" s="727"/>
      <c r="M525" s="728"/>
      <c r="N525" s="1180" t="s">
        <v>1122</v>
      </c>
      <c r="O525" s="1180" t="s">
        <v>2654</v>
      </c>
      <c r="P525" s="728"/>
      <c r="X525" s="384"/>
      <c r="Y525" s="384"/>
      <c r="Z525" s="384"/>
      <c r="AA525" s="384"/>
      <c r="AB525" s="384"/>
      <c r="AC525" s="384"/>
      <c r="AD525" s="384"/>
      <c r="AE525" s="384"/>
      <c r="AF525" s="384"/>
      <c r="AG525" s="384"/>
      <c r="AH525" s="384"/>
      <c r="AI525" s="384"/>
      <c r="AJ525" s="384"/>
      <c r="AK525" s="384"/>
      <c r="AL525" s="384"/>
      <c r="AM525" s="384"/>
      <c r="AN525" s="384"/>
      <c r="AO525" s="384"/>
      <c r="AP525" s="384"/>
      <c r="AQ525" s="384"/>
      <c r="AR525" s="384"/>
    </row>
    <row r="526" spans="2:44" s="637" customFormat="1" ht="12" customHeight="1">
      <c r="B526" s="636"/>
      <c r="J526" s="729" t="s">
        <v>1738</v>
      </c>
      <c r="K526" s="730"/>
      <c r="L526" s="727"/>
      <c r="M526" s="728"/>
      <c r="N526" s="1180" t="s">
        <v>1406</v>
      </c>
      <c r="O526" s="1180" t="s">
        <v>1405</v>
      </c>
      <c r="P526" s="728"/>
      <c r="X526" s="384"/>
      <c r="Y526" s="384"/>
      <c r="Z526" s="384"/>
      <c r="AA526" s="384"/>
      <c r="AB526" s="384"/>
      <c r="AC526" s="384"/>
      <c r="AD526" s="384"/>
      <c r="AE526" s="384"/>
      <c r="AF526" s="384"/>
      <c r="AG526" s="384"/>
      <c r="AH526" s="384"/>
      <c r="AI526" s="384"/>
      <c r="AJ526" s="384"/>
      <c r="AK526" s="384"/>
      <c r="AL526" s="384"/>
      <c r="AM526" s="384"/>
      <c r="AN526" s="384"/>
      <c r="AO526" s="384"/>
      <c r="AP526" s="384"/>
      <c r="AQ526" s="384"/>
      <c r="AR526" s="384"/>
    </row>
    <row r="527" spans="2:44" s="637" customFormat="1" ht="12" customHeight="1">
      <c r="B527" s="636"/>
      <c r="J527" s="729" t="s">
        <v>2473</v>
      </c>
      <c r="K527" s="730"/>
      <c r="L527" s="727"/>
      <c r="M527" s="728"/>
      <c r="N527" s="1180" t="s">
        <v>186</v>
      </c>
      <c r="O527" s="1180" t="s">
        <v>2766</v>
      </c>
      <c r="P527" s="728"/>
      <c r="X527" s="384"/>
      <c r="Y527" s="384"/>
      <c r="Z527" s="384"/>
      <c r="AA527" s="384"/>
      <c r="AB527" s="384"/>
      <c r="AC527" s="384"/>
      <c r="AD527" s="384"/>
      <c r="AE527" s="384"/>
      <c r="AF527" s="384"/>
      <c r="AG527" s="384"/>
      <c r="AH527" s="384"/>
      <c r="AI527" s="384"/>
      <c r="AJ527" s="384"/>
      <c r="AK527" s="384"/>
      <c r="AL527" s="384"/>
      <c r="AM527" s="384"/>
      <c r="AN527" s="384"/>
      <c r="AO527" s="384"/>
      <c r="AP527" s="384"/>
      <c r="AQ527" s="384"/>
      <c r="AR527" s="384"/>
    </row>
    <row r="528" spans="2:44" s="637" customFormat="1" ht="12" customHeight="1">
      <c r="B528" s="636"/>
      <c r="J528" s="729" t="s">
        <v>510</v>
      </c>
      <c r="K528" s="730"/>
      <c r="L528" s="727"/>
      <c r="M528" s="728"/>
      <c r="N528" s="1180" t="s">
        <v>1681</v>
      </c>
      <c r="O528" s="1180" t="s">
        <v>2323</v>
      </c>
      <c r="P528" s="728"/>
      <c r="X528" s="384"/>
      <c r="Y528" s="384"/>
      <c r="Z528" s="384"/>
      <c r="AA528" s="384"/>
      <c r="AB528" s="384"/>
      <c r="AC528" s="384"/>
      <c r="AD528" s="384"/>
      <c r="AE528" s="384"/>
      <c r="AF528" s="384"/>
      <c r="AG528" s="384"/>
      <c r="AH528" s="384"/>
      <c r="AI528" s="384"/>
      <c r="AJ528" s="384"/>
      <c r="AK528" s="384"/>
      <c r="AL528" s="384"/>
      <c r="AM528" s="384"/>
      <c r="AN528" s="384"/>
      <c r="AO528" s="384"/>
      <c r="AP528" s="384"/>
      <c r="AQ528" s="384"/>
      <c r="AR528" s="384"/>
    </row>
    <row r="529" spans="2:44" s="637" customFormat="1" ht="12" customHeight="1">
      <c r="B529" s="636"/>
      <c r="J529" s="729" t="s">
        <v>1387</v>
      </c>
      <c r="K529" s="730"/>
      <c r="L529" s="727"/>
      <c r="M529" s="728"/>
      <c r="N529" s="1180" t="s">
        <v>1683</v>
      </c>
      <c r="O529" s="1180" t="s">
        <v>2011</v>
      </c>
      <c r="P529" s="728"/>
      <c r="X529" s="384"/>
      <c r="Y529" s="384"/>
      <c r="Z529" s="384"/>
      <c r="AA529" s="384"/>
      <c r="AB529" s="384"/>
      <c r="AC529" s="384"/>
      <c r="AD529" s="384"/>
      <c r="AE529" s="384"/>
      <c r="AF529" s="384"/>
      <c r="AG529" s="384"/>
      <c r="AH529" s="384"/>
      <c r="AI529" s="384"/>
      <c r="AJ529" s="384"/>
      <c r="AK529" s="384"/>
      <c r="AL529" s="384"/>
      <c r="AM529" s="384"/>
      <c r="AN529" s="384"/>
      <c r="AO529" s="384"/>
      <c r="AP529" s="384"/>
      <c r="AQ529" s="384"/>
      <c r="AR529" s="384"/>
    </row>
    <row r="530" spans="2:44" s="637" customFormat="1" ht="12" customHeight="1">
      <c r="B530" s="636"/>
      <c r="J530" s="729" t="s">
        <v>692</v>
      </c>
      <c r="K530" s="730"/>
      <c r="L530" s="727"/>
      <c r="M530" s="728"/>
      <c r="N530" s="1180" t="s">
        <v>1686</v>
      </c>
      <c r="O530" s="1180" t="s">
        <v>2771</v>
      </c>
      <c r="P530" s="728"/>
      <c r="X530" s="384"/>
      <c r="Y530" s="384"/>
      <c r="Z530" s="384"/>
      <c r="AA530" s="384"/>
      <c r="AB530" s="384"/>
      <c r="AC530" s="384"/>
      <c r="AD530" s="384"/>
      <c r="AE530" s="384"/>
      <c r="AF530" s="384"/>
      <c r="AG530" s="384"/>
      <c r="AH530" s="384"/>
      <c r="AI530" s="384"/>
      <c r="AJ530" s="384"/>
      <c r="AK530" s="384"/>
      <c r="AL530" s="384"/>
      <c r="AM530" s="384"/>
      <c r="AN530" s="384"/>
      <c r="AO530" s="384"/>
      <c r="AP530" s="384"/>
      <c r="AQ530" s="384"/>
      <c r="AR530" s="384"/>
    </row>
    <row r="531" spans="2:44" s="637" customFormat="1" ht="12" customHeight="1">
      <c r="B531" s="636"/>
      <c r="J531" s="729" t="s">
        <v>733</v>
      </c>
      <c r="K531" s="730"/>
      <c r="L531" s="727"/>
      <c r="M531" s="728"/>
      <c r="N531" s="1180" t="s">
        <v>396</v>
      </c>
      <c r="O531" s="1180" t="s">
        <v>2654</v>
      </c>
      <c r="P531" s="728"/>
      <c r="X531" s="384"/>
      <c r="Y531" s="384"/>
      <c r="Z531" s="384"/>
      <c r="AA531" s="384"/>
      <c r="AB531" s="384"/>
      <c r="AC531" s="384"/>
      <c r="AD531" s="384"/>
      <c r="AE531" s="384"/>
      <c r="AF531" s="384"/>
      <c r="AG531" s="384"/>
      <c r="AH531" s="384"/>
      <c r="AI531" s="384"/>
      <c r="AJ531" s="384"/>
      <c r="AK531" s="384"/>
      <c r="AL531" s="384"/>
      <c r="AM531" s="384"/>
      <c r="AN531" s="384"/>
      <c r="AO531" s="384"/>
      <c r="AP531" s="384"/>
      <c r="AQ531" s="384"/>
      <c r="AR531" s="384"/>
    </row>
    <row r="532" spans="2:44" s="637" customFormat="1" ht="12" customHeight="1">
      <c r="B532" s="636"/>
      <c r="J532" s="729" t="s">
        <v>734</v>
      </c>
      <c r="K532" s="730"/>
      <c r="L532" s="727"/>
      <c r="M532" s="728"/>
      <c r="N532" s="638" t="s">
        <v>398</v>
      </c>
      <c r="O532" s="1180" t="s">
        <v>1406</v>
      </c>
      <c r="P532" s="728"/>
      <c r="X532" s="384"/>
      <c r="Y532" s="384"/>
      <c r="Z532" s="384"/>
      <c r="AA532" s="384"/>
      <c r="AB532" s="384"/>
      <c r="AC532" s="384"/>
      <c r="AD532" s="384"/>
      <c r="AE532" s="384"/>
      <c r="AF532" s="384"/>
      <c r="AG532" s="384"/>
      <c r="AH532" s="384"/>
      <c r="AI532" s="384"/>
      <c r="AJ532" s="384"/>
      <c r="AK532" s="384"/>
      <c r="AL532" s="384"/>
      <c r="AM532" s="384"/>
      <c r="AN532" s="384"/>
      <c r="AO532" s="384"/>
      <c r="AP532" s="384"/>
      <c r="AQ532" s="384"/>
      <c r="AR532" s="384"/>
    </row>
    <row r="533" spans="2:44" s="637" customFormat="1" ht="12" customHeight="1">
      <c r="B533" s="636"/>
      <c r="J533" s="729" t="s">
        <v>555</v>
      </c>
      <c r="K533" s="730"/>
      <c r="L533" s="727"/>
      <c r="M533" s="728"/>
      <c r="N533" s="638" t="s">
        <v>260</v>
      </c>
      <c r="O533" s="1180" t="s">
        <v>2313</v>
      </c>
      <c r="P533" s="728"/>
      <c r="X533" s="384"/>
      <c r="Y533" s="384"/>
      <c r="Z533" s="384"/>
      <c r="AA533" s="384"/>
      <c r="AB533" s="384"/>
      <c r="AC533" s="384"/>
      <c r="AD533" s="384"/>
      <c r="AE533" s="384"/>
      <c r="AF533" s="384"/>
      <c r="AG533" s="384"/>
      <c r="AH533" s="384"/>
      <c r="AI533" s="384"/>
      <c r="AJ533" s="384"/>
      <c r="AK533" s="384"/>
      <c r="AL533" s="384"/>
      <c r="AM533" s="384"/>
      <c r="AN533" s="384"/>
      <c r="AO533" s="384"/>
      <c r="AP533" s="384"/>
      <c r="AQ533" s="384"/>
      <c r="AR533" s="384"/>
    </row>
    <row r="534" spans="2:44" s="637" customFormat="1" ht="12" customHeight="1">
      <c r="B534" s="636"/>
      <c r="J534" s="729" t="s">
        <v>557</v>
      </c>
      <c r="K534" s="730"/>
      <c r="L534" s="727"/>
      <c r="M534" s="728"/>
      <c r="N534" s="1180" t="s">
        <v>1716</v>
      </c>
      <c r="O534" s="1180" t="s">
        <v>2701</v>
      </c>
      <c r="P534" s="2030"/>
      <c r="X534" s="384"/>
      <c r="Y534" s="384"/>
      <c r="Z534" s="384"/>
      <c r="AA534" s="384"/>
      <c r="AB534" s="384"/>
      <c r="AC534" s="384"/>
      <c r="AD534" s="384"/>
      <c r="AE534" s="384"/>
      <c r="AF534" s="384"/>
      <c r="AG534" s="384"/>
      <c r="AH534" s="384"/>
      <c r="AI534" s="384"/>
      <c r="AJ534" s="384"/>
      <c r="AK534" s="384"/>
      <c r="AL534" s="384"/>
      <c r="AM534" s="384"/>
      <c r="AN534" s="384"/>
      <c r="AO534" s="384"/>
      <c r="AP534" s="384"/>
      <c r="AQ534" s="384"/>
      <c r="AR534" s="384"/>
    </row>
    <row r="535" spans="2:44" s="637" customFormat="1" ht="12" customHeight="1">
      <c r="B535" s="636"/>
      <c r="J535" s="729" t="s">
        <v>559</v>
      </c>
      <c r="K535" s="730"/>
      <c r="L535" s="727"/>
      <c r="M535" s="728"/>
      <c r="N535" s="1180" t="s">
        <v>3503</v>
      </c>
      <c r="O535" s="1180" t="s">
        <v>346</v>
      </c>
      <c r="P535" s="728"/>
      <c r="X535" s="384"/>
      <c r="Y535" s="384"/>
      <c r="Z535" s="384"/>
      <c r="AA535" s="384"/>
      <c r="AB535" s="384"/>
      <c r="AC535" s="384"/>
      <c r="AD535" s="384"/>
      <c r="AE535" s="384"/>
      <c r="AF535" s="384"/>
      <c r="AG535" s="384"/>
      <c r="AH535" s="384"/>
      <c r="AI535" s="384"/>
      <c r="AJ535" s="384"/>
      <c r="AK535" s="384"/>
      <c r="AL535" s="384"/>
      <c r="AM535" s="384"/>
      <c r="AN535" s="384"/>
      <c r="AO535" s="384"/>
      <c r="AP535" s="384"/>
      <c r="AQ535" s="384"/>
      <c r="AR535" s="384"/>
    </row>
    <row r="536" spans="2:44" s="637" customFormat="1" ht="12" customHeight="1">
      <c r="B536" s="636"/>
      <c r="J536" s="729" t="s">
        <v>561</v>
      </c>
      <c r="K536" s="730"/>
      <c r="L536" s="727"/>
      <c r="M536" s="728"/>
      <c r="N536" s="1180" t="s">
        <v>1151</v>
      </c>
      <c r="O536" s="1180" t="s">
        <v>2773</v>
      </c>
      <c r="P536" s="728"/>
      <c r="X536" s="384"/>
      <c r="Y536" s="384"/>
      <c r="Z536" s="384"/>
      <c r="AA536" s="384"/>
      <c r="AB536" s="384"/>
      <c r="AC536" s="384"/>
      <c r="AD536" s="384"/>
      <c r="AE536" s="384"/>
      <c r="AF536" s="384"/>
      <c r="AG536" s="384"/>
      <c r="AH536" s="384"/>
      <c r="AI536" s="384"/>
      <c r="AJ536" s="384"/>
      <c r="AK536" s="384"/>
      <c r="AL536" s="384"/>
      <c r="AM536" s="384"/>
      <c r="AN536" s="384"/>
      <c r="AO536" s="384"/>
      <c r="AP536" s="384"/>
      <c r="AQ536" s="384"/>
      <c r="AR536" s="384"/>
    </row>
    <row r="537" spans="2:44" s="637" customFormat="1" ht="12" customHeight="1">
      <c r="B537" s="636"/>
      <c r="J537" s="729" t="s">
        <v>574</v>
      </c>
      <c r="K537" s="730"/>
      <c r="L537" s="727"/>
      <c r="M537" s="728"/>
      <c r="N537" s="1180" t="s">
        <v>1153</v>
      </c>
      <c r="O537" s="1180" t="s">
        <v>1396</v>
      </c>
      <c r="P537" s="728"/>
      <c r="X537" s="384"/>
      <c r="Y537" s="384"/>
      <c r="Z537" s="384"/>
      <c r="AA537" s="384"/>
      <c r="AB537" s="384"/>
      <c r="AC537" s="384"/>
      <c r="AD537" s="384"/>
      <c r="AE537" s="384"/>
      <c r="AF537" s="384"/>
      <c r="AG537" s="384"/>
      <c r="AH537" s="384"/>
      <c r="AI537" s="384"/>
      <c r="AJ537" s="384"/>
      <c r="AK537" s="384"/>
      <c r="AL537" s="384"/>
      <c r="AM537" s="384"/>
      <c r="AN537" s="384"/>
      <c r="AO537" s="384"/>
      <c r="AP537" s="384"/>
      <c r="AQ537" s="384"/>
      <c r="AR537" s="384"/>
    </row>
    <row r="538" spans="2:44" s="637" customFormat="1" ht="12" customHeight="1">
      <c r="B538" s="636"/>
      <c r="J538" s="729" t="s">
        <v>576</v>
      </c>
      <c r="K538" s="730"/>
      <c r="L538" s="727"/>
      <c r="M538" s="728"/>
      <c r="N538" s="705" t="s">
        <v>1155</v>
      </c>
      <c r="O538" s="705" t="s">
        <v>701</v>
      </c>
      <c r="P538" s="728"/>
      <c r="X538" s="384"/>
      <c r="Y538" s="384"/>
      <c r="Z538" s="384"/>
      <c r="AA538" s="384"/>
      <c r="AB538" s="384"/>
      <c r="AC538" s="384"/>
      <c r="AD538" s="384"/>
      <c r="AE538" s="384"/>
      <c r="AF538" s="384"/>
      <c r="AG538" s="384"/>
      <c r="AH538" s="384"/>
      <c r="AI538" s="384"/>
      <c r="AJ538" s="384"/>
      <c r="AK538" s="384"/>
      <c r="AL538" s="384"/>
      <c r="AM538" s="384"/>
      <c r="AN538" s="384"/>
      <c r="AO538" s="384"/>
      <c r="AP538" s="384"/>
      <c r="AQ538" s="384"/>
      <c r="AR538" s="384"/>
    </row>
    <row r="539" spans="2:44" s="637" customFormat="1" ht="12" customHeight="1">
      <c r="B539" s="636"/>
      <c r="J539" s="729" t="s">
        <v>763</v>
      </c>
      <c r="K539" s="730"/>
      <c r="L539" s="727"/>
      <c r="M539" s="728"/>
      <c r="N539" s="1180" t="s">
        <v>272</v>
      </c>
      <c r="O539" s="1180" t="s">
        <v>337</v>
      </c>
      <c r="P539" s="2029"/>
      <c r="X539" s="384"/>
      <c r="Y539" s="384"/>
      <c r="Z539" s="384"/>
      <c r="AA539" s="384"/>
      <c r="AB539" s="384"/>
      <c r="AC539" s="384"/>
      <c r="AD539" s="384"/>
      <c r="AE539" s="384"/>
      <c r="AF539" s="384"/>
      <c r="AG539" s="384"/>
      <c r="AH539" s="384"/>
      <c r="AI539" s="384"/>
      <c r="AJ539" s="384"/>
      <c r="AK539" s="384"/>
      <c r="AL539" s="384"/>
      <c r="AM539" s="384"/>
      <c r="AN539" s="384"/>
      <c r="AO539" s="384"/>
      <c r="AP539" s="384"/>
      <c r="AQ539" s="384"/>
      <c r="AR539" s="384"/>
    </row>
    <row r="540" spans="2:44" s="637" customFormat="1" ht="12" customHeight="1">
      <c r="B540" s="636"/>
      <c r="J540" s="729" t="s">
        <v>624</v>
      </c>
      <c r="K540" s="730"/>
      <c r="L540" s="727"/>
      <c r="M540" s="728"/>
      <c r="N540" s="1180" t="s">
        <v>274</v>
      </c>
      <c r="O540" s="1180" t="s">
        <v>2558</v>
      </c>
      <c r="P540" s="728"/>
      <c r="X540" s="384"/>
      <c r="Y540" s="384"/>
      <c r="Z540" s="384"/>
      <c r="AA540" s="384"/>
      <c r="AB540" s="384"/>
      <c r="AC540" s="384"/>
      <c r="AD540" s="384"/>
      <c r="AE540" s="384"/>
      <c r="AF540" s="384"/>
      <c r="AG540" s="384"/>
      <c r="AH540" s="384"/>
      <c r="AI540" s="384"/>
      <c r="AJ540" s="384"/>
      <c r="AK540" s="384"/>
      <c r="AL540" s="384"/>
      <c r="AM540" s="384"/>
      <c r="AN540" s="384"/>
      <c r="AO540" s="384"/>
      <c r="AP540" s="384"/>
      <c r="AQ540" s="384"/>
      <c r="AR540" s="384"/>
    </row>
    <row r="541" spans="2:44" s="637" customFormat="1" ht="12" customHeight="1">
      <c r="B541" s="636"/>
      <c r="J541" s="729" t="s">
        <v>625</v>
      </c>
      <c r="K541" s="730"/>
      <c r="L541" s="727"/>
      <c r="M541" s="728"/>
      <c r="N541" s="705" t="s">
        <v>1739</v>
      </c>
      <c r="O541" s="705" t="s">
        <v>926</v>
      </c>
      <c r="P541" s="728"/>
      <c r="X541" s="384"/>
      <c r="Y541" s="384"/>
      <c r="Z541" s="384"/>
      <c r="AA541" s="384"/>
      <c r="AB541" s="384"/>
      <c r="AC541" s="384"/>
      <c r="AD541" s="384"/>
      <c r="AE541" s="384"/>
      <c r="AF541" s="384"/>
      <c r="AG541" s="384"/>
      <c r="AH541" s="384"/>
      <c r="AI541" s="384"/>
      <c r="AJ541" s="384"/>
      <c r="AK541" s="384"/>
      <c r="AL541" s="384"/>
      <c r="AM541" s="384"/>
      <c r="AN541" s="384"/>
      <c r="AO541" s="384"/>
      <c r="AP541" s="384"/>
      <c r="AQ541" s="384"/>
      <c r="AR541" s="384"/>
    </row>
    <row r="542" spans="2:44" s="637" customFormat="1" ht="12" customHeight="1">
      <c r="B542" s="636"/>
      <c r="J542" s="729" t="s">
        <v>2215</v>
      </c>
      <c r="K542" s="730"/>
      <c r="L542" s="727"/>
      <c r="M542" s="728"/>
      <c r="N542" s="1180" t="s">
        <v>2474</v>
      </c>
      <c r="O542" s="1180" t="s">
        <v>1161</v>
      </c>
      <c r="P542" s="2029"/>
      <c r="X542" s="384"/>
      <c r="Y542" s="384"/>
      <c r="Z542" s="384"/>
      <c r="AA542" s="384"/>
      <c r="AB542" s="384"/>
      <c r="AC542" s="384"/>
      <c r="AD542" s="384"/>
      <c r="AE542" s="384"/>
      <c r="AF542" s="384"/>
      <c r="AG542" s="384"/>
      <c r="AH542" s="384"/>
      <c r="AI542" s="384"/>
      <c r="AJ542" s="384"/>
      <c r="AK542" s="384"/>
      <c r="AL542" s="384"/>
      <c r="AM542" s="384"/>
      <c r="AN542" s="384"/>
      <c r="AO542" s="384"/>
      <c r="AP542" s="384"/>
      <c r="AQ542" s="384"/>
      <c r="AR542" s="384"/>
    </row>
    <row r="543" spans="2:44" s="637" customFormat="1" ht="12" customHeight="1">
      <c r="B543" s="636"/>
      <c r="J543" s="729" t="s">
        <v>490</v>
      </c>
      <c r="K543" s="730"/>
      <c r="L543" s="727"/>
      <c r="M543" s="728"/>
      <c r="N543" s="1180" t="s">
        <v>511</v>
      </c>
      <c r="O543" s="1180" t="s">
        <v>1779</v>
      </c>
      <c r="P543" s="728"/>
      <c r="X543" s="384"/>
      <c r="Y543" s="384"/>
      <c r="Z543" s="384"/>
      <c r="AA543" s="384"/>
      <c r="AB543" s="384"/>
      <c r="AC543" s="384"/>
      <c r="AD543" s="384"/>
      <c r="AE543" s="384"/>
      <c r="AF543" s="384"/>
      <c r="AG543" s="384"/>
      <c r="AH543" s="384"/>
      <c r="AI543" s="384"/>
      <c r="AJ543" s="384"/>
      <c r="AK543" s="384"/>
      <c r="AL543" s="384"/>
      <c r="AM543" s="384"/>
      <c r="AN543" s="384"/>
      <c r="AO543" s="384"/>
      <c r="AP543" s="384"/>
      <c r="AQ543" s="384"/>
      <c r="AR543" s="384"/>
    </row>
    <row r="544" spans="2:44" s="637" customFormat="1" ht="12" customHeight="1">
      <c r="B544" s="636"/>
      <c r="J544" s="729" t="s">
        <v>491</v>
      </c>
      <c r="K544" s="730"/>
      <c r="L544" s="727"/>
      <c r="M544" s="728"/>
      <c r="N544" s="1180" t="s">
        <v>3504</v>
      </c>
      <c r="O544" s="1180" t="s">
        <v>2323</v>
      </c>
      <c r="P544" s="728"/>
      <c r="X544" s="384"/>
      <c r="Y544" s="384"/>
      <c r="Z544" s="384"/>
      <c r="AA544" s="384"/>
      <c r="AB544" s="384"/>
      <c r="AC544" s="384"/>
      <c r="AD544" s="384"/>
      <c r="AE544" s="384"/>
      <c r="AF544" s="384"/>
      <c r="AG544" s="384"/>
      <c r="AH544" s="384"/>
      <c r="AI544" s="384"/>
      <c r="AJ544" s="384"/>
      <c r="AK544" s="384"/>
      <c r="AL544" s="384"/>
      <c r="AM544" s="384"/>
      <c r="AN544" s="384"/>
      <c r="AO544" s="384"/>
      <c r="AP544" s="384"/>
      <c r="AQ544" s="384"/>
      <c r="AR544" s="384"/>
    </row>
    <row r="545" spans="2:44" s="637" customFormat="1" ht="12" customHeight="1">
      <c r="B545" s="636"/>
      <c r="J545" s="729" t="s">
        <v>1344</v>
      </c>
      <c r="K545" s="730"/>
      <c r="L545" s="727"/>
      <c r="M545" s="728"/>
      <c r="N545" s="1180" t="s">
        <v>732</v>
      </c>
      <c r="O545" s="1180" t="s">
        <v>169</v>
      </c>
      <c r="P545" s="728"/>
      <c r="X545" s="384"/>
      <c r="Y545" s="384"/>
      <c r="Z545" s="384"/>
      <c r="AA545" s="384"/>
      <c r="AB545" s="384"/>
      <c r="AC545" s="384"/>
      <c r="AD545" s="384"/>
      <c r="AE545" s="384"/>
      <c r="AF545" s="384"/>
      <c r="AG545" s="384"/>
      <c r="AH545" s="384"/>
      <c r="AI545" s="384"/>
      <c r="AJ545" s="384"/>
      <c r="AK545" s="384"/>
      <c r="AL545" s="384"/>
      <c r="AM545" s="384"/>
      <c r="AN545" s="384"/>
      <c r="AO545" s="384"/>
      <c r="AP545" s="384"/>
      <c r="AQ545" s="384"/>
      <c r="AR545" s="384"/>
    </row>
    <row r="546" spans="2:44" s="637" customFormat="1" ht="12" customHeight="1">
      <c r="B546" s="636"/>
      <c r="J546" s="729" t="s">
        <v>1054</v>
      </c>
      <c r="K546" s="730"/>
      <c r="L546" s="727"/>
      <c r="M546" s="728"/>
      <c r="N546" s="1180" t="s">
        <v>554</v>
      </c>
      <c r="O546" s="1180" t="s">
        <v>781</v>
      </c>
      <c r="P546" s="728"/>
      <c r="X546" s="384"/>
      <c r="Y546" s="384"/>
      <c r="Z546" s="384"/>
      <c r="AA546" s="384"/>
      <c r="AB546" s="384"/>
      <c r="AC546" s="384"/>
      <c r="AD546" s="384"/>
      <c r="AE546" s="384"/>
      <c r="AF546" s="384"/>
      <c r="AG546" s="384"/>
      <c r="AH546" s="384"/>
      <c r="AI546" s="384"/>
      <c r="AJ546" s="384"/>
      <c r="AK546" s="384"/>
      <c r="AL546" s="384"/>
      <c r="AM546" s="384"/>
      <c r="AN546" s="384"/>
      <c r="AO546" s="384"/>
      <c r="AP546" s="384"/>
      <c r="AQ546" s="384"/>
      <c r="AR546" s="384"/>
    </row>
    <row r="547" spans="2:44" s="637" customFormat="1" ht="12" customHeight="1">
      <c r="B547" s="636"/>
      <c r="J547" s="729" t="s">
        <v>1056</v>
      </c>
      <c r="K547" s="730"/>
      <c r="L547" s="727"/>
      <c r="M547" s="728"/>
      <c r="N547" s="1180" t="s">
        <v>556</v>
      </c>
      <c r="O547" s="1180" t="s">
        <v>1415</v>
      </c>
      <c r="P547" s="728"/>
      <c r="X547" s="384"/>
      <c r="Y547" s="384"/>
      <c r="Z547" s="384"/>
      <c r="AA547" s="384"/>
      <c r="AB547" s="384"/>
      <c r="AC547" s="384"/>
      <c r="AD547" s="384"/>
      <c r="AE547" s="384"/>
      <c r="AF547" s="384"/>
      <c r="AG547" s="384"/>
      <c r="AH547" s="384"/>
      <c r="AI547" s="384"/>
      <c r="AJ547" s="384"/>
      <c r="AK547" s="384"/>
      <c r="AL547" s="384"/>
      <c r="AM547" s="384"/>
      <c r="AN547" s="384"/>
      <c r="AO547" s="384"/>
      <c r="AP547" s="384"/>
      <c r="AQ547" s="384"/>
      <c r="AR547" s="384"/>
    </row>
    <row r="548" spans="2:44" s="637" customFormat="1" ht="12" customHeight="1">
      <c r="B548" s="636"/>
      <c r="J548" s="729" t="s">
        <v>1057</v>
      </c>
      <c r="K548" s="730"/>
      <c r="L548" s="727"/>
      <c r="M548" s="728"/>
      <c r="N548" s="1180" t="s">
        <v>558</v>
      </c>
      <c r="O548" s="1180" t="s">
        <v>1552</v>
      </c>
      <c r="P548" s="728"/>
      <c r="X548" s="384"/>
      <c r="Y548" s="384"/>
      <c r="Z548" s="384"/>
      <c r="AA548" s="384"/>
      <c r="AB548" s="384"/>
      <c r="AC548" s="384"/>
      <c r="AD548" s="384"/>
      <c r="AE548" s="384"/>
      <c r="AF548" s="384"/>
      <c r="AG548" s="384"/>
      <c r="AH548" s="384"/>
      <c r="AI548" s="384"/>
      <c r="AJ548" s="384"/>
      <c r="AK548" s="384"/>
      <c r="AL548" s="384"/>
      <c r="AM548" s="384"/>
      <c r="AN548" s="384"/>
      <c r="AO548" s="384"/>
      <c r="AP548" s="384"/>
      <c r="AQ548" s="384"/>
      <c r="AR548" s="384"/>
    </row>
    <row r="549" spans="2:44" s="637" customFormat="1" ht="12" customHeight="1">
      <c r="B549" s="636"/>
      <c r="J549" s="729" t="s">
        <v>142</v>
      </c>
      <c r="K549" s="730"/>
      <c r="L549" s="727"/>
      <c r="M549" s="728"/>
      <c r="N549" s="1180" t="s">
        <v>560</v>
      </c>
      <c r="O549" s="1180" t="s">
        <v>926</v>
      </c>
      <c r="P549" s="728"/>
      <c r="X549" s="384"/>
      <c r="Y549" s="384"/>
      <c r="Z549" s="384"/>
      <c r="AA549" s="384"/>
      <c r="AB549" s="384"/>
      <c r="AC549" s="384"/>
      <c r="AD549" s="384"/>
      <c r="AE549" s="384"/>
      <c r="AF549" s="384"/>
      <c r="AG549" s="384"/>
      <c r="AH549" s="384"/>
      <c r="AI549" s="384"/>
      <c r="AJ549" s="384"/>
      <c r="AK549" s="384"/>
      <c r="AL549" s="384"/>
      <c r="AM549" s="384"/>
      <c r="AN549" s="384"/>
      <c r="AO549" s="384"/>
      <c r="AP549" s="384"/>
      <c r="AQ549" s="384"/>
      <c r="AR549" s="384"/>
    </row>
    <row r="550" spans="2:44" s="637" customFormat="1" ht="12" customHeight="1">
      <c r="B550" s="636"/>
      <c r="J550" s="729" t="s">
        <v>143</v>
      </c>
      <c r="K550" s="730"/>
      <c r="L550" s="727"/>
      <c r="M550" s="728"/>
      <c r="N550" s="1180" t="s">
        <v>562</v>
      </c>
      <c r="O550" s="1180" t="s">
        <v>1907</v>
      </c>
      <c r="P550" s="728"/>
      <c r="X550" s="384"/>
      <c r="Y550" s="384"/>
      <c r="Z550" s="384"/>
      <c r="AA550" s="384"/>
      <c r="AB550" s="384"/>
      <c r="AC550" s="384"/>
      <c r="AD550" s="384"/>
      <c r="AE550" s="384"/>
      <c r="AF550" s="384"/>
      <c r="AG550" s="384"/>
      <c r="AH550" s="384"/>
      <c r="AI550" s="384"/>
      <c r="AJ550" s="384"/>
      <c r="AK550" s="384"/>
      <c r="AL550" s="384"/>
      <c r="AM550" s="384"/>
      <c r="AN550" s="384"/>
      <c r="AO550" s="384"/>
      <c r="AP550" s="384"/>
      <c r="AQ550" s="384"/>
      <c r="AR550" s="384"/>
    </row>
    <row r="551" spans="2:44" s="637" customFormat="1" ht="12" customHeight="1">
      <c r="B551" s="636"/>
      <c r="J551" s="729" t="s">
        <v>145</v>
      </c>
      <c r="K551" s="730"/>
      <c r="L551" s="727"/>
      <c r="M551" s="728"/>
      <c r="N551" s="1180" t="s">
        <v>575</v>
      </c>
      <c r="O551" s="1180" t="s">
        <v>348</v>
      </c>
      <c r="P551" s="728"/>
      <c r="X551" s="384"/>
      <c r="Y551" s="384"/>
      <c r="Z551" s="384"/>
      <c r="AA551" s="384"/>
      <c r="AB551" s="384"/>
      <c r="AC551" s="384"/>
      <c r="AD551" s="384"/>
      <c r="AE551" s="384"/>
      <c r="AF551" s="384"/>
      <c r="AG551" s="384"/>
      <c r="AH551" s="384"/>
      <c r="AI551" s="384"/>
      <c r="AJ551" s="384"/>
      <c r="AK551" s="384"/>
      <c r="AL551" s="384"/>
      <c r="AM551" s="384"/>
      <c r="AN551" s="384"/>
      <c r="AO551" s="384"/>
      <c r="AP551" s="384"/>
      <c r="AQ551" s="384"/>
      <c r="AR551" s="384"/>
    </row>
    <row r="552" spans="2:44" s="637" customFormat="1" ht="12" customHeight="1">
      <c r="B552" s="636"/>
      <c r="J552" s="729" t="s">
        <v>2776</v>
      </c>
      <c r="K552" s="730"/>
      <c r="L552" s="727"/>
      <c r="M552" s="728"/>
      <c r="N552" s="1180" t="s">
        <v>577</v>
      </c>
      <c r="O552" s="1180" t="s">
        <v>450</v>
      </c>
      <c r="P552" s="728"/>
      <c r="X552" s="384"/>
      <c r="Y552" s="384"/>
      <c r="Z552" s="384"/>
      <c r="AA552" s="384"/>
      <c r="AB552" s="384"/>
      <c r="AC552" s="384"/>
      <c r="AD552" s="384"/>
      <c r="AE552" s="384"/>
      <c r="AF552" s="384"/>
      <c r="AG552" s="384"/>
      <c r="AH552" s="384"/>
      <c r="AI552" s="384"/>
      <c r="AJ552" s="384"/>
      <c r="AK552" s="384"/>
      <c r="AL552" s="384"/>
      <c r="AM552" s="384"/>
      <c r="AN552" s="384"/>
      <c r="AO552" s="384"/>
      <c r="AP552" s="384"/>
      <c r="AQ552" s="384"/>
      <c r="AR552" s="384"/>
    </row>
    <row r="553" spans="2:44" s="637" customFormat="1" ht="12" customHeight="1">
      <c r="B553" s="636"/>
      <c r="J553" s="729" t="s">
        <v>2232</v>
      </c>
      <c r="K553" s="730"/>
      <c r="L553" s="727"/>
      <c r="M553" s="728"/>
      <c r="N553" s="705" t="s">
        <v>739</v>
      </c>
      <c r="O553" s="705" t="s">
        <v>1283</v>
      </c>
      <c r="P553" s="728"/>
      <c r="X553" s="384"/>
      <c r="Y553" s="384"/>
      <c r="Z553" s="384"/>
      <c r="AA553" s="384"/>
      <c r="AB553" s="384"/>
      <c r="AC553" s="384"/>
      <c r="AD553" s="384"/>
      <c r="AE553" s="384"/>
      <c r="AF553" s="384"/>
      <c r="AG553" s="384"/>
      <c r="AH553" s="384"/>
      <c r="AI553" s="384"/>
      <c r="AJ553" s="384"/>
      <c r="AK553" s="384"/>
      <c r="AL553" s="384"/>
      <c r="AM553" s="384"/>
      <c r="AN553" s="384"/>
      <c r="AO553" s="384"/>
      <c r="AP553" s="384"/>
      <c r="AQ553" s="384"/>
      <c r="AR553" s="384"/>
    </row>
    <row r="554" spans="2:44" s="637" customFormat="1" ht="12" customHeight="1">
      <c r="B554" s="636"/>
      <c r="J554" s="729" t="s">
        <v>2234</v>
      </c>
      <c r="K554" s="730"/>
      <c r="L554" s="727"/>
      <c r="M554" s="728"/>
      <c r="N554" s="1180" t="s">
        <v>883</v>
      </c>
      <c r="O554" s="1180" t="s">
        <v>701</v>
      </c>
      <c r="P554" s="2029"/>
      <c r="X554" s="384"/>
      <c r="Y554" s="384"/>
      <c r="Z554" s="384"/>
      <c r="AA554" s="384"/>
      <c r="AB554" s="384"/>
      <c r="AC554" s="384"/>
      <c r="AD554" s="384"/>
      <c r="AE554" s="384"/>
      <c r="AF554" s="384"/>
      <c r="AG554" s="384"/>
      <c r="AH554" s="384"/>
      <c r="AI554" s="384"/>
      <c r="AJ554" s="384"/>
      <c r="AK554" s="384"/>
      <c r="AL554" s="384"/>
      <c r="AM554" s="384"/>
      <c r="AN554" s="384"/>
      <c r="AO554" s="384"/>
      <c r="AP554" s="384"/>
      <c r="AQ554" s="384"/>
      <c r="AR554" s="384"/>
    </row>
    <row r="555" spans="2:44" s="637" customFormat="1" ht="12" customHeight="1">
      <c r="B555" s="636"/>
      <c r="J555" s="729" t="s">
        <v>626</v>
      </c>
      <c r="K555" s="730"/>
      <c r="L555" s="727"/>
      <c r="M555" s="728"/>
      <c r="N555" s="1180" t="s">
        <v>1744</v>
      </c>
      <c r="O555" s="1180" t="s">
        <v>710</v>
      </c>
      <c r="P555" s="728"/>
      <c r="X555" s="384"/>
      <c r="Y555" s="384"/>
      <c r="Z555" s="384"/>
      <c r="AA555" s="384"/>
      <c r="AB555" s="384"/>
      <c r="AC555" s="384"/>
      <c r="AD555" s="384"/>
      <c r="AE555" s="384"/>
      <c r="AF555" s="384"/>
      <c r="AG555" s="384"/>
      <c r="AH555" s="384"/>
      <c r="AI555" s="384"/>
      <c r="AJ555" s="384"/>
      <c r="AK555" s="384"/>
      <c r="AL555" s="384"/>
      <c r="AM555" s="384"/>
      <c r="AN555" s="384"/>
      <c r="AO555" s="384"/>
      <c r="AP555" s="384"/>
      <c r="AQ555" s="384"/>
      <c r="AR555" s="384"/>
    </row>
    <row r="556" spans="2:44" s="637" customFormat="1" ht="12" customHeight="1">
      <c r="B556" s="636"/>
      <c r="J556" s="729" t="s">
        <v>2492</v>
      </c>
      <c r="K556" s="730"/>
      <c r="L556" s="727"/>
      <c r="M556" s="728"/>
      <c r="N556" s="1180" t="s">
        <v>2216</v>
      </c>
      <c r="O556" s="1180" t="s">
        <v>1161</v>
      </c>
      <c r="P556" s="728"/>
      <c r="X556" s="384"/>
      <c r="Y556" s="384"/>
      <c r="Z556" s="384"/>
      <c r="AA556" s="384"/>
      <c r="AB556" s="384"/>
      <c r="AC556" s="384"/>
      <c r="AD556" s="384"/>
      <c r="AE556" s="384"/>
      <c r="AF556" s="384"/>
      <c r="AG556" s="384"/>
      <c r="AH556" s="384"/>
      <c r="AI556" s="384"/>
      <c r="AJ556" s="384"/>
      <c r="AK556" s="384"/>
      <c r="AL556" s="384"/>
      <c r="AM556" s="384"/>
      <c r="AN556" s="384"/>
      <c r="AO556" s="384"/>
      <c r="AP556" s="384"/>
      <c r="AQ556" s="384"/>
      <c r="AR556" s="384"/>
    </row>
    <row r="557" spans="2:44" s="637" customFormat="1" ht="12" customHeight="1">
      <c r="B557" s="636"/>
      <c r="J557" s="729" t="s">
        <v>751</v>
      </c>
      <c r="K557" s="730"/>
      <c r="L557" s="727"/>
      <c r="M557" s="728"/>
      <c r="N557" s="1180" t="s">
        <v>1746</v>
      </c>
      <c r="O557" s="1180" t="s">
        <v>2144</v>
      </c>
      <c r="P557" s="2030"/>
      <c r="X557" s="384"/>
      <c r="Y557" s="384"/>
      <c r="Z557" s="384"/>
      <c r="AA557" s="384"/>
      <c r="AB557" s="384"/>
      <c r="AC557" s="384"/>
      <c r="AD557" s="384"/>
      <c r="AE557" s="384"/>
      <c r="AF557" s="384"/>
      <c r="AG557" s="384"/>
      <c r="AH557" s="384"/>
      <c r="AI557" s="384"/>
      <c r="AJ557" s="384"/>
      <c r="AK557" s="384"/>
      <c r="AL557" s="384"/>
      <c r="AM557" s="384"/>
      <c r="AN557" s="384"/>
      <c r="AO557" s="384"/>
      <c r="AP557" s="384"/>
      <c r="AQ557" s="384"/>
      <c r="AR557" s="384"/>
    </row>
    <row r="558" spans="2:44" s="637" customFormat="1" ht="12" customHeight="1">
      <c r="B558" s="636"/>
      <c r="J558" s="729" t="s">
        <v>753</v>
      </c>
      <c r="K558" s="730"/>
      <c r="L558" s="727"/>
      <c r="M558" s="728"/>
      <c r="N558" s="1180" t="s">
        <v>492</v>
      </c>
      <c r="O558" s="1180" t="s">
        <v>1406</v>
      </c>
      <c r="P558" s="728"/>
      <c r="X558" s="384"/>
      <c r="Y558" s="384"/>
      <c r="Z558" s="384"/>
      <c r="AA558" s="384"/>
      <c r="AB558" s="384"/>
      <c r="AC558" s="384"/>
      <c r="AD558" s="384"/>
      <c r="AE558" s="384"/>
      <c r="AF558" s="384"/>
      <c r="AG558" s="384"/>
      <c r="AH558" s="384"/>
      <c r="AI558" s="384"/>
      <c r="AJ558" s="384"/>
      <c r="AK558" s="384"/>
      <c r="AL558" s="384"/>
      <c r="AM558" s="384"/>
      <c r="AN558" s="384"/>
      <c r="AO558" s="384"/>
      <c r="AP558" s="384"/>
      <c r="AQ558" s="384"/>
      <c r="AR558" s="384"/>
    </row>
    <row r="559" spans="2:44" s="637" customFormat="1" ht="12" customHeight="1">
      <c r="B559" s="636"/>
      <c r="J559" s="729" t="s">
        <v>2432</v>
      </c>
      <c r="K559" s="730"/>
      <c r="L559" s="727"/>
      <c r="M559" s="728"/>
      <c r="N559" s="1180" t="s">
        <v>191</v>
      </c>
      <c r="O559" s="1180" t="s">
        <v>166</v>
      </c>
      <c r="P559" s="728"/>
      <c r="X559" s="384"/>
      <c r="Y559" s="384"/>
      <c r="Z559" s="384"/>
      <c r="AA559" s="384"/>
      <c r="AB559" s="384"/>
      <c r="AC559" s="384"/>
      <c r="AD559" s="384"/>
      <c r="AE559" s="384"/>
      <c r="AF559" s="384"/>
      <c r="AG559" s="384"/>
      <c r="AH559" s="384"/>
      <c r="AI559" s="384"/>
      <c r="AJ559" s="384"/>
      <c r="AK559" s="384"/>
      <c r="AL559" s="384"/>
      <c r="AM559" s="384"/>
      <c r="AN559" s="384"/>
      <c r="AO559" s="384"/>
      <c r="AP559" s="384"/>
      <c r="AQ559" s="384"/>
      <c r="AR559" s="384"/>
    </row>
    <row r="560" spans="2:44" s="637" customFormat="1" ht="12" customHeight="1">
      <c r="B560" s="636"/>
      <c r="J560" s="729" t="s">
        <v>45</v>
      </c>
      <c r="K560" s="730"/>
      <c r="L560" s="727"/>
      <c r="M560" s="728"/>
      <c r="N560" s="1180" t="s">
        <v>1345</v>
      </c>
      <c r="O560" s="1180" t="s">
        <v>343</v>
      </c>
      <c r="P560" s="728"/>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row>
    <row r="561" spans="2:44" s="637" customFormat="1" ht="12" customHeight="1">
      <c r="B561" s="636"/>
      <c r="J561" s="729" t="s">
        <v>46</v>
      </c>
      <c r="K561" s="730"/>
      <c r="L561" s="727"/>
      <c r="M561" s="728"/>
      <c r="N561" s="1180" t="s">
        <v>1055</v>
      </c>
      <c r="O561" s="1180" t="s">
        <v>1549</v>
      </c>
      <c r="P561" s="728"/>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row>
    <row r="562" spans="2:44" s="637" customFormat="1" ht="12" customHeight="1">
      <c r="B562" s="636"/>
      <c r="J562" s="729" t="s">
        <v>2395</v>
      </c>
      <c r="K562" s="730"/>
      <c r="L562" s="727"/>
      <c r="M562" s="728"/>
      <c r="N562" s="1180" t="s">
        <v>1124</v>
      </c>
      <c r="O562" s="1180" t="s">
        <v>182</v>
      </c>
      <c r="P562" s="728"/>
      <c r="X562" s="384"/>
      <c r="Y562" s="384"/>
      <c r="Z562" s="384"/>
      <c r="AA562" s="384"/>
      <c r="AB562" s="384"/>
      <c r="AC562" s="384"/>
      <c r="AD562" s="384"/>
      <c r="AE562" s="384"/>
      <c r="AF562" s="384"/>
      <c r="AG562" s="384"/>
      <c r="AH562" s="384"/>
      <c r="AI562" s="384"/>
      <c r="AJ562" s="384"/>
      <c r="AK562" s="384"/>
      <c r="AL562" s="384"/>
      <c r="AM562" s="384"/>
      <c r="AN562" s="384"/>
      <c r="AO562" s="384"/>
      <c r="AP562" s="384"/>
      <c r="AQ562" s="384"/>
      <c r="AR562" s="384"/>
    </row>
    <row r="563" spans="2:44" s="637" customFormat="1" ht="12" customHeight="1">
      <c r="B563" s="636"/>
      <c r="J563" s="729" t="s">
        <v>2423</v>
      </c>
      <c r="K563" s="730"/>
      <c r="L563" s="727"/>
      <c r="M563" s="728"/>
      <c r="N563" s="1180" t="s">
        <v>141</v>
      </c>
      <c r="O563" s="1180" t="s">
        <v>2704</v>
      </c>
      <c r="P563" s="728"/>
      <c r="X563" s="384"/>
      <c r="Y563" s="384"/>
      <c r="Z563" s="384"/>
      <c r="AA563" s="384"/>
      <c r="AB563" s="384"/>
      <c r="AC563" s="384"/>
      <c r="AD563" s="384"/>
      <c r="AE563" s="384"/>
      <c r="AF563" s="384"/>
      <c r="AG563" s="384"/>
      <c r="AH563" s="384"/>
      <c r="AI563" s="384"/>
      <c r="AJ563" s="384"/>
      <c r="AK563" s="384"/>
      <c r="AL563" s="384"/>
      <c r="AM563" s="384"/>
      <c r="AN563" s="384"/>
      <c r="AO563" s="384"/>
      <c r="AP563" s="384"/>
      <c r="AQ563" s="384"/>
      <c r="AR563" s="384"/>
    </row>
    <row r="564" spans="2:44" s="637" customFormat="1" ht="12" customHeight="1">
      <c r="B564" s="636"/>
      <c r="J564" s="729" t="s">
        <v>412</v>
      </c>
      <c r="K564" s="730"/>
      <c r="L564" s="727"/>
      <c r="M564" s="728"/>
      <c r="N564" s="1180" t="s">
        <v>2766</v>
      </c>
      <c r="O564" s="1180" t="s">
        <v>1418</v>
      </c>
      <c r="P564" s="728"/>
      <c r="X564" s="384"/>
      <c r="Y564" s="384"/>
      <c r="Z564" s="384"/>
      <c r="AA564" s="384"/>
      <c r="AB564" s="384"/>
      <c r="AC564" s="384"/>
      <c r="AD564" s="384"/>
      <c r="AE564" s="384"/>
      <c r="AF564" s="384"/>
      <c r="AG564" s="384"/>
      <c r="AH564" s="384"/>
      <c r="AI564" s="384"/>
      <c r="AJ564" s="384"/>
      <c r="AK564" s="384"/>
      <c r="AL564" s="384"/>
      <c r="AM564" s="384"/>
      <c r="AN564" s="384"/>
      <c r="AO564" s="384"/>
      <c r="AP564" s="384"/>
      <c r="AQ564" s="384"/>
      <c r="AR564" s="384"/>
    </row>
    <row r="565" spans="2:44" s="637" customFormat="1" ht="12" customHeight="1">
      <c r="B565" s="636"/>
      <c r="J565" s="729" t="s">
        <v>414</v>
      </c>
      <c r="K565" s="730"/>
      <c r="L565" s="727"/>
      <c r="M565" s="728"/>
      <c r="N565" s="1180" t="s">
        <v>144</v>
      </c>
      <c r="O565" s="1180" t="s">
        <v>701</v>
      </c>
      <c r="P565" s="728"/>
      <c r="X565" s="384"/>
      <c r="Y565" s="384"/>
      <c r="Z565" s="384"/>
      <c r="AA565" s="384"/>
      <c r="AB565" s="384"/>
      <c r="AC565" s="384"/>
      <c r="AD565" s="384"/>
      <c r="AE565" s="384"/>
      <c r="AF565" s="384"/>
      <c r="AG565" s="384"/>
      <c r="AH565" s="384"/>
      <c r="AI565" s="384"/>
      <c r="AJ565" s="384"/>
      <c r="AK565" s="384"/>
      <c r="AL565" s="384"/>
      <c r="AM565" s="384"/>
      <c r="AN565" s="384"/>
      <c r="AO565" s="384"/>
      <c r="AP565" s="384"/>
      <c r="AQ565" s="384"/>
      <c r="AR565" s="384"/>
    </row>
    <row r="566" spans="2:44" s="637" customFormat="1" ht="12" customHeight="1">
      <c r="B566" s="636"/>
      <c r="J566" s="729" t="s">
        <v>416</v>
      </c>
      <c r="K566" s="730"/>
      <c r="L566" s="727"/>
      <c r="M566" s="728"/>
      <c r="N566" s="705" t="s">
        <v>146</v>
      </c>
      <c r="O566" s="705" t="s">
        <v>2651</v>
      </c>
      <c r="P566" s="728"/>
      <c r="X566" s="384"/>
      <c r="Y566" s="384"/>
      <c r="Z566" s="384"/>
      <c r="AA566" s="384"/>
      <c r="AB566" s="384"/>
      <c r="AC566" s="384"/>
      <c r="AD566" s="384"/>
      <c r="AE566" s="384"/>
      <c r="AF566" s="384"/>
      <c r="AG566" s="384"/>
      <c r="AH566" s="384"/>
      <c r="AI566" s="384"/>
      <c r="AJ566" s="384"/>
      <c r="AK566" s="384"/>
      <c r="AL566" s="384"/>
      <c r="AM566" s="384"/>
      <c r="AN566" s="384"/>
      <c r="AO566" s="384"/>
      <c r="AP566" s="384"/>
      <c r="AQ566" s="384"/>
      <c r="AR566" s="384"/>
    </row>
    <row r="567" spans="2:44" s="637" customFormat="1" ht="12" customHeight="1">
      <c r="B567" s="636"/>
      <c r="J567" s="729" t="s">
        <v>418</v>
      </c>
      <c r="K567" s="730"/>
      <c r="L567" s="727"/>
      <c r="M567" s="728"/>
      <c r="N567" s="705" t="s">
        <v>2777</v>
      </c>
      <c r="O567" s="705" t="s">
        <v>1410</v>
      </c>
      <c r="P567" s="2029"/>
      <c r="X567" s="384"/>
      <c r="Y567" s="384"/>
      <c r="Z567" s="384"/>
      <c r="AA567" s="384"/>
      <c r="AB567" s="384"/>
      <c r="AC567" s="384"/>
      <c r="AD567" s="384"/>
      <c r="AE567" s="384"/>
      <c r="AF567" s="384"/>
      <c r="AG567" s="384"/>
      <c r="AH567" s="384"/>
      <c r="AI567" s="384"/>
      <c r="AJ567" s="384"/>
      <c r="AK567" s="384"/>
      <c r="AL567" s="384"/>
      <c r="AM567" s="384"/>
      <c r="AN567" s="384"/>
      <c r="AO567" s="384"/>
      <c r="AP567" s="384"/>
      <c r="AQ567" s="384"/>
      <c r="AR567" s="384"/>
    </row>
    <row r="568" spans="2:44" s="637" customFormat="1" ht="12" customHeight="1">
      <c r="B568" s="636"/>
      <c r="J568" s="729" t="s">
        <v>1691</v>
      </c>
      <c r="K568" s="730"/>
      <c r="L568" s="727"/>
      <c r="M568" s="728"/>
      <c r="N568" s="705" t="s">
        <v>2233</v>
      </c>
      <c r="O568" s="705" t="s">
        <v>2657</v>
      </c>
      <c r="P568" s="2029"/>
      <c r="X568" s="384"/>
      <c r="Y568" s="384"/>
      <c r="Z568" s="384"/>
      <c r="AA568" s="384"/>
      <c r="AB568" s="384"/>
      <c r="AC568" s="384"/>
      <c r="AD568" s="384"/>
      <c r="AE568" s="384"/>
      <c r="AF568" s="384"/>
      <c r="AG568" s="384"/>
      <c r="AH568" s="384"/>
      <c r="AI568" s="384"/>
      <c r="AJ568" s="384"/>
      <c r="AK568" s="384"/>
      <c r="AL568" s="384"/>
      <c r="AM568" s="384"/>
      <c r="AN568" s="384"/>
      <c r="AO568" s="384"/>
      <c r="AP568" s="384"/>
      <c r="AQ568" s="384"/>
      <c r="AR568" s="384"/>
    </row>
    <row r="569" spans="2:44" s="637" customFormat="1" ht="12" customHeight="1">
      <c r="B569" s="636"/>
      <c r="J569" s="729" t="s">
        <v>1693</v>
      </c>
      <c r="K569" s="730"/>
      <c r="L569" s="727"/>
      <c r="M569" s="728"/>
      <c r="N569" s="1180" t="s">
        <v>804</v>
      </c>
      <c r="O569" s="1180" t="s">
        <v>125</v>
      </c>
      <c r="P569" s="2029"/>
      <c r="X569" s="384"/>
      <c r="Y569" s="384"/>
      <c r="Z569" s="384"/>
      <c r="AA569" s="384"/>
      <c r="AB569" s="384"/>
      <c r="AC569" s="384"/>
      <c r="AD569" s="384"/>
      <c r="AE569" s="384"/>
      <c r="AF569" s="384"/>
      <c r="AG569" s="384"/>
      <c r="AH569" s="384"/>
      <c r="AI569" s="384"/>
      <c r="AJ569" s="384"/>
      <c r="AK569" s="384"/>
      <c r="AL569" s="384"/>
      <c r="AM569" s="384"/>
      <c r="AN569" s="384"/>
      <c r="AO569" s="384"/>
      <c r="AP569" s="384"/>
      <c r="AQ569" s="384"/>
      <c r="AR569" s="384"/>
    </row>
    <row r="570" spans="2:44" s="637" customFormat="1" ht="12" customHeight="1">
      <c r="B570" s="636"/>
      <c r="J570" s="729" t="s">
        <v>1695</v>
      </c>
      <c r="K570" s="730"/>
      <c r="L570" s="727"/>
      <c r="M570" s="728"/>
      <c r="N570" s="1180" t="s">
        <v>805</v>
      </c>
      <c r="O570" s="1180" t="s">
        <v>191</v>
      </c>
      <c r="P570" s="728"/>
      <c r="X570" s="384"/>
      <c r="Y570" s="384"/>
      <c r="Z570" s="384"/>
      <c r="AA570" s="384"/>
      <c r="AB570" s="384"/>
      <c r="AC570" s="384"/>
      <c r="AD570" s="384"/>
      <c r="AE570" s="384"/>
      <c r="AF570" s="384"/>
      <c r="AG570" s="384"/>
      <c r="AH570" s="384"/>
      <c r="AI570" s="384"/>
      <c r="AJ570" s="384"/>
      <c r="AK570" s="384"/>
      <c r="AL570" s="384"/>
      <c r="AM570" s="384"/>
      <c r="AN570" s="384"/>
      <c r="AO570" s="384"/>
      <c r="AP570" s="384"/>
      <c r="AQ570" s="384"/>
      <c r="AR570" s="384"/>
    </row>
    <row r="571" spans="2:44" s="637" customFormat="1" ht="12" customHeight="1">
      <c r="B571" s="636"/>
      <c r="J571" s="729" t="s">
        <v>2775</v>
      </c>
      <c r="K571" s="730"/>
      <c r="L571" s="727"/>
      <c r="M571" s="728"/>
      <c r="N571" s="1180" t="s">
        <v>752</v>
      </c>
      <c r="O571" s="1180" t="s">
        <v>783</v>
      </c>
      <c r="P571" s="728"/>
      <c r="X571" s="384"/>
      <c r="Y571" s="384"/>
      <c r="Z571" s="384"/>
      <c r="AA571" s="384"/>
      <c r="AB571" s="384"/>
      <c r="AC571" s="384"/>
      <c r="AD571" s="384"/>
      <c r="AE571" s="384"/>
      <c r="AF571" s="384"/>
      <c r="AG571" s="384"/>
      <c r="AH571" s="384"/>
      <c r="AI571" s="384"/>
      <c r="AJ571" s="384"/>
      <c r="AK571" s="384"/>
      <c r="AL571" s="384"/>
      <c r="AM571" s="384"/>
      <c r="AN571" s="384"/>
      <c r="AO571" s="384"/>
      <c r="AP571" s="384"/>
      <c r="AQ571" s="384"/>
      <c r="AR571" s="384"/>
    </row>
    <row r="572" spans="2:44" s="637" customFormat="1" ht="12" customHeight="1">
      <c r="B572" s="636"/>
      <c r="J572" s="729" t="s">
        <v>2618</v>
      </c>
      <c r="K572" s="730"/>
      <c r="L572" s="727"/>
      <c r="M572" s="728"/>
      <c r="N572" s="1180" t="s">
        <v>754</v>
      </c>
      <c r="O572" s="1180" t="s">
        <v>1170</v>
      </c>
      <c r="P572" s="728"/>
      <c r="X572" s="384"/>
      <c r="Y572" s="384"/>
      <c r="Z572" s="384"/>
      <c r="AA572" s="384"/>
      <c r="AB572" s="384"/>
      <c r="AC572" s="384"/>
      <c r="AD572" s="384"/>
      <c r="AE572" s="384"/>
      <c r="AF572" s="384"/>
      <c r="AG572" s="384"/>
      <c r="AH572" s="384"/>
      <c r="AI572" s="384"/>
      <c r="AJ572" s="384"/>
      <c r="AK572" s="384"/>
      <c r="AL572" s="384"/>
      <c r="AM572" s="384"/>
      <c r="AN572" s="384"/>
      <c r="AO572" s="384"/>
      <c r="AP572" s="384"/>
      <c r="AQ572" s="384"/>
      <c r="AR572" s="384"/>
    </row>
    <row r="573" spans="2:44" s="637" customFormat="1" ht="12" customHeight="1">
      <c r="B573" s="636"/>
      <c r="J573" s="729" t="s">
        <v>1956</v>
      </c>
      <c r="K573" s="730"/>
      <c r="L573" s="727"/>
      <c r="M573" s="728"/>
      <c r="N573" s="1180" t="s">
        <v>2433</v>
      </c>
      <c r="O573" s="1180" t="s">
        <v>1283</v>
      </c>
      <c r="P573" s="728"/>
      <c r="X573" s="384"/>
      <c r="Y573" s="384"/>
      <c r="Z573" s="384"/>
      <c r="AA573" s="384"/>
      <c r="AB573" s="384"/>
      <c r="AC573" s="384"/>
      <c r="AD573" s="384"/>
      <c r="AE573" s="384"/>
      <c r="AF573" s="384"/>
      <c r="AG573" s="384"/>
      <c r="AH573" s="384"/>
      <c r="AI573" s="384"/>
      <c r="AJ573" s="384"/>
      <c r="AK573" s="384"/>
      <c r="AL573" s="384"/>
      <c r="AM573" s="384"/>
      <c r="AN573" s="384"/>
      <c r="AO573" s="384"/>
      <c r="AP573" s="384"/>
      <c r="AQ573" s="384"/>
      <c r="AR573" s="384"/>
    </row>
    <row r="574" spans="2:44" s="637" customFormat="1" ht="12" customHeight="1">
      <c r="B574" s="636"/>
      <c r="J574" s="729" t="s">
        <v>1958</v>
      </c>
      <c r="K574" s="730"/>
      <c r="L574" s="727"/>
      <c r="M574" s="728"/>
      <c r="N574" s="1180" t="s">
        <v>2433</v>
      </c>
      <c r="O574" s="1180" t="s">
        <v>1283</v>
      </c>
      <c r="P574" s="728"/>
      <c r="X574" s="384"/>
      <c r="Y574" s="384"/>
      <c r="Z574" s="384"/>
      <c r="AA574" s="384"/>
      <c r="AB574" s="384"/>
      <c r="AC574" s="384"/>
      <c r="AD574" s="384"/>
      <c r="AE574" s="384"/>
      <c r="AF574" s="384"/>
      <c r="AG574" s="384"/>
      <c r="AH574" s="384"/>
      <c r="AI574" s="384"/>
      <c r="AJ574" s="384"/>
      <c r="AK574" s="384"/>
      <c r="AL574" s="384"/>
      <c r="AM574" s="384"/>
      <c r="AN574" s="384"/>
      <c r="AO574" s="384"/>
      <c r="AP574" s="384"/>
      <c r="AQ574" s="384"/>
      <c r="AR574" s="384"/>
    </row>
    <row r="575" spans="2:44" s="637" customFormat="1" ht="12" customHeight="1">
      <c r="B575" s="636"/>
      <c r="J575" s="729" t="s">
        <v>1960</v>
      </c>
      <c r="K575" s="730"/>
      <c r="L575" s="727"/>
      <c r="M575" s="728"/>
      <c r="N575" s="1180" t="s">
        <v>47</v>
      </c>
      <c r="O575" s="1180" t="s">
        <v>1409</v>
      </c>
      <c r="P575" s="728"/>
      <c r="X575" s="384"/>
      <c r="Y575" s="384"/>
      <c r="Z575" s="384"/>
      <c r="AA575" s="384"/>
      <c r="AB575" s="384"/>
      <c r="AC575" s="384"/>
      <c r="AD575" s="384"/>
      <c r="AE575" s="384"/>
      <c r="AF575" s="384"/>
      <c r="AG575" s="384"/>
      <c r="AH575" s="384"/>
      <c r="AI575" s="384"/>
      <c r="AJ575" s="384"/>
      <c r="AK575" s="384"/>
      <c r="AL575" s="384"/>
      <c r="AM575" s="384"/>
      <c r="AN575" s="384"/>
      <c r="AO575" s="384"/>
      <c r="AP575" s="384"/>
      <c r="AQ575" s="384"/>
      <c r="AR575" s="384"/>
    </row>
    <row r="576" spans="2:44" s="637" customFormat="1" ht="12" customHeight="1">
      <c r="B576" s="636"/>
      <c r="J576" s="729" t="s">
        <v>1961</v>
      </c>
      <c r="K576" s="730"/>
      <c r="L576" s="727"/>
      <c r="M576" s="728"/>
      <c r="N576" s="1180" t="s">
        <v>2396</v>
      </c>
      <c r="O576" s="1180" t="s">
        <v>1403</v>
      </c>
      <c r="P576" s="728"/>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row>
    <row r="577" spans="2:44" s="637" customFormat="1" ht="12" customHeight="1">
      <c r="B577" s="636"/>
      <c r="J577" s="729" t="s">
        <v>1963</v>
      </c>
      <c r="K577" s="730"/>
      <c r="L577" s="727"/>
      <c r="M577" s="728"/>
      <c r="N577" s="1180" t="s">
        <v>884</v>
      </c>
      <c r="O577" s="1180" t="s">
        <v>182</v>
      </c>
      <c r="P577" s="728"/>
      <c r="X577" s="384"/>
      <c r="Y577" s="384"/>
      <c r="Z577" s="384"/>
      <c r="AA577" s="384"/>
      <c r="AB577" s="384"/>
      <c r="AC577" s="384"/>
      <c r="AD577" s="384"/>
      <c r="AE577" s="384"/>
      <c r="AF577" s="384"/>
      <c r="AG577" s="384"/>
      <c r="AH577" s="384"/>
      <c r="AI577" s="384"/>
      <c r="AJ577" s="384"/>
      <c r="AK577" s="384"/>
      <c r="AL577" s="384"/>
      <c r="AM577" s="384"/>
      <c r="AN577" s="384"/>
      <c r="AO577" s="384"/>
      <c r="AP577" s="384"/>
      <c r="AQ577" s="384"/>
      <c r="AR577" s="384"/>
    </row>
    <row r="578" spans="2:44" s="637" customFormat="1" ht="12" customHeight="1">
      <c r="B578" s="636"/>
      <c r="J578" s="729" t="s">
        <v>1965</v>
      </c>
      <c r="K578" s="730"/>
      <c r="L578" s="727"/>
      <c r="M578" s="728"/>
      <c r="N578" s="1180" t="s">
        <v>1092</v>
      </c>
      <c r="O578" s="1180" t="s">
        <v>1158</v>
      </c>
      <c r="P578" s="728"/>
      <c r="X578" s="384"/>
      <c r="Y578" s="384"/>
      <c r="Z578" s="384"/>
      <c r="AA578" s="384"/>
      <c r="AB578" s="384"/>
      <c r="AC578" s="384"/>
      <c r="AD578" s="384"/>
      <c r="AE578" s="384"/>
      <c r="AF578" s="384"/>
      <c r="AG578" s="384"/>
      <c r="AH578" s="384"/>
      <c r="AI578" s="384"/>
      <c r="AJ578" s="384"/>
      <c r="AK578" s="384"/>
      <c r="AL578" s="384"/>
      <c r="AM578" s="384"/>
      <c r="AN578" s="384"/>
      <c r="AO578" s="384"/>
      <c r="AP578" s="384"/>
      <c r="AQ578" s="384"/>
      <c r="AR578" s="384"/>
    </row>
    <row r="579" spans="2:44" s="637" customFormat="1" ht="12" customHeight="1">
      <c r="B579" s="636"/>
      <c r="J579" s="729" t="s">
        <v>1967</v>
      </c>
      <c r="K579" s="730"/>
      <c r="L579" s="727"/>
      <c r="M579" s="728"/>
      <c r="N579" s="1180" t="s">
        <v>413</v>
      </c>
      <c r="O579" s="1180" t="s">
        <v>2771</v>
      </c>
      <c r="P579" s="728"/>
      <c r="X579" s="384"/>
      <c r="Y579" s="384"/>
      <c r="Z579" s="384"/>
      <c r="AA579" s="384"/>
      <c r="AB579" s="384"/>
      <c r="AC579" s="384"/>
      <c r="AD579" s="384"/>
      <c r="AE579" s="384"/>
      <c r="AF579" s="384"/>
      <c r="AG579" s="384"/>
      <c r="AH579" s="384"/>
      <c r="AI579" s="384"/>
      <c r="AJ579" s="384"/>
      <c r="AK579" s="384"/>
      <c r="AL579" s="384"/>
      <c r="AM579" s="384"/>
      <c r="AN579" s="384"/>
      <c r="AO579" s="384"/>
      <c r="AP579" s="384"/>
      <c r="AQ579" s="384"/>
      <c r="AR579" s="384"/>
    </row>
    <row r="580" spans="2:44" s="637" customFormat="1" ht="12" customHeight="1">
      <c r="B580" s="636"/>
      <c r="J580" s="729" t="s">
        <v>1969</v>
      </c>
      <c r="K580" s="730"/>
      <c r="L580" s="727"/>
      <c r="M580" s="728"/>
      <c r="N580" s="1180" t="s">
        <v>415</v>
      </c>
      <c r="O580" s="1180" t="s">
        <v>2308</v>
      </c>
      <c r="P580" s="728"/>
      <c r="X580" s="384"/>
      <c r="Y580" s="384"/>
      <c r="Z580" s="384"/>
      <c r="AA580" s="384"/>
      <c r="AB580" s="384"/>
      <c r="AC580" s="384"/>
      <c r="AD580" s="384"/>
      <c r="AE580" s="384"/>
      <c r="AF580" s="384"/>
      <c r="AG580" s="384"/>
      <c r="AH580" s="384"/>
      <c r="AI580" s="384"/>
      <c r="AJ580" s="384"/>
      <c r="AK580" s="384"/>
      <c r="AL580" s="384"/>
      <c r="AM580" s="384"/>
      <c r="AN580" s="384"/>
      <c r="AO580" s="384"/>
      <c r="AP580" s="384"/>
      <c r="AQ580" s="384"/>
      <c r="AR580" s="384"/>
    </row>
    <row r="581" spans="2:44" s="637" customFormat="1" ht="12" customHeight="1">
      <c r="B581" s="636"/>
      <c r="J581" s="729" t="s">
        <v>1970</v>
      </c>
      <c r="K581" s="730"/>
      <c r="L581" s="727"/>
      <c r="M581" s="728"/>
      <c r="N581" s="1180" t="s">
        <v>417</v>
      </c>
      <c r="O581" s="1180" t="s">
        <v>2704</v>
      </c>
      <c r="P581" s="728"/>
      <c r="X581" s="384"/>
      <c r="Y581" s="384"/>
      <c r="Z581" s="384"/>
      <c r="AA581" s="384"/>
      <c r="AB581" s="384"/>
      <c r="AC581" s="384"/>
      <c r="AD581" s="384"/>
      <c r="AE581" s="384"/>
      <c r="AF581" s="384"/>
      <c r="AG581" s="384"/>
      <c r="AH581" s="384"/>
      <c r="AI581" s="384"/>
      <c r="AJ581" s="384"/>
      <c r="AK581" s="384"/>
      <c r="AL581" s="384"/>
      <c r="AM581" s="384"/>
      <c r="AN581" s="384"/>
      <c r="AO581" s="384"/>
      <c r="AP581" s="384"/>
      <c r="AQ581" s="384"/>
      <c r="AR581" s="384"/>
    </row>
    <row r="582" spans="2:44" s="637" customFormat="1" ht="12" customHeight="1">
      <c r="B582" s="636"/>
      <c r="J582" s="729" t="s">
        <v>1936</v>
      </c>
      <c r="K582" s="730"/>
      <c r="L582" s="727"/>
      <c r="M582" s="728"/>
      <c r="N582" s="1180" t="s">
        <v>2771</v>
      </c>
      <c r="O582" s="1180" t="s">
        <v>1905</v>
      </c>
      <c r="P582" s="2030"/>
      <c r="X582" s="384"/>
      <c r="Y582" s="384"/>
      <c r="Z582" s="384"/>
      <c r="AA582" s="384"/>
      <c r="AB582" s="384"/>
      <c r="AC582" s="384"/>
      <c r="AD582" s="384"/>
      <c r="AE582" s="384"/>
      <c r="AF582" s="384"/>
      <c r="AG582" s="384"/>
      <c r="AH582" s="384"/>
      <c r="AI582" s="384"/>
      <c r="AJ582" s="384"/>
      <c r="AK582" s="384"/>
      <c r="AL582" s="384"/>
      <c r="AM582" s="384"/>
      <c r="AN582" s="384"/>
      <c r="AO582" s="384"/>
      <c r="AP582" s="384"/>
      <c r="AQ582" s="384"/>
      <c r="AR582" s="384"/>
    </row>
    <row r="583" spans="2:44" s="637" customFormat="1" ht="12" customHeight="1">
      <c r="B583" s="636"/>
      <c r="J583" s="729" t="s">
        <v>1754</v>
      </c>
      <c r="K583" s="730"/>
      <c r="L583" s="727"/>
      <c r="M583" s="728"/>
      <c r="N583" s="1180" t="s">
        <v>1692</v>
      </c>
      <c r="O583" s="1180" t="s">
        <v>2655</v>
      </c>
      <c r="P583" s="728"/>
      <c r="X583" s="384"/>
      <c r="Y583" s="384"/>
      <c r="Z583" s="384"/>
      <c r="AA583" s="384"/>
      <c r="AB583" s="384"/>
      <c r="AC583" s="384"/>
      <c r="AD583" s="384"/>
      <c r="AE583" s="384"/>
      <c r="AF583" s="384"/>
      <c r="AG583" s="384"/>
      <c r="AH583" s="384"/>
      <c r="AI583" s="384"/>
      <c r="AJ583" s="384"/>
      <c r="AK583" s="384"/>
      <c r="AL583" s="384"/>
      <c r="AM583" s="384"/>
      <c r="AN583" s="384"/>
      <c r="AO583" s="384"/>
      <c r="AP583" s="384"/>
      <c r="AQ583" s="384"/>
      <c r="AR583" s="384"/>
    </row>
    <row r="584" spans="2:44" s="637" customFormat="1" ht="12" customHeight="1">
      <c r="B584" s="636"/>
      <c r="J584" s="729" t="s">
        <v>1755</v>
      </c>
      <c r="K584" s="730"/>
      <c r="L584" s="727"/>
      <c r="M584" s="728"/>
      <c r="N584" s="1180" t="s">
        <v>1694</v>
      </c>
      <c r="O584" s="1180" t="s">
        <v>341</v>
      </c>
      <c r="P584" s="728"/>
      <c r="X584" s="384"/>
      <c r="Y584" s="384"/>
      <c r="Z584" s="384"/>
      <c r="AA584" s="384"/>
      <c r="AB584" s="384"/>
      <c r="AC584" s="384"/>
      <c r="AD584" s="384"/>
      <c r="AE584" s="384"/>
      <c r="AF584" s="384"/>
      <c r="AG584" s="384"/>
      <c r="AH584" s="384"/>
      <c r="AI584" s="384"/>
      <c r="AJ584" s="384"/>
      <c r="AK584" s="384"/>
      <c r="AL584" s="384"/>
      <c r="AM584" s="384"/>
      <c r="AN584" s="384"/>
      <c r="AO584" s="384"/>
      <c r="AP584" s="384"/>
      <c r="AQ584" s="384"/>
      <c r="AR584" s="384"/>
    </row>
    <row r="585" spans="2:44" s="637" customFormat="1" ht="12" customHeight="1">
      <c r="B585" s="636"/>
      <c r="J585" s="729" t="s">
        <v>1757</v>
      </c>
      <c r="K585" s="730"/>
      <c r="L585" s="727"/>
      <c r="M585" s="728"/>
      <c r="N585" s="1180" t="s">
        <v>1533</v>
      </c>
      <c r="O585" s="1180" t="s">
        <v>124</v>
      </c>
      <c r="P585" s="728"/>
      <c r="X585" s="384"/>
      <c r="Y585" s="384"/>
      <c r="Z585" s="384"/>
      <c r="AA585" s="384"/>
      <c r="AB585" s="384"/>
      <c r="AC585" s="384"/>
      <c r="AD585" s="384"/>
      <c r="AE585" s="384"/>
      <c r="AF585" s="384"/>
      <c r="AG585" s="384"/>
      <c r="AH585" s="384"/>
      <c r="AI585" s="384"/>
      <c r="AJ585" s="384"/>
      <c r="AK585" s="384"/>
      <c r="AL585" s="384"/>
      <c r="AM585" s="384"/>
      <c r="AN585" s="384"/>
      <c r="AO585" s="384"/>
      <c r="AP585" s="384"/>
      <c r="AQ585" s="384"/>
      <c r="AR585" s="384"/>
    </row>
    <row r="586" spans="2:44" s="637" customFormat="1" ht="12" customHeight="1">
      <c r="B586" s="636"/>
      <c r="J586" s="729" t="s">
        <v>2421</v>
      </c>
      <c r="K586" s="730"/>
      <c r="L586" s="727"/>
      <c r="M586" s="728"/>
      <c r="N586" s="705" t="s">
        <v>2617</v>
      </c>
      <c r="O586" s="705" t="s">
        <v>2657</v>
      </c>
      <c r="P586" s="728"/>
      <c r="X586" s="384"/>
      <c r="Y586" s="384"/>
      <c r="Z586" s="384"/>
      <c r="AA586" s="384"/>
      <c r="AB586" s="384"/>
      <c r="AC586" s="384"/>
      <c r="AD586" s="384"/>
      <c r="AE586" s="384"/>
      <c r="AF586" s="384"/>
      <c r="AG586" s="384"/>
      <c r="AH586" s="384"/>
      <c r="AI586" s="384"/>
      <c r="AJ586" s="384"/>
      <c r="AK586" s="384"/>
      <c r="AL586" s="384"/>
      <c r="AM586" s="384"/>
      <c r="AN586" s="384"/>
      <c r="AO586" s="384"/>
      <c r="AP586" s="384"/>
      <c r="AQ586" s="384"/>
      <c r="AR586" s="384"/>
    </row>
    <row r="587" spans="2:44" s="637" customFormat="1" ht="12" customHeight="1">
      <c r="B587" s="636"/>
      <c r="J587" s="729" t="s">
        <v>592</v>
      </c>
      <c r="K587" s="730"/>
      <c r="L587" s="727"/>
      <c r="M587" s="728"/>
      <c r="N587" s="1180" t="s">
        <v>1125</v>
      </c>
      <c r="O587" s="1180" t="s">
        <v>669</v>
      </c>
      <c r="P587" s="2029"/>
      <c r="X587" s="384"/>
      <c r="Y587" s="384"/>
      <c r="Z587" s="384"/>
      <c r="AA587" s="384"/>
      <c r="AB587" s="384"/>
      <c r="AC587" s="384"/>
      <c r="AD587" s="384"/>
      <c r="AE587" s="384"/>
      <c r="AF587" s="384"/>
      <c r="AG587" s="384"/>
      <c r="AH587" s="384"/>
      <c r="AI587" s="384"/>
      <c r="AJ587" s="384"/>
      <c r="AK587" s="384"/>
      <c r="AL587" s="384"/>
      <c r="AM587" s="384"/>
      <c r="AN587" s="384"/>
      <c r="AO587" s="384"/>
      <c r="AP587" s="384"/>
      <c r="AQ587" s="384"/>
      <c r="AR587" s="384"/>
    </row>
    <row r="588" spans="2:44" s="637" customFormat="1" ht="12" customHeight="1">
      <c r="B588" s="636"/>
      <c r="J588" s="729" t="s">
        <v>594</v>
      </c>
      <c r="K588" s="730"/>
      <c r="L588" s="727"/>
      <c r="M588" s="728"/>
      <c r="N588" s="1180" t="s">
        <v>1126</v>
      </c>
      <c r="O588" s="1180" t="s">
        <v>669</v>
      </c>
      <c r="P588" s="728"/>
      <c r="X588" s="384"/>
      <c r="Y588" s="384"/>
      <c r="Z588" s="384"/>
      <c r="AA588" s="384"/>
      <c r="AB588" s="384"/>
      <c r="AC588" s="384"/>
      <c r="AD588" s="384"/>
      <c r="AE588" s="384"/>
      <c r="AF588" s="384"/>
      <c r="AG588" s="384"/>
      <c r="AH588" s="384"/>
      <c r="AI588" s="384"/>
      <c r="AJ588" s="384"/>
      <c r="AK588" s="384"/>
      <c r="AL588" s="384"/>
      <c r="AM588" s="384"/>
      <c r="AN588" s="384"/>
      <c r="AO588" s="384"/>
      <c r="AP588" s="384"/>
      <c r="AQ588" s="384"/>
      <c r="AR588" s="384"/>
    </row>
    <row r="589" spans="2:44" s="637" customFormat="1" ht="12" customHeight="1">
      <c r="B589" s="636"/>
      <c r="J589" s="729" t="s">
        <v>596</v>
      </c>
      <c r="K589" s="730"/>
      <c r="L589" s="727"/>
      <c r="M589" s="728"/>
      <c r="N589" s="1180" t="s">
        <v>1127</v>
      </c>
      <c r="O589" s="1180" t="s">
        <v>669</v>
      </c>
      <c r="P589" s="728"/>
      <c r="X589" s="384"/>
      <c r="Y589" s="384"/>
      <c r="Z589" s="384"/>
      <c r="AA589" s="384"/>
      <c r="AB589" s="384"/>
      <c r="AC589" s="384"/>
      <c r="AD589" s="384"/>
      <c r="AE589" s="384"/>
      <c r="AF589" s="384"/>
      <c r="AG589" s="384"/>
      <c r="AH589" s="384"/>
      <c r="AI589" s="384"/>
      <c r="AJ589" s="384"/>
      <c r="AK589" s="384"/>
      <c r="AL589" s="384"/>
      <c r="AM589" s="384"/>
      <c r="AN589" s="384"/>
      <c r="AO589" s="384"/>
      <c r="AP589" s="384"/>
      <c r="AQ589" s="384"/>
      <c r="AR589" s="384"/>
    </row>
    <row r="590" spans="2:44" s="637" customFormat="1" ht="12" customHeight="1">
      <c r="B590" s="636"/>
      <c r="J590" s="729" t="s">
        <v>2191</v>
      </c>
      <c r="K590" s="730"/>
      <c r="L590" s="727"/>
      <c r="M590" s="728"/>
      <c r="N590" s="1180" t="s">
        <v>1946</v>
      </c>
      <c r="O590" s="1180" t="s">
        <v>2772</v>
      </c>
      <c r="P590" s="728"/>
      <c r="X590" s="384"/>
      <c r="Y590" s="384"/>
      <c r="Z590" s="384"/>
      <c r="AA590" s="384"/>
      <c r="AB590" s="384"/>
      <c r="AC590" s="384"/>
      <c r="AD590" s="384"/>
      <c r="AE590" s="384"/>
      <c r="AF590" s="384"/>
      <c r="AG590" s="384"/>
      <c r="AH590" s="384"/>
      <c r="AI590" s="384"/>
      <c r="AJ590" s="384"/>
      <c r="AK590" s="384"/>
      <c r="AL590" s="384"/>
      <c r="AM590" s="384"/>
      <c r="AN590" s="384"/>
      <c r="AO590" s="384"/>
      <c r="AP590" s="384"/>
      <c r="AQ590" s="384"/>
      <c r="AR590" s="384"/>
    </row>
    <row r="591" spans="2:44" s="637" customFormat="1" ht="12" customHeight="1">
      <c r="B591" s="636"/>
      <c r="J591" s="729" t="s">
        <v>1543</v>
      </c>
      <c r="K591" s="730"/>
      <c r="L591" s="727"/>
      <c r="M591" s="728"/>
      <c r="N591" s="1180" t="s">
        <v>1957</v>
      </c>
      <c r="O591" s="1180" t="s">
        <v>107</v>
      </c>
      <c r="P591" s="728"/>
      <c r="X591" s="384"/>
      <c r="Y591" s="384"/>
      <c r="Z591" s="384"/>
      <c r="AA591" s="384"/>
      <c r="AB591" s="384"/>
      <c r="AC591" s="384"/>
      <c r="AD591" s="384"/>
      <c r="AE591" s="384"/>
      <c r="AF591" s="384"/>
      <c r="AG591" s="384"/>
      <c r="AH591" s="384"/>
      <c r="AI591" s="384"/>
      <c r="AJ591" s="384"/>
      <c r="AK591" s="384"/>
      <c r="AL591" s="384"/>
      <c r="AM591" s="384"/>
      <c r="AN591" s="384"/>
      <c r="AO591" s="384"/>
      <c r="AP591" s="384"/>
      <c r="AQ591" s="384"/>
      <c r="AR591" s="384"/>
    </row>
    <row r="592" spans="2:44" s="637" customFormat="1" ht="12" customHeight="1">
      <c r="B592" s="636"/>
      <c r="J592" s="729" t="s">
        <v>1545</v>
      </c>
      <c r="K592" s="730"/>
      <c r="L592" s="727"/>
      <c r="M592" s="728"/>
      <c r="N592" s="1180" t="s">
        <v>1959</v>
      </c>
      <c r="O592" s="1180" t="s">
        <v>2390</v>
      </c>
      <c r="P592" s="728"/>
      <c r="X592" s="384"/>
      <c r="Y592" s="384"/>
      <c r="Z592" s="384"/>
      <c r="AA592" s="384"/>
      <c r="AB592" s="384"/>
      <c r="AC592" s="384"/>
      <c r="AD592" s="384"/>
      <c r="AE592" s="384"/>
      <c r="AF592" s="384"/>
      <c r="AG592" s="384"/>
      <c r="AH592" s="384"/>
      <c r="AI592" s="384"/>
      <c r="AJ592" s="384"/>
      <c r="AK592" s="384"/>
      <c r="AL592" s="384"/>
      <c r="AM592" s="384"/>
      <c r="AN592" s="384"/>
      <c r="AO592" s="384"/>
      <c r="AP592" s="384"/>
      <c r="AQ592" s="384"/>
      <c r="AR592" s="384"/>
    </row>
    <row r="593" spans="2:44" s="637" customFormat="1" ht="12" customHeight="1">
      <c r="B593" s="636"/>
      <c r="J593" s="729" t="s">
        <v>1546</v>
      </c>
      <c r="K593" s="730"/>
      <c r="L593" s="727"/>
      <c r="M593" s="728"/>
      <c r="N593" s="1180" t="s">
        <v>1962</v>
      </c>
      <c r="O593" s="1180" t="s">
        <v>2390</v>
      </c>
      <c r="P593" s="728"/>
      <c r="X593" s="384"/>
      <c r="Y593" s="384"/>
      <c r="Z593" s="384"/>
      <c r="AA593" s="384"/>
      <c r="AB593" s="384"/>
      <c r="AC593" s="384"/>
      <c r="AD593" s="384"/>
      <c r="AE593" s="384"/>
      <c r="AF593" s="384"/>
      <c r="AG593" s="384"/>
      <c r="AH593" s="384"/>
      <c r="AI593" s="384"/>
      <c r="AJ593" s="384"/>
      <c r="AK593" s="384"/>
      <c r="AL593" s="384"/>
      <c r="AM593" s="384"/>
      <c r="AN593" s="384"/>
      <c r="AO593" s="384"/>
      <c r="AP593" s="384"/>
      <c r="AQ593" s="384"/>
      <c r="AR593" s="384"/>
    </row>
    <row r="594" spans="2:44" s="637" customFormat="1" ht="12" customHeight="1">
      <c r="B594" s="636"/>
      <c r="J594" s="729" t="s">
        <v>1689</v>
      </c>
      <c r="K594" s="730"/>
      <c r="L594" s="727"/>
      <c r="M594" s="728"/>
      <c r="N594" s="1180" t="s">
        <v>1964</v>
      </c>
      <c r="O594" s="1180" t="s">
        <v>329</v>
      </c>
      <c r="P594" s="728"/>
      <c r="X594" s="384"/>
      <c r="Y594" s="384"/>
      <c r="Z594" s="384"/>
      <c r="AA594" s="384"/>
      <c r="AB594" s="384"/>
      <c r="AC594" s="384"/>
      <c r="AD594" s="384"/>
      <c r="AE594" s="384"/>
      <c r="AF594" s="384"/>
      <c r="AG594" s="384"/>
      <c r="AH594" s="384"/>
      <c r="AI594" s="384"/>
      <c r="AJ594" s="384"/>
      <c r="AK594" s="384"/>
      <c r="AL594" s="384"/>
      <c r="AM594" s="384"/>
      <c r="AN594" s="384"/>
      <c r="AO594" s="384"/>
      <c r="AP594" s="384"/>
      <c r="AQ594" s="384"/>
      <c r="AR594" s="384"/>
    </row>
    <row r="595" spans="2:44" s="637" customFormat="1" ht="12" customHeight="1">
      <c r="B595" s="636"/>
      <c r="J595" s="729" t="s">
        <v>2257</v>
      </c>
      <c r="K595" s="730"/>
      <c r="L595" s="727"/>
      <c r="M595" s="728"/>
      <c r="N595" s="1180" t="s">
        <v>1966</v>
      </c>
      <c r="O595" s="1180" t="s">
        <v>1779</v>
      </c>
      <c r="P595" s="728"/>
      <c r="X595" s="384"/>
      <c r="Y595" s="384"/>
      <c r="Z595" s="384"/>
      <c r="AA595" s="384"/>
      <c r="AB595" s="384"/>
      <c r="AC595" s="384"/>
      <c r="AD595" s="384"/>
      <c r="AE595" s="384"/>
      <c r="AF595" s="384"/>
      <c r="AG595" s="384"/>
      <c r="AH595" s="384"/>
      <c r="AI595" s="384"/>
      <c r="AJ595" s="384"/>
      <c r="AK595" s="384"/>
      <c r="AL595" s="384"/>
      <c r="AM595" s="384"/>
      <c r="AN595" s="384"/>
      <c r="AO595" s="384"/>
      <c r="AP595" s="384"/>
      <c r="AQ595" s="384"/>
      <c r="AR595" s="384"/>
    </row>
    <row r="596" spans="2:44" s="637" customFormat="1" ht="12" customHeight="1">
      <c r="B596" s="636"/>
      <c r="J596" s="729" t="s">
        <v>2259</v>
      </c>
      <c r="K596" s="730"/>
      <c r="L596" s="727"/>
      <c r="M596" s="728"/>
      <c r="N596" s="1180" t="s">
        <v>1968</v>
      </c>
      <c r="O596" s="1180" t="s">
        <v>339</v>
      </c>
      <c r="P596" s="728"/>
      <c r="R596" s="705" t="s">
        <v>97</v>
      </c>
      <c r="S596" s="705" t="s">
        <v>99</v>
      </c>
      <c r="T596" s="705" t="s">
        <v>98</v>
      </c>
      <c r="X596" s="384"/>
      <c r="Y596" s="384"/>
      <c r="Z596" s="384"/>
      <c r="AA596" s="384"/>
      <c r="AB596" s="384"/>
      <c r="AC596" s="384"/>
      <c r="AD596" s="384"/>
      <c r="AE596" s="384"/>
      <c r="AF596" s="384"/>
      <c r="AG596" s="384"/>
      <c r="AH596" s="384"/>
      <c r="AI596" s="384"/>
      <c r="AJ596" s="384"/>
      <c r="AK596" s="384"/>
      <c r="AL596" s="384"/>
      <c r="AM596" s="384"/>
      <c r="AN596" s="384"/>
      <c r="AO596" s="384"/>
      <c r="AP596" s="384"/>
      <c r="AQ596" s="384"/>
      <c r="AR596" s="384"/>
    </row>
    <row r="597" spans="2:44" s="637" customFormat="1" ht="12" customHeight="1">
      <c r="B597" s="636"/>
      <c r="J597" s="729" t="s">
        <v>2261</v>
      </c>
      <c r="K597" s="730"/>
      <c r="L597" s="727"/>
      <c r="M597" s="728"/>
      <c r="N597" s="705" t="s">
        <v>2772</v>
      </c>
      <c r="O597" s="705" t="s">
        <v>109</v>
      </c>
      <c r="P597" s="728"/>
      <c r="R597" s="705" t="s">
        <v>2743</v>
      </c>
      <c r="S597" s="705" t="s">
        <v>669</v>
      </c>
      <c r="T597" s="2029" t="s">
        <v>2279</v>
      </c>
      <c r="X597" s="384"/>
      <c r="Y597" s="384"/>
      <c r="Z597" s="384"/>
      <c r="AA597" s="384"/>
      <c r="AB597" s="384"/>
      <c r="AC597" s="384"/>
      <c r="AD597" s="384"/>
      <c r="AE597" s="384"/>
      <c r="AF597" s="384"/>
      <c r="AG597" s="384"/>
      <c r="AH597" s="384"/>
      <c r="AI597" s="384"/>
      <c r="AJ597" s="384"/>
      <c r="AK597" s="384"/>
      <c r="AL597" s="384"/>
      <c r="AM597" s="384"/>
      <c r="AN597" s="384"/>
      <c r="AO597" s="384"/>
      <c r="AP597" s="384"/>
      <c r="AQ597" s="384"/>
      <c r="AR597" s="384"/>
    </row>
    <row r="598" spans="2:44" s="637" customFormat="1" ht="12" customHeight="1">
      <c r="B598" s="636"/>
      <c r="J598" s="729" t="s">
        <v>1535</v>
      </c>
      <c r="K598" s="730"/>
      <c r="L598" s="727"/>
      <c r="M598" s="728"/>
      <c r="N598" s="1180" t="s">
        <v>2080</v>
      </c>
      <c r="O598" s="1180" t="s">
        <v>111</v>
      </c>
      <c r="P598" s="2029"/>
      <c r="R598" s="705" t="s">
        <v>2744</v>
      </c>
      <c r="S598" s="705" t="s">
        <v>337</v>
      </c>
      <c r="T598" s="2029" t="s">
        <v>2279</v>
      </c>
      <c r="X598" s="384"/>
      <c r="Y598" s="384"/>
      <c r="Z598" s="384"/>
      <c r="AA598" s="384"/>
      <c r="AB598" s="384"/>
      <c r="AC598" s="384"/>
      <c r="AD598" s="384"/>
      <c r="AE598" s="384"/>
      <c r="AF598" s="384"/>
      <c r="AG598" s="384"/>
      <c r="AH598" s="384"/>
      <c r="AI598" s="384"/>
      <c r="AJ598" s="384"/>
      <c r="AK598" s="384"/>
      <c r="AL598" s="384"/>
      <c r="AM598" s="384"/>
      <c r="AN598" s="384"/>
      <c r="AO598" s="384"/>
      <c r="AP598" s="384"/>
      <c r="AQ598" s="384"/>
      <c r="AR598" s="384"/>
    </row>
    <row r="599" spans="2:44" s="637" customFormat="1" ht="12" customHeight="1">
      <c r="B599" s="636"/>
      <c r="J599" s="729" t="s">
        <v>1537</v>
      </c>
      <c r="K599" s="730"/>
      <c r="L599" s="727"/>
      <c r="M599" s="728"/>
      <c r="N599" s="1180" t="s">
        <v>1937</v>
      </c>
      <c r="O599" s="1180" t="s">
        <v>1159</v>
      </c>
      <c r="P599" s="728"/>
      <c r="R599" s="705" t="s">
        <v>2745</v>
      </c>
      <c r="S599" s="705" t="s">
        <v>2651</v>
      </c>
      <c r="T599" s="2029" t="s">
        <v>2279</v>
      </c>
      <c r="X599" s="384"/>
      <c r="Y599" s="384"/>
      <c r="Z599" s="384"/>
      <c r="AA599" s="384"/>
      <c r="AB599" s="384"/>
      <c r="AC599" s="384"/>
      <c r="AD599" s="384"/>
      <c r="AE599" s="384"/>
      <c r="AF599" s="384"/>
      <c r="AG599" s="384"/>
      <c r="AH599" s="384"/>
      <c r="AI599" s="384"/>
      <c r="AJ599" s="384"/>
      <c r="AK599" s="384"/>
      <c r="AL599" s="384"/>
      <c r="AM599" s="384"/>
      <c r="AN599" s="384"/>
      <c r="AO599" s="384"/>
      <c r="AP599" s="384"/>
      <c r="AQ599" s="384"/>
      <c r="AR599" s="384"/>
    </row>
    <row r="600" spans="2:44" s="637" customFormat="1" ht="12" customHeight="1">
      <c r="B600" s="636"/>
      <c r="J600" s="729" t="s">
        <v>1663</v>
      </c>
      <c r="K600" s="730"/>
      <c r="L600" s="727"/>
      <c r="M600" s="728"/>
      <c r="N600" s="1180" t="s">
        <v>2773</v>
      </c>
      <c r="O600" s="1180" t="s">
        <v>1406</v>
      </c>
      <c r="P600" s="728"/>
      <c r="R600" s="705" t="s">
        <v>2746</v>
      </c>
      <c r="S600" s="705"/>
      <c r="T600" s="2029" t="s">
        <v>2279</v>
      </c>
      <c r="X600" s="384"/>
      <c r="Y600" s="384"/>
      <c r="Z600" s="384"/>
      <c r="AA600" s="384"/>
      <c r="AB600" s="384"/>
      <c r="AC600" s="384"/>
      <c r="AD600" s="384"/>
      <c r="AE600" s="384"/>
      <c r="AF600" s="384"/>
      <c r="AG600" s="384"/>
      <c r="AH600" s="384"/>
      <c r="AI600" s="384"/>
      <c r="AJ600" s="384"/>
      <c r="AK600" s="384"/>
      <c r="AL600" s="384"/>
      <c r="AM600" s="384"/>
      <c r="AN600" s="384"/>
      <c r="AO600" s="384"/>
      <c r="AP600" s="384"/>
      <c r="AQ600" s="384"/>
      <c r="AR600" s="384"/>
    </row>
    <row r="601" spans="2:44" s="637" customFormat="1" ht="12" customHeight="1">
      <c r="B601" s="636"/>
      <c r="J601" s="729" t="s">
        <v>1665</v>
      </c>
      <c r="K601" s="730"/>
      <c r="L601" s="727"/>
      <c r="M601" s="728"/>
      <c r="N601" s="1180" t="s">
        <v>1756</v>
      </c>
      <c r="O601" s="1180" t="s">
        <v>2308</v>
      </c>
      <c r="P601" s="728"/>
      <c r="R601" s="705" t="s">
        <v>2747</v>
      </c>
      <c r="S601" s="705" t="s">
        <v>2143</v>
      </c>
      <c r="T601" s="2029" t="s">
        <v>2279</v>
      </c>
      <c r="X601" s="384"/>
      <c r="Y601" s="384"/>
      <c r="Z601" s="384"/>
      <c r="AA601" s="384"/>
      <c r="AB601" s="384"/>
      <c r="AC601" s="384"/>
      <c r="AD601" s="384"/>
      <c r="AE601" s="384"/>
      <c r="AF601" s="384"/>
      <c r="AG601" s="384"/>
      <c r="AH601" s="384"/>
      <c r="AI601" s="384"/>
      <c r="AJ601" s="384"/>
      <c r="AK601" s="384"/>
      <c r="AL601" s="384"/>
      <c r="AM601" s="384"/>
      <c r="AN601" s="384"/>
      <c r="AO601" s="384"/>
      <c r="AP601" s="384"/>
      <c r="AQ601" s="384"/>
      <c r="AR601" s="384"/>
    </row>
    <row r="602" spans="2:44" s="637" customFormat="1" ht="12" customHeight="1">
      <c r="B602" s="636"/>
      <c r="J602" s="729" t="s">
        <v>2189</v>
      </c>
      <c r="K602" s="730"/>
      <c r="L602" s="727"/>
      <c r="M602" s="728"/>
      <c r="N602" s="1180" t="s">
        <v>885</v>
      </c>
      <c r="O602" s="1180" t="s">
        <v>2315</v>
      </c>
      <c r="P602" s="728"/>
      <c r="R602" s="705" t="s">
        <v>2748</v>
      </c>
      <c r="S602" s="705" t="s">
        <v>2651</v>
      </c>
      <c r="T602" s="2029" t="s">
        <v>2279</v>
      </c>
      <c r="X602" s="384"/>
      <c r="Y602" s="384"/>
      <c r="Z602" s="384"/>
      <c r="AA602" s="384"/>
      <c r="AB602" s="384"/>
      <c r="AC602" s="384"/>
      <c r="AD602" s="384"/>
      <c r="AE602" s="384"/>
      <c r="AF602" s="384"/>
      <c r="AG602" s="384"/>
      <c r="AH602" s="384"/>
      <c r="AI602" s="384"/>
      <c r="AJ602" s="384"/>
      <c r="AK602" s="384"/>
      <c r="AL602" s="384"/>
      <c r="AM602" s="384"/>
      <c r="AN602" s="384"/>
      <c r="AO602" s="384"/>
      <c r="AP602" s="384"/>
      <c r="AQ602" s="384"/>
      <c r="AR602" s="384"/>
    </row>
    <row r="603" spans="2:44" s="637" customFormat="1" ht="12" customHeight="1">
      <c r="B603" s="636"/>
      <c r="J603" s="729" t="s">
        <v>2002</v>
      </c>
      <c r="K603" s="730"/>
      <c r="L603" s="727"/>
      <c r="M603" s="728"/>
      <c r="N603" s="1180" t="s">
        <v>2420</v>
      </c>
      <c r="O603" s="1180" t="s">
        <v>1781</v>
      </c>
      <c r="P603" s="728"/>
      <c r="R603" s="705" t="s">
        <v>2749</v>
      </c>
      <c r="S603" s="705" t="s">
        <v>1413</v>
      </c>
      <c r="T603" s="2029" t="s">
        <v>2279</v>
      </c>
      <c r="X603" s="384"/>
      <c r="Y603" s="384"/>
      <c r="Z603" s="384"/>
      <c r="AA603" s="384"/>
      <c r="AB603" s="384"/>
      <c r="AC603" s="384"/>
      <c r="AD603" s="384"/>
      <c r="AE603" s="384"/>
      <c r="AF603" s="384"/>
      <c r="AG603" s="384"/>
      <c r="AH603" s="384"/>
      <c r="AI603" s="384"/>
      <c r="AJ603" s="384"/>
      <c r="AK603" s="384"/>
      <c r="AL603" s="384"/>
      <c r="AM603" s="384"/>
      <c r="AN603" s="384"/>
      <c r="AO603" s="384"/>
      <c r="AP603" s="384"/>
      <c r="AQ603" s="384"/>
      <c r="AR603" s="384"/>
    </row>
    <row r="604" spans="2:44" s="637" customFormat="1" ht="12" customHeight="1">
      <c r="B604" s="636"/>
      <c r="J604" s="729" t="s">
        <v>292</v>
      </c>
      <c r="K604" s="730"/>
      <c r="L604" s="727"/>
      <c r="M604" s="728"/>
      <c r="N604" s="1180" t="s">
        <v>2422</v>
      </c>
      <c r="O604" s="1180" t="s">
        <v>2312</v>
      </c>
      <c r="P604" s="728"/>
      <c r="R604" s="705" t="s">
        <v>2750</v>
      </c>
      <c r="S604" s="705" t="s">
        <v>2145</v>
      </c>
      <c r="T604" s="2029" t="s">
        <v>2279</v>
      </c>
      <c r="X604" s="384"/>
      <c r="Y604" s="384"/>
      <c r="Z604" s="384"/>
      <c r="AA604" s="384"/>
      <c r="AB604" s="384"/>
      <c r="AC604" s="384"/>
      <c r="AD604" s="384"/>
      <c r="AE604" s="384"/>
      <c r="AF604" s="384"/>
      <c r="AG604" s="384"/>
      <c r="AH604" s="384"/>
      <c r="AI604" s="384"/>
      <c r="AJ604" s="384"/>
      <c r="AK604" s="384"/>
      <c r="AL604" s="384"/>
      <c r="AM604" s="384"/>
      <c r="AN604" s="384"/>
      <c r="AO604" s="384"/>
      <c r="AP604" s="384"/>
      <c r="AQ604" s="384"/>
      <c r="AR604" s="384"/>
    </row>
    <row r="605" spans="2:44" s="637" customFormat="1" ht="12" customHeight="1">
      <c r="B605" s="636"/>
      <c r="J605" s="729" t="s">
        <v>1803</v>
      </c>
      <c r="K605" s="730"/>
      <c r="L605" s="727"/>
      <c r="M605" s="728"/>
      <c r="N605" s="1180" t="s">
        <v>593</v>
      </c>
      <c r="O605" s="1180" t="s">
        <v>2771</v>
      </c>
      <c r="P605" s="728"/>
      <c r="R605" s="705" t="s">
        <v>2751</v>
      </c>
      <c r="S605" s="705" t="s">
        <v>712</v>
      </c>
      <c r="T605" s="2029" t="s">
        <v>2279</v>
      </c>
      <c r="X605" s="384"/>
      <c r="Y605" s="384"/>
      <c r="Z605" s="384"/>
      <c r="AA605" s="384"/>
      <c r="AB605" s="384"/>
      <c r="AC605" s="384"/>
      <c r="AD605" s="384"/>
      <c r="AE605" s="384"/>
      <c r="AF605" s="384"/>
      <c r="AG605" s="384"/>
      <c r="AH605" s="384"/>
      <c r="AI605" s="384"/>
      <c r="AJ605" s="384"/>
      <c r="AK605" s="384"/>
      <c r="AL605" s="384"/>
      <c r="AM605" s="384"/>
      <c r="AN605" s="384"/>
      <c r="AO605" s="384"/>
      <c r="AP605" s="384"/>
      <c r="AQ605" s="384"/>
      <c r="AR605" s="384"/>
    </row>
    <row r="606" spans="2:44" s="637" customFormat="1" ht="12" customHeight="1">
      <c r="B606" s="636"/>
      <c r="J606" s="729" t="s">
        <v>275</v>
      </c>
      <c r="K606" s="730"/>
      <c r="L606" s="727"/>
      <c r="M606" s="728"/>
      <c r="N606" s="1180" t="s">
        <v>595</v>
      </c>
      <c r="O606" s="1180" t="s">
        <v>1283</v>
      </c>
      <c r="P606" s="728"/>
      <c r="R606" s="705" t="s">
        <v>2752</v>
      </c>
      <c r="S606" s="705" t="s">
        <v>669</v>
      </c>
      <c r="T606" s="2029" t="s">
        <v>2279</v>
      </c>
      <c r="X606" s="384"/>
      <c r="Y606" s="384"/>
      <c r="Z606" s="384"/>
      <c r="AA606" s="384"/>
      <c r="AB606" s="384"/>
      <c r="AC606" s="384"/>
      <c r="AD606" s="384"/>
      <c r="AE606" s="384"/>
      <c r="AF606" s="384"/>
      <c r="AG606" s="384"/>
      <c r="AH606" s="384"/>
      <c r="AI606" s="384"/>
      <c r="AJ606" s="384"/>
      <c r="AK606" s="384"/>
      <c r="AL606" s="384"/>
      <c r="AM606" s="384"/>
      <c r="AN606" s="384"/>
      <c r="AO606" s="384"/>
      <c r="AP606" s="384"/>
      <c r="AQ606" s="384"/>
      <c r="AR606" s="384"/>
    </row>
    <row r="607" spans="2:44" s="637" customFormat="1" ht="12" customHeight="1">
      <c r="B607" s="636"/>
      <c r="J607" s="729" t="s">
        <v>289</v>
      </c>
      <c r="K607" s="730"/>
      <c r="L607" s="727"/>
      <c r="M607" s="728"/>
      <c r="N607" s="1180" t="s">
        <v>1128</v>
      </c>
      <c r="O607" s="1180" t="s">
        <v>669</v>
      </c>
      <c r="P607" s="728"/>
      <c r="R607" s="705" t="s">
        <v>2753</v>
      </c>
      <c r="S607" s="705" t="s">
        <v>2312</v>
      </c>
      <c r="T607" s="2029" t="s">
        <v>2279</v>
      </c>
      <c r="X607" s="384"/>
      <c r="Y607" s="384"/>
      <c r="Z607" s="384"/>
      <c r="AA607" s="384"/>
      <c r="AB607" s="384"/>
      <c r="AC607" s="384"/>
      <c r="AD607" s="384"/>
      <c r="AE607" s="384"/>
      <c r="AF607" s="384"/>
      <c r="AG607" s="384"/>
      <c r="AH607" s="384"/>
      <c r="AI607" s="384"/>
      <c r="AJ607" s="384"/>
      <c r="AK607" s="384"/>
      <c r="AL607" s="384"/>
      <c r="AM607" s="384"/>
      <c r="AN607" s="384"/>
      <c r="AO607" s="384"/>
      <c r="AP607" s="384"/>
      <c r="AQ607" s="384"/>
      <c r="AR607" s="384"/>
    </row>
    <row r="608" spans="2:44" s="637" customFormat="1" ht="12" customHeight="1">
      <c r="B608" s="636"/>
      <c r="J608" s="729" t="s">
        <v>1255</v>
      </c>
      <c r="K608" s="730"/>
      <c r="L608" s="727"/>
      <c r="M608" s="728"/>
      <c r="N608" s="1180" t="s">
        <v>597</v>
      </c>
      <c r="O608" s="1180" t="s">
        <v>1778</v>
      </c>
      <c r="P608" s="728"/>
      <c r="R608" s="705" t="s">
        <v>2754</v>
      </c>
      <c r="S608" s="705" t="s">
        <v>2704</v>
      </c>
      <c r="T608" s="2029" t="s">
        <v>2279</v>
      </c>
      <c r="X608" s="384"/>
      <c r="Y608" s="384"/>
      <c r="Z608" s="384"/>
      <c r="AA608" s="384"/>
      <c r="AB608" s="384"/>
      <c r="AC608" s="384"/>
      <c r="AD608" s="384"/>
      <c r="AE608" s="384"/>
      <c r="AF608" s="384"/>
      <c r="AG608" s="384"/>
      <c r="AH608" s="384"/>
      <c r="AI608" s="384"/>
      <c r="AJ608" s="384"/>
      <c r="AK608" s="384"/>
      <c r="AL608" s="384"/>
      <c r="AM608" s="384"/>
      <c r="AN608" s="384"/>
      <c r="AO608" s="384"/>
      <c r="AP608" s="384"/>
      <c r="AQ608" s="384"/>
      <c r="AR608" s="384"/>
    </row>
    <row r="609" spans="2:44" s="637" customFormat="1" ht="12" customHeight="1">
      <c r="B609" s="636"/>
      <c r="J609" s="729" t="s">
        <v>793</v>
      </c>
      <c r="K609" s="730"/>
      <c r="L609" s="727"/>
      <c r="M609" s="728"/>
      <c r="N609" s="1180" t="s">
        <v>1249</v>
      </c>
      <c r="O609" s="1180" t="s">
        <v>1159</v>
      </c>
      <c r="P609" s="728"/>
      <c r="R609" s="705" t="s">
        <v>2392</v>
      </c>
      <c r="S609" s="705" t="s">
        <v>2701</v>
      </c>
      <c r="T609" s="2029" t="s">
        <v>2279</v>
      </c>
      <c r="X609" s="384"/>
      <c r="Y609" s="384"/>
      <c r="Z609" s="384"/>
      <c r="AA609" s="384"/>
      <c r="AB609" s="384"/>
      <c r="AC609" s="384"/>
      <c r="AD609" s="384"/>
      <c r="AE609" s="384"/>
      <c r="AF609" s="384"/>
      <c r="AG609" s="384"/>
      <c r="AH609" s="384"/>
      <c r="AI609" s="384"/>
      <c r="AJ609" s="384"/>
      <c r="AK609" s="384"/>
      <c r="AL609" s="384"/>
      <c r="AM609" s="384"/>
      <c r="AN609" s="384"/>
      <c r="AO609" s="384"/>
      <c r="AP609" s="384"/>
      <c r="AQ609" s="384"/>
      <c r="AR609" s="384"/>
    </row>
    <row r="610" spans="2:44" s="637" customFormat="1" ht="12" customHeight="1">
      <c r="B610" s="636"/>
      <c r="J610" s="729" t="s">
        <v>795</v>
      </c>
      <c r="K610" s="730"/>
      <c r="L610" s="727"/>
      <c r="M610" s="728"/>
      <c r="N610" s="1180" t="s">
        <v>1544</v>
      </c>
      <c r="O610" s="1180" t="s">
        <v>1779</v>
      </c>
      <c r="P610" s="728"/>
      <c r="R610" s="705" t="s">
        <v>2755</v>
      </c>
      <c r="S610" s="705" t="s">
        <v>2312</v>
      </c>
      <c r="T610" s="2029" t="s">
        <v>2279</v>
      </c>
      <c r="X610" s="384"/>
      <c r="Y610" s="384"/>
      <c r="Z610" s="384"/>
      <c r="AA610" s="384"/>
      <c r="AB610" s="384"/>
      <c r="AC610" s="384"/>
      <c r="AD610" s="384"/>
      <c r="AE610" s="384"/>
      <c r="AF610" s="384"/>
      <c r="AG610" s="384"/>
      <c r="AH610" s="384"/>
      <c r="AI610" s="384"/>
      <c r="AJ610" s="384"/>
      <c r="AK610" s="384"/>
      <c r="AL610" s="384"/>
      <c r="AM610" s="384"/>
      <c r="AN610" s="384"/>
      <c r="AO610" s="384"/>
      <c r="AP610" s="384"/>
      <c r="AQ610" s="384"/>
      <c r="AR610" s="384"/>
    </row>
    <row r="611" spans="2:44" s="637" customFormat="1" ht="12" customHeight="1">
      <c r="B611" s="636"/>
      <c r="J611" s="729" t="s">
        <v>1089</v>
      </c>
      <c r="K611" s="730"/>
      <c r="L611" s="727"/>
      <c r="M611" s="728"/>
      <c r="N611" s="1180" t="s">
        <v>3505</v>
      </c>
      <c r="O611" s="1180" t="s">
        <v>1405</v>
      </c>
      <c r="P611" s="728"/>
      <c r="R611" s="705" t="s">
        <v>2756</v>
      </c>
      <c r="S611" s="705" t="s">
        <v>2654</v>
      </c>
      <c r="T611" s="2029" t="s">
        <v>2279</v>
      </c>
      <c r="X611" s="384"/>
      <c r="Y611" s="384"/>
      <c r="Z611" s="384"/>
      <c r="AA611" s="384"/>
      <c r="AB611" s="384"/>
      <c r="AC611" s="384"/>
      <c r="AD611" s="384"/>
      <c r="AE611" s="384"/>
      <c r="AF611" s="384"/>
      <c r="AG611" s="384"/>
      <c r="AH611" s="384"/>
      <c r="AI611" s="384"/>
      <c r="AJ611" s="384"/>
      <c r="AK611" s="384"/>
      <c r="AL611" s="384"/>
      <c r="AM611" s="384"/>
      <c r="AN611" s="384"/>
      <c r="AO611" s="384"/>
      <c r="AP611" s="384"/>
      <c r="AQ611" s="384"/>
      <c r="AR611" s="384"/>
    </row>
    <row r="612" spans="2:44" s="637" customFormat="1" ht="12" customHeight="1">
      <c r="B612" s="636"/>
      <c r="J612" s="729" t="s">
        <v>1091</v>
      </c>
      <c r="K612" s="730"/>
      <c r="L612" s="727"/>
      <c r="M612" s="728"/>
      <c r="N612" s="1180" t="s">
        <v>1547</v>
      </c>
      <c r="O612" s="1180" t="s">
        <v>703</v>
      </c>
      <c r="P612" s="2030"/>
      <c r="R612" s="705" t="s">
        <v>2757</v>
      </c>
      <c r="S612" s="705" t="s">
        <v>2143</v>
      </c>
      <c r="T612" s="2029" t="s">
        <v>2279</v>
      </c>
      <c r="X612" s="384"/>
      <c r="Y612" s="384"/>
      <c r="Z612" s="384"/>
      <c r="AA612" s="384"/>
      <c r="AB612" s="384"/>
      <c r="AC612" s="384"/>
      <c r="AD612" s="384"/>
      <c r="AE612" s="384"/>
      <c r="AF612" s="384"/>
      <c r="AG612" s="384"/>
      <c r="AH612" s="384"/>
      <c r="AI612" s="384"/>
      <c r="AJ612" s="384"/>
      <c r="AK612" s="384"/>
      <c r="AL612" s="384"/>
      <c r="AM612" s="384"/>
      <c r="AN612" s="384"/>
      <c r="AO612" s="384"/>
      <c r="AP612" s="384"/>
      <c r="AQ612" s="384"/>
      <c r="AR612" s="384"/>
    </row>
    <row r="613" spans="2:44" s="637" customFormat="1" ht="12" customHeight="1">
      <c r="B613" s="636"/>
      <c r="J613" s="729" t="s">
        <v>1941</v>
      </c>
      <c r="K613" s="730"/>
      <c r="L613" s="727"/>
      <c r="M613" s="728"/>
      <c r="N613" s="705" t="s">
        <v>3506</v>
      </c>
      <c r="O613" s="705" t="s">
        <v>124</v>
      </c>
      <c r="P613" s="728"/>
      <c r="R613" s="705" t="s">
        <v>1110</v>
      </c>
      <c r="S613" s="705" t="s">
        <v>1552</v>
      </c>
      <c r="T613" s="2029" t="s">
        <v>2279</v>
      </c>
      <c r="X613" s="384"/>
      <c r="Y613" s="384"/>
      <c r="Z613" s="384"/>
      <c r="AA613" s="384"/>
      <c r="AB613" s="384"/>
      <c r="AC613" s="384"/>
      <c r="AD613" s="384"/>
      <c r="AE613" s="384"/>
      <c r="AF613" s="384"/>
      <c r="AG613" s="384"/>
      <c r="AH613" s="384"/>
      <c r="AI613" s="384"/>
      <c r="AJ613" s="384"/>
      <c r="AK613" s="384"/>
      <c r="AL613" s="384"/>
      <c r="AM613" s="384"/>
      <c r="AN613" s="384"/>
      <c r="AO613" s="384"/>
      <c r="AP613" s="384"/>
      <c r="AQ613" s="384"/>
      <c r="AR613" s="384"/>
    </row>
    <row r="614" spans="2:44" s="637" customFormat="1" ht="12" customHeight="1">
      <c r="B614" s="636"/>
      <c r="J614" s="729" t="s">
        <v>1943</v>
      </c>
      <c r="K614" s="730"/>
      <c r="L614" s="727"/>
      <c r="M614" s="728"/>
      <c r="N614" s="1180" t="s">
        <v>1690</v>
      </c>
      <c r="O614" s="1180" t="s">
        <v>1901</v>
      </c>
      <c r="P614" s="2029"/>
      <c r="R614" s="705" t="s">
        <v>960</v>
      </c>
      <c r="S614" s="705" t="s">
        <v>1168</v>
      </c>
      <c r="T614" s="2029" t="s">
        <v>2279</v>
      </c>
      <c r="X614" s="384"/>
      <c r="Y614" s="384"/>
      <c r="Z614" s="384"/>
      <c r="AA614" s="384"/>
      <c r="AB614" s="384"/>
      <c r="AC614" s="384"/>
      <c r="AD614" s="384"/>
      <c r="AE614" s="384"/>
      <c r="AF614" s="384"/>
      <c r="AG614" s="384"/>
      <c r="AH614" s="384"/>
      <c r="AI614" s="384"/>
      <c r="AJ614" s="384"/>
      <c r="AK614" s="384"/>
      <c r="AL614" s="384"/>
      <c r="AM614" s="384"/>
      <c r="AN614" s="384"/>
      <c r="AO614" s="384"/>
      <c r="AP614" s="384"/>
      <c r="AQ614" s="384"/>
      <c r="AR614" s="384"/>
    </row>
    <row r="615" spans="2:44" s="637" customFormat="1" ht="12" customHeight="1">
      <c r="B615" s="636"/>
      <c r="J615" s="729" t="s">
        <v>1944</v>
      </c>
      <c r="K615" s="730"/>
      <c r="L615" s="727"/>
      <c r="M615" s="728"/>
      <c r="N615" s="1180" t="s">
        <v>2258</v>
      </c>
      <c r="O615" s="1180" t="s">
        <v>1744</v>
      </c>
      <c r="P615" s="728"/>
      <c r="R615" s="705" t="s">
        <v>1111</v>
      </c>
      <c r="S615" s="705" t="s">
        <v>669</v>
      </c>
      <c r="T615" s="2029" t="s">
        <v>2279</v>
      </c>
      <c r="X615" s="384"/>
      <c r="Y615" s="384"/>
      <c r="Z615" s="384"/>
      <c r="AA615" s="384"/>
      <c r="AB615" s="384"/>
      <c r="AC615" s="384"/>
      <c r="AD615" s="384"/>
      <c r="AE615" s="384"/>
      <c r="AF615" s="384"/>
      <c r="AG615" s="384"/>
      <c r="AH615" s="384"/>
      <c r="AI615" s="384"/>
      <c r="AJ615" s="384"/>
      <c r="AK615" s="384"/>
      <c r="AL615" s="384"/>
      <c r="AM615" s="384"/>
      <c r="AN615" s="384"/>
      <c r="AO615" s="384"/>
      <c r="AP615" s="384"/>
      <c r="AQ615" s="384"/>
      <c r="AR615" s="384"/>
    </row>
    <row r="616" spans="2:44" s="637" customFormat="1" ht="12" customHeight="1">
      <c r="B616" s="636"/>
      <c r="J616" s="729" t="s">
        <v>1203</v>
      </c>
      <c r="K616" s="730"/>
      <c r="L616" s="727"/>
      <c r="M616" s="728"/>
      <c r="N616" s="705" t="s">
        <v>2260</v>
      </c>
      <c r="O616" s="705" t="s">
        <v>1411</v>
      </c>
      <c r="P616" s="728"/>
      <c r="R616" s="705" t="s">
        <v>1112</v>
      </c>
      <c r="S616" s="705" t="s">
        <v>2045</v>
      </c>
      <c r="T616" s="2029" t="s">
        <v>2279</v>
      </c>
      <c r="X616" s="384"/>
      <c r="Y616" s="384"/>
      <c r="Z616" s="384"/>
      <c r="AA616" s="384"/>
      <c r="AB616" s="384"/>
      <c r="AC616" s="384"/>
      <c r="AD616" s="384"/>
      <c r="AE616" s="384"/>
      <c r="AF616" s="384"/>
      <c r="AG616" s="384"/>
      <c r="AH616" s="384"/>
      <c r="AI616" s="384"/>
      <c r="AJ616" s="384"/>
      <c r="AK616" s="384"/>
      <c r="AL616" s="384"/>
      <c r="AM616" s="384"/>
      <c r="AN616" s="384"/>
      <c r="AO616" s="384"/>
      <c r="AP616" s="384"/>
      <c r="AQ616" s="384"/>
      <c r="AR616" s="384"/>
    </row>
    <row r="617" spans="2:44" s="637" customFormat="1" ht="12" customHeight="1">
      <c r="B617" s="636"/>
      <c r="J617" s="729" t="s">
        <v>420</v>
      </c>
      <c r="K617" s="730"/>
      <c r="L617" s="727"/>
      <c r="M617" s="728"/>
      <c r="N617" s="1180" t="s">
        <v>1534</v>
      </c>
      <c r="O617" s="1180" t="s">
        <v>341</v>
      </c>
      <c r="P617" s="2029"/>
      <c r="R617" s="705" t="s">
        <v>1113</v>
      </c>
      <c r="S617" s="705" t="s">
        <v>2141</v>
      </c>
      <c r="T617" s="2029" t="s">
        <v>2279</v>
      </c>
      <c r="X617" s="384"/>
      <c r="Y617" s="384"/>
      <c r="Z617" s="384"/>
      <c r="AA617" s="384"/>
      <c r="AB617" s="384"/>
      <c r="AC617" s="384"/>
      <c r="AD617" s="384"/>
      <c r="AE617" s="384"/>
      <c r="AF617" s="384"/>
      <c r="AG617" s="384"/>
      <c r="AH617" s="384"/>
      <c r="AI617" s="384"/>
      <c r="AJ617" s="384"/>
      <c r="AK617" s="384"/>
      <c r="AL617" s="384"/>
      <c r="AM617" s="384"/>
      <c r="AN617" s="384"/>
      <c r="AO617" s="384"/>
      <c r="AP617" s="384"/>
      <c r="AQ617" s="384"/>
      <c r="AR617" s="384"/>
    </row>
    <row r="618" spans="2:44" s="637" customFormat="1" ht="12" customHeight="1">
      <c r="B618" s="636"/>
      <c r="J618" s="729" t="s">
        <v>4</v>
      </c>
      <c r="K618" s="730"/>
      <c r="L618" s="727"/>
      <c r="M618" s="728"/>
      <c r="N618" s="1180" t="s">
        <v>3507</v>
      </c>
      <c r="O618" s="1180" t="s">
        <v>348</v>
      </c>
      <c r="P618" s="728"/>
      <c r="R618" s="705" t="s">
        <v>1114</v>
      </c>
      <c r="S618" s="705" t="s">
        <v>1161</v>
      </c>
      <c r="T618" s="2029" t="s">
        <v>2279</v>
      </c>
      <c r="X618" s="384"/>
      <c r="Y618" s="384"/>
      <c r="Z618" s="384"/>
      <c r="AA618" s="384"/>
      <c r="AB618" s="384"/>
      <c r="AC618" s="384"/>
      <c r="AD618" s="384"/>
      <c r="AE618" s="384"/>
      <c r="AF618" s="384"/>
      <c r="AG618" s="384"/>
      <c r="AH618" s="384"/>
      <c r="AI618" s="384"/>
      <c r="AJ618" s="384"/>
      <c r="AK618" s="384"/>
      <c r="AL618" s="384"/>
      <c r="AM618" s="384"/>
      <c r="AN618" s="384"/>
      <c r="AO618" s="384"/>
      <c r="AP618" s="384"/>
      <c r="AQ618" s="384"/>
      <c r="AR618" s="384"/>
    </row>
    <row r="619" spans="2:44" s="637" customFormat="1" ht="12" customHeight="1">
      <c r="B619" s="636"/>
      <c r="J619" s="729" t="s">
        <v>6</v>
      </c>
      <c r="K619" s="730"/>
      <c r="L619" s="727"/>
      <c r="M619" s="728"/>
      <c r="N619" s="1180" t="s">
        <v>1536</v>
      </c>
      <c r="O619" s="1180" t="s">
        <v>338</v>
      </c>
      <c r="P619" s="728"/>
      <c r="Q619" s="2031"/>
      <c r="R619" s="705" t="s">
        <v>1115</v>
      </c>
      <c r="S619" s="705" t="s">
        <v>1626</v>
      </c>
      <c r="T619" s="2029" t="s">
        <v>2279</v>
      </c>
      <c r="X619" s="384"/>
      <c r="Y619" s="384"/>
      <c r="Z619" s="384"/>
      <c r="AA619" s="384"/>
      <c r="AB619" s="384"/>
      <c r="AC619" s="384"/>
      <c r="AD619" s="384"/>
      <c r="AE619" s="384"/>
      <c r="AF619" s="384"/>
      <c r="AG619" s="384"/>
      <c r="AH619" s="384"/>
      <c r="AI619" s="384"/>
      <c r="AJ619" s="384"/>
      <c r="AK619" s="384"/>
      <c r="AL619" s="384"/>
      <c r="AM619" s="384"/>
      <c r="AN619" s="384"/>
      <c r="AO619" s="384"/>
      <c r="AP619" s="384"/>
      <c r="AQ619" s="384"/>
      <c r="AR619" s="384"/>
    </row>
    <row r="620" spans="2:44" s="637" customFormat="1" ht="12" customHeight="1">
      <c r="B620" s="636"/>
      <c r="J620" s="729" t="s">
        <v>8</v>
      </c>
      <c r="K620" s="730"/>
      <c r="L620" s="727"/>
      <c r="M620" s="728"/>
      <c r="N620" s="705" t="s">
        <v>1129</v>
      </c>
      <c r="O620" s="705" t="s">
        <v>1781</v>
      </c>
      <c r="P620" s="728"/>
      <c r="R620" s="705" t="s">
        <v>1116</v>
      </c>
      <c r="S620" s="705" t="s">
        <v>2651</v>
      </c>
      <c r="T620" s="2029" t="s">
        <v>2279</v>
      </c>
      <c r="X620" s="384"/>
      <c r="Y620" s="384"/>
      <c r="Z620" s="384"/>
      <c r="AA620" s="384"/>
      <c r="AB620" s="384"/>
      <c r="AC620" s="384"/>
      <c r="AD620" s="384"/>
      <c r="AE620" s="384"/>
      <c r="AF620" s="384"/>
      <c r="AG620" s="384"/>
      <c r="AH620" s="384"/>
      <c r="AI620" s="384"/>
      <c r="AJ620" s="384"/>
      <c r="AK620" s="384"/>
      <c r="AL620" s="384"/>
      <c r="AM620" s="384"/>
      <c r="AN620" s="384"/>
      <c r="AO620" s="384"/>
      <c r="AP620" s="384"/>
      <c r="AQ620" s="384"/>
      <c r="AR620" s="384"/>
    </row>
    <row r="621" spans="2:44" s="637" customFormat="1" ht="12" customHeight="1">
      <c r="B621" s="636"/>
      <c r="J621" s="729" t="s">
        <v>10</v>
      </c>
      <c r="K621" s="730"/>
      <c r="L621" s="727"/>
      <c r="M621" s="728"/>
      <c r="N621" s="705" t="s">
        <v>1538</v>
      </c>
      <c r="O621" s="705" t="s">
        <v>669</v>
      </c>
      <c r="P621" s="2029"/>
      <c r="R621" s="705" t="s">
        <v>1117</v>
      </c>
      <c r="S621" s="705" t="s">
        <v>166</v>
      </c>
      <c r="T621" s="2029" t="s">
        <v>2279</v>
      </c>
      <c r="X621" s="384"/>
      <c r="Y621" s="384"/>
      <c r="Z621" s="384"/>
      <c r="AA621" s="384"/>
      <c r="AB621" s="384"/>
      <c r="AC621" s="384"/>
      <c r="AD621" s="384"/>
      <c r="AE621" s="384"/>
      <c r="AF621" s="384"/>
      <c r="AG621" s="384"/>
      <c r="AH621" s="384"/>
      <c r="AI621" s="384"/>
      <c r="AJ621" s="384"/>
      <c r="AK621" s="384"/>
      <c r="AL621" s="384"/>
      <c r="AM621" s="384"/>
      <c r="AN621" s="384"/>
      <c r="AO621" s="384"/>
      <c r="AP621" s="384"/>
      <c r="AQ621" s="384"/>
      <c r="AR621" s="384"/>
    </row>
    <row r="622" spans="2:44" s="637" customFormat="1" ht="12" customHeight="1">
      <c r="B622" s="636"/>
      <c r="J622" s="729" t="s">
        <v>2281</v>
      </c>
      <c r="K622" s="730"/>
      <c r="L622" s="727"/>
      <c r="M622" s="728"/>
      <c r="N622" s="1180" t="s">
        <v>1664</v>
      </c>
      <c r="O622" s="1180" t="s">
        <v>333</v>
      </c>
      <c r="P622" s="2029"/>
      <c r="R622" s="705" t="s">
        <v>1118</v>
      </c>
      <c r="S622" s="705" t="s">
        <v>1420</v>
      </c>
      <c r="T622" s="2029" t="s">
        <v>2279</v>
      </c>
      <c r="X622" s="384"/>
      <c r="Y622" s="384"/>
      <c r="Z622" s="384"/>
      <c r="AA622" s="384"/>
      <c r="AB622" s="384"/>
      <c r="AC622" s="384"/>
      <c r="AD622" s="384"/>
      <c r="AE622" s="384"/>
      <c r="AF622" s="384"/>
      <c r="AG622" s="384"/>
      <c r="AH622" s="384"/>
      <c r="AI622" s="384"/>
      <c r="AJ622" s="384"/>
      <c r="AK622" s="384"/>
      <c r="AL622" s="384"/>
      <c r="AM622" s="384"/>
      <c r="AN622" s="384"/>
      <c r="AO622" s="384"/>
      <c r="AP622" s="384"/>
      <c r="AQ622" s="384"/>
      <c r="AR622" s="384"/>
    </row>
    <row r="623" spans="2:44" s="637" customFormat="1" ht="12" customHeight="1">
      <c r="B623" s="636"/>
      <c r="J623" s="729" t="s">
        <v>2283</v>
      </c>
      <c r="K623" s="730"/>
      <c r="L623" s="727"/>
      <c r="M623" s="728"/>
      <c r="N623" s="1180" t="s">
        <v>2190</v>
      </c>
      <c r="O623" s="1180" t="s">
        <v>1010</v>
      </c>
      <c r="P623" s="728"/>
      <c r="R623" s="705" t="s">
        <v>1119</v>
      </c>
      <c r="S623" s="705" t="s">
        <v>1626</v>
      </c>
      <c r="T623" s="2029" t="s">
        <v>2279</v>
      </c>
      <c r="X623" s="384"/>
      <c r="Y623" s="384"/>
      <c r="Z623" s="384"/>
      <c r="AA623" s="384"/>
      <c r="AB623" s="384"/>
      <c r="AC623" s="384"/>
      <c r="AD623" s="384"/>
      <c r="AE623" s="384"/>
      <c r="AF623" s="384"/>
      <c r="AG623" s="384"/>
      <c r="AH623" s="384"/>
      <c r="AI623" s="384"/>
      <c r="AJ623" s="384"/>
      <c r="AK623" s="384"/>
      <c r="AL623" s="384"/>
      <c r="AM623" s="384"/>
      <c r="AN623" s="384"/>
      <c r="AO623" s="384"/>
      <c r="AP623" s="384"/>
      <c r="AQ623" s="384"/>
      <c r="AR623" s="384"/>
    </row>
    <row r="624" spans="2:44" s="637" customFormat="1" ht="12" customHeight="1">
      <c r="B624" s="636"/>
      <c r="J624" s="729" t="s">
        <v>2285</v>
      </c>
      <c r="K624" s="730"/>
      <c r="L624" s="727"/>
      <c r="M624" s="728"/>
      <c r="N624" s="1180" t="s">
        <v>2003</v>
      </c>
      <c r="O624" s="1180" t="s">
        <v>2085</v>
      </c>
      <c r="P624" s="728"/>
      <c r="R624" s="705" t="s">
        <v>1120</v>
      </c>
      <c r="S624" s="705" t="s">
        <v>1175</v>
      </c>
      <c r="T624" s="2029" t="s">
        <v>2279</v>
      </c>
      <c r="X624" s="384"/>
      <c r="Y624" s="384"/>
      <c r="Z624" s="384"/>
      <c r="AA624" s="384"/>
      <c r="AB624" s="384"/>
      <c r="AC624" s="384"/>
      <c r="AD624" s="384"/>
      <c r="AE624" s="384"/>
      <c r="AF624" s="384"/>
      <c r="AG624" s="384"/>
      <c r="AH624" s="384"/>
      <c r="AI624" s="384"/>
      <c r="AJ624" s="384"/>
      <c r="AK624" s="384"/>
      <c r="AL624" s="384"/>
      <c r="AM624" s="384"/>
      <c r="AN624" s="384"/>
      <c r="AO624" s="384"/>
      <c r="AP624" s="384"/>
      <c r="AQ624" s="384"/>
      <c r="AR624" s="384"/>
    </row>
    <row r="625" spans="2:44" s="637" customFormat="1" ht="12" customHeight="1">
      <c r="B625" s="636"/>
      <c r="J625" s="729" t="s">
        <v>2287</v>
      </c>
      <c r="K625" s="730"/>
      <c r="L625" s="727"/>
      <c r="M625" s="728"/>
      <c r="N625" s="1180" t="s">
        <v>293</v>
      </c>
      <c r="O625" s="1180" t="s">
        <v>2085</v>
      </c>
      <c r="P625" s="728"/>
      <c r="R625" s="705" t="s">
        <v>1121</v>
      </c>
      <c r="S625" s="705" t="s">
        <v>2141</v>
      </c>
      <c r="T625" s="2029" t="s">
        <v>2279</v>
      </c>
      <c r="X625" s="384"/>
      <c r="Y625" s="384"/>
      <c r="Z625" s="384"/>
      <c r="AA625" s="384"/>
      <c r="AB625" s="384"/>
      <c r="AC625" s="384"/>
      <c r="AD625" s="384"/>
      <c r="AE625" s="384"/>
      <c r="AF625" s="384"/>
      <c r="AG625" s="384"/>
      <c r="AH625" s="384"/>
      <c r="AI625" s="384"/>
      <c r="AJ625" s="384"/>
      <c r="AK625" s="384"/>
      <c r="AL625" s="384"/>
      <c r="AM625" s="384"/>
      <c r="AN625" s="384"/>
      <c r="AO625" s="384"/>
      <c r="AP625" s="384"/>
      <c r="AQ625" s="384"/>
      <c r="AR625" s="384"/>
    </row>
    <row r="626" spans="2:44" s="637" customFormat="1" ht="12" customHeight="1">
      <c r="B626" s="636"/>
      <c r="J626" s="729" t="s">
        <v>2289</v>
      </c>
      <c r="K626" s="730"/>
      <c r="L626" s="727"/>
      <c r="M626" s="728"/>
      <c r="N626" s="1180" t="s">
        <v>1804</v>
      </c>
      <c r="O626" s="1180" t="s">
        <v>2317</v>
      </c>
      <c r="P626" s="728"/>
      <c r="R626" s="1180" t="s">
        <v>882</v>
      </c>
      <c r="S626" s="1180" t="s">
        <v>928</v>
      </c>
      <c r="T626" s="2029" t="s">
        <v>2279</v>
      </c>
      <c r="X626" s="384"/>
      <c r="Y626" s="384"/>
      <c r="Z626" s="384"/>
      <c r="AA626" s="384"/>
      <c r="AB626" s="384"/>
      <c r="AC626" s="384"/>
      <c r="AD626" s="384"/>
      <c r="AE626" s="384"/>
      <c r="AF626" s="384"/>
      <c r="AG626" s="384"/>
      <c r="AH626" s="384"/>
      <c r="AI626" s="384"/>
      <c r="AJ626" s="384"/>
      <c r="AK626" s="384"/>
      <c r="AL626" s="384"/>
      <c r="AM626" s="384"/>
      <c r="AN626" s="384"/>
      <c r="AO626" s="384"/>
      <c r="AP626" s="384"/>
      <c r="AQ626" s="384"/>
      <c r="AR626" s="384"/>
    </row>
    <row r="627" spans="2:44" s="637" customFormat="1" ht="12" customHeight="1">
      <c r="B627" s="636"/>
      <c r="J627" s="729" t="s">
        <v>91</v>
      </c>
      <c r="K627" s="730"/>
      <c r="L627" s="727"/>
      <c r="M627" s="728"/>
      <c r="N627" s="1180" t="s">
        <v>276</v>
      </c>
      <c r="O627" s="1180" t="s">
        <v>713</v>
      </c>
      <c r="P627" s="728"/>
      <c r="R627" s="705" t="s">
        <v>1122</v>
      </c>
      <c r="S627" s="705" t="s">
        <v>2654</v>
      </c>
      <c r="T627" s="2029" t="s">
        <v>2279</v>
      </c>
      <c r="X627" s="384"/>
      <c r="Y627" s="384"/>
      <c r="Z627" s="384"/>
      <c r="AA627" s="384"/>
      <c r="AB627" s="384"/>
      <c r="AC627" s="384"/>
      <c r="AD627" s="384"/>
      <c r="AE627" s="384"/>
      <c r="AF627" s="384"/>
      <c r="AG627" s="384"/>
      <c r="AH627" s="384"/>
      <c r="AI627" s="384"/>
      <c r="AJ627" s="384"/>
      <c r="AK627" s="384"/>
      <c r="AL627" s="384"/>
      <c r="AM627" s="384"/>
      <c r="AN627" s="384"/>
      <c r="AO627" s="384"/>
      <c r="AP627" s="384"/>
      <c r="AQ627" s="384"/>
      <c r="AR627" s="384"/>
    </row>
    <row r="628" spans="2:44" s="637" customFormat="1" ht="12" customHeight="1">
      <c r="B628" s="636"/>
      <c r="J628" s="729" t="s">
        <v>2153</v>
      </c>
      <c r="K628" s="730"/>
      <c r="L628" s="727"/>
      <c r="M628" s="728"/>
      <c r="N628" s="1180" t="s">
        <v>1254</v>
      </c>
      <c r="O628" s="1180" t="s">
        <v>166</v>
      </c>
      <c r="P628" s="728"/>
      <c r="R628" s="705" t="s">
        <v>1716</v>
      </c>
      <c r="S628" s="705" t="s">
        <v>2701</v>
      </c>
      <c r="T628" s="2029" t="s">
        <v>2279</v>
      </c>
      <c r="X628" s="384"/>
      <c r="Y628" s="384"/>
      <c r="Z628" s="384"/>
      <c r="AA628" s="384"/>
      <c r="AB628" s="384"/>
      <c r="AC628" s="384"/>
      <c r="AD628" s="384"/>
      <c r="AE628" s="384"/>
      <c r="AF628" s="384"/>
      <c r="AG628" s="384"/>
      <c r="AH628" s="384"/>
      <c r="AI628" s="384"/>
      <c r="AJ628" s="384"/>
      <c r="AK628" s="384"/>
      <c r="AL628" s="384"/>
      <c r="AM628" s="384"/>
      <c r="AN628" s="384"/>
      <c r="AO628" s="384"/>
      <c r="AP628" s="384"/>
      <c r="AQ628" s="384"/>
      <c r="AR628" s="384"/>
    </row>
    <row r="629" spans="2:44" s="637" customFormat="1" ht="12" customHeight="1">
      <c r="B629" s="636"/>
      <c r="J629" s="729" t="s">
        <v>1620</v>
      </c>
      <c r="K629" s="730"/>
      <c r="L629" s="727"/>
      <c r="M629" s="728"/>
      <c r="N629" s="1180" t="s">
        <v>1256</v>
      </c>
      <c r="O629" s="1180" t="s">
        <v>166</v>
      </c>
      <c r="P629" s="728"/>
      <c r="R629" s="705" t="s">
        <v>1123</v>
      </c>
      <c r="S629" s="705"/>
      <c r="T629" s="2029" t="s">
        <v>2279</v>
      </c>
      <c r="X629" s="384"/>
      <c r="Y629" s="384"/>
      <c r="Z629" s="384"/>
      <c r="AA629" s="384"/>
      <c r="AB629" s="384"/>
      <c r="AC629" s="384"/>
      <c r="AD629" s="384"/>
      <c r="AE629" s="384"/>
      <c r="AF629" s="384"/>
      <c r="AG629" s="384"/>
      <c r="AH629" s="384"/>
      <c r="AI629" s="384"/>
      <c r="AJ629" s="384"/>
      <c r="AK629" s="384"/>
      <c r="AL629" s="384"/>
      <c r="AM629" s="384"/>
      <c r="AN629" s="384"/>
      <c r="AO629" s="384"/>
      <c r="AP629" s="384"/>
      <c r="AQ629" s="384"/>
      <c r="AR629" s="384"/>
    </row>
    <row r="630" spans="2:44" s="637" customFormat="1" ht="12" customHeight="1">
      <c r="B630" s="636"/>
      <c r="J630" s="729" t="s">
        <v>1622</v>
      </c>
      <c r="K630" s="730"/>
      <c r="L630" s="727"/>
      <c r="M630" s="728"/>
      <c r="N630" s="1180" t="s">
        <v>794</v>
      </c>
      <c r="O630" s="1180" t="s">
        <v>1413</v>
      </c>
      <c r="P630" s="728"/>
      <c r="R630" s="705" t="s">
        <v>191</v>
      </c>
      <c r="S630" s="705" t="s">
        <v>166</v>
      </c>
      <c r="T630" s="2029" t="s">
        <v>2279</v>
      </c>
      <c r="X630" s="384"/>
      <c r="Y630" s="384"/>
      <c r="Z630" s="384"/>
      <c r="AA630" s="384"/>
      <c r="AB630" s="384"/>
      <c r="AC630" s="384"/>
      <c r="AD630" s="384"/>
      <c r="AE630" s="384"/>
      <c r="AF630" s="384"/>
      <c r="AG630" s="384"/>
      <c r="AH630" s="384"/>
      <c r="AI630" s="384"/>
      <c r="AJ630" s="384"/>
      <c r="AK630" s="384"/>
      <c r="AL630" s="384"/>
      <c r="AM630" s="384"/>
      <c r="AN630" s="384"/>
      <c r="AO630" s="384"/>
      <c r="AP630" s="384"/>
      <c r="AQ630" s="384"/>
      <c r="AR630" s="384"/>
    </row>
    <row r="631" spans="2:44" s="637" customFormat="1" ht="12" customHeight="1">
      <c r="B631" s="636"/>
      <c r="J631" s="729" t="s">
        <v>1624</v>
      </c>
      <c r="K631" s="730"/>
      <c r="L631" s="727"/>
      <c r="M631" s="728"/>
      <c r="N631" s="1180" t="s">
        <v>258</v>
      </c>
      <c r="O631" s="1180" t="s">
        <v>2771</v>
      </c>
      <c r="P631" s="728"/>
      <c r="R631" s="705" t="s">
        <v>1124</v>
      </c>
      <c r="S631" s="705" t="s">
        <v>182</v>
      </c>
      <c r="T631" s="2029" t="s">
        <v>2279</v>
      </c>
      <c r="X631" s="384"/>
      <c r="Y631" s="384"/>
      <c r="Z631" s="384"/>
      <c r="AA631" s="384"/>
      <c r="AB631" s="384"/>
      <c r="AC631" s="384"/>
      <c r="AD631" s="384"/>
      <c r="AE631" s="384"/>
      <c r="AF631" s="384"/>
      <c r="AG631" s="384"/>
      <c r="AH631" s="384"/>
      <c r="AI631" s="384"/>
      <c r="AJ631" s="384"/>
      <c r="AK631" s="384"/>
      <c r="AL631" s="384"/>
      <c r="AM631" s="384"/>
      <c r="AN631" s="384"/>
      <c r="AO631" s="384"/>
      <c r="AP631" s="384"/>
      <c r="AQ631" s="384"/>
      <c r="AR631" s="384"/>
    </row>
    <row r="632" spans="2:44" s="637" customFormat="1" ht="12" customHeight="1">
      <c r="B632" s="636"/>
      <c r="J632" s="729" t="s">
        <v>65</v>
      </c>
      <c r="K632" s="730"/>
      <c r="L632" s="727"/>
      <c r="M632" s="728"/>
      <c r="N632" s="1180" t="s">
        <v>1090</v>
      </c>
      <c r="O632" s="1180" t="s">
        <v>2560</v>
      </c>
      <c r="P632" s="728"/>
      <c r="R632" s="705" t="s">
        <v>2433</v>
      </c>
      <c r="S632" s="705" t="s">
        <v>1283</v>
      </c>
      <c r="T632" s="2029" t="s">
        <v>2279</v>
      </c>
      <c r="X632" s="384"/>
      <c r="Y632" s="384"/>
      <c r="Z632" s="384"/>
      <c r="AA632" s="384"/>
      <c r="AB632" s="384"/>
      <c r="AC632" s="384"/>
      <c r="AD632" s="384"/>
      <c r="AE632" s="384"/>
      <c r="AF632" s="384"/>
      <c r="AG632" s="384"/>
      <c r="AH632" s="384"/>
      <c r="AI632" s="384"/>
      <c r="AJ632" s="384"/>
      <c r="AK632" s="384"/>
      <c r="AL632" s="384"/>
      <c r="AM632" s="384"/>
      <c r="AN632" s="384"/>
      <c r="AO632" s="384"/>
      <c r="AP632" s="384"/>
      <c r="AQ632" s="384"/>
      <c r="AR632" s="384"/>
    </row>
    <row r="633" spans="2:44" s="637" customFormat="1" ht="12" customHeight="1">
      <c r="B633" s="636"/>
      <c r="J633" s="729" t="s">
        <v>67</v>
      </c>
      <c r="K633" s="730"/>
      <c r="L633" s="727"/>
      <c r="M633" s="728"/>
      <c r="N633" s="1180" t="s">
        <v>1873</v>
      </c>
      <c r="O633" s="1180" t="s">
        <v>2654</v>
      </c>
      <c r="P633" s="728"/>
      <c r="R633" s="705" t="s">
        <v>1125</v>
      </c>
      <c r="S633" s="705" t="s">
        <v>669</v>
      </c>
      <c r="T633" s="2029" t="s">
        <v>2279</v>
      </c>
      <c r="X633" s="384"/>
      <c r="Y633" s="384"/>
      <c r="Z633" s="384"/>
      <c r="AA633" s="384"/>
      <c r="AB633" s="384"/>
      <c r="AC633" s="384"/>
      <c r="AD633" s="384"/>
      <c r="AE633" s="384"/>
      <c r="AF633" s="384"/>
      <c r="AG633" s="384"/>
      <c r="AH633" s="384"/>
      <c r="AI633" s="384"/>
      <c r="AJ633" s="384"/>
      <c r="AK633" s="384"/>
      <c r="AL633" s="384"/>
      <c r="AM633" s="384"/>
      <c r="AN633" s="384"/>
      <c r="AO633" s="384"/>
      <c r="AP633" s="384"/>
      <c r="AQ633" s="384"/>
      <c r="AR633" s="384"/>
    </row>
    <row r="634" spans="2:44" s="637" customFormat="1" ht="12" customHeight="1">
      <c r="B634" s="636"/>
      <c r="J634" s="729" t="s">
        <v>69</v>
      </c>
      <c r="K634" s="730"/>
      <c r="L634" s="727"/>
      <c r="M634" s="728"/>
      <c r="N634" s="1180" t="s">
        <v>1942</v>
      </c>
      <c r="O634" s="1180" t="s">
        <v>113</v>
      </c>
      <c r="P634" s="728"/>
      <c r="R634" s="705" t="s">
        <v>1126</v>
      </c>
      <c r="S634" s="705" t="s">
        <v>669</v>
      </c>
      <c r="T634" s="2029" t="s">
        <v>2279</v>
      </c>
      <c r="X634" s="384"/>
      <c r="Y634" s="384"/>
      <c r="Z634" s="384"/>
      <c r="AA634" s="384"/>
      <c r="AB634" s="384"/>
      <c r="AC634" s="384"/>
      <c r="AD634" s="384"/>
      <c r="AE634" s="384"/>
      <c r="AF634" s="384"/>
      <c r="AG634" s="384"/>
      <c r="AH634" s="384"/>
      <c r="AI634" s="384"/>
      <c r="AJ634" s="384"/>
      <c r="AK634" s="384"/>
      <c r="AL634" s="384"/>
      <c r="AM634" s="384"/>
      <c r="AN634" s="384"/>
      <c r="AO634" s="384"/>
      <c r="AP634" s="384"/>
      <c r="AQ634" s="384"/>
      <c r="AR634" s="384"/>
    </row>
    <row r="635" spans="2:44" s="637" customFormat="1" ht="12" customHeight="1">
      <c r="B635" s="636"/>
      <c r="J635" s="729" t="s">
        <v>71</v>
      </c>
      <c r="K635" s="730"/>
      <c r="L635" s="727"/>
      <c r="M635" s="728"/>
      <c r="N635" s="1180" t="s">
        <v>1164</v>
      </c>
      <c r="O635" s="1180" t="s">
        <v>781</v>
      </c>
      <c r="P635" s="728"/>
      <c r="R635" s="705" t="s">
        <v>1127</v>
      </c>
      <c r="S635" s="705" t="s">
        <v>669</v>
      </c>
      <c r="T635" s="2029" t="s">
        <v>2279</v>
      </c>
      <c r="X635" s="384"/>
      <c r="Y635" s="384"/>
      <c r="Z635" s="384"/>
      <c r="AA635" s="384"/>
      <c r="AB635" s="384"/>
      <c r="AC635" s="384"/>
      <c r="AD635" s="384"/>
      <c r="AE635" s="384"/>
      <c r="AF635" s="384"/>
      <c r="AG635" s="384"/>
      <c r="AH635" s="384"/>
      <c r="AI635" s="384"/>
      <c r="AJ635" s="384"/>
      <c r="AK635" s="384"/>
      <c r="AL635" s="384"/>
      <c r="AM635" s="384"/>
      <c r="AN635" s="384"/>
      <c r="AO635" s="384"/>
      <c r="AP635" s="384"/>
      <c r="AQ635" s="384"/>
      <c r="AR635" s="384"/>
    </row>
    <row r="636" spans="2:44" s="637" customFormat="1" ht="12" customHeight="1">
      <c r="B636" s="636"/>
      <c r="J636" s="729" t="s">
        <v>73</v>
      </c>
      <c r="K636" s="730"/>
      <c r="L636" s="727"/>
      <c r="M636" s="728"/>
      <c r="N636" s="1180" t="s">
        <v>1130</v>
      </c>
      <c r="O636" s="1180" t="s">
        <v>1012</v>
      </c>
      <c r="P636" s="728"/>
      <c r="R636" s="705" t="s">
        <v>1128</v>
      </c>
      <c r="S636" s="705" t="s">
        <v>669</v>
      </c>
      <c r="T636" s="2029" t="s">
        <v>2279</v>
      </c>
      <c r="X636" s="384"/>
      <c r="Y636" s="384"/>
      <c r="Z636" s="384"/>
      <c r="AA636" s="384"/>
      <c r="AB636" s="384"/>
      <c r="AC636" s="384"/>
      <c r="AD636" s="384"/>
      <c r="AE636" s="384"/>
      <c r="AF636" s="384"/>
      <c r="AG636" s="384"/>
      <c r="AH636" s="384"/>
      <c r="AI636" s="384"/>
      <c r="AJ636" s="384"/>
      <c r="AK636" s="384"/>
      <c r="AL636" s="384"/>
      <c r="AM636" s="384"/>
      <c r="AN636" s="384"/>
      <c r="AO636" s="384"/>
      <c r="AP636" s="384"/>
      <c r="AQ636" s="384"/>
      <c r="AR636" s="384"/>
    </row>
    <row r="637" spans="2:44" s="637" customFormat="1" ht="12" customHeight="1">
      <c r="B637" s="636"/>
      <c r="J637" s="729" t="s">
        <v>828</v>
      </c>
      <c r="K637" s="730"/>
      <c r="L637" s="727"/>
      <c r="M637" s="728"/>
      <c r="N637" s="1180" t="s">
        <v>1168</v>
      </c>
      <c r="O637" s="1180" t="s">
        <v>1410</v>
      </c>
      <c r="P637" s="728"/>
      <c r="R637" s="705" t="s">
        <v>1129</v>
      </c>
      <c r="S637" s="705" t="s">
        <v>1781</v>
      </c>
      <c r="T637" s="2029" t="s">
        <v>2279</v>
      </c>
      <c r="X637" s="384"/>
      <c r="Y637" s="384"/>
      <c r="Z637" s="384"/>
      <c r="AA637" s="384"/>
      <c r="AB637" s="384"/>
      <c r="AC637" s="384"/>
      <c r="AD637" s="384"/>
      <c r="AE637" s="384"/>
      <c r="AF637" s="384"/>
      <c r="AG637" s="384"/>
      <c r="AH637" s="384"/>
      <c r="AI637" s="384"/>
      <c r="AJ637" s="384"/>
      <c r="AK637" s="384"/>
      <c r="AL637" s="384"/>
      <c r="AM637" s="384"/>
      <c r="AN637" s="384"/>
      <c r="AO637" s="384"/>
      <c r="AP637" s="384"/>
      <c r="AQ637" s="384"/>
      <c r="AR637" s="384"/>
    </row>
    <row r="638" spans="2:44" s="637" customFormat="1" ht="12" customHeight="1">
      <c r="B638" s="636"/>
      <c r="J638" s="729" t="s">
        <v>777</v>
      </c>
      <c r="K638" s="730"/>
      <c r="L638" s="727"/>
      <c r="M638" s="728"/>
      <c r="N638" s="1180" t="s">
        <v>421</v>
      </c>
      <c r="O638" s="1180" t="s">
        <v>713</v>
      </c>
      <c r="P638" s="728"/>
      <c r="R638" s="705" t="s">
        <v>1130</v>
      </c>
      <c r="S638" s="705" t="s">
        <v>1012</v>
      </c>
      <c r="T638" s="2029" t="s">
        <v>2279</v>
      </c>
      <c r="X638" s="384"/>
      <c r="Y638" s="384"/>
      <c r="Z638" s="384"/>
      <c r="AA638" s="384"/>
      <c r="AB638" s="384"/>
      <c r="AC638" s="384"/>
      <c r="AD638" s="384"/>
      <c r="AE638" s="384"/>
      <c r="AF638" s="384"/>
      <c r="AG638" s="384"/>
      <c r="AH638" s="384"/>
      <c r="AI638" s="384"/>
      <c r="AJ638" s="384"/>
      <c r="AK638" s="384"/>
      <c r="AL638" s="384"/>
      <c r="AM638" s="384"/>
      <c r="AN638" s="384"/>
      <c r="AO638" s="384"/>
      <c r="AP638" s="384"/>
      <c r="AQ638" s="384"/>
      <c r="AR638" s="384"/>
    </row>
    <row r="639" spans="2:44" s="637" customFormat="1" ht="12" customHeight="1">
      <c r="B639" s="636"/>
      <c r="J639" s="729" t="s">
        <v>779</v>
      </c>
      <c r="K639" s="730"/>
      <c r="L639" s="727"/>
      <c r="M639" s="728"/>
      <c r="N639" s="705" t="s">
        <v>1131</v>
      </c>
      <c r="O639" s="705" t="s">
        <v>125</v>
      </c>
      <c r="P639" s="728"/>
      <c r="R639" s="705" t="s">
        <v>1131</v>
      </c>
      <c r="S639" s="705" t="s">
        <v>125</v>
      </c>
      <c r="T639" s="2029" t="s">
        <v>2279</v>
      </c>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row>
    <row r="640" spans="2:44" s="637" customFormat="1" ht="12" customHeight="1">
      <c r="B640" s="636"/>
      <c r="J640" s="729" t="s">
        <v>1250</v>
      </c>
      <c r="K640" s="730"/>
      <c r="L640" s="727"/>
      <c r="M640" s="728"/>
      <c r="N640" s="1180" t="s">
        <v>5</v>
      </c>
      <c r="O640" s="1180" t="s">
        <v>1403</v>
      </c>
      <c r="P640" s="2029"/>
      <c r="R640" s="705" t="s">
        <v>1132</v>
      </c>
      <c r="S640" s="705" t="s">
        <v>669</v>
      </c>
      <c r="T640" s="2029" t="s">
        <v>2279</v>
      </c>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row>
    <row r="641" spans="2:44" s="637" customFormat="1" ht="12" customHeight="1">
      <c r="B641" s="636"/>
      <c r="J641" s="729" t="s">
        <v>1105</v>
      </c>
      <c r="K641" s="730"/>
      <c r="L641" s="727"/>
      <c r="M641" s="728"/>
      <c r="N641" s="1180" t="s">
        <v>7</v>
      </c>
      <c r="O641" s="1180" t="s">
        <v>2556</v>
      </c>
      <c r="P641" s="728"/>
      <c r="R641" s="705" t="s">
        <v>1133</v>
      </c>
      <c r="S641" s="705" t="s">
        <v>334</v>
      </c>
      <c r="T641" s="2029" t="s">
        <v>2279</v>
      </c>
      <c r="X641" s="384"/>
      <c r="Y641" s="384"/>
      <c r="Z641" s="384"/>
      <c r="AA641" s="384"/>
      <c r="AB641" s="384"/>
      <c r="AC641" s="384"/>
      <c r="AD641" s="384"/>
      <c r="AE641" s="384"/>
      <c r="AF641" s="384"/>
      <c r="AG641" s="384"/>
      <c r="AH641" s="384"/>
      <c r="AI641" s="384"/>
      <c r="AJ641" s="384"/>
      <c r="AK641" s="384"/>
      <c r="AL641" s="384"/>
      <c r="AM641" s="384"/>
      <c r="AN641" s="384"/>
      <c r="AO641" s="384"/>
      <c r="AP641" s="384"/>
      <c r="AQ641" s="384"/>
      <c r="AR641" s="384"/>
    </row>
    <row r="642" spans="2:44" s="637" customFormat="1" ht="12" customHeight="1">
      <c r="B642" s="636"/>
      <c r="J642" s="729" t="s">
        <v>1106</v>
      </c>
      <c r="K642" s="730"/>
      <c r="L642" s="727"/>
      <c r="M642" s="728"/>
      <c r="N642" s="1180" t="s">
        <v>9</v>
      </c>
      <c r="O642" s="1180" t="s">
        <v>2051</v>
      </c>
      <c r="P642" s="728"/>
      <c r="R642" s="705" t="s">
        <v>1134</v>
      </c>
      <c r="S642" s="705" t="s">
        <v>338</v>
      </c>
      <c r="T642" s="2029" t="s">
        <v>2279</v>
      </c>
      <c r="X642" s="384"/>
      <c r="Y642" s="384"/>
      <c r="Z642" s="384"/>
      <c r="AA642" s="384"/>
      <c r="AB642" s="384"/>
      <c r="AC642" s="384"/>
      <c r="AD642" s="384"/>
      <c r="AE642" s="384"/>
      <c r="AF642" s="384"/>
      <c r="AG642" s="384"/>
      <c r="AH642" s="384"/>
      <c r="AI642" s="384"/>
      <c r="AJ642" s="384"/>
      <c r="AK642" s="384"/>
      <c r="AL642" s="384"/>
      <c r="AM642" s="384"/>
      <c r="AN642" s="384"/>
      <c r="AO642" s="384"/>
      <c r="AP642" s="384"/>
      <c r="AQ642" s="384"/>
      <c r="AR642" s="384"/>
    </row>
    <row r="643" spans="2:44" s="637" customFormat="1" ht="12" customHeight="1">
      <c r="B643" s="636"/>
      <c r="J643" s="729" t="s">
        <v>1108</v>
      </c>
      <c r="K643" s="730"/>
      <c r="L643" s="727"/>
      <c r="M643" s="728"/>
      <c r="N643" s="1180" t="s">
        <v>1132</v>
      </c>
      <c r="O643" s="1180" t="s">
        <v>669</v>
      </c>
      <c r="P643" s="728"/>
      <c r="R643" s="705" t="s">
        <v>886</v>
      </c>
      <c r="S643" s="705" t="s">
        <v>1399</v>
      </c>
      <c r="T643" s="2029" t="s">
        <v>2279</v>
      </c>
      <c r="X643" s="384"/>
      <c r="Y643" s="384"/>
      <c r="Z643" s="384"/>
      <c r="AA643" s="384"/>
      <c r="AB643" s="384"/>
      <c r="AC643" s="384"/>
      <c r="AD643" s="384"/>
      <c r="AE643" s="384"/>
      <c r="AF643" s="384"/>
      <c r="AG643" s="384"/>
      <c r="AH643" s="384"/>
      <c r="AI643" s="384"/>
      <c r="AJ643" s="384"/>
      <c r="AK643" s="384"/>
      <c r="AL643" s="384"/>
      <c r="AM643" s="384"/>
      <c r="AN643" s="384"/>
      <c r="AO643" s="384"/>
      <c r="AP643" s="384"/>
      <c r="AQ643" s="384"/>
      <c r="AR643" s="384"/>
    </row>
    <row r="644" spans="2:44" s="637" customFormat="1" ht="12" customHeight="1">
      <c r="B644" s="636"/>
      <c r="J644" s="729" t="s">
        <v>2413</v>
      </c>
      <c r="K644" s="730"/>
      <c r="L644" s="727"/>
      <c r="M644" s="728"/>
      <c r="N644" s="1180" t="s">
        <v>1133</v>
      </c>
      <c r="O644" s="1180" t="s">
        <v>334</v>
      </c>
      <c r="P644" s="728"/>
      <c r="R644" s="705" t="s">
        <v>1135</v>
      </c>
      <c r="S644" s="705" t="s">
        <v>712</v>
      </c>
      <c r="T644" s="2029" t="s">
        <v>2279</v>
      </c>
      <c r="X644" s="384"/>
      <c r="Y644" s="384"/>
      <c r="Z644" s="384"/>
      <c r="AA644" s="384"/>
      <c r="AB644" s="384"/>
      <c r="AC644" s="384"/>
      <c r="AD644" s="384"/>
      <c r="AE644" s="384"/>
      <c r="AF644" s="384"/>
      <c r="AG644" s="384"/>
      <c r="AH644" s="384"/>
      <c r="AI644" s="384"/>
      <c r="AJ644" s="384"/>
      <c r="AK644" s="384"/>
      <c r="AL644" s="384"/>
      <c r="AM644" s="384"/>
      <c r="AN644" s="384"/>
      <c r="AO644" s="384"/>
      <c r="AP644" s="384"/>
      <c r="AQ644" s="384"/>
      <c r="AR644" s="384"/>
    </row>
    <row r="645" spans="2:44" s="637" customFormat="1" ht="12" customHeight="1">
      <c r="B645" s="636"/>
      <c r="J645" s="729" t="s">
        <v>2415</v>
      </c>
      <c r="K645" s="730"/>
      <c r="L645" s="727"/>
      <c r="M645" s="728"/>
      <c r="N645" s="1180" t="s">
        <v>2280</v>
      </c>
      <c r="O645" s="1180" t="s">
        <v>1413</v>
      </c>
      <c r="P645" s="728"/>
      <c r="R645" s="705" t="s">
        <v>1136</v>
      </c>
      <c r="S645" s="705" t="s">
        <v>1626</v>
      </c>
      <c r="T645" s="2029" t="s">
        <v>2279</v>
      </c>
      <c r="X645" s="384"/>
      <c r="Y645" s="384"/>
      <c r="Z645" s="384"/>
      <c r="AA645" s="384"/>
      <c r="AB645" s="384"/>
      <c r="AC645" s="384"/>
      <c r="AD645" s="384"/>
      <c r="AE645" s="384"/>
      <c r="AF645" s="384"/>
      <c r="AG645" s="384"/>
      <c r="AH645" s="384"/>
      <c r="AI645" s="384"/>
      <c r="AJ645" s="384"/>
      <c r="AK645" s="384"/>
      <c r="AL645" s="384"/>
      <c r="AM645" s="384"/>
      <c r="AN645" s="384"/>
      <c r="AO645" s="384"/>
      <c r="AP645" s="384"/>
      <c r="AQ645" s="384"/>
      <c r="AR645" s="384"/>
    </row>
    <row r="646" spans="2:44" s="637" customFormat="1" ht="12" customHeight="1">
      <c r="B646" s="636"/>
      <c r="J646" s="729" t="s">
        <v>1893</v>
      </c>
      <c r="K646" s="730"/>
      <c r="L646" s="727"/>
      <c r="M646" s="728"/>
      <c r="N646" s="1180" t="s">
        <v>2282</v>
      </c>
      <c r="O646" s="1180" t="s">
        <v>2323</v>
      </c>
      <c r="P646" s="728"/>
      <c r="R646" s="705" t="s">
        <v>1137</v>
      </c>
      <c r="S646" s="705" t="s">
        <v>669</v>
      </c>
      <c r="T646" s="2029" t="s">
        <v>2279</v>
      </c>
      <c r="X646" s="384"/>
      <c r="Y646" s="384"/>
      <c r="Z646" s="384"/>
      <c r="AA646" s="384"/>
      <c r="AB646" s="384"/>
      <c r="AC646" s="384"/>
      <c r="AD646" s="384"/>
      <c r="AE646" s="384"/>
      <c r="AF646" s="384"/>
      <c r="AG646" s="384"/>
      <c r="AH646" s="384"/>
      <c r="AI646" s="384"/>
      <c r="AJ646" s="384"/>
      <c r="AK646" s="384"/>
      <c r="AL646" s="384"/>
      <c r="AM646" s="384"/>
      <c r="AN646" s="384"/>
      <c r="AO646" s="384"/>
      <c r="AP646" s="384"/>
      <c r="AQ646" s="384"/>
      <c r="AR646" s="384"/>
    </row>
    <row r="647" spans="2:44" s="637" customFormat="1" ht="12" customHeight="1">
      <c r="B647" s="636"/>
      <c r="J647" s="729" t="s">
        <v>2691</v>
      </c>
      <c r="K647" s="730"/>
      <c r="L647" s="727"/>
      <c r="M647" s="728"/>
      <c r="N647" s="1180" t="s">
        <v>2284</v>
      </c>
      <c r="O647" s="1180" t="s">
        <v>182</v>
      </c>
      <c r="P647" s="728"/>
      <c r="R647" s="705" t="s">
        <v>1138</v>
      </c>
      <c r="S647" s="705" t="s">
        <v>704</v>
      </c>
      <c r="T647" s="2029" t="s">
        <v>2279</v>
      </c>
      <c r="X647" s="384"/>
      <c r="Y647" s="384"/>
      <c r="Z647" s="384"/>
      <c r="AA647" s="384"/>
      <c r="AB647" s="384"/>
      <c r="AC647" s="384"/>
      <c r="AD647" s="384"/>
      <c r="AE647" s="384"/>
      <c r="AF647" s="384"/>
      <c r="AG647" s="384"/>
      <c r="AH647" s="384"/>
      <c r="AI647" s="384"/>
      <c r="AJ647" s="384"/>
      <c r="AK647" s="384"/>
      <c r="AL647" s="384"/>
      <c r="AM647" s="384"/>
      <c r="AN647" s="384"/>
      <c r="AO647" s="384"/>
      <c r="AP647" s="384"/>
      <c r="AQ647" s="384"/>
      <c r="AR647" s="384"/>
    </row>
    <row r="648" spans="2:44" s="637" customFormat="1" ht="12" customHeight="1">
      <c r="B648" s="636"/>
      <c r="J648" s="729" t="s">
        <v>2302</v>
      </c>
      <c r="K648" s="730"/>
      <c r="L648" s="727"/>
      <c r="M648" s="728"/>
      <c r="N648" s="1180" t="s">
        <v>2286</v>
      </c>
      <c r="O648" s="1180" t="s">
        <v>1549</v>
      </c>
      <c r="P648" s="728"/>
      <c r="R648" s="705" t="s">
        <v>1139</v>
      </c>
      <c r="S648" s="705" t="s">
        <v>166</v>
      </c>
      <c r="T648" s="2029" t="s">
        <v>2279</v>
      </c>
      <c r="X648" s="384"/>
      <c r="Y648" s="384"/>
      <c r="Z648" s="384"/>
      <c r="AA648" s="384"/>
      <c r="AB648" s="384"/>
      <c r="AC648" s="384"/>
      <c r="AD648" s="384"/>
      <c r="AE648" s="384"/>
      <c r="AF648" s="384"/>
      <c r="AG648" s="384"/>
      <c r="AH648" s="384"/>
      <c r="AI648" s="384"/>
      <c r="AJ648" s="384"/>
      <c r="AK648" s="384"/>
      <c r="AL648" s="384"/>
      <c r="AM648" s="384"/>
      <c r="AN648" s="384"/>
      <c r="AO648" s="384"/>
      <c r="AP648" s="384"/>
      <c r="AQ648" s="384"/>
      <c r="AR648" s="384"/>
    </row>
    <row r="649" spans="2:44" s="637" customFormat="1" ht="12" customHeight="1">
      <c r="B649" s="636"/>
      <c r="J649" s="729" t="s">
        <v>1721</v>
      </c>
      <c r="K649" s="730"/>
      <c r="L649" s="727"/>
      <c r="M649" s="728"/>
      <c r="N649" s="705" t="s">
        <v>2288</v>
      </c>
      <c r="O649" s="705" t="s">
        <v>713</v>
      </c>
      <c r="P649" s="2030"/>
      <c r="R649" s="705" t="s">
        <v>1140</v>
      </c>
      <c r="S649" s="705" t="s">
        <v>2045</v>
      </c>
      <c r="T649" s="2029" t="s">
        <v>2279</v>
      </c>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row>
    <row r="650" spans="2:44" s="637" customFormat="1" ht="12" customHeight="1">
      <c r="B650" s="636"/>
      <c r="J650" s="729" t="s">
        <v>1722</v>
      </c>
      <c r="K650" s="730"/>
      <c r="L650" s="727"/>
      <c r="M650" s="728"/>
      <c r="N650" s="1180" t="s">
        <v>92</v>
      </c>
      <c r="O650" s="1180" t="s">
        <v>124</v>
      </c>
      <c r="P650" s="2029"/>
      <c r="R650" s="705" t="s">
        <v>1141</v>
      </c>
      <c r="S650" s="705" t="s">
        <v>2141</v>
      </c>
      <c r="T650" s="2029" t="s">
        <v>2279</v>
      </c>
      <c r="X650" s="384"/>
      <c r="Y650" s="384"/>
      <c r="Z650" s="384"/>
      <c r="AA650" s="384"/>
      <c r="AB650" s="384"/>
      <c r="AC650" s="384"/>
      <c r="AD650" s="384"/>
      <c r="AE650" s="384"/>
      <c r="AF650" s="384"/>
      <c r="AG650" s="384"/>
      <c r="AH650" s="384"/>
      <c r="AI650" s="384"/>
      <c r="AJ650" s="384"/>
      <c r="AK650" s="384"/>
      <c r="AL650" s="384"/>
      <c r="AM650" s="384"/>
      <c r="AN650" s="384"/>
      <c r="AO650" s="384"/>
      <c r="AP650" s="384"/>
      <c r="AQ650" s="384"/>
      <c r="AR650" s="384"/>
    </row>
    <row r="651" spans="2:44" s="637" customFormat="1" ht="12" customHeight="1">
      <c r="B651" s="636"/>
      <c r="J651" s="729" t="s">
        <v>1724</v>
      </c>
      <c r="K651" s="730"/>
      <c r="L651" s="727"/>
      <c r="M651" s="728"/>
      <c r="N651" s="1180" t="s">
        <v>1619</v>
      </c>
      <c r="O651" s="1180" t="s">
        <v>2325</v>
      </c>
      <c r="P651" s="728"/>
      <c r="R651" s="705" t="s">
        <v>1142</v>
      </c>
      <c r="S651" s="705" t="s">
        <v>669</v>
      </c>
      <c r="T651" s="2029" t="s">
        <v>2279</v>
      </c>
      <c r="X651" s="384"/>
      <c r="Y651" s="384"/>
      <c r="Z651" s="384"/>
      <c r="AA651" s="384"/>
      <c r="AB651" s="384"/>
      <c r="AC651" s="384"/>
      <c r="AD651" s="384"/>
      <c r="AE651" s="384"/>
      <c r="AF651" s="384"/>
      <c r="AG651" s="384"/>
      <c r="AH651" s="384"/>
      <c r="AI651" s="384"/>
      <c r="AJ651" s="384"/>
      <c r="AK651" s="384"/>
      <c r="AL651" s="384"/>
      <c r="AM651" s="384"/>
      <c r="AN651" s="384"/>
      <c r="AO651" s="384"/>
      <c r="AP651" s="384"/>
      <c r="AQ651" s="384"/>
      <c r="AR651" s="384"/>
    </row>
    <row r="652" spans="2:44" s="637" customFormat="1" ht="12" customHeight="1">
      <c r="B652" s="636"/>
      <c r="J652" s="729" t="s">
        <v>1725</v>
      </c>
      <c r="K652" s="730"/>
      <c r="L652" s="727"/>
      <c r="M652" s="728"/>
      <c r="N652" s="705" t="s">
        <v>1621</v>
      </c>
      <c r="O652" s="705" t="s">
        <v>207</v>
      </c>
      <c r="P652" s="728"/>
      <c r="R652" s="705" t="s">
        <v>1143</v>
      </c>
      <c r="S652" s="705" t="s">
        <v>1781</v>
      </c>
      <c r="T652" s="2029" t="s">
        <v>2279</v>
      </c>
      <c r="X652" s="384"/>
      <c r="Y652" s="384"/>
      <c r="Z652" s="384"/>
      <c r="AA652" s="384"/>
      <c r="AB652" s="384"/>
      <c r="AC652" s="384"/>
      <c r="AD652" s="384"/>
      <c r="AE652" s="384"/>
      <c r="AF652" s="384"/>
      <c r="AG652" s="384"/>
      <c r="AH652" s="384"/>
      <c r="AI652" s="384"/>
      <c r="AJ652" s="384"/>
      <c r="AK652" s="384"/>
      <c r="AL652" s="384"/>
      <c r="AM652" s="384"/>
      <c r="AN652" s="384"/>
      <c r="AO652" s="384"/>
      <c r="AP652" s="384"/>
      <c r="AQ652" s="384"/>
      <c r="AR652" s="384"/>
    </row>
    <row r="653" spans="2:44" s="637" customFormat="1" ht="12" customHeight="1">
      <c r="B653" s="636"/>
      <c r="J653" s="729" t="s">
        <v>1727</v>
      </c>
      <c r="K653" s="730"/>
      <c r="L653" s="727"/>
      <c r="M653" s="728"/>
      <c r="N653" s="1180" t="s">
        <v>1623</v>
      </c>
      <c r="O653" s="1180" t="s">
        <v>1552</v>
      </c>
      <c r="P653" s="2029"/>
      <c r="R653" s="705" t="s">
        <v>1144</v>
      </c>
      <c r="S653" s="705" t="s">
        <v>2654</v>
      </c>
      <c r="T653" s="2029" t="s">
        <v>2279</v>
      </c>
      <c r="X653" s="384"/>
      <c r="Y653" s="384"/>
      <c r="Z653" s="384"/>
      <c r="AA653" s="384"/>
      <c r="AB653" s="384"/>
      <c r="AC653" s="384"/>
      <c r="AD653" s="384"/>
      <c r="AE653" s="384"/>
      <c r="AF653" s="384"/>
      <c r="AG653" s="384"/>
      <c r="AH653" s="384"/>
      <c r="AI653" s="384"/>
      <c r="AJ653" s="384"/>
      <c r="AK653" s="384"/>
      <c r="AL653" s="384"/>
      <c r="AM653" s="384"/>
      <c r="AN653" s="384"/>
      <c r="AO653" s="384"/>
      <c r="AP653" s="384"/>
      <c r="AQ653" s="384"/>
      <c r="AR653" s="384"/>
    </row>
    <row r="654" spans="2:44" s="637" customFormat="1" ht="12" customHeight="1">
      <c r="B654" s="636"/>
      <c r="J654" s="729" t="s">
        <v>1728</v>
      </c>
      <c r="K654" s="730"/>
      <c r="L654" s="727"/>
      <c r="M654" s="728"/>
      <c r="N654" s="1180" t="s">
        <v>1625</v>
      </c>
      <c r="O654" s="1180" t="s">
        <v>2315</v>
      </c>
      <c r="P654" s="728"/>
      <c r="R654" s="705" t="s">
        <v>1145</v>
      </c>
      <c r="S654" s="705" t="s">
        <v>166</v>
      </c>
      <c r="T654" s="2029" t="s">
        <v>2279</v>
      </c>
      <c r="X654" s="384"/>
      <c r="Y654" s="384"/>
      <c r="Z654" s="384"/>
      <c r="AA654" s="384"/>
      <c r="AB654" s="384"/>
      <c r="AC654" s="384"/>
      <c r="AD654" s="384"/>
      <c r="AE654" s="384"/>
      <c r="AF654" s="384"/>
      <c r="AG654" s="384"/>
      <c r="AH654" s="384"/>
      <c r="AI654" s="384"/>
      <c r="AJ654" s="384"/>
      <c r="AK654" s="384"/>
      <c r="AL654" s="384"/>
      <c r="AM654" s="384"/>
      <c r="AN654" s="384"/>
      <c r="AO654" s="384"/>
      <c r="AP654" s="384"/>
      <c r="AQ654" s="384"/>
      <c r="AR654" s="384"/>
    </row>
    <row r="655" spans="2:44" s="637" customFormat="1" ht="12" customHeight="1">
      <c r="B655" s="636"/>
      <c r="J655" s="729" t="s">
        <v>1730</v>
      </c>
      <c r="K655" s="730"/>
      <c r="L655" s="727"/>
      <c r="M655" s="728"/>
      <c r="N655" s="1180" t="s">
        <v>66</v>
      </c>
      <c r="O655" s="1180" t="s">
        <v>1411</v>
      </c>
      <c r="P655" s="728"/>
      <c r="R655" s="705" t="s">
        <v>1146</v>
      </c>
      <c r="S655" s="705" t="s">
        <v>166</v>
      </c>
      <c r="T655" s="2029" t="s">
        <v>2279</v>
      </c>
      <c r="X655" s="384"/>
      <c r="Y655" s="384"/>
      <c r="Z655" s="384"/>
      <c r="AA655" s="384"/>
      <c r="AB655" s="384"/>
      <c r="AC655" s="384"/>
      <c r="AD655" s="384"/>
      <c r="AE655" s="384"/>
      <c r="AF655" s="384"/>
      <c r="AG655" s="384"/>
      <c r="AH655" s="384"/>
      <c r="AI655" s="384"/>
      <c r="AJ655" s="384"/>
      <c r="AK655" s="384"/>
      <c r="AL655" s="384"/>
      <c r="AM655" s="384"/>
      <c r="AN655" s="384"/>
      <c r="AO655" s="384"/>
      <c r="AP655" s="384"/>
      <c r="AQ655" s="384"/>
      <c r="AR655" s="384"/>
    </row>
    <row r="656" spans="2:44" s="637" customFormat="1" ht="12" customHeight="1">
      <c r="B656" s="636"/>
      <c r="J656" s="729" t="s">
        <v>2580</v>
      </c>
      <c r="K656" s="730"/>
      <c r="L656" s="727"/>
      <c r="M656" s="728"/>
      <c r="N656" s="1180" t="s">
        <v>68</v>
      </c>
      <c r="O656" s="1180" t="s">
        <v>109</v>
      </c>
      <c r="P656" s="728"/>
      <c r="X656" s="384"/>
      <c r="Y656" s="384"/>
      <c r="Z656" s="384"/>
      <c r="AA656" s="384"/>
      <c r="AB656" s="384"/>
      <c r="AC656" s="384"/>
      <c r="AD656" s="384"/>
      <c r="AE656" s="384"/>
      <c r="AF656" s="384"/>
      <c r="AG656" s="384"/>
      <c r="AH656" s="384"/>
      <c r="AI656" s="384"/>
      <c r="AJ656" s="384"/>
      <c r="AK656" s="384"/>
      <c r="AL656" s="384"/>
      <c r="AM656" s="384"/>
      <c r="AN656" s="384"/>
      <c r="AO656" s="384"/>
      <c r="AP656" s="384"/>
      <c r="AQ656" s="384"/>
      <c r="AR656" s="384"/>
    </row>
    <row r="657" spans="2:44" s="637" customFormat="1" ht="12" customHeight="1">
      <c r="B657" s="636"/>
      <c r="J657" s="729" t="s">
        <v>174</v>
      </c>
      <c r="K657" s="730"/>
      <c r="L657" s="727"/>
      <c r="M657" s="728"/>
      <c r="N657" s="1180" t="s">
        <v>70</v>
      </c>
      <c r="O657" s="1180" t="s">
        <v>932</v>
      </c>
      <c r="P657" s="728"/>
      <c r="X657" s="384"/>
      <c r="Y657" s="384"/>
      <c r="Z657" s="384"/>
      <c r="AA657" s="384"/>
      <c r="AB657" s="384"/>
      <c r="AC657" s="384"/>
      <c r="AD657" s="384"/>
      <c r="AE657" s="384"/>
      <c r="AF657" s="384"/>
      <c r="AG657" s="384"/>
      <c r="AH657" s="384"/>
      <c r="AI657" s="384"/>
      <c r="AJ657" s="384"/>
      <c r="AK657" s="384"/>
      <c r="AL657" s="384"/>
      <c r="AM657" s="384"/>
      <c r="AN657" s="384"/>
      <c r="AO657" s="384"/>
      <c r="AP657" s="384"/>
      <c r="AQ657" s="384"/>
      <c r="AR657" s="384"/>
    </row>
    <row r="658" spans="2:44" s="637" customFormat="1" ht="12" customHeight="1">
      <c r="B658" s="636"/>
      <c r="J658" s="729" t="s">
        <v>1048</v>
      </c>
      <c r="K658" s="730"/>
      <c r="L658" s="727"/>
      <c r="M658" s="728"/>
      <c r="N658" s="1180" t="s">
        <v>72</v>
      </c>
      <c r="O658" s="1180" t="s">
        <v>1626</v>
      </c>
      <c r="P658" s="728"/>
      <c r="X658" s="384"/>
      <c r="Y658" s="384"/>
      <c r="Z658" s="384"/>
      <c r="AA658" s="384"/>
      <c r="AB658" s="384"/>
      <c r="AC658" s="384"/>
      <c r="AD658" s="384"/>
      <c r="AE658" s="384"/>
      <c r="AF658" s="384"/>
      <c r="AG658" s="384"/>
      <c r="AH658" s="384"/>
      <c r="AI658" s="384"/>
      <c r="AJ658" s="384"/>
      <c r="AK658" s="384"/>
      <c r="AL658" s="384"/>
      <c r="AM658" s="384"/>
      <c r="AN658" s="384"/>
      <c r="AO658" s="384"/>
      <c r="AP658" s="384"/>
      <c r="AQ658" s="384"/>
      <c r="AR658" s="384"/>
    </row>
    <row r="659" spans="2:44" s="637" customFormat="1" ht="12" customHeight="1">
      <c r="B659" s="636"/>
      <c r="J659" s="729" t="s">
        <v>1049</v>
      </c>
      <c r="K659" s="730"/>
      <c r="L659" s="727"/>
      <c r="M659" s="728"/>
      <c r="N659" s="1180" t="s">
        <v>829</v>
      </c>
      <c r="O659" s="1180" t="s">
        <v>2651</v>
      </c>
      <c r="P659" s="728"/>
      <c r="X659" s="384"/>
      <c r="Y659" s="384"/>
      <c r="Z659" s="384"/>
      <c r="AA659" s="384"/>
      <c r="AB659" s="384"/>
      <c r="AC659" s="384"/>
      <c r="AD659" s="384"/>
      <c r="AE659" s="384"/>
      <c r="AF659" s="384"/>
      <c r="AG659" s="384"/>
      <c r="AH659" s="384"/>
      <c r="AI659" s="384"/>
      <c r="AJ659" s="384"/>
      <c r="AK659" s="384"/>
      <c r="AL659" s="384"/>
      <c r="AM659" s="384"/>
      <c r="AN659" s="384"/>
      <c r="AO659" s="384"/>
      <c r="AP659" s="384"/>
      <c r="AQ659" s="384"/>
      <c r="AR659" s="384"/>
    </row>
    <row r="660" spans="2:44" s="637" customFormat="1" ht="12" customHeight="1">
      <c r="B660" s="636"/>
      <c r="J660" s="729" t="s">
        <v>1051</v>
      </c>
      <c r="K660" s="730"/>
      <c r="L660" s="727"/>
      <c r="M660" s="728"/>
      <c r="N660" s="705" t="s">
        <v>778</v>
      </c>
      <c r="O660" s="705" t="s">
        <v>2657</v>
      </c>
      <c r="P660" s="728"/>
      <c r="X660" s="384"/>
      <c r="Y660" s="384"/>
      <c r="Z660" s="384"/>
      <c r="AA660" s="384"/>
      <c r="AB660" s="384"/>
      <c r="AC660" s="384"/>
      <c r="AD660" s="384"/>
      <c r="AE660" s="384"/>
      <c r="AF660" s="384"/>
      <c r="AG660" s="384"/>
      <c r="AH660" s="384"/>
      <c r="AI660" s="384"/>
      <c r="AJ660" s="384"/>
      <c r="AK660" s="384"/>
      <c r="AL660" s="384"/>
      <c r="AM660" s="384"/>
      <c r="AN660" s="384"/>
      <c r="AO660" s="384"/>
      <c r="AP660" s="384"/>
      <c r="AQ660" s="384"/>
      <c r="AR660" s="384"/>
    </row>
    <row r="661" spans="2:44" s="637" customFormat="1" ht="12" customHeight="1">
      <c r="B661" s="636"/>
      <c r="J661" s="729" t="s">
        <v>2536</v>
      </c>
      <c r="K661" s="730"/>
      <c r="L661" s="727"/>
      <c r="M661" s="728"/>
      <c r="N661" s="1180" t="s">
        <v>997</v>
      </c>
      <c r="O661" s="1180" t="s">
        <v>2705</v>
      </c>
      <c r="P661" s="2029"/>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row>
    <row r="662" spans="2:44" s="637" customFormat="1" ht="12" customHeight="1">
      <c r="B662" s="636"/>
      <c r="J662" s="729" t="s">
        <v>2698</v>
      </c>
      <c r="K662" s="730"/>
      <c r="L662" s="727"/>
      <c r="M662" s="728"/>
      <c r="N662" s="1180" t="s">
        <v>1134</v>
      </c>
      <c r="O662" s="1180" t="s">
        <v>338</v>
      </c>
      <c r="P662" s="728"/>
      <c r="X662" s="384"/>
      <c r="Y662" s="384"/>
      <c r="Z662" s="384"/>
      <c r="AA662" s="384"/>
      <c r="AB662" s="384"/>
      <c r="AC662" s="384"/>
      <c r="AD662" s="384"/>
      <c r="AE662" s="384"/>
      <c r="AF662" s="384"/>
      <c r="AG662" s="384"/>
      <c r="AH662" s="384"/>
      <c r="AI662" s="384"/>
      <c r="AJ662" s="384"/>
      <c r="AK662" s="384"/>
      <c r="AL662" s="384"/>
      <c r="AM662" s="384"/>
      <c r="AN662" s="384"/>
      <c r="AO662" s="384"/>
      <c r="AP662" s="384"/>
      <c r="AQ662" s="384"/>
      <c r="AR662" s="384"/>
    </row>
    <row r="663" spans="2:44" s="637" customFormat="1" ht="12" customHeight="1">
      <c r="B663" s="636"/>
      <c r="J663" s="729" t="s">
        <v>2137</v>
      </c>
      <c r="K663" s="730"/>
      <c r="L663" s="727"/>
      <c r="M663" s="728"/>
      <c r="N663" s="1180" t="s">
        <v>1251</v>
      </c>
      <c r="O663" s="1180" t="s">
        <v>2085</v>
      </c>
      <c r="P663" s="728"/>
      <c r="X663" s="384"/>
      <c r="Y663" s="384"/>
      <c r="Z663" s="384"/>
      <c r="AA663" s="384"/>
      <c r="AB663" s="384"/>
      <c r="AC663" s="384"/>
      <c r="AD663" s="384"/>
      <c r="AE663" s="384"/>
      <c r="AF663" s="384"/>
      <c r="AG663" s="384"/>
      <c r="AH663" s="384"/>
      <c r="AI663" s="384"/>
      <c r="AJ663" s="384"/>
      <c r="AK663" s="384"/>
      <c r="AL663" s="384"/>
      <c r="AM663" s="384"/>
      <c r="AN663" s="384"/>
      <c r="AO663" s="384"/>
      <c r="AP663" s="384"/>
      <c r="AQ663" s="384"/>
      <c r="AR663" s="384"/>
    </row>
    <row r="664" spans="2:44" s="637" customFormat="1" ht="12" customHeight="1">
      <c r="B664" s="636"/>
      <c r="J664" s="729" t="s">
        <v>1000</v>
      </c>
      <c r="K664" s="730"/>
      <c r="L664" s="727"/>
      <c r="M664" s="728"/>
      <c r="N664" s="1180" t="s">
        <v>3508</v>
      </c>
      <c r="O664" s="1180" t="s">
        <v>1903</v>
      </c>
      <c r="P664" s="728"/>
      <c r="X664" s="384"/>
      <c r="Y664" s="384"/>
      <c r="Z664" s="384"/>
      <c r="AA664" s="384"/>
      <c r="AB664" s="384"/>
      <c r="AC664" s="384"/>
      <c r="AD664" s="384"/>
      <c r="AE664" s="384"/>
      <c r="AF664" s="384"/>
      <c r="AG664" s="384"/>
      <c r="AH664" s="384"/>
      <c r="AI664" s="384"/>
      <c r="AJ664" s="384"/>
      <c r="AK664" s="384"/>
      <c r="AL664" s="384"/>
      <c r="AM664" s="384"/>
      <c r="AN664" s="384"/>
      <c r="AO664" s="384"/>
      <c r="AP664" s="384"/>
      <c r="AQ664" s="384"/>
      <c r="AR664" s="384"/>
    </row>
    <row r="665" spans="2:44" s="637" customFormat="1" ht="12" customHeight="1">
      <c r="B665" s="636"/>
      <c r="J665" s="729" t="s">
        <v>822</v>
      </c>
      <c r="K665" s="730"/>
      <c r="L665" s="727"/>
      <c r="M665" s="728"/>
      <c r="N665" s="705" t="s">
        <v>1107</v>
      </c>
      <c r="O665" s="705" t="s">
        <v>1162</v>
      </c>
      <c r="P665" s="728"/>
      <c r="X665" s="384"/>
      <c r="Y665" s="384"/>
      <c r="Z665" s="384"/>
      <c r="AA665" s="384"/>
      <c r="AB665" s="384"/>
      <c r="AC665" s="384"/>
      <c r="AD665" s="384"/>
      <c r="AE665" s="384"/>
      <c r="AF665" s="384"/>
      <c r="AG665" s="384"/>
      <c r="AH665" s="384"/>
      <c r="AI665" s="384"/>
      <c r="AJ665" s="384"/>
      <c r="AK665" s="384"/>
      <c r="AL665" s="384"/>
      <c r="AM665" s="384"/>
      <c r="AN665" s="384"/>
      <c r="AO665" s="384"/>
      <c r="AP665" s="384"/>
      <c r="AQ665" s="384"/>
      <c r="AR665" s="384"/>
    </row>
    <row r="666" spans="2:44" s="637" customFormat="1" ht="12" customHeight="1">
      <c r="B666" s="636"/>
      <c r="J666" s="729" t="s">
        <v>1566</v>
      </c>
      <c r="K666" s="730"/>
      <c r="L666" s="727"/>
      <c r="M666" s="728"/>
      <c r="N666" s="1180" t="s">
        <v>2414</v>
      </c>
      <c r="O666" s="1180" t="s">
        <v>2308</v>
      </c>
      <c r="P666" s="2029"/>
      <c r="X666" s="384"/>
      <c r="Y666" s="384"/>
      <c r="Z666" s="384"/>
      <c r="AA666" s="384"/>
      <c r="AB666" s="384"/>
      <c r="AC666" s="384"/>
      <c r="AD666" s="384"/>
      <c r="AE666" s="384"/>
      <c r="AF666" s="384"/>
      <c r="AG666" s="384"/>
      <c r="AH666" s="384"/>
      <c r="AI666" s="384"/>
      <c r="AJ666" s="384"/>
      <c r="AK666" s="384"/>
      <c r="AL666" s="384"/>
      <c r="AM666" s="384"/>
      <c r="AN666" s="384"/>
      <c r="AO666" s="384"/>
      <c r="AP666" s="384"/>
      <c r="AQ666" s="384"/>
      <c r="AR666" s="384"/>
    </row>
    <row r="667" spans="2:44" s="637" customFormat="1" ht="12" customHeight="1">
      <c r="B667" s="636"/>
      <c r="J667" s="729" t="s">
        <v>1568</v>
      </c>
      <c r="K667" s="730"/>
      <c r="L667" s="727"/>
      <c r="M667" s="728"/>
      <c r="N667" s="1180" t="s">
        <v>2416</v>
      </c>
      <c r="O667" s="1180" t="s">
        <v>704</v>
      </c>
      <c r="P667" s="728"/>
      <c r="X667" s="384"/>
      <c r="Y667" s="384"/>
      <c r="Z667" s="384"/>
      <c r="AA667" s="384"/>
      <c r="AB667" s="384"/>
      <c r="AC667" s="384"/>
      <c r="AD667" s="384"/>
      <c r="AE667" s="384"/>
      <c r="AF667" s="384"/>
      <c r="AG667" s="384"/>
      <c r="AH667" s="384"/>
      <c r="AI667" s="384"/>
      <c r="AJ667" s="384"/>
      <c r="AK667" s="384"/>
      <c r="AL667" s="384"/>
      <c r="AM667" s="384"/>
      <c r="AN667" s="384"/>
      <c r="AO667" s="384"/>
      <c r="AP667" s="384"/>
      <c r="AQ667" s="384"/>
      <c r="AR667" s="384"/>
    </row>
    <row r="668" spans="2:44" s="637" customFormat="1" ht="12" customHeight="1">
      <c r="B668" s="636"/>
      <c r="J668" s="729" t="s">
        <v>1570</v>
      </c>
      <c r="K668" s="730"/>
      <c r="L668" s="727"/>
      <c r="M668" s="728"/>
      <c r="N668" s="1180" t="s">
        <v>1894</v>
      </c>
      <c r="O668" s="1180" t="s">
        <v>783</v>
      </c>
      <c r="P668" s="728"/>
      <c r="X668" s="384"/>
      <c r="Y668" s="384"/>
      <c r="Z668" s="384"/>
      <c r="AA668" s="384"/>
      <c r="AB668" s="384"/>
      <c r="AC668" s="384"/>
      <c r="AD668" s="384"/>
      <c r="AE668" s="384"/>
      <c r="AF668" s="384"/>
      <c r="AG668" s="384"/>
      <c r="AH668" s="384"/>
      <c r="AI668" s="384"/>
      <c r="AJ668" s="384"/>
      <c r="AK668" s="384"/>
      <c r="AL668" s="384"/>
      <c r="AM668" s="384"/>
      <c r="AN668" s="384"/>
      <c r="AO668" s="384"/>
      <c r="AP668" s="384"/>
      <c r="AQ668" s="384"/>
      <c r="AR668" s="384"/>
    </row>
    <row r="669" spans="2:44" s="637" customFormat="1" ht="12" customHeight="1">
      <c r="B669" s="636"/>
      <c r="J669" s="729" t="s">
        <v>1391</v>
      </c>
      <c r="K669" s="730"/>
      <c r="L669" s="727"/>
      <c r="M669" s="728"/>
      <c r="N669" s="1180" t="s">
        <v>2692</v>
      </c>
      <c r="O669" s="1180" t="s">
        <v>2143</v>
      </c>
      <c r="P669" s="728"/>
      <c r="X669" s="384"/>
      <c r="Y669" s="384"/>
      <c r="Z669" s="384"/>
      <c r="AA669" s="384"/>
      <c r="AB669" s="384"/>
      <c r="AC669" s="384"/>
      <c r="AD669" s="384"/>
      <c r="AE669" s="384"/>
      <c r="AF669" s="384"/>
      <c r="AG669" s="384"/>
      <c r="AH669" s="384"/>
      <c r="AI669" s="384"/>
      <c r="AJ669" s="384"/>
      <c r="AK669" s="384"/>
      <c r="AL669" s="384"/>
      <c r="AM669" s="384"/>
      <c r="AN669" s="384"/>
      <c r="AO669" s="384"/>
      <c r="AP669" s="384"/>
      <c r="AQ669" s="384"/>
      <c r="AR669" s="384"/>
    </row>
    <row r="670" spans="2:44" s="637" customFormat="1" ht="12" customHeight="1">
      <c r="B670" s="636"/>
      <c r="J670" s="729" t="s">
        <v>1393</v>
      </c>
      <c r="K670" s="730"/>
      <c r="L670" s="727"/>
      <c r="M670" s="728"/>
      <c r="N670" s="1180" t="s">
        <v>2303</v>
      </c>
      <c r="O670" s="1180" t="s">
        <v>1283</v>
      </c>
      <c r="P670" s="728"/>
      <c r="X670" s="384"/>
      <c r="Y670" s="384"/>
      <c r="Z670" s="384"/>
      <c r="AA670" s="384"/>
      <c r="AB670" s="384"/>
      <c r="AC670" s="384"/>
      <c r="AD670" s="384"/>
      <c r="AE670" s="384"/>
      <c r="AF670" s="384"/>
      <c r="AG670" s="384"/>
      <c r="AH670" s="384"/>
      <c r="AI670" s="384"/>
      <c r="AJ670" s="384"/>
      <c r="AK670" s="384"/>
      <c r="AL670" s="384"/>
      <c r="AM670" s="384"/>
      <c r="AN670" s="384"/>
      <c r="AO670" s="384"/>
      <c r="AP670" s="384"/>
      <c r="AQ670" s="384"/>
      <c r="AR670" s="384"/>
    </row>
    <row r="671" spans="2:44" s="637" customFormat="1" ht="12" customHeight="1">
      <c r="B671" s="636"/>
      <c r="J671" s="729" t="s">
        <v>2127</v>
      </c>
      <c r="K671" s="730"/>
      <c r="L671" s="727"/>
      <c r="M671" s="728"/>
      <c r="N671" s="705" t="s">
        <v>1723</v>
      </c>
      <c r="O671" s="705" t="s">
        <v>706</v>
      </c>
      <c r="P671" s="728"/>
      <c r="X671" s="384"/>
      <c r="Y671" s="384"/>
      <c r="Z671" s="384"/>
      <c r="AA671" s="384"/>
      <c r="AB671" s="384"/>
      <c r="AC671" s="384"/>
      <c r="AD671" s="384"/>
      <c r="AE671" s="384"/>
      <c r="AF671" s="384"/>
      <c r="AG671" s="384"/>
      <c r="AH671" s="384"/>
      <c r="AI671" s="384"/>
      <c r="AJ671" s="384"/>
      <c r="AK671" s="384"/>
      <c r="AL671" s="384"/>
      <c r="AM671" s="384"/>
      <c r="AN671" s="384"/>
      <c r="AO671" s="384"/>
      <c r="AP671" s="384"/>
      <c r="AQ671" s="384"/>
      <c r="AR671" s="384"/>
    </row>
    <row r="672" spans="2:44" s="637" customFormat="1" ht="12" customHeight="1">
      <c r="B672" s="636"/>
      <c r="J672" s="729" t="s">
        <v>784</v>
      </c>
      <c r="K672" s="730"/>
      <c r="L672" s="727"/>
      <c r="M672" s="728"/>
      <c r="N672" s="1180" t="s">
        <v>886</v>
      </c>
      <c r="O672" s="1180" t="s">
        <v>1399</v>
      </c>
      <c r="P672" s="2029"/>
      <c r="X672" s="384"/>
      <c r="Y672" s="384"/>
      <c r="Z672" s="384"/>
      <c r="AA672" s="384"/>
      <c r="AB672" s="384"/>
      <c r="AC672" s="384"/>
      <c r="AD672" s="384"/>
      <c r="AE672" s="384"/>
      <c r="AF672" s="384"/>
      <c r="AG672" s="384"/>
      <c r="AH672" s="384"/>
      <c r="AI672" s="384"/>
      <c r="AJ672" s="384"/>
      <c r="AK672" s="384"/>
      <c r="AL672" s="384"/>
      <c r="AM672" s="384"/>
      <c r="AN672" s="384"/>
      <c r="AO672" s="384"/>
      <c r="AP672" s="384"/>
      <c r="AQ672" s="384"/>
      <c r="AR672" s="384"/>
    </row>
    <row r="673" spans="2:44" s="637" customFormat="1" ht="12" customHeight="1">
      <c r="B673" s="636"/>
      <c r="J673" s="729" t="s">
        <v>1346</v>
      </c>
      <c r="K673" s="730"/>
      <c r="L673" s="727"/>
      <c r="M673" s="728"/>
      <c r="N673" s="1180" t="s">
        <v>1726</v>
      </c>
      <c r="O673" s="1180" t="s">
        <v>2766</v>
      </c>
      <c r="P673" s="728"/>
      <c r="X673" s="384"/>
      <c r="Y673" s="384"/>
      <c r="Z673" s="384"/>
      <c r="AA673" s="384"/>
      <c r="AB673" s="384"/>
      <c r="AC673" s="384"/>
      <c r="AD673" s="384"/>
      <c r="AE673" s="384"/>
      <c r="AF673" s="384"/>
      <c r="AG673" s="384"/>
      <c r="AH673" s="384"/>
      <c r="AI673" s="384"/>
      <c r="AJ673" s="384"/>
      <c r="AK673" s="384"/>
      <c r="AL673" s="384"/>
      <c r="AM673" s="384"/>
      <c r="AN673" s="384"/>
      <c r="AO673" s="384"/>
      <c r="AP673" s="384"/>
      <c r="AQ673" s="384"/>
      <c r="AR673" s="384"/>
    </row>
    <row r="674" spans="2:44" s="637" customFormat="1" ht="12" customHeight="1">
      <c r="B674" s="636"/>
      <c r="J674" s="729" t="s">
        <v>2015</v>
      </c>
      <c r="K674" s="730"/>
      <c r="L674" s="727"/>
      <c r="M674" s="728"/>
      <c r="N674" s="1180" t="s">
        <v>1729</v>
      </c>
      <c r="O674" s="1180" t="s">
        <v>1744</v>
      </c>
      <c r="P674" s="728"/>
      <c r="X674" s="384"/>
      <c r="Y674" s="384"/>
      <c r="Z674" s="384"/>
      <c r="AA674" s="384"/>
      <c r="AB674" s="384"/>
      <c r="AC674" s="384"/>
      <c r="AD674" s="384"/>
      <c r="AE674" s="384"/>
      <c r="AF674" s="384"/>
      <c r="AG674" s="384"/>
      <c r="AH674" s="384"/>
      <c r="AI674" s="384"/>
      <c r="AJ674" s="384"/>
      <c r="AK674" s="384"/>
      <c r="AL674" s="384"/>
      <c r="AM674" s="384"/>
      <c r="AN674" s="384"/>
      <c r="AO674" s="384"/>
      <c r="AP674" s="384"/>
      <c r="AQ674" s="384"/>
      <c r="AR674" s="384"/>
    </row>
    <row r="675" spans="2:44" s="637" customFormat="1" ht="12" customHeight="1">
      <c r="B675" s="636"/>
      <c r="J675" s="729" t="s">
        <v>2016</v>
      </c>
      <c r="K675" s="730"/>
      <c r="L675" s="727"/>
      <c r="M675" s="728"/>
      <c r="N675" s="1180" t="s">
        <v>1136</v>
      </c>
      <c r="O675" s="1180" t="s">
        <v>1626</v>
      </c>
      <c r="P675" s="728"/>
      <c r="X675" s="384"/>
      <c r="Y675" s="384"/>
      <c r="Z675" s="384"/>
      <c r="AA675" s="384"/>
      <c r="AB675" s="384"/>
      <c r="AC675" s="384"/>
      <c r="AD675" s="384"/>
      <c r="AE675" s="384"/>
      <c r="AF675" s="384"/>
      <c r="AG675" s="384"/>
      <c r="AH675" s="384"/>
      <c r="AI675" s="384"/>
      <c r="AJ675" s="384"/>
      <c r="AK675" s="384"/>
      <c r="AL675" s="384"/>
      <c r="AM675" s="384"/>
      <c r="AN675" s="384"/>
      <c r="AO675" s="384"/>
      <c r="AP675" s="384"/>
      <c r="AQ675" s="384"/>
      <c r="AR675" s="384"/>
    </row>
    <row r="676" spans="2:44" s="637" customFormat="1" ht="12" customHeight="1">
      <c r="B676" s="636"/>
      <c r="J676" s="729" t="s">
        <v>2018</v>
      </c>
      <c r="K676" s="730"/>
      <c r="L676" s="727"/>
      <c r="M676" s="728"/>
      <c r="N676" s="1180" t="s">
        <v>2579</v>
      </c>
      <c r="O676" s="1180" t="s">
        <v>109</v>
      </c>
      <c r="P676" s="728"/>
      <c r="X676" s="384"/>
      <c r="Y676" s="384"/>
      <c r="Z676" s="384"/>
      <c r="AA676" s="384"/>
      <c r="AB676" s="384"/>
      <c r="AC676" s="384"/>
      <c r="AD676" s="384"/>
      <c r="AE676" s="384"/>
      <c r="AF676" s="384"/>
      <c r="AG676" s="384"/>
      <c r="AH676" s="384"/>
      <c r="AI676" s="384"/>
      <c r="AJ676" s="384"/>
      <c r="AK676" s="384"/>
      <c r="AL676" s="384"/>
      <c r="AM676" s="384"/>
      <c r="AN676" s="384"/>
      <c r="AO676" s="384"/>
      <c r="AP676" s="384"/>
      <c r="AQ676" s="384"/>
      <c r="AR676" s="384"/>
    </row>
    <row r="677" spans="2:44" s="637" customFormat="1" ht="12" customHeight="1">
      <c r="B677" s="636"/>
      <c r="J677" s="729" t="s">
        <v>2020</v>
      </c>
      <c r="K677" s="730"/>
      <c r="L677" s="727"/>
      <c r="M677" s="728"/>
      <c r="N677" s="1180" t="s">
        <v>869</v>
      </c>
      <c r="O677" s="1180" t="s">
        <v>1283</v>
      </c>
      <c r="P677" s="728"/>
      <c r="X677" s="384"/>
      <c r="Y677" s="384"/>
      <c r="Z677" s="384"/>
      <c r="AA677" s="384"/>
      <c r="AB677" s="384"/>
      <c r="AC677" s="384"/>
      <c r="AD677" s="384"/>
      <c r="AE677" s="384"/>
      <c r="AF677" s="384"/>
      <c r="AG677" s="384"/>
      <c r="AH677" s="384"/>
      <c r="AI677" s="384"/>
      <c r="AJ677" s="384"/>
      <c r="AK677" s="384"/>
      <c r="AL677" s="384"/>
      <c r="AM677" s="384"/>
      <c r="AN677" s="384"/>
      <c r="AO677" s="384"/>
      <c r="AP677" s="384"/>
      <c r="AQ677" s="384"/>
      <c r="AR677" s="384"/>
    </row>
    <row r="678" spans="2:44" s="637" customFormat="1" ht="12" customHeight="1">
      <c r="B678" s="636"/>
      <c r="J678" s="729" t="s">
        <v>2022</v>
      </c>
      <c r="K678" s="730"/>
      <c r="L678" s="727"/>
      <c r="M678" s="728"/>
      <c r="N678" s="1180" t="s">
        <v>1389</v>
      </c>
      <c r="O678" s="1180" t="s">
        <v>2043</v>
      </c>
      <c r="P678" s="728"/>
      <c r="X678" s="384"/>
      <c r="Y678" s="384"/>
      <c r="Z678" s="384"/>
      <c r="AA678" s="384"/>
      <c r="AB678" s="384"/>
      <c r="AC678" s="384"/>
      <c r="AD678" s="384"/>
      <c r="AE678" s="384"/>
      <c r="AF678" s="384"/>
      <c r="AG678" s="384"/>
      <c r="AH678" s="384"/>
      <c r="AI678" s="384"/>
      <c r="AJ678" s="384"/>
      <c r="AK678" s="384"/>
      <c r="AL678" s="384"/>
      <c r="AM678" s="384"/>
      <c r="AN678" s="384"/>
      <c r="AO678" s="384"/>
      <c r="AP678" s="384"/>
      <c r="AQ678" s="384"/>
      <c r="AR678" s="384"/>
    </row>
    <row r="679" spans="2:44" s="637" customFormat="1" ht="12" customHeight="1">
      <c r="B679" s="636"/>
      <c r="J679" s="729" t="s">
        <v>533</v>
      </c>
      <c r="K679" s="730"/>
      <c r="L679" s="727"/>
      <c r="M679" s="728"/>
      <c r="N679" s="1180" t="s">
        <v>175</v>
      </c>
      <c r="O679" s="1180" t="s">
        <v>1415</v>
      </c>
      <c r="P679" s="728"/>
      <c r="X679" s="384"/>
      <c r="Y679" s="384"/>
      <c r="Z679" s="384"/>
      <c r="AA679" s="384"/>
      <c r="AB679" s="384"/>
      <c r="AC679" s="384"/>
      <c r="AD679" s="384"/>
      <c r="AE679" s="384"/>
      <c r="AF679" s="384"/>
      <c r="AG679" s="384"/>
      <c r="AH679" s="384"/>
      <c r="AI679" s="384"/>
      <c r="AJ679" s="384"/>
      <c r="AK679" s="384"/>
      <c r="AL679" s="384"/>
      <c r="AM679" s="384"/>
      <c r="AN679" s="384"/>
      <c r="AO679" s="384"/>
      <c r="AP679" s="384"/>
      <c r="AQ679" s="384"/>
      <c r="AR679" s="384"/>
    </row>
    <row r="680" spans="2:44" s="637" customFormat="1" ht="12" customHeight="1">
      <c r="B680" s="636"/>
      <c r="J680" s="729" t="s">
        <v>2708</v>
      </c>
      <c r="K680" s="730"/>
      <c r="L680" s="727"/>
      <c r="M680" s="728"/>
      <c r="N680" s="1180" t="s">
        <v>1050</v>
      </c>
      <c r="O680" s="1180" t="s">
        <v>1778</v>
      </c>
      <c r="P680" s="728"/>
      <c r="X680" s="384"/>
      <c r="Y680" s="384"/>
      <c r="Z680" s="384"/>
      <c r="AA680" s="384"/>
      <c r="AB680" s="384"/>
      <c r="AC680" s="384"/>
      <c r="AD680" s="384"/>
      <c r="AE680" s="384"/>
      <c r="AF680" s="384"/>
      <c r="AG680" s="384"/>
      <c r="AH680" s="384"/>
      <c r="AI680" s="384"/>
      <c r="AJ680" s="384"/>
      <c r="AK680" s="384"/>
      <c r="AL680" s="384"/>
      <c r="AM680" s="384"/>
      <c r="AN680" s="384"/>
      <c r="AO680" s="384"/>
      <c r="AP680" s="384"/>
      <c r="AQ680" s="384"/>
      <c r="AR680" s="384"/>
    </row>
    <row r="681" spans="2:44" s="637" customFormat="1" ht="12" customHeight="1">
      <c r="B681" s="636"/>
      <c r="J681" s="729" t="s">
        <v>2710</v>
      </c>
      <c r="K681" s="730"/>
      <c r="L681" s="727"/>
      <c r="M681" s="728"/>
      <c r="N681" s="1180" t="s">
        <v>3509</v>
      </c>
      <c r="O681" s="1180" t="s">
        <v>344</v>
      </c>
      <c r="P681" s="728"/>
      <c r="X681" s="384"/>
      <c r="Y681" s="384"/>
      <c r="Z681" s="384"/>
      <c r="AA681" s="384"/>
      <c r="AB681" s="384"/>
      <c r="AC681" s="384"/>
      <c r="AD681" s="384"/>
      <c r="AE681" s="384"/>
      <c r="AF681" s="384"/>
      <c r="AG681" s="384"/>
      <c r="AH681" s="384"/>
      <c r="AI681" s="384"/>
      <c r="AJ681" s="384"/>
      <c r="AK681" s="384"/>
      <c r="AL681" s="384"/>
      <c r="AM681" s="384"/>
      <c r="AN681" s="384"/>
      <c r="AO681" s="384"/>
      <c r="AP681" s="384"/>
      <c r="AQ681" s="384"/>
      <c r="AR681" s="384"/>
    </row>
    <row r="682" spans="2:44" s="637" customFormat="1" ht="12" customHeight="1">
      <c r="B682" s="636"/>
      <c r="J682" s="729" t="s">
        <v>1224</v>
      </c>
      <c r="K682" s="730"/>
      <c r="L682" s="727"/>
      <c r="M682" s="728"/>
      <c r="N682" s="705" t="s">
        <v>3510</v>
      </c>
      <c r="O682" s="705" t="s">
        <v>117</v>
      </c>
      <c r="P682" s="728"/>
      <c r="X682" s="384"/>
      <c r="Y682" s="384"/>
      <c r="Z682" s="384"/>
      <c r="AA682" s="384"/>
      <c r="AB682" s="384"/>
      <c r="AC682" s="384"/>
      <c r="AD682" s="384"/>
      <c r="AE682" s="384"/>
      <c r="AF682" s="384"/>
      <c r="AG682" s="384"/>
      <c r="AH682" s="384"/>
      <c r="AI682" s="384"/>
      <c r="AJ682" s="384"/>
      <c r="AK682" s="384"/>
      <c r="AL682" s="384"/>
      <c r="AM682" s="384"/>
      <c r="AN682" s="384"/>
      <c r="AO682" s="384"/>
      <c r="AP682" s="384"/>
      <c r="AQ682" s="384"/>
      <c r="AR682" s="384"/>
    </row>
    <row r="683" spans="2:44" s="637" customFormat="1" ht="12" customHeight="1">
      <c r="B683" s="636"/>
      <c r="J683" s="729" t="s">
        <v>2687</v>
      </c>
      <c r="K683" s="730"/>
      <c r="L683" s="727"/>
      <c r="M683" s="728"/>
      <c r="N683" s="1180" t="s">
        <v>1412</v>
      </c>
      <c r="O683" s="1180" t="s">
        <v>166</v>
      </c>
      <c r="P683" s="2029"/>
      <c r="X683" s="384"/>
      <c r="Y683" s="384"/>
      <c r="Z683" s="384"/>
      <c r="AA683" s="384"/>
      <c r="AB683" s="384"/>
      <c r="AC683" s="384"/>
      <c r="AD683" s="384"/>
      <c r="AE683" s="384"/>
      <c r="AF683" s="384"/>
      <c r="AG683" s="384"/>
      <c r="AH683" s="384"/>
      <c r="AI683" s="384"/>
      <c r="AJ683" s="384"/>
      <c r="AK683" s="384"/>
      <c r="AL683" s="384"/>
      <c r="AM683" s="384"/>
      <c r="AN683" s="384"/>
      <c r="AO683" s="384"/>
      <c r="AP683" s="384"/>
      <c r="AQ683" s="384"/>
      <c r="AR683" s="384"/>
    </row>
    <row r="684" spans="2:44" s="637" customFormat="1" ht="12" customHeight="1">
      <c r="B684" s="636"/>
      <c r="J684" s="729" t="s">
        <v>2689</v>
      </c>
      <c r="K684" s="730"/>
      <c r="L684" s="727"/>
      <c r="M684" s="728"/>
      <c r="N684" s="1180" t="s">
        <v>2699</v>
      </c>
      <c r="O684" s="1180" t="s">
        <v>926</v>
      </c>
      <c r="P684" s="728"/>
      <c r="X684" s="384"/>
      <c r="Y684" s="384"/>
      <c r="Z684" s="384"/>
      <c r="AA684" s="384"/>
      <c r="AB684" s="384"/>
      <c r="AC684" s="384"/>
      <c r="AD684" s="384"/>
      <c r="AE684" s="384"/>
      <c r="AF684" s="384"/>
      <c r="AG684" s="384"/>
      <c r="AH684" s="384"/>
      <c r="AI684" s="384"/>
      <c r="AJ684" s="384"/>
      <c r="AK684" s="384"/>
      <c r="AL684" s="384"/>
      <c r="AM684" s="384"/>
      <c r="AN684" s="384"/>
      <c r="AO684" s="384"/>
      <c r="AP684" s="384"/>
      <c r="AQ684" s="384"/>
      <c r="AR684" s="384"/>
    </row>
    <row r="685" spans="2:44" s="637" customFormat="1" ht="12" customHeight="1">
      <c r="B685" s="636"/>
      <c r="J685" s="729" t="s">
        <v>1637</v>
      </c>
      <c r="K685" s="730"/>
      <c r="L685" s="727"/>
      <c r="M685" s="728"/>
      <c r="N685" s="1180" t="s">
        <v>1137</v>
      </c>
      <c r="O685" s="1180" t="s">
        <v>669</v>
      </c>
      <c r="P685" s="728"/>
      <c r="X685" s="384"/>
      <c r="Y685" s="384"/>
      <c r="Z685" s="384"/>
      <c r="AA685" s="384"/>
      <c r="AB685" s="384"/>
      <c r="AC685" s="384"/>
      <c r="AD685" s="384"/>
      <c r="AE685" s="384"/>
      <c r="AF685" s="384"/>
      <c r="AG685" s="384"/>
      <c r="AH685" s="384"/>
      <c r="AI685" s="384"/>
      <c r="AJ685" s="384"/>
      <c r="AK685" s="384"/>
      <c r="AL685" s="384"/>
      <c r="AM685" s="384"/>
      <c r="AN685" s="384"/>
      <c r="AO685" s="384"/>
      <c r="AP685" s="384"/>
      <c r="AQ685" s="384"/>
      <c r="AR685" s="384"/>
    </row>
    <row r="686" spans="2:44" s="637" customFormat="1" ht="12" customHeight="1">
      <c r="B686" s="636"/>
      <c r="J686" s="729" t="s">
        <v>1638</v>
      </c>
      <c r="K686" s="730"/>
      <c r="L686" s="727"/>
      <c r="M686" s="728"/>
      <c r="N686" s="1180" t="s">
        <v>2308</v>
      </c>
      <c r="O686" s="1180" t="s">
        <v>111</v>
      </c>
      <c r="P686" s="728"/>
      <c r="X686" s="384"/>
      <c r="Y686" s="384"/>
      <c r="Z686" s="384"/>
      <c r="AA686" s="384"/>
      <c r="AB686" s="384"/>
      <c r="AC686" s="384"/>
      <c r="AD686" s="384"/>
      <c r="AE686" s="384"/>
      <c r="AF686" s="384"/>
      <c r="AG686" s="384"/>
      <c r="AH686" s="384"/>
      <c r="AI686" s="384"/>
      <c r="AJ686" s="384"/>
      <c r="AK686" s="384"/>
      <c r="AL686" s="384"/>
      <c r="AM686" s="384"/>
      <c r="AN686" s="384"/>
      <c r="AO686" s="384"/>
      <c r="AP686" s="384"/>
      <c r="AQ686" s="384"/>
      <c r="AR686" s="384"/>
    </row>
    <row r="687" spans="2:44" s="637" customFormat="1" ht="12" customHeight="1">
      <c r="B687" s="636"/>
      <c r="J687" s="729" t="s">
        <v>2238</v>
      </c>
      <c r="K687" s="730"/>
      <c r="L687" s="727"/>
      <c r="M687" s="728"/>
      <c r="N687" s="1180" t="s">
        <v>3209</v>
      </c>
      <c r="O687" s="1180" t="s">
        <v>1717</v>
      </c>
      <c r="P687" s="728"/>
      <c r="X687" s="384"/>
      <c r="Y687" s="384"/>
      <c r="Z687" s="384"/>
      <c r="AA687" s="384"/>
      <c r="AB687" s="384"/>
      <c r="AC687" s="384"/>
      <c r="AD687" s="384"/>
      <c r="AE687" s="384"/>
      <c r="AF687" s="384"/>
      <c r="AG687" s="384"/>
      <c r="AH687" s="384"/>
      <c r="AI687" s="384"/>
      <c r="AJ687" s="384"/>
      <c r="AK687" s="384"/>
      <c r="AL687" s="384"/>
      <c r="AM687" s="384"/>
      <c r="AN687" s="384"/>
      <c r="AO687" s="384"/>
      <c r="AP687" s="384"/>
      <c r="AQ687" s="384"/>
      <c r="AR687" s="384"/>
    </row>
    <row r="688" spans="2:44" s="637" customFormat="1" ht="12" customHeight="1">
      <c r="B688" s="636"/>
      <c r="J688" s="729" t="s">
        <v>2239</v>
      </c>
      <c r="K688" s="730"/>
      <c r="L688" s="727"/>
      <c r="M688" s="728"/>
      <c r="N688" s="1180" t="s">
        <v>1567</v>
      </c>
      <c r="O688" s="1180" t="s">
        <v>2704</v>
      </c>
      <c r="P688" s="728"/>
      <c r="X688" s="384"/>
      <c r="Y688" s="384"/>
      <c r="Z688" s="384"/>
      <c r="AA688" s="384"/>
      <c r="AB688" s="384"/>
      <c r="AC688" s="384"/>
      <c r="AD688" s="384"/>
      <c r="AE688" s="384"/>
      <c r="AF688" s="384"/>
      <c r="AG688" s="384"/>
      <c r="AH688" s="384"/>
      <c r="AI688" s="384"/>
      <c r="AJ688" s="384"/>
      <c r="AK688" s="384"/>
      <c r="AL688" s="384"/>
      <c r="AM688" s="384"/>
      <c r="AN688" s="384"/>
      <c r="AO688" s="384"/>
      <c r="AP688" s="384"/>
      <c r="AQ688" s="384"/>
      <c r="AR688" s="384"/>
    </row>
    <row r="689" spans="2:44" s="637" customFormat="1" ht="12" customHeight="1">
      <c r="B689" s="636"/>
      <c r="J689" s="729" t="s">
        <v>1732</v>
      </c>
      <c r="K689" s="730"/>
      <c r="L689" s="727"/>
      <c r="M689" s="728"/>
      <c r="N689" s="1180" t="s">
        <v>3511</v>
      </c>
      <c r="O689" s="1180" t="s">
        <v>2085</v>
      </c>
      <c r="P689" s="728"/>
      <c r="X689" s="384"/>
      <c r="Y689" s="384"/>
      <c r="Z689" s="384"/>
      <c r="AA689" s="384"/>
      <c r="AB689" s="384"/>
      <c r="AC689" s="384"/>
      <c r="AD689" s="384"/>
      <c r="AE689" s="384"/>
      <c r="AF689" s="384"/>
      <c r="AG689" s="384"/>
      <c r="AH689" s="384"/>
      <c r="AI689" s="384"/>
      <c r="AJ689" s="384"/>
      <c r="AK689" s="384"/>
      <c r="AL689" s="384"/>
      <c r="AM689" s="384"/>
      <c r="AN689" s="384"/>
      <c r="AO689" s="384"/>
      <c r="AP689" s="384"/>
      <c r="AQ689" s="384"/>
      <c r="AR689" s="384"/>
    </row>
    <row r="690" spans="2:44" s="637" customFormat="1" ht="12" customHeight="1">
      <c r="B690" s="636"/>
      <c r="J690" s="729" t="s">
        <v>1734</v>
      </c>
      <c r="K690" s="730"/>
      <c r="L690" s="727"/>
      <c r="M690" s="728"/>
      <c r="N690" s="1180" t="s">
        <v>1569</v>
      </c>
      <c r="O690" s="1180" t="s">
        <v>343</v>
      </c>
      <c r="P690" s="728"/>
      <c r="X690" s="384"/>
      <c r="Y690" s="384"/>
      <c r="Z690" s="384"/>
      <c r="AA690" s="384"/>
      <c r="AB690" s="384"/>
      <c r="AC690" s="384"/>
      <c r="AD690" s="384"/>
      <c r="AE690" s="384"/>
      <c r="AF690" s="384"/>
      <c r="AG690" s="384"/>
      <c r="AH690" s="384"/>
      <c r="AI690" s="384"/>
      <c r="AJ690" s="384"/>
      <c r="AK690" s="384"/>
      <c r="AL690" s="384"/>
      <c r="AM690" s="384"/>
      <c r="AN690" s="384"/>
      <c r="AO690" s="384"/>
      <c r="AP690" s="384"/>
      <c r="AQ690" s="384"/>
      <c r="AR690" s="384"/>
    </row>
    <row r="691" spans="2:44" s="637" customFormat="1" ht="12" customHeight="1">
      <c r="B691" s="636"/>
      <c r="J691" s="729" t="s">
        <v>992</v>
      </c>
      <c r="K691" s="730"/>
      <c r="L691" s="727"/>
      <c r="M691" s="728"/>
      <c r="N691" s="1180" t="s">
        <v>1138</v>
      </c>
      <c r="O691" s="1180" t="s">
        <v>704</v>
      </c>
      <c r="P691" s="728"/>
      <c r="X691" s="384"/>
      <c r="Y691" s="384"/>
      <c r="Z691" s="384"/>
      <c r="AA691" s="384"/>
      <c r="AB691" s="384"/>
      <c r="AC691" s="384"/>
      <c r="AD691" s="384"/>
      <c r="AE691" s="384"/>
      <c r="AF691" s="384"/>
      <c r="AG691" s="384"/>
      <c r="AH691" s="384"/>
      <c r="AI691" s="384"/>
      <c r="AJ691" s="384"/>
      <c r="AK691" s="384"/>
      <c r="AL691" s="384"/>
      <c r="AM691" s="384"/>
      <c r="AN691" s="384"/>
      <c r="AO691" s="384"/>
      <c r="AP691" s="384"/>
      <c r="AQ691" s="384"/>
      <c r="AR691" s="384"/>
    </row>
    <row r="692" spans="2:44" s="637" customFormat="1" ht="12" customHeight="1">
      <c r="B692" s="636"/>
      <c r="J692" s="729" t="s">
        <v>994</v>
      </c>
      <c r="K692" s="730"/>
      <c r="L692" s="727"/>
      <c r="M692" s="728"/>
      <c r="N692" s="1180" t="s">
        <v>1392</v>
      </c>
      <c r="O692" s="1180" t="s">
        <v>2321</v>
      </c>
      <c r="P692" s="728"/>
      <c r="X692" s="384"/>
      <c r="Y692" s="384"/>
      <c r="Z692" s="384"/>
      <c r="AA692" s="384"/>
      <c r="AB692" s="384"/>
      <c r="AC692" s="384"/>
      <c r="AD692" s="384"/>
      <c r="AE692" s="384"/>
      <c r="AF692" s="384"/>
      <c r="AG692" s="384"/>
      <c r="AH692" s="384"/>
      <c r="AI692" s="384"/>
      <c r="AJ692" s="384"/>
      <c r="AK692" s="384"/>
      <c r="AL692" s="384"/>
      <c r="AM692" s="384"/>
      <c r="AN692" s="384"/>
      <c r="AO692" s="384"/>
      <c r="AP692" s="384"/>
      <c r="AQ692" s="384"/>
      <c r="AR692" s="384"/>
    </row>
    <row r="693" spans="2:44" s="637" customFormat="1" ht="12" customHeight="1">
      <c r="B693" s="636"/>
      <c r="J693" s="729" t="s">
        <v>996</v>
      </c>
      <c r="K693" s="730"/>
      <c r="L693" s="727"/>
      <c r="M693" s="728"/>
      <c r="N693" s="1180" t="s">
        <v>1394</v>
      </c>
      <c r="O693" s="1180" t="s">
        <v>2704</v>
      </c>
      <c r="P693" s="728"/>
      <c r="X693" s="384"/>
      <c r="Y693" s="384"/>
      <c r="Z693" s="384"/>
      <c r="AA693" s="384"/>
      <c r="AB693" s="384"/>
      <c r="AC693" s="384"/>
      <c r="AD693" s="384"/>
      <c r="AE693" s="384"/>
      <c r="AF693" s="384"/>
      <c r="AG693" s="384"/>
      <c r="AH693" s="384"/>
      <c r="AI693" s="384"/>
      <c r="AJ693" s="384"/>
      <c r="AK693" s="384"/>
      <c r="AL693" s="384"/>
      <c r="AM693" s="384"/>
      <c r="AN693" s="384"/>
      <c r="AO693" s="384"/>
      <c r="AP693" s="384"/>
      <c r="AQ693" s="384"/>
      <c r="AR693" s="384"/>
    </row>
    <row r="694" spans="2:44" s="637" customFormat="1" ht="12" customHeight="1">
      <c r="B694" s="636"/>
      <c r="J694" s="729" t="s">
        <v>2669</v>
      </c>
      <c r="K694" s="730"/>
      <c r="L694" s="727"/>
      <c r="M694" s="728"/>
      <c r="N694" s="705" t="s">
        <v>2128</v>
      </c>
      <c r="O694" s="705" t="s">
        <v>1172</v>
      </c>
      <c r="P694" s="728"/>
      <c r="X694" s="384"/>
      <c r="Y694" s="384"/>
      <c r="Z694" s="384"/>
      <c r="AA694" s="384"/>
      <c r="AB694" s="384"/>
      <c r="AC694" s="384"/>
      <c r="AD694" s="384"/>
      <c r="AE694" s="384"/>
      <c r="AF694" s="384"/>
      <c r="AG694" s="384"/>
      <c r="AH694" s="384"/>
      <c r="AI694" s="384"/>
      <c r="AJ694" s="384"/>
      <c r="AK694" s="384"/>
      <c r="AL694" s="384"/>
      <c r="AM694" s="384"/>
      <c r="AN694" s="384"/>
      <c r="AO694" s="384"/>
      <c r="AP694" s="384"/>
      <c r="AQ694" s="384"/>
      <c r="AR694" s="384"/>
    </row>
    <row r="695" spans="2:44" s="637" customFormat="1" ht="12" customHeight="1">
      <c r="B695" s="636"/>
      <c r="J695" s="729" t="s">
        <v>2671</v>
      </c>
      <c r="K695" s="730"/>
      <c r="L695" s="727"/>
      <c r="M695" s="728"/>
      <c r="N695" s="705" t="s">
        <v>785</v>
      </c>
      <c r="O695" s="705" t="s">
        <v>333</v>
      </c>
      <c r="P695" s="2029"/>
      <c r="X695" s="384"/>
      <c r="Y695" s="384"/>
      <c r="Z695" s="384"/>
      <c r="AA695" s="384"/>
      <c r="AB695" s="384"/>
      <c r="AC695" s="384"/>
      <c r="AD695" s="384"/>
      <c r="AE695" s="384"/>
      <c r="AF695" s="384"/>
      <c r="AG695" s="384"/>
      <c r="AH695" s="384"/>
      <c r="AI695" s="384"/>
      <c r="AJ695" s="384"/>
      <c r="AK695" s="384"/>
      <c r="AL695" s="384"/>
      <c r="AM695" s="384"/>
      <c r="AN695" s="384"/>
      <c r="AO695" s="384"/>
      <c r="AP695" s="384"/>
      <c r="AQ695" s="384"/>
      <c r="AR695" s="384"/>
    </row>
    <row r="696" spans="2:44" s="637" customFormat="1" ht="12" customHeight="1">
      <c r="B696" s="636"/>
      <c r="J696" s="729" t="s">
        <v>2672</v>
      </c>
      <c r="K696" s="730"/>
      <c r="L696" s="727"/>
      <c r="M696" s="728"/>
      <c r="N696" s="1180" t="s">
        <v>1347</v>
      </c>
      <c r="O696" s="1180" t="s">
        <v>717</v>
      </c>
      <c r="P696" s="2029"/>
      <c r="X696" s="384"/>
      <c r="Y696" s="384"/>
      <c r="Z696" s="384"/>
      <c r="AA696" s="384"/>
      <c r="AB696" s="384"/>
      <c r="AC696" s="384"/>
      <c r="AD696" s="384"/>
      <c r="AE696" s="384"/>
      <c r="AF696" s="384"/>
      <c r="AG696" s="384"/>
      <c r="AH696" s="384"/>
      <c r="AI696" s="384"/>
      <c r="AJ696" s="384"/>
      <c r="AK696" s="384"/>
      <c r="AL696" s="384"/>
      <c r="AM696" s="384"/>
      <c r="AN696" s="384"/>
      <c r="AO696" s="384"/>
      <c r="AP696" s="384"/>
      <c r="AQ696" s="384"/>
      <c r="AR696" s="384"/>
    </row>
    <row r="697" spans="2:44" s="637" customFormat="1" ht="12" customHeight="1">
      <c r="B697" s="636"/>
      <c r="J697" s="729" t="s">
        <v>2034</v>
      </c>
      <c r="K697" s="730"/>
      <c r="L697" s="727"/>
      <c r="M697" s="728"/>
      <c r="N697" s="1180" t="s">
        <v>1139</v>
      </c>
      <c r="O697" s="1180" t="s">
        <v>166</v>
      </c>
      <c r="P697" s="728"/>
      <c r="X697" s="384"/>
      <c r="Y697" s="384"/>
      <c r="Z697" s="384"/>
      <c r="AA697" s="384"/>
      <c r="AB697" s="384"/>
      <c r="AC697" s="384"/>
      <c r="AD697" s="384"/>
      <c r="AE697" s="384"/>
      <c r="AF697" s="384"/>
      <c r="AG697" s="384"/>
      <c r="AH697" s="384"/>
      <c r="AI697" s="384"/>
      <c r="AJ697" s="384"/>
      <c r="AK697" s="384"/>
      <c r="AL697" s="384"/>
      <c r="AM697" s="384"/>
      <c r="AN697" s="384"/>
      <c r="AO697" s="384"/>
      <c r="AP697" s="384"/>
      <c r="AQ697" s="384"/>
      <c r="AR697" s="384"/>
    </row>
    <row r="698" spans="2:44" s="637" customFormat="1" ht="12" customHeight="1">
      <c r="B698" s="636"/>
      <c r="J698" s="729" t="s">
        <v>2035</v>
      </c>
      <c r="K698" s="730"/>
      <c r="L698" s="727"/>
      <c r="M698" s="728"/>
      <c r="N698" s="1180" t="s">
        <v>2017</v>
      </c>
      <c r="O698" s="1180" t="s">
        <v>1170</v>
      </c>
      <c r="P698" s="728"/>
      <c r="X698" s="384"/>
      <c r="Y698" s="384"/>
      <c r="Z698" s="384"/>
      <c r="AA698" s="384"/>
      <c r="AB698" s="384"/>
      <c r="AC698" s="384"/>
      <c r="AD698" s="384"/>
      <c r="AE698" s="384"/>
      <c r="AF698" s="384"/>
      <c r="AG698" s="384"/>
      <c r="AH698" s="384"/>
      <c r="AI698" s="384"/>
      <c r="AJ698" s="384"/>
      <c r="AK698" s="384"/>
      <c r="AL698" s="384"/>
      <c r="AM698" s="384"/>
      <c r="AN698" s="384"/>
      <c r="AO698" s="384"/>
      <c r="AP698" s="384"/>
      <c r="AQ698" s="384"/>
      <c r="AR698" s="384"/>
    </row>
    <row r="699" spans="2:44" s="637" customFormat="1" ht="12" customHeight="1">
      <c r="B699" s="636"/>
      <c r="J699" s="729" t="s">
        <v>2037</v>
      </c>
      <c r="K699" s="730"/>
      <c r="L699" s="727"/>
      <c r="M699" s="728"/>
      <c r="N699" s="1180" t="s">
        <v>2019</v>
      </c>
      <c r="O699" s="1180" t="s">
        <v>1551</v>
      </c>
      <c r="P699" s="728"/>
      <c r="X699" s="384"/>
      <c r="Y699" s="384"/>
      <c r="Z699" s="384"/>
      <c r="AA699" s="384"/>
      <c r="AB699" s="384"/>
      <c r="AC699" s="384"/>
      <c r="AD699" s="384"/>
      <c r="AE699" s="384"/>
      <c r="AF699" s="384"/>
      <c r="AG699" s="384"/>
      <c r="AH699" s="384"/>
      <c r="AI699" s="384"/>
      <c r="AJ699" s="384"/>
      <c r="AK699" s="384"/>
      <c r="AL699" s="384"/>
      <c r="AM699" s="384"/>
      <c r="AN699" s="384"/>
      <c r="AO699" s="384"/>
      <c r="AP699" s="384"/>
      <c r="AQ699" s="384"/>
      <c r="AR699" s="384"/>
    </row>
    <row r="700" spans="2:44" s="637" customFormat="1" ht="12" customHeight="1">
      <c r="B700" s="636"/>
      <c r="J700" s="729" t="s">
        <v>687</v>
      </c>
      <c r="K700" s="730"/>
      <c r="L700" s="727"/>
      <c r="M700" s="728"/>
      <c r="N700" s="1180" t="s">
        <v>2021</v>
      </c>
      <c r="O700" s="1180" t="s">
        <v>2654</v>
      </c>
      <c r="P700" s="728"/>
      <c r="X700" s="384"/>
      <c r="Y700" s="384"/>
      <c r="Z700" s="384"/>
      <c r="AA700" s="384"/>
      <c r="AB700" s="384"/>
      <c r="AC700" s="384"/>
      <c r="AD700" s="384"/>
      <c r="AE700" s="384"/>
      <c r="AF700" s="384"/>
      <c r="AG700" s="384"/>
      <c r="AH700" s="384"/>
      <c r="AI700" s="384"/>
      <c r="AJ700" s="384"/>
      <c r="AK700" s="384"/>
      <c r="AL700" s="384"/>
      <c r="AM700" s="384"/>
      <c r="AN700" s="384"/>
      <c r="AO700" s="384"/>
      <c r="AP700" s="384"/>
      <c r="AQ700" s="384"/>
      <c r="AR700" s="384"/>
    </row>
    <row r="701" spans="2:44" s="637" customFormat="1" ht="12" customHeight="1">
      <c r="B701" s="636"/>
      <c r="J701" s="729" t="s">
        <v>689</v>
      </c>
      <c r="K701" s="730"/>
      <c r="L701" s="727"/>
      <c r="M701" s="728"/>
      <c r="N701" s="1180" t="s">
        <v>2023</v>
      </c>
      <c r="O701" s="1180" t="s">
        <v>124</v>
      </c>
      <c r="P701" s="728"/>
      <c r="X701" s="384"/>
      <c r="Y701" s="384"/>
      <c r="Z701" s="384"/>
      <c r="AA701" s="384"/>
      <c r="AB701" s="384"/>
      <c r="AC701" s="384"/>
      <c r="AD701" s="384"/>
      <c r="AE701" s="384"/>
      <c r="AF701" s="384"/>
      <c r="AG701" s="384"/>
      <c r="AH701" s="384"/>
      <c r="AI701" s="384"/>
      <c r="AJ701" s="384"/>
      <c r="AK701" s="384"/>
      <c r="AL701" s="384"/>
      <c r="AM701" s="384"/>
      <c r="AN701" s="384"/>
      <c r="AO701" s="384"/>
      <c r="AP701" s="384"/>
      <c r="AQ701" s="384"/>
      <c r="AR701" s="384"/>
    </row>
    <row r="702" spans="2:44" s="637" customFormat="1" ht="12" customHeight="1">
      <c r="B702" s="636"/>
      <c r="J702" s="729" t="s">
        <v>690</v>
      </c>
      <c r="K702" s="730"/>
      <c r="L702" s="727"/>
      <c r="M702" s="728"/>
      <c r="N702" s="1180" t="s">
        <v>534</v>
      </c>
      <c r="O702" s="1180" t="s">
        <v>2144</v>
      </c>
      <c r="P702" s="728"/>
      <c r="X702" s="384"/>
      <c r="Y702" s="384"/>
      <c r="Z702" s="384"/>
      <c r="AA702" s="384"/>
      <c r="AB702" s="384"/>
      <c r="AC702" s="384"/>
      <c r="AD702" s="384"/>
      <c r="AE702" s="384"/>
      <c r="AF702" s="384"/>
      <c r="AG702" s="384"/>
      <c r="AH702" s="384"/>
      <c r="AI702" s="384"/>
      <c r="AJ702" s="384"/>
      <c r="AK702" s="384"/>
      <c r="AL702" s="384"/>
      <c r="AM702" s="384"/>
      <c r="AN702" s="384"/>
      <c r="AO702" s="384"/>
      <c r="AP702" s="384"/>
      <c r="AQ702" s="384"/>
      <c r="AR702" s="384"/>
    </row>
    <row r="703" spans="2:44" s="637" customFormat="1" ht="12" customHeight="1">
      <c r="B703" s="636"/>
      <c r="J703" s="729" t="s">
        <v>2457</v>
      </c>
      <c r="K703" s="730"/>
      <c r="L703" s="727"/>
      <c r="M703" s="728"/>
      <c r="N703" s="1180" t="s">
        <v>2709</v>
      </c>
      <c r="O703" s="1180" t="s">
        <v>2047</v>
      </c>
      <c r="P703" s="728"/>
      <c r="X703" s="384"/>
      <c r="Y703" s="384"/>
      <c r="Z703" s="384"/>
      <c r="AA703" s="384"/>
      <c r="AB703" s="384"/>
      <c r="AC703" s="384"/>
      <c r="AD703" s="384"/>
      <c r="AE703" s="384"/>
      <c r="AF703" s="384"/>
      <c r="AG703" s="384"/>
      <c r="AH703" s="384"/>
      <c r="AI703" s="384"/>
      <c r="AJ703" s="384"/>
      <c r="AK703" s="384"/>
      <c r="AL703" s="384"/>
      <c r="AM703" s="384"/>
      <c r="AN703" s="384"/>
      <c r="AO703" s="384"/>
      <c r="AP703" s="384"/>
      <c r="AQ703" s="384"/>
      <c r="AR703" s="384"/>
    </row>
    <row r="704" spans="2:44" s="637" customFormat="1" ht="12" customHeight="1">
      <c r="B704" s="636"/>
      <c r="J704" s="729" t="s">
        <v>74</v>
      </c>
      <c r="K704" s="730"/>
      <c r="L704" s="727"/>
      <c r="M704" s="728"/>
      <c r="N704" s="1180" t="s">
        <v>2711</v>
      </c>
      <c r="O704" s="1180" t="s">
        <v>2702</v>
      </c>
      <c r="P704" s="728"/>
      <c r="X704" s="384"/>
      <c r="Y704" s="384"/>
      <c r="Z704" s="384"/>
      <c r="AA704" s="384"/>
      <c r="AB704" s="384"/>
      <c r="AC704" s="384"/>
      <c r="AD704" s="384"/>
      <c r="AE704" s="384"/>
      <c r="AF704" s="384"/>
      <c r="AG704" s="384"/>
      <c r="AH704" s="384"/>
      <c r="AI704" s="384"/>
      <c r="AJ704" s="384"/>
      <c r="AK704" s="384"/>
      <c r="AL704" s="384"/>
      <c r="AM704" s="384"/>
      <c r="AN704" s="384"/>
      <c r="AO704" s="384"/>
      <c r="AP704" s="384"/>
      <c r="AQ704" s="384"/>
      <c r="AR704" s="384"/>
    </row>
    <row r="705" spans="2:44" s="637" customFormat="1" ht="12" customHeight="1">
      <c r="B705" s="636"/>
      <c r="J705" s="729" t="s">
        <v>1506</v>
      </c>
      <c r="K705" s="730"/>
      <c r="L705" s="727"/>
      <c r="M705" s="728"/>
      <c r="N705" s="1180" t="s">
        <v>1225</v>
      </c>
      <c r="O705" s="1180" t="s">
        <v>330</v>
      </c>
      <c r="P705" s="728"/>
      <c r="X705" s="384"/>
      <c r="Y705" s="384"/>
      <c r="Z705" s="384"/>
      <c r="AA705" s="384"/>
      <c r="AB705" s="384"/>
      <c r="AC705" s="384"/>
      <c r="AD705" s="384"/>
      <c r="AE705" s="384"/>
      <c r="AF705" s="384"/>
      <c r="AG705" s="384"/>
      <c r="AH705" s="384"/>
      <c r="AI705" s="384"/>
      <c r="AJ705" s="384"/>
      <c r="AK705" s="384"/>
      <c r="AL705" s="384"/>
      <c r="AM705" s="384"/>
      <c r="AN705" s="384"/>
      <c r="AO705" s="384"/>
      <c r="AP705" s="384"/>
      <c r="AQ705" s="384"/>
      <c r="AR705" s="384"/>
    </row>
    <row r="706" spans="2:44" s="637" customFormat="1" ht="12" customHeight="1">
      <c r="B706" s="636"/>
      <c r="J706" s="729" t="s">
        <v>2405</v>
      </c>
      <c r="K706" s="730"/>
      <c r="L706" s="727"/>
      <c r="M706" s="728"/>
      <c r="N706" s="1180" t="s">
        <v>2688</v>
      </c>
      <c r="O706" s="1180" t="s">
        <v>932</v>
      </c>
      <c r="P706" s="728"/>
      <c r="X706" s="384"/>
      <c r="Y706" s="384"/>
      <c r="Z706" s="384"/>
      <c r="AA706" s="384"/>
      <c r="AB706" s="384"/>
      <c r="AC706" s="384"/>
      <c r="AD706" s="384"/>
      <c r="AE706" s="384"/>
      <c r="AF706" s="384"/>
      <c r="AG706" s="384"/>
      <c r="AH706" s="384"/>
      <c r="AI706" s="384"/>
      <c r="AJ706" s="384"/>
      <c r="AK706" s="384"/>
      <c r="AL706" s="384"/>
      <c r="AM706" s="384"/>
      <c r="AN706" s="384"/>
      <c r="AO706" s="384"/>
      <c r="AP706" s="384"/>
      <c r="AQ706" s="384"/>
      <c r="AR706" s="384"/>
    </row>
    <row r="707" spans="2:44" s="637" customFormat="1" ht="12" customHeight="1">
      <c r="B707" s="636"/>
      <c r="J707" s="729" t="s">
        <v>2407</v>
      </c>
      <c r="K707" s="730"/>
      <c r="L707" s="727"/>
      <c r="M707" s="728"/>
      <c r="N707" s="1180" t="s">
        <v>870</v>
      </c>
      <c r="O707" s="1180" t="s">
        <v>1420</v>
      </c>
      <c r="P707" s="728"/>
      <c r="Q707" s="2031"/>
      <c r="X707" s="384"/>
      <c r="Y707" s="384"/>
      <c r="Z707" s="384"/>
      <c r="AA707" s="384"/>
      <c r="AB707" s="384"/>
      <c r="AC707" s="384"/>
      <c r="AD707" s="384"/>
      <c r="AE707" s="384"/>
      <c r="AF707" s="384"/>
      <c r="AG707" s="384"/>
      <c r="AH707" s="384"/>
      <c r="AI707" s="384"/>
      <c r="AJ707" s="384"/>
      <c r="AK707" s="384"/>
      <c r="AL707" s="384"/>
      <c r="AM707" s="384"/>
      <c r="AN707" s="384"/>
      <c r="AO707" s="384"/>
      <c r="AP707" s="384"/>
      <c r="AQ707" s="384"/>
      <c r="AR707" s="384"/>
    </row>
    <row r="708" spans="2:44" s="637" customFormat="1" ht="12" customHeight="1">
      <c r="B708" s="636"/>
      <c r="J708" s="729" t="s">
        <v>1930</v>
      </c>
      <c r="K708" s="730"/>
      <c r="L708" s="727"/>
      <c r="M708" s="728"/>
      <c r="N708" s="1180" t="s">
        <v>1135</v>
      </c>
      <c r="O708" s="1180" t="s">
        <v>712</v>
      </c>
      <c r="P708" s="728"/>
      <c r="X708" s="384"/>
      <c r="Y708" s="384"/>
      <c r="Z708" s="384"/>
      <c r="AA708" s="384"/>
      <c r="AB708" s="384"/>
      <c r="AC708" s="384"/>
      <c r="AD708" s="384"/>
      <c r="AE708" s="384"/>
      <c r="AF708" s="384"/>
      <c r="AG708" s="384"/>
      <c r="AH708" s="384"/>
      <c r="AI708" s="384"/>
      <c r="AJ708" s="384"/>
      <c r="AK708" s="384"/>
      <c r="AL708" s="384"/>
      <c r="AM708" s="384"/>
      <c r="AN708" s="384"/>
      <c r="AO708" s="384"/>
      <c r="AP708" s="384"/>
      <c r="AQ708" s="384"/>
      <c r="AR708" s="384"/>
    </row>
    <row r="709" spans="2:44" s="637" customFormat="1" ht="12" customHeight="1">
      <c r="B709" s="636"/>
      <c r="J709" s="729" t="s">
        <v>1182</v>
      </c>
      <c r="K709" s="730"/>
      <c r="L709" s="727"/>
      <c r="M709" s="728"/>
      <c r="N709" s="1180" t="s">
        <v>1639</v>
      </c>
      <c r="O709" s="1180" t="s">
        <v>346</v>
      </c>
      <c r="P709" s="728"/>
      <c r="X709" s="384"/>
      <c r="Y709" s="384"/>
      <c r="Z709" s="384"/>
      <c r="AA709" s="384"/>
      <c r="AB709" s="384"/>
      <c r="AC709" s="384"/>
      <c r="AD709" s="384"/>
      <c r="AE709" s="384"/>
      <c r="AF709" s="384"/>
      <c r="AG709" s="384"/>
      <c r="AH709" s="384"/>
      <c r="AI709" s="384"/>
      <c r="AJ709" s="384"/>
      <c r="AK709" s="384"/>
      <c r="AL709" s="384"/>
      <c r="AM709" s="384"/>
      <c r="AN709" s="384"/>
      <c r="AO709" s="384"/>
      <c r="AP709" s="384"/>
      <c r="AQ709" s="384"/>
      <c r="AR709" s="384"/>
    </row>
    <row r="710" spans="2:44" s="637" customFormat="1" ht="12" customHeight="1">
      <c r="B710" s="636"/>
      <c r="J710" s="729" t="s">
        <v>2185</v>
      </c>
      <c r="K710" s="730"/>
      <c r="L710" s="727"/>
      <c r="M710" s="728"/>
      <c r="N710" s="1180" t="s">
        <v>3512</v>
      </c>
      <c r="O710" s="1180" t="s">
        <v>931</v>
      </c>
      <c r="P710" s="728"/>
      <c r="X710" s="384"/>
      <c r="Y710" s="384"/>
      <c r="Z710" s="384"/>
      <c r="AA710" s="384"/>
      <c r="AB710" s="384"/>
      <c r="AC710" s="384"/>
      <c r="AD710" s="384"/>
      <c r="AE710" s="384"/>
      <c r="AF710" s="384"/>
      <c r="AG710" s="384"/>
      <c r="AH710" s="384"/>
      <c r="AI710" s="384"/>
      <c r="AJ710" s="384"/>
      <c r="AK710" s="384"/>
      <c r="AL710" s="384"/>
      <c r="AM710" s="384"/>
      <c r="AN710" s="384"/>
      <c r="AO710" s="384"/>
      <c r="AP710" s="384"/>
      <c r="AQ710" s="384"/>
      <c r="AR710" s="384"/>
    </row>
    <row r="711" spans="2:44" s="637" customFormat="1" ht="12" customHeight="1">
      <c r="B711" s="636"/>
      <c r="J711" s="729" t="s">
        <v>2103</v>
      </c>
      <c r="K711" s="730"/>
      <c r="L711" s="727"/>
      <c r="M711" s="728"/>
      <c r="N711" s="1180" t="s">
        <v>2240</v>
      </c>
      <c r="O711" s="1180" t="s">
        <v>1413</v>
      </c>
      <c r="P711" s="728"/>
      <c r="X711" s="384"/>
      <c r="Y711" s="384"/>
      <c r="Z711" s="384"/>
      <c r="AA711" s="384"/>
      <c r="AB711" s="384"/>
      <c r="AC711" s="384"/>
      <c r="AD711" s="384"/>
      <c r="AE711" s="384"/>
      <c r="AF711" s="384"/>
      <c r="AG711" s="384"/>
      <c r="AH711" s="384"/>
      <c r="AI711" s="384"/>
      <c r="AJ711" s="384"/>
      <c r="AK711" s="384"/>
      <c r="AL711" s="384"/>
      <c r="AM711" s="384"/>
      <c r="AN711" s="384"/>
      <c r="AO711" s="384"/>
      <c r="AP711" s="384"/>
      <c r="AQ711" s="384"/>
      <c r="AR711" s="384"/>
    </row>
    <row r="712" spans="2:44" s="637" customFormat="1" ht="12" customHeight="1">
      <c r="B712" s="636"/>
      <c r="J712" s="729" t="s">
        <v>2105</v>
      </c>
      <c r="K712" s="730"/>
      <c r="L712" s="727"/>
      <c r="M712" s="728"/>
      <c r="N712" s="1180" t="s">
        <v>1733</v>
      </c>
      <c r="O712" s="1180" t="s">
        <v>1399</v>
      </c>
      <c r="P712" s="2030"/>
      <c r="X712" s="384"/>
      <c r="Y712" s="384"/>
      <c r="Z712" s="384"/>
      <c r="AA712" s="384"/>
      <c r="AB712" s="384"/>
      <c r="AC712" s="384"/>
      <c r="AD712" s="384"/>
      <c r="AE712" s="384"/>
      <c r="AF712" s="384"/>
      <c r="AG712" s="384"/>
      <c r="AH712" s="384"/>
      <c r="AI712" s="384"/>
      <c r="AJ712" s="384"/>
      <c r="AK712" s="384"/>
      <c r="AL712" s="384"/>
      <c r="AM712" s="384"/>
      <c r="AN712" s="384"/>
      <c r="AO712" s="384"/>
      <c r="AP712" s="384"/>
      <c r="AQ712" s="384"/>
      <c r="AR712" s="384"/>
    </row>
    <row r="713" spans="2:44" s="637" customFormat="1" ht="12" customHeight="1">
      <c r="B713" s="636"/>
      <c r="J713" s="729" t="s">
        <v>2107</v>
      </c>
      <c r="K713" s="730"/>
      <c r="L713" s="727"/>
      <c r="M713" s="728"/>
      <c r="N713" s="1180" t="s">
        <v>993</v>
      </c>
      <c r="O713" s="1180" t="s">
        <v>2390</v>
      </c>
      <c r="P713" s="728"/>
      <c r="X713" s="384"/>
      <c r="Y713" s="384"/>
      <c r="Z713" s="384"/>
      <c r="AA713" s="384"/>
      <c r="AB713" s="384"/>
      <c r="AC713" s="384"/>
      <c r="AD713" s="384"/>
      <c r="AE713" s="384"/>
      <c r="AF713" s="384"/>
      <c r="AG713" s="384"/>
      <c r="AH713" s="384"/>
      <c r="AI713" s="384"/>
      <c r="AJ713" s="384"/>
      <c r="AK713" s="384"/>
      <c r="AL713" s="384"/>
      <c r="AM713" s="384"/>
      <c r="AN713" s="384"/>
      <c r="AO713" s="384"/>
      <c r="AP713" s="384"/>
      <c r="AQ713" s="384"/>
      <c r="AR713" s="384"/>
    </row>
    <row r="714" spans="2:44" s="637" customFormat="1" ht="12" customHeight="1">
      <c r="B714" s="636"/>
      <c r="J714" s="729" t="s">
        <v>526</v>
      </c>
      <c r="K714" s="730"/>
      <c r="L714" s="727"/>
      <c r="M714" s="728"/>
      <c r="N714" s="1180" t="s">
        <v>995</v>
      </c>
      <c r="O714" s="1180" t="s">
        <v>337</v>
      </c>
      <c r="P714" s="728"/>
      <c r="X714" s="384"/>
      <c r="Y714" s="384"/>
      <c r="Z714" s="384"/>
      <c r="AA714" s="384"/>
      <c r="AB714" s="384"/>
      <c r="AC714" s="384"/>
      <c r="AD714" s="384"/>
      <c r="AE714" s="384"/>
      <c r="AF714" s="384"/>
      <c r="AG714" s="384"/>
      <c r="AH714" s="384"/>
      <c r="AI714" s="384"/>
      <c r="AJ714" s="384"/>
      <c r="AK714" s="384"/>
      <c r="AL714" s="384"/>
      <c r="AM714" s="384"/>
      <c r="AN714" s="384"/>
      <c r="AO714" s="384"/>
      <c r="AP714" s="384"/>
      <c r="AQ714" s="384"/>
      <c r="AR714" s="384"/>
    </row>
    <row r="715" spans="2:44" s="637" customFormat="1" ht="12" customHeight="1">
      <c r="B715" s="636"/>
      <c r="J715" s="729" t="s">
        <v>477</v>
      </c>
      <c r="K715" s="730"/>
      <c r="L715" s="727"/>
      <c r="M715" s="728"/>
      <c r="N715" s="1180" t="s">
        <v>2670</v>
      </c>
      <c r="O715" s="1180" t="s">
        <v>669</v>
      </c>
      <c r="P715" s="728"/>
      <c r="X715" s="384"/>
      <c r="Y715" s="384"/>
      <c r="Z715" s="384"/>
      <c r="AA715" s="384"/>
      <c r="AB715" s="384"/>
      <c r="AC715" s="384"/>
      <c r="AD715" s="384"/>
      <c r="AE715" s="384"/>
      <c r="AF715" s="384"/>
      <c r="AG715" s="384"/>
      <c r="AH715" s="384"/>
      <c r="AI715" s="384"/>
      <c r="AJ715" s="384"/>
      <c r="AK715" s="384"/>
      <c r="AL715" s="384"/>
      <c r="AM715" s="384"/>
      <c r="AN715" s="384"/>
      <c r="AO715" s="384"/>
      <c r="AP715" s="384"/>
      <c r="AQ715" s="384"/>
      <c r="AR715" s="384"/>
    </row>
    <row r="716" spans="2:44" s="637" customFormat="1" ht="12" customHeight="1">
      <c r="B716" s="636"/>
      <c r="J716" s="729" t="s">
        <v>2235</v>
      </c>
      <c r="K716" s="730"/>
      <c r="L716" s="727"/>
      <c r="M716" s="728"/>
      <c r="N716" s="1180" t="s">
        <v>2033</v>
      </c>
      <c r="O716" s="1180" t="s">
        <v>124</v>
      </c>
      <c r="P716" s="728"/>
      <c r="X716" s="384"/>
      <c r="Y716" s="384"/>
      <c r="Z716" s="384"/>
      <c r="AA716" s="384"/>
      <c r="AB716" s="384"/>
      <c r="AC716" s="384"/>
      <c r="AD716" s="384"/>
      <c r="AE716" s="384"/>
      <c r="AF716" s="384"/>
      <c r="AG716" s="384"/>
      <c r="AH716" s="384"/>
      <c r="AI716" s="384"/>
      <c r="AJ716" s="384"/>
      <c r="AK716" s="384"/>
      <c r="AL716" s="384"/>
      <c r="AM716" s="384"/>
      <c r="AN716" s="384"/>
      <c r="AO716" s="384"/>
      <c r="AP716" s="384"/>
      <c r="AQ716" s="384"/>
      <c r="AR716" s="384"/>
    </row>
    <row r="717" spans="2:44" s="637" customFormat="1" ht="12" customHeight="1">
      <c r="B717" s="636"/>
      <c r="J717" s="729" t="s">
        <v>2262</v>
      </c>
      <c r="K717" s="730"/>
      <c r="L717" s="727"/>
      <c r="M717" s="728"/>
      <c r="N717" s="1180" t="s">
        <v>2036</v>
      </c>
      <c r="O717" s="1180" t="s">
        <v>2390</v>
      </c>
      <c r="P717" s="728"/>
      <c r="X717" s="384"/>
      <c r="Y717" s="384"/>
      <c r="Z717" s="384"/>
      <c r="AA717" s="384"/>
      <c r="AB717" s="384"/>
      <c r="AC717" s="384"/>
      <c r="AD717" s="384"/>
      <c r="AE717" s="384"/>
      <c r="AF717" s="384"/>
      <c r="AG717" s="384"/>
      <c r="AH717" s="384"/>
      <c r="AI717" s="384"/>
      <c r="AJ717" s="384"/>
      <c r="AK717" s="384"/>
      <c r="AL717" s="384"/>
      <c r="AM717" s="384"/>
      <c r="AN717" s="384"/>
      <c r="AO717" s="384"/>
      <c r="AP717" s="384"/>
      <c r="AQ717" s="384"/>
      <c r="AR717" s="384"/>
    </row>
    <row r="718" spans="2:44" s="637" customFormat="1" ht="12" customHeight="1">
      <c r="B718" s="636"/>
      <c r="J718" s="1204"/>
      <c r="K718" s="1205"/>
      <c r="L718" s="1205"/>
      <c r="M718" s="1206"/>
      <c r="N718" s="1180" t="s">
        <v>2038</v>
      </c>
      <c r="O718" s="1180" t="s">
        <v>169</v>
      </c>
      <c r="P718" s="728"/>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row>
    <row r="719" spans="2:44" s="637" customFormat="1" ht="12" customHeight="1">
      <c r="B719" s="636"/>
      <c r="J719" s="731"/>
      <c r="K719" s="732"/>
      <c r="L719" s="733"/>
      <c r="N719" s="1180" t="s">
        <v>688</v>
      </c>
      <c r="O719" s="1180" t="s">
        <v>2560</v>
      </c>
      <c r="P719" s="728"/>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row>
    <row r="720" spans="2:44" s="637" customFormat="1" ht="12" customHeight="1">
      <c r="B720" s="636"/>
      <c r="N720" s="1180" t="s">
        <v>871</v>
      </c>
      <c r="O720" s="1180" t="s">
        <v>2312</v>
      </c>
      <c r="P720" s="728"/>
      <c r="X720" s="384"/>
      <c r="Y720" s="384"/>
      <c r="Z720" s="384"/>
      <c r="AA720" s="384"/>
      <c r="AB720" s="384"/>
      <c r="AC720" s="384"/>
      <c r="AD720" s="384"/>
      <c r="AE720" s="384"/>
      <c r="AF720" s="384"/>
      <c r="AG720" s="384"/>
      <c r="AH720" s="384"/>
      <c r="AI720" s="384"/>
      <c r="AJ720" s="384"/>
      <c r="AK720" s="384"/>
      <c r="AL720" s="384"/>
      <c r="AM720" s="384"/>
      <c r="AN720" s="384"/>
      <c r="AO720" s="384"/>
      <c r="AP720" s="384"/>
      <c r="AQ720" s="384"/>
      <c r="AR720" s="384"/>
    </row>
    <row r="721" spans="2:44" s="637" customFormat="1" ht="12" customHeight="1">
      <c r="B721" s="636"/>
      <c r="G721" s="732"/>
      <c r="H721" s="733"/>
      <c r="N721" s="1180" t="s">
        <v>1140</v>
      </c>
      <c r="O721" s="1180" t="s">
        <v>2045</v>
      </c>
      <c r="P721" s="728"/>
      <c r="X721" s="384"/>
      <c r="Y721" s="384"/>
      <c r="Z721" s="384"/>
      <c r="AA721" s="384"/>
      <c r="AB721" s="384"/>
      <c r="AC721" s="384"/>
      <c r="AD721" s="384"/>
      <c r="AE721" s="384"/>
      <c r="AF721" s="384"/>
      <c r="AG721" s="384"/>
      <c r="AH721" s="384"/>
      <c r="AI721" s="384"/>
      <c r="AJ721" s="384"/>
      <c r="AK721" s="384"/>
      <c r="AL721" s="384"/>
      <c r="AM721" s="384"/>
      <c r="AN721" s="384"/>
      <c r="AO721" s="384"/>
      <c r="AP721" s="384"/>
      <c r="AQ721" s="384"/>
      <c r="AR721" s="384"/>
    </row>
    <row r="722" spans="2:44" s="637" customFormat="1" ht="12" customHeight="1">
      <c r="B722" s="636"/>
      <c r="F722" s="731"/>
      <c r="G722" s="732"/>
      <c r="H722" s="733"/>
      <c r="N722" s="1180" t="s">
        <v>1141</v>
      </c>
      <c r="O722" s="1180" t="s">
        <v>2141</v>
      </c>
      <c r="P722" s="728"/>
      <c r="X722" s="384"/>
      <c r="Y722" s="384"/>
      <c r="Z722" s="384"/>
      <c r="AA722" s="384"/>
      <c r="AB722" s="384"/>
      <c r="AC722" s="384"/>
      <c r="AD722" s="384"/>
      <c r="AE722" s="384"/>
      <c r="AF722" s="384"/>
      <c r="AG722" s="384"/>
      <c r="AH722" s="384"/>
      <c r="AI722" s="384"/>
      <c r="AJ722" s="384"/>
      <c r="AK722" s="384"/>
      <c r="AL722" s="384"/>
      <c r="AM722" s="384"/>
      <c r="AN722" s="384"/>
      <c r="AO722" s="384"/>
      <c r="AP722" s="384"/>
      <c r="AQ722" s="384"/>
      <c r="AR722" s="384"/>
    </row>
    <row r="723" spans="2:44" s="637" customFormat="1" ht="12" customHeight="1">
      <c r="B723" s="636"/>
      <c r="F723" s="731"/>
      <c r="G723" s="732"/>
      <c r="H723" s="733"/>
      <c r="N723" s="705" t="s">
        <v>1560</v>
      </c>
      <c r="O723" s="705" t="s">
        <v>1287</v>
      </c>
      <c r="P723" s="728"/>
      <c r="X723" s="384"/>
      <c r="Y723" s="384"/>
      <c r="Z723" s="384"/>
      <c r="AA723" s="384"/>
      <c r="AB723" s="384"/>
      <c r="AC723" s="384"/>
      <c r="AD723" s="384"/>
      <c r="AE723" s="384"/>
      <c r="AF723" s="384"/>
      <c r="AG723" s="384"/>
      <c r="AH723" s="384"/>
      <c r="AI723" s="384"/>
      <c r="AJ723" s="384"/>
      <c r="AK723" s="384"/>
      <c r="AL723" s="384"/>
      <c r="AM723" s="384"/>
      <c r="AN723" s="384"/>
      <c r="AO723" s="384"/>
      <c r="AP723" s="384"/>
      <c r="AQ723" s="384"/>
      <c r="AR723" s="384"/>
    </row>
    <row r="724" spans="2:44" s="637" customFormat="1" ht="12" customHeight="1">
      <c r="B724" s="636"/>
      <c r="F724" s="731"/>
      <c r="G724" s="732"/>
      <c r="H724" s="733"/>
      <c r="N724" s="1180" t="s">
        <v>2458</v>
      </c>
      <c r="O724" s="1180" t="s">
        <v>124</v>
      </c>
      <c r="P724" s="2029"/>
      <c r="X724" s="384"/>
      <c r="Y724" s="384"/>
      <c r="Z724" s="384"/>
      <c r="AA724" s="384"/>
      <c r="AB724" s="384"/>
      <c r="AC724" s="384"/>
      <c r="AD724" s="384"/>
      <c r="AE724" s="384"/>
      <c r="AF724" s="384"/>
      <c r="AG724" s="384"/>
      <c r="AH724" s="384"/>
      <c r="AI724" s="384"/>
      <c r="AJ724" s="384"/>
      <c r="AK724" s="384"/>
      <c r="AL724" s="384"/>
      <c r="AM724" s="384"/>
      <c r="AN724" s="384"/>
      <c r="AO724" s="384"/>
      <c r="AP724" s="384"/>
      <c r="AQ724" s="384"/>
      <c r="AR724" s="384"/>
    </row>
    <row r="725" spans="2:44" s="637" customFormat="1" ht="12" customHeight="1">
      <c r="B725" s="636"/>
      <c r="F725" s="731"/>
      <c r="G725" s="732"/>
      <c r="H725" s="733"/>
      <c r="N725" s="1180" t="s">
        <v>1505</v>
      </c>
      <c r="O725" s="1180" t="s">
        <v>2390</v>
      </c>
      <c r="P725" s="728"/>
      <c r="X725" s="384"/>
      <c r="Y725" s="384"/>
      <c r="Z725" s="384"/>
      <c r="AA725" s="384"/>
      <c r="AB725" s="384"/>
      <c r="AC725" s="384"/>
      <c r="AD725" s="384"/>
      <c r="AE725" s="384"/>
      <c r="AF725" s="384"/>
      <c r="AG725" s="384"/>
      <c r="AH725" s="384"/>
      <c r="AI725" s="384"/>
      <c r="AJ725" s="384"/>
      <c r="AK725" s="384"/>
      <c r="AL725" s="384"/>
      <c r="AM725" s="384"/>
      <c r="AN725" s="384"/>
      <c r="AO725" s="384"/>
      <c r="AP725" s="384"/>
      <c r="AQ725" s="384"/>
      <c r="AR725" s="384"/>
    </row>
    <row r="726" spans="2:44" s="637" customFormat="1" ht="12" customHeight="1">
      <c r="B726" s="636"/>
      <c r="F726" s="731"/>
      <c r="G726" s="732"/>
      <c r="H726" s="733"/>
      <c r="N726" s="1180" t="s">
        <v>2404</v>
      </c>
      <c r="O726" s="1180" t="s">
        <v>2051</v>
      </c>
      <c r="P726" s="728"/>
      <c r="X726" s="384"/>
      <c r="Y726" s="384"/>
      <c r="Z726" s="384"/>
      <c r="AA726" s="384"/>
      <c r="AB726" s="384"/>
      <c r="AC726" s="384"/>
      <c r="AD726" s="384"/>
      <c r="AE726" s="384"/>
      <c r="AF726" s="384"/>
      <c r="AG726" s="384"/>
      <c r="AH726" s="384"/>
      <c r="AI726" s="384"/>
      <c r="AJ726" s="384"/>
      <c r="AK726" s="384"/>
      <c r="AL726" s="384"/>
      <c r="AM726" s="384"/>
      <c r="AN726" s="384"/>
      <c r="AO726" s="384"/>
      <c r="AP726" s="384"/>
      <c r="AQ726" s="384"/>
      <c r="AR726" s="384"/>
    </row>
    <row r="727" spans="2:44" s="637" customFormat="1" ht="12" customHeight="1">
      <c r="B727" s="636"/>
      <c r="F727" s="731"/>
      <c r="G727" s="732"/>
      <c r="H727" s="733"/>
      <c r="N727" s="1180" t="s">
        <v>2406</v>
      </c>
      <c r="O727" s="1180" t="s">
        <v>2308</v>
      </c>
      <c r="P727" s="728"/>
      <c r="X727" s="384"/>
      <c r="Y727" s="384"/>
      <c r="Z727" s="384"/>
      <c r="AA727" s="384"/>
      <c r="AB727" s="384"/>
      <c r="AC727" s="384"/>
      <c r="AD727" s="384"/>
      <c r="AE727" s="384"/>
      <c r="AF727" s="384"/>
      <c r="AG727" s="384"/>
      <c r="AH727" s="384"/>
      <c r="AI727" s="384"/>
      <c r="AJ727" s="384"/>
      <c r="AK727" s="384"/>
      <c r="AL727" s="384"/>
      <c r="AM727" s="384"/>
      <c r="AN727" s="384"/>
      <c r="AO727" s="384"/>
      <c r="AP727" s="384"/>
      <c r="AQ727" s="384"/>
      <c r="AR727" s="384"/>
    </row>
    <row r="728" spans="2:44" s="637" customFormat="1" ht="12" customHeight="1">
      <c r="B728" s="636"/>
      <c r="F728" s="731"/>
      <c r="G728" s="732"/>
      <c r="H728" s="733"/>
      <c r="N728" s="1180" t="s">
        <v>2408</v>
      </c>
      <c r="O728" s="1180" t="s">
        <v>2560</v>
      </c>
      <c r="P728" s="728"/>
      <c r="X728" s="384"/>
      <c r="Y728" s="384"/>
      <c r="Z728" s="384"/>
      <c r="AA728" s="384"/>
      <c r="AB728" s="384"/>
      <c r="AC728" s="384"/>
      <c r="AD728" s="384"/>
      <c r="AE728" s="384"/>
      <c r="AF728" s="384"/>
      <c r="AG728" s="384"/>
      <c r="AH728" s="384"/>
      <c r="AI728" s="384"/>
      <c r="AJ728" s="384"/>
      <c r="AK728" s="384"/>
      <c r="AL728" s="384"/>
      <c r="AM728" s="384"/>
      <c r="AN728" s="384"/>
      <c r="AO728" s="384"/>
      <c r="AP728" s="384"/>
      <c r="AQ728" s="384"/>
      <c r="AR728" s="384"/>
    </row>
    <row r="729" spans="2:44" s="637" customFormat="1" ht="12" customHeight="1">
      <c r="B729" s="636"/>
      <c r="F729" s="731"/>
      <c r="G729" s="732"/>
      <c r="H729" s="733"/>
      <c r="N729" s="1180" t="s">
        <v>3513</v>
      </c>
      <c r="O729" s="1180" t="s">
        <v>166</v>
      </c>
      <c r="P729" s="728"/>
      <c r="X729" s="384"/>
      <c r="Y729" s="384"/>
      <c r="Z729" s="384"/>
      <c r="AA729" s="384"/>
      <c r="AB729" s="384"/>
      <c r="AC729" s="384"/>
      <c r="AD729" s="384"/>
      <c r="AE729" s="384"/>
      <c r="AF729" s="384"/>
      <c r="AG729" s="384"/>
      <c r="AH729" s="384"/>
      <c r="AI729" s="384"/>
      <c r="AJ729" s="384"/>
      <c r="AK729" s="384"/>
      <c r="AL729" s="384"/>
      <c r="AM729" s="384"/>
      <c r="AN729" s="384"/>
      <c r="AO729" s="384"/>
      <c r="AP729" s="384"/>
      <c r="AQ729" s="384"/>
      <c r="AR729" s="384"/>
    </row>
    <row r="730" spans="2:44" s="637" customFormat="1" ht="12" customHeight="1">
      <c r="B730" s="636"/>
      <c r="F730" s="731"/>
      <c r="G730" s="732"/>
      <c r="H730" s="733"/>
      <c r="N730" s="1180" t="s">
        <v>1181</v>
      </c>
      <c r="O730" s="1180" t="s">
        <v>2319</v>
      </c>
      <c r="P730" s="728"/>
      <c r="X730" s="384"/>
      <c r="Y730" s="384"/>
      <c r="Z730" s="384"/>
      <c r="AA730" s="384"/>
      <c r="AB730" s="384"/>
      <c r="AC730" s="384"/>
      <c r="AD730" s="384"/>
      <c r="AE730" s="384"/>
      <c r="AF730" s="384"/>
      <c r="AG730" s="384"/>
      <c r="AH730" s="384"/>
      <c r="AI730" s="384"/>
      <c r="AJ730" s="384"/>
      <c r="AK730" s="384"/>
      <c r="AL730" s="384"/>
      <c r="AM730" s="384"/>
      <c r="AN730" s="384"/>
      <c r="AO730" s="384"/>
      <c r="AP730" s="384"/>
      <c r="AQ730" s="384"/>
      <c r="AR730" s="384"/>
    </row>
    <row r="731" spans="2:44" s="637" customFormat="1" ht="12" customHeight="1">
      <c r="B731" s="636"/>
      <c r="F731" s="731"/>
      <c r="G731" s="732"/>
      <c r="H731" s="733"/>
      <c r="N731" s="1180" t="s">
        <v>1183</v>
      </c>
      <c r="O731" s="1180" t="s">
        <v>1158</v>
      </c>
      <c r="P731" s="728"/>
      <c r="X731" s="384"/>
      <c r="Y731" s="384"/>
      <c r="Z731" s="384"/>
      <c r="AA731" s="384"/>
      <c r="AB731" s="384"/>
      <c r="AC731" s="384"/>
      <c r="AD731" s="384"/>
      <c r="AE731" s="384"/>
      <c r="AF731" s="384"/>
      <c r="AG731" s="384"/>
      <c r="AH731" s="384"/>
      <c r="AI731" s="384"/>
      <c r="AJ731" s="384"/>
      <c r="AK731" s="384"/>
      <c r="AL731" s="384"/>
      <c r="AM731" s="384"/>
      <c r="AN731" s="384"/>
      <c r="AO731" s="384"/>
      <c r="AP731" s="384"/>
      <c r="AQ731" s="384"/>
      <c r="AR731" s="384"/>
    </row>
    <row r="732" spans="2:44" s="637" customFormat="1" ht="12" customHeight="1">
      <c r="B732" s="636"/>
      <c r="F732" s="731"/>
      <c r="G732" s="732"/>
      <c r="H732" s="733"/>
      <c r="N732" s="1180" t="s">
        <v>2186</v>
      </c>
      <c r="O732" s="1180" t="s">
        <v>332</v>
      </c>
      <c r="P732" s="728"/>
      <c r="X732" s="384"/>
      <c r="Y732" s="384"/>
      <c r="Z732" s="384"/>
      <c r="AA732" s="384"/>
      <c r="AB732" s="384"/>
      <c r="AC732" s="384"/>
      <c r="AD732" s="384"/>
      <c r="AE732" s="384"/>
      <c r="AF732" s="384"/>
      <c r="AG732" s="384"/>
      <c r="AH732" s="384"/>
      <c r="AI732" s="384"/>
      <c r="AJ732" s="384"/>
      <c r="AK732" s="384"/>
      <c r="AL732" s="384"/>
      <c r="AM732" s="384"/>
      <c r="AN732" s="384"/>
      <c r="AO732" s="384"/>
      <c r="AP732" s="384"/>
      <c r="AQ732" s="384"/>
      <c r="AR732" s="384"/>
    </row>
    <row r="733" spans="2:44" s="637" customFormat="1" ht="12" customHeight="1">
      <c r="B733" s="636"/>
      <c r="F733" s="731"/>
      <c r="G733" s="732"/>
      <c r="H733" s="733"/>
      <c r="N733" s="705" t="s">
        <v>2104</v>
      </c>
      <c r="O733" s="705" t="s">
        <v>125</v>
      </c>
      <c r="P733" s="728"/>
      <c r="X733" s="384"/>
      <c r="Y733" s="384"/>
      <c r="Z733" s="384"/>
      <c r="AA733" s="384"/>
      <c r="AB733" s="384"/>
      <c r="AC733" s="384"/>
      <c r="AD733" s="384"/>
      <c r="AE733" s="384"/>
      <c r="AF733" s="384"/>
      <c r="AG733" s="384"/>
      <c r="AH733" s="384"/>
      <c r="AI733" s="384"/>
      <c r="AJ733" s="384"/>
      <c r="AK733" s="384"/>
      <c r="AL733" s="384"/>
      <c r="AM733" s="384"/>
      <c r="AN733" s="384"/>
      <c r="AO733" s="384"/>
      <c r="AP733" s="384"/>
      <c r="AQ733" s="384"/>
      <c r="AR733" s="384"/>
    </row>
    <row r="734" spans="2:44" s="637" customFormat="1" ht="12" customHeight="1">
      <c r="B734" s="636"/>
      <c r="F734" s="731"/>
      <c r="G734" s="732"/>
      <c r="H734" s="733"/>
      <c r="N734" s="1180" t="s">
        <v>2106</v>
      </c>
      <c r="O734" s="1180" t="s">
        <v>341</v>
      </c>
      <c r="P734" s="2029"/>
      <c r="X734" s="384"/>
      <c r="Y734" s="384"/>
      <c r="Z734" s="384"/>
      <c r="AA734" s="384"/>
      <c r="AB734" s="384"/>
      <c r="AC734" s="384"/>
      <c r="AD734" s="384"/>
      <c r="AE734" s="384"/>
      <c r="AF734" s="384"/>
      <c r="AG734" s="384"/>
      <c r="AH734" s="384"/>
      <c r="AI734" s="384"/>
      <c r="AJ734" s="384"/>
      <c r="AK734" s="384"/>
      <c r="AL734" s="384"/>
      <c r="AM734" s="384"/>
      <c r="AN734" s="384"/>
      <c r="AO734" s="384"/>
      <c r="AP734" s="384"/>
      <c r="AQ734" s="384"/>
      <c r="AR734" s="384"/>
    </row>
    <row r="735" spans="2:44" s="637" customFormat="1" ht="12" customHeight="1">
      <c r="B735" s="636"/>
      <c r="F735" s="731"/>
      <c r="G735" s="732"/>
      <c r="H735" s="733"/>
      <c r="N735" s="1180" t="s">
        <v>2108</v>
      </c>
      <c r="O735" s="1180" t="s">
        <v>191</v>
      </c>
      <c r="P735" s="728"/>
      <c r="X735" s="384"/>
      <c r="Y735" s="384"/>
      <c r="Z735" s="384"/>
      <c r="AA735" s="384"/>
      <c r="AB735" s="384"/>
      <c r="AC735" s="384"/>
      <c r="AD735" s="384"/>
      <c r="AE735" s="384"/>
      <c r="AF735" s="384"/>
      <c r="AG735" s="384"/>
      <c r="AH735" s="384"/>
      <c r="AI735" s="384"/>
      <c r="AJ735" s="384"/>
      <c r="AK735" s="384"/>
      <c r="AL735" s="384"/>
      <c r="AM735" s="384"/>
      <c r="AN735" s="384"/>
      <c r="AO735" s="384"/>
      <c r="AP735" s="384"/>
      <c r="AQ735" s="384"/>
      <c r="AR735" s="384"/>
    </row>
    <row r="736" spans="2:44" s="637" customFormat="1" ht="12" customHeight="1">
      <c r="B736" s="636"/>
      <c r="F736" s="731"/>
      <c r="G736" s="732"/>
      <c r="H736" s="733"/>
      <c r="N736" s="1180" t="s">
        <v>3514</v>
      </c>
      <c r="O736" s="1180" t="s">
        <v>2045</v>
      </c>
      <c r="P736" s="728"/>
      <c r="X736" s="384"/>
      <c r="Y736" s="384"/>
      <c r="Z736" s="384"/>
      <c r="AA736" s="384"/>
      <c r="AB736" s="384"/>
      <c r="AC736" s="384"/>
      <c r="AD736" s="384"/>
      <c r="AE736" s="384"/>
      <c r="AF736" s="384"/>
      <c r="AG736" s="384"/>
      <c r="AH736" s="384"/>
      <c r="AI736" s="384"/>
      <c r="AJ736" s="384"/>
      <c r="AK736" s="384"/>
      <c r="AL736" s="384"/>
      <c r="AM736" s="384"/>
      <c r="AN736" s="384"/>
      <c r="AO736" s="384"/>
      <c r="AP736" s="384"/>
      <c r="AQ736" s="384"/>
      <c r="AR736" s="384"/>
    </row>
    <row r="737" spans="2:44" s="637" customFormat="1" ht="12" customHeight="1">
      <c r="B737" s="636"/>
      <c r="F737" s="731"/>
      <c r="G737" s="732"/>
      <c r="H737" s="733"/>
      <c r="N737" s="1180" t="s">
        <v>478</v>
      </c>
      <c r="O737" s="1180" t="s">
        <v>1400</v>
      </c>
      <c r="P737" s="728"/>
      <c r="X737" s="384"/>
      <c r="Y737" s="384"/>
      <c r="Z737" s="384"/>
      <c r="AA737" s="384"/>
      <c r="AB737" s="384"/>
      <c r="AC737" s="384"/>
      <c r="AD737" s="384"/>
      <c r="AE737" s="384"/>
      <c r="AF737" s="384"/>
      <c r="AG737" s="384"/>
      <c r="AH737" s="384"/>
      <c r="AI737" s="384"/>
      <c r="AJ737" s="384"/>
      <c r="AK737" s="384"/>
      <c r="AL737" s="384"/>
      <c r="AM737" s="384"/>
      <c r="AN737" s="384"/>
      <c r="AO737" s="384"/>
      <c r="AP737" s="384"/>
      <c r="AQ737" s="384"/>
      <c r="AR737" s="384"/>
    </row>
    <row r="738" spans="2:44" s="637" customFormat="1" ht="12" customHeight="1">
      <c r="B738" s="636"/>
      <c r="F738" s="731"/>
      <c r="G738" s="732"/>
      <c r="H738" s="733"/>
      <c r="N738" s="1180" t="s">
        <v>2236</v>
      </c>
      <c r="O738" s="1180" t="s">
        <v>783</v>
      </c>
      <c r="P738" s="728"/>
      <c r="X738" s="384"/>
      <c r="Y738" s="384"/>
      <c r="Z738" s="384"/>
      <c r="AA738" s="384"/>
      <c r="AB738" s="384"/>
      <c r="AC738" s="384"/>
      <c r="AD738" s="384"/>
      <c r="AE738" s="384"/>
      <c r="AF738" s="384"/>
      <c r="AG738" s="384"/>
      <c r="AH738" s="384"/>
      <c r="AI738" s="384"/>
      <c r="AJ738" s="384"/>
      <c r="AK738" s="384"/>
      <c r="AL738" s="384"/>
      <c r="AM738" s="384"/>
      <c r="AN738" s="384"/>
      <c r="AO738" s="384"/>
      <c r="AP738" s="384"/>
      <c r="AQ738" s="384"/>
      <c r="AR738" s="384"/>
    </row>
    <row r="739" spans="2:44" s="637" customFormat="1" ht="12" customHeight="1">
      <c r="B739" s="636"/>
      <c r="F739" s="731"/>
      <c r="G739" s="732"/>
      <c r="H739" s="733"/>
      <c r="N739" s="1180" t="s">
        <v>2263</v>
      </c>
      <c r="O739" s="1180" t="s">
        <v>109</v>
      </c>
      <c r="P739" s="728"/>
      <c r="X739" s="384"/>
      <c r="Y739" s="384"/>
      <c r="Z739" s="384"/>
      <c r="AA739" s="384"/>
      <c r="AB739" s="384"/>
      <c r="AC739" s="384"/>
      <c r="AD739" s="384"/>
      <c r="AE739" s="384"/>
      <c r="AF739" s="384"/>
      <c r="AG739" s="384"/>
      <c r="AH739" s="384"/>
      <c r="AI739" s="384"/>
      <c r="AJ739" s="384"/>
      <c r="AK739" s="384"/>
      <c r="AL739" s="384"/>
      <c r="AM739" s="384"/>
      <c r="AN739" s="384"/>
      <c r="AO739" s="384"/>
      <c r="AP739" s="384"/>
      <c r="AQ739" s="384"/>
      <c r="AR739" s="384"/>
    </row>
    <row r="740" spans="2:44" s="637" customFormat="1" ht="12" customHeight="1">
      <c r="B740" s="636"/>
      <c r="F740" s="731"/>
      <c r="G740" s="732"/>
      <c r="H740" s="733"/>
      <c r="N740" s="1180" t="s">
        <v>887</v>
      </c>
      <c r="O740" s="1180" t="s">
        <v>2141</v>
      </c>
      <c r="P740" s="2030"/>
      <c r="X740" s="384"/>
      <c r="Y740" s="384"/>
      <c r="Z740" s="384"/>
      <c r="AA740" s="384"/>
      <c r="AB740" s="384"/>
      <c r="AC740" s="384"/>
      <c r="AD740" s="384"/>
      <c r="AE740" s="384"/>
      <c r="AF740" s="384"/>
      <c r="AG740" s="384"/>
      <c r="AH740" s="384"/>
      <c r="AI740" s="384"/>
      <c r="AJ740" s="384"/>
      <c r="AK740" s="384"/>
      <c r="AL740" s="384"/>
      <c r="AM740" s="384"/>
      <c r="AN740" s="384"/>
      <c r="AO740" s="384"/>
      <c r="AP740" s="384"/>
      <c r="AQ740" s="384"/>
      <c r="AR740" s="384"/>
    </row>
    <row r="741" spans="2:44" s="637" customFormat="1" ht="12" customHeight="1">
      <c r="B741" s="636"/>
      <c r="F741" s="731"/>
      <c r="G741" s="732"/>
      <c r="H741" s="733"/>
      <c r="N741" s="1180" t="s">
        <v>2264</v>
      </c>
      <c r="O741" s="1180" t="s">
        <v>2141</v>
      </c>
      <c r="P741" s="728"/>
      <c r="X741" s="384"/>
      <c r="Y741" s="384"/>
      <c r="Z741" s="384"/>
      <c r="AA741" s="384"/>
      <c r="AB741" s="384"/>
      <c r="AC741" s="384"/>
      <c r="AD741" s="384"/>
      <c r="AE741" s="384"/>
      <c r="AF741" s="384"/>
      <c r="AG741" s="384"/>
      <c r="AH741" s="384"/>
      <c r="AI741" s="384"/>
      <c r="AJ741" s="384"/>
      <c r="AK741" s="384"/>
      <c r="AL741" s="384"/>
      <c r="AM741" s="384"/>
      <c r="AN741" s="384"/>
      <c r="AO741" s="384"/>
      <c r="AP741" s="384"/>
      <c r="AQ741" s="384"/>
      <c r="AR741" s="384"/>
    </row>
    <row r="742" spans="2:44" s="637" customFormat="1" ht="12" customHeight="1">
      <c r="B742" s="636"/>
      <c r="F742" s="731"/>
      <c r="G742" s="732"/>
      <c r="H742" s="733"/>
      <c r="N742" s="705" t="s">
        <v>2265</v>
      </c>
      <c r="O742" s="705" t="s">
        <v>1779</v>
      </c>
      <c r="P742" s="728"/>
      <c r="X742" s="384"/>
      <c r="Y742" s="384"/>
      <c r="Z742" s="384"/>
      <c r="AA742" s="384"/>
      <c r="AB742" s="384"/>
      <c r="AC742" s="384"/>
      <c r="AD742" s="384"/>
      <c r="AE742" s="384"/>
      <c r="AF742" s="384"/>
      <c r="AG742" s="384"/>
      <c r="AH742" s="384"/>
      <c r="AI742" s="384"/>
      <c r="AJ742" s="384"/>
      <c r="AK742" s="384"/>
      <c r="AL742" s="384"/>
      <c r="AM742" s="384"/>
      <c r="AN742" s="384"/>
      <c r="AO742" s="384"/>
      <c r="AP742" s="384"/>
      <c r="AQ742" s="384"/>
      <c r="AR742" s="384"/>
    </row>
    <row r="743" spans="2:44" s="637" customFormat="1" ht="12" customHeight="1">
      <c r="B743" s="636"/>
      <c r="F743" s="731"/>
      <c r="G743" s="732"/>
      <c r="H743" s="733"/>
      <c r="N743" s="1180" t="s">
        <v>2482</v>
      </c>
      <c r="O743" s="1180" t="s">
        <v>2009</v>
      </c>
      <c r="P743" s="2029"/>
      <c r="X743" s="384"/>
      <c r="Y743" s="384"/>
      <c r="Z743" s="384"/>
      <c r="AA743" s="384"/>
      <c r="AB743" s="384"/>
      <c r="AC743" s="384"/>
      <c r="AD743" s="384"/>
      <c r="AE743" s="384"/>
      <c r="AF743" s="384"/>
      <c r="AG743" s="384"/>
      <c r="AH743" s="384"/>
      <c r="AI743" s="384"/>
      <c r="AJ743" s="384"/>
      <c r="AK743" s="384"/>
      <c r="AL743" s="384"/>
      <c r="AM743" s="384"/>
      <c r="AN743" s="384"/>
      <c r="AO743" s="384"/>
      <c r="AP743" s="384"/>
      <c r="AQ743" s="384"/>
      <c r="AR743" s="384"/>
    </row>
    <row r="744" spans="2:44" s="637" customFormat="1" ht="12" customHeight="1">
      <c r="B744" s="636"/>
      <c r="F744" s="731"/>
      <c r="G744" s="732"/>
      <c r="H744" s="733"/>
      <c r="N744" s="1180" t="s">
        <v>2483</v>
      </c>
      <c r="O744" s="1180" t="s">
        <v>166</v>
      </c>
      <c r="P744" s="728"/>
      <c r="X744" s="384"/>
      <c r="Y744" s="384"/>
      <c r="Z744" s="384"/>
      <c r="AA744" s="384"/>
      <c r="AB744" s="384"/>
      <c r="AC744" s="384"/>
      <c r="AD744" s="384"/>
      <c r="AE744" s="384"/>
      <c r="AF744" s="384"/>
      <c r="AG744" s="384"/>
      <c r="AH744" s="384"/>
      <c r="AI744" s="384"/>
      <c r="AJ744" s="384"/>
      <c r="AK744" s="384"/>
      <c r="AL744" s="384"/>
      <c r="AM744" s="384"/>
      <c r="AN744" s="384"/>
      <c r="AO744" s="384"/>
      <c r="AP744" s="384"/>
      <c r="AQ744" s="384"/>
      <c r="AR744" s="384"/>
    </row>
    <row r="745" spans="2:44" s="637" customFormat="1" ht="12" customHeight="1">
      <c r="B745" s="636"/>
      <c r="F745" s="731"/>
      <c r="G745" s="732"/>
      <c r="H745" s="733"/>
      <c r="N745" s="1180" t="s">
        <v>2484</v>
      </c>
      <c r="O745" s="1180" t="s">
        <v>1781</v>
      </c>
      <c r="P745" s="728"/>
      <c r="X745" s="384"/>
      <c r="Y745" s="384"/>
      <c r="Z745" s="384"/>
      <c r="AA745" s="384"/>
      <c r="AB745" s="384"/>
      <c r="AC745" s="384"/>
      <c r="AD745" s="384"/>
      <c r="AE745" s="384"/>
      <c r="AF745" s="384"/>
      <c r="AG745" s="384"/>
      <c r="AH745" s="384"/>
      <c r="AI745" s="384"/>
      <c r="AJ745" s="384"/>
      <c r="AK745" s="384"/>
      <c r="AL745" s="384"/>
      <c r="AM745" s="384"/>
      <c r="AN745" s="384"/>
      <c r="AO745" s="384"/>
      <c r="AP745" s="384"/>
      <c r="AQ745" s="384"/>
      <c r="AR745" s="384"/>
    </row>
    <row r="746" spans="2:44" s="637" customFormat="1" ht="12" customHeight="1">
      <c r="B746" s="636"/>
      <c r="F746" s="731"/>
      <c r="G746" s="732"/>
      <c r="H746" s="733"/>
      <c r="N746" s="1180" t="s">
        <v>2485</v>
      </c>
      <c r="O746" s="1180" t="s">
        <v>1170</v>
      </c>
      <c r="P746" s="728"/>
      <c r="X746" s="384"/>
      <c r="Y746" s="384"/>
      <c r="Z746" s="384"/>
      <c r="AA746" s="384"/>
      <c r="AB746" s="384"/>
      <c r="AC746" s="384"/>
      <c r="AD746" s="384"/>
      <c r="AE746" s="384"/>
      <c r="AF746" s="384"/>
      <c r="AG746" s="384"/>
      <c r="AH746" s="384"/>
      <c r="AI746" s="384"/>
      <c r="AJ746" s="384"/>
      <c r="AK746" s="384"/>
      <c r="AL746" s="384"/>
      <c r="AM746" s="384"/>
      <c r="AN746" s="384"/>
      <c r="AO746" s="384"/>
      <c r="AP746" s="384"/>
      <c r="AQ746" s="384"/>
      <c r="AR746" s="384"/>
    </row>
    <row r="747" spans="2:44" s="637" customFormat="1" ht="12" customHeight="1">
      <c r="B747" s="636"/>
      <c r="F747" s="731"/>
      <c r="G747" s="732"/>
      <c r="H747" s="733"/>
      <c r="N747" s="1180" t="s">
        <v>2486</v>
      </c>
      <c r="O747" s="1180" t="s">
        <v>2556</v>
      </c>
      <c r="P747" s="728"/>
      <c r="X747" s="384"/>
      <c r="Y747" s="384"/>
      <c r="Z747" s="384"/>
      <c r="AA747" s="384"/>
      <c r="AB747" s="384"/>
      <c r="AC747" s="384"/>
      <c r="AD747" s="384"/>
      <c r="AE747" s="384"/>
      <c r="AF747" s="384"/>
      <c r="AG747" s="384"/>
      <c r="AH747" s="384"/>
      <c r="AI747" s="384"/>
      <c r="AJ747" s="384"/>
      <c r="AK747" s="384"/>
      <c r="AL747" s="384"/>
      <c r="AM747" s="384"/>
      <c r="AN747" s="384"/>
      <c r="AO747" s="384"/>
      <c r="AP747" s="384"/>
      <c r="AQ747" s="384"/>
      <c r="AR747" s="384"/>
    </row>
    <row r="748" spans="2:44" s="637" customFormat="1" ht="12" customHeight="1">
      <c r="B748" s="636"/>
      <c r="F748" s="731"/>
      <c r="G748" s="732"/>
      <c r="H748" s="733"/>
      <c r="N748" s="1180" t="s">
        <v>2409</v>
      </c>
      <c r="O748" s="1180" t="s">
        <v>2313</v>
      </c>
      <c r="P748" s="728"/>
      <c r="X748" s="384"/>
      <c r="Y748" s="384"/>
      <c r="Z748" s="384"/>
      <c r="AA748" s="384"/>
      <c r="AB748" s="384"/>
      <c r="AC748" s="384"/>
      <c r="AD748" s="384"/>
      <c r="AE748" s="384"/>
      <c r="AF748" s="384"/>
      <c r="AG748" s="384"/>
      <c r="AH748" s="384"/>
      <c r="AI748" s="384"/>
      <c r="AJ748" s="384"/>
      <c r="AK748" s="384"/>
      <c r="AL748" s="384"/>
      <c r="AM748" s="384"/>
      <c r="AN748" s="384"/>
      <c r="AO748" s="384"/>
      <c r="AP748" s="384"/>
      <c r="AQ748" s="384"/>
      <c r="AR748" s="384"/>
    </row>
    <row r="749" spans="2:44" s="637" customFormat="1" ht="12" customHeight="1">
      <c r="B749" s="636"/>
      <c r="F749" s="731"/>
      <c r="G749" s="732"/>
      <c r="H749" s="733"/>
      <c r="N749" s="1180" t="s">
        <v>1736</v>
      </c>
      <c r="O749" s="1180" t="s">
        <v>2558</v>
      </c>
      <c r="P749" s="728"/>
      <c r="X749" s="384"/>
      <c r="Y749" s="384"/>
      <c r="Z749" s="384"/>
      <c r="AA749" s="384"/>
      <c r="AB749" s="384"/>
      <c r="AC749" s="384"/>
      <c r="AD749" s="384"/>
      <c r="AE749" s="384"/>
      <c r="AF749" s="384"/>
      <c r="AG749" s="384"/>
      <c r="AH749" s="384"/>
      <c r="AI749" s="384"/>
      <c r="AJ749" s="384"/>
      <c r="AK749" s="384"/>
      <c r="AL749" s="384"/>
      <c r="AM749" s="384"/>
      <c r="AN749" s="384"/>
      <c r="AO749" s="384"/>
      <c r="AP749" s="384"/>
      <c r="AQ749" s="384"/>
      <c r="AR749" s="384"/>
    </row>
    <row r="750" spans="2:44" s="637" customFormat="1" ht="12" customHeight="1">
      <c r="B750" s="636"/>
      <c r="F750" s="731"/>
      <c r="G750" s="732"/>
      <c r="H750" s="733"/>
      <c r="N750" s="1180" t="s">
        <v>1737</v>
      </c>
      <c r="O750" s="1180" t="s">
        <v>202</v>
      </c>
      <c r="P750" s="728"/>
      <c r="X750" s="384"/>
      <c r="Y750" s="384"/>
      <c r="Z750" s="384"/>
      <c r="AA750" s="384"/>
      <c r="AB750" s="384"/>
      <c r="AC750" s="384"/>
      <c r="AD750" s="384"/>
      <c r="AE750" s="384"/>
      <c r="AF750" s="384"/>
      <c r="AG750" s="384"/>
      <c r="AH750" s="384"/>
      <c r="AI750" s="384"/>
      <c r="AJ750" s="384"/>
      <c r="AK750" s="384"/>
      <c r="AL750" s="384"/>
      <c r="AM750" s="384"/>
      <c r="AN750" s="384"/>
      <c r="AO750" s="384"/>
      <c r="AP750" s="384"/>
      <c r="AQ750" s="384"/>
      <c r="AR750" s="384"/>
    </row>
    <row r="751" spans="2:44" s="637" customFormat="1" ht="12" customHeight="1">
      <c r="B751" s="636"/>
      <c r="F751" s="731"/>
      <c r="G751" s="732"/>
      <c r="H751" s="733"/>
      <c r="N751" s="1180" t="s">
        <v>1805</v>
      </c>
      <c r="O751" s="1180" t="s">
        <v>169</v>
      </c>
      <c r="P751" s="728"/>
      <c r="X751" s="384"/>
      <c r="Y751" s="384"/>
      <c r="Z751" s="384"/>
      <c r="AA751" s="384"/>
      <c r="AB751" s="384"/>
      <c r="AC751" s="384"/>
      <c r="AD751" s="384"/>
      <c r="AE751" s="384"/>
      <c r="AF751" s="384"/>
      <c r="AG751" s="384"/>
      <c r="AH751" s="384"/>
      <c r="AI751" s="384"/>
      <c r="AJ751" s="384"/>
      <c r="AK751" s="384"/>
      <c r="AL751" s="384"/>
      <c r="AM751" s="384"/>
      <c r="AN751" s="384"/>
      <c r="AO751" s="384"/>
      <c r="AP751" s="384"/>
      <c r="AQ751" s="384"/>
      <c r="AR751" s="384"/>
    </row>
    <row r="752" spans="2:44" s="637" customFormat="1" ht="12" customHeight="1">
      <c r="B752" s="636"/>
      <c r="F752" s="731"/>
      <c r="G752" s="732"/>
      <c r="H752" s="733"/>
      <c r="N752" s="1180" t="s">
        <v>1142</v>
      </c>
      <c r="O752" s="1180" t="s">
        <v>669</v>
      </c>
      <c r="P752" s="728"/>
      <c r="X752" s="384"/>
      <c r="Y752" s="384"/>
      <c r="Z752" s="384"/>
      <c r="AA752" s="384"/>
      <c r="AB752" s="384"/>
      <c r="AC752" s="384"/>
      <c r="AD752" s="384"/>
      <c r="AE752" s="384"/>
      <c r="AF752" s="384"/>
      <c r="AG752" s="384"/>
      <c r="AH752" s="384"/>
      <c r="AI752" s="384"/>
      <c r="AJ752" s="384"/>
      <c r="AK752" s="384"/>
      <c r="AL752" s="384"/>
      <c r="AM752" s="384"/>
      <c r="AN752" s="384"/>
      <c r="AO752" s="384"/>
      <c r="AP752" s="384"/>
      <c r="AQ752" s="384"/>
      <c r="AR752" s="384"/>
    </row>
    <row r="753" spans="2:44" s="637" customFormat="1" ht="12" customHeight="1">
      <c r="B753" s="636"/>
      <c r="F753" s="731"/>
      <c r="G753" s="732"/>
      <c r="H753" s="733"/>
      <c r="N753" s="1180" t="s">
        <v>872</v>
      </c>
      <c r="O753" s="1180" t="s">
        <v>2084</v>
      </c>
      <c r="P753" s="728"/>
      <c r="X753" s="384"/>
      <c r="Y753" s="384"/>
      <c r="Z753" s="384"/>
      <c r="AA753" s="384"/>
      <c r="AB753" s="384"/>
      <c r="AC753" s="384"/>
      <c r="AD753" s="384"/>
      <c r="AE753" s="384"/>
      <c r="AF753" s="384"/>
      <c r="AG753" s="384"/>
      <c r="AH753" s="384"/>
      <c r="AI753" s="384"/>
      <c r="AJ753" s="384"/>
      <c r="AK753" s="384"/>
      <c r="AL753" s="384"/>
      <c r="AM753" s="384"/>
      <c r="AN753" s="384"/>
      <c r="AO753" s="384"/>
      <c r="AP753" s="384"/>
      <c r="AQ753" s="384"/>
      <c r="AR753" s="384"/>
    </row>
    <row r="754" spans="2:44" s="637" customFormat="1" ht="12" customHeight="1">
      <c r="B754" s="636"/>
      <c r="F754" s="731"/>
      <c r="G754" s="732"/>
      <c r="H754" s="733"/>
      <c r="N754" s="1180" t="s">
        <v>1806</v>
      </c>
      <c r="O754" s="1180" t="s">
        <v>2704</v>
      </c>
      <c r="P754" s="728"/>
      <c r="X754" s="384"/>
      <c r="Y754" s="384"/>
      <c r="Z754" s="384"/>
      <c r="AA754" s="384"/>
      <c r="AB754" s="384"/>
      <c r="AC754" s="384"/>
      <c r="AD754" s="384"/>
      <c r="AE754" s="384"/>
      <c r="AF754" s="384"/>
      <c r="AG754" s="384"/>
      <c r="AH754" s="384"/>
      <c r="AI754" s="384"/>
      <c r="AJ754" s="384"/>
      <c r="AK754" s="384"/>
      <c r="AL754" s="384"/>
      <c r="AM754" s="384"/>
      <c r="AN754" s="384"/>
      <c r="AO754" s="384"/>
      <c r="AP754" s="384"/>
      <c r="AQ754" s="384"/>
      <c r="AR754" s="384"/>
    </row>
    <row r="755" spans="2:44" s="637" customFormat="1" ht="12" customHeight="1">
      <c r="B755" s="636"/>
      <c r="F755" s="731"/>
      <c r="G755" s="732"/>
      <c r="H755" s="733"/>
      <c r="N755" s="1180" t="s">
        <v>1807</v>
      </c>
      <c r="O755" s="1180" t="s">
        <v>2390</v>
      </c>
      <c r="P755" s="728"/>
      <c r="X755" s="384"/>
      <c r="Y755" s="384"/>
      <c r="Z755" s="384"/>
      <c r="AA755" s="384"/>
      <c r="AB755" s="384"/>
      <c r="AC755" s="384"/>
      <c r="AD755" s="384"/>
      <c r="AE755" s="384"/>
      <c r="AF755" s="384"/>
      <c r="AG755" s="384"/>
      <c r="AH755" s="384"/>
      <c r="AI755" s="384"/>
      <c r="AJ755" s="384"/>
      <c r="AK755" s="384"/>
      <c r="AL755" s="384"/>
      <c r="AM755" s="384"/>
      <c r="AN755" s="384"/>
      <c r="AO755" s="384"/>
      <c r="AP755" s="384"/>
      <c r="AQ755" s="384"/>
      <c r="AR755" s="384"/>
    </row>
    <row r="756" spans="2:44" s="637" customFormat="1" ht="12" customHeight="1">
      <c r="B756" s="636"/>
      <c r="F756" s="731"/>
      <c r="G756" s="732"/>
      <c r="H756" s="733"/>
      <c r="N756" s="1180" t="s">
        <v>1808</v>
      </c>
      <c r="O756" s="1180" t="s">
        <v>1781</v>
      </c>
      <c r="P756" s="728"/>
      <c r="X756" s="384"/>
      <c r="Y756" s="384"/>
      <c r="Z756" s="384"/>
      <c r="AA756" s="384"/>
      <c r="AB756" s="384"/>
      <c r="AC756" s="384"/>
      <c r="AD756" s="384"/>
      <c r="AE756" s="384"/>
      <c r="AF756" s="384"/>
      <c r="AG756" s="384"/>
      <c r="AH756" s="384"/>
      <c r="AI756" s="384"/>
      <c r="AJ756" s="384"/>
      <c r="AK756" s="384"/>
      <c r="AL756" s="384"/>
      <c r="AM756" s="384"/>
      <c r="AN756" s="384"/>
      <c r="AO756" s="384"/>
      <c r="AP756" s="384"/>
      <c r="AQ756" s="384"/>
      <c r="AR756" s="384"/>
    </row>
    <row r="757" spans="2:44" s="637" customFormat="1" ht="12" customHeight="1">
      <c r="B757" s="636"/>
      <c r="F757" s="731"/>
      <c r="G757" s="732"/>
      <c r="H757" s="733"/>
      <c r="N757" s="1180" t="s">
        <v>1809</v>
      </c>
      <c r="O757" s="1180" t="s">
        <v>166</v>
      </c>
      <c r="P757" s="728"/>
      <c r="X757" s="384"/>
      <c r="Y757" s="384"/>
      <c r="Z757" s="384"/>
      <c r="AA757" s="384"/>
      <c r="AB757" s="384"/>
      <c r="AC757" s="384"/>
      <c r="AD757" s="384"/>
      <c r="AE757" s="384"/>
      <c r="AF757" s="384"/>
      <c r="AG757" s="384"/>
      <c r="AH757" s="384"/>
      <c r="AI757" s="384"/>
      <c r="AJ757" s="384"/>
      <c r="AK757" s="384"/>
      <c r="AL757" s="384"/>
      <c r="AM757" s="384"/>
      <c r="AN757" s="384"/>
      <c r="AO757" s="384"/>
      <c r="AP757" s="384"/>
      <c r="AQ757" s="384"/>
      <c r="AR757" s="384"/>
    </row>
    <row r="758" spans="2:44" s="637" customFormat="1" ht="12" customHeight="1">
      <c r="B758" s="636"/>
      <c r="F758" s="731"/>
      <c r="G758" s="732"/>
      <c r="H758" s="733"/>
      <c r="N758" s="1180" t="s">
        <v>1810</v>
      </c>
      <c r="O758" s="1180" t="s">
        <v>703</v>
      </c>
      <c r="P758" s="728"/>
      <c r="X758" s="384"/>
      <c r="Y758" s="384"/>
      <c r="Z758" s="384"/>
      <c r="AA758" s="384"/>
      <c r="AB758" s="384"/>
      <c r="AC758" s="384"/>
      <c r="AD758" s="384"/>
      <c r="AE758" s="384"/>
      <c r="AF758" s="384"/>
      <c r="AG758" s="384"/>
      <c r="AH758" s="384"/>
      <c r="AI758" s="384"/>
      <c r="AJ758" s="384"/>
      <c r="AK758" s="384"/>
      <c r="AL758" s="384"/>
      <c r="AM758" s="384"/>
      <c r="AN758" s="384"/>
      <c r="AO758" s="384"/>
      <c r="AP758" s="384"/>
      <c r="AQ758" s="384"/>
      <c r="AR758" s="384"/>
    </row>
    <row r="759" spans="2:44" s="637" customFormat="1" ht="12" customHeight="1">
      <c r="B759" s="636"/>
      <c r="F759" s="731"/>
      <c r="G759" s="732"/>
      <c r="H759" s="733"/>
      <c r="N759" s="1180" t="s">
        <v>1811</v>
      </c>
      <c r="O759" s="1180" t="s">
        <v>1010</v>
      </c>
      <c r="P759" s="2030"/>
      <c r="X759" s="384"/>
      <c r="Y759" s="384"/>
      <c r="Z759" s="384"/>
      <c r="AA759" s="384"/>
      <c r="AB759" s="384"/>
      <c r="AC759" s="384"/>
      <c r="AD759" s="384"/>
      <c r="AE759" s="384"/>
      <c r="AF759" s="384"/>
      <c r="AG759" s="384"/>
      <c r="AH759" s="384"/>
      <c r="AI759" s="384"/>
      <c r="AJ759" s="384"/>
      <c r="AK759" s="384"/>
      <c r="AL759" s="384"/>
      <c r="AM759" s="384"/>
      <c r="AN759" s="384"/>
      <c r="AO759" s="384"/>
      <c r="AP759" s="384"/>
      <c r="AQ759" s="384"/>
      <c r="AR759" s="384"/>
    </row>
    <row r="760" spans="2:44" s="637" customFormat="1" ht="12" customHeight="1">
      <c r="B760" s="636"/>
      <c r="F760" s="731"/>
      <c r="G760" s="732"/>
      <c r="H760" s="733"/>
      <c r="N760" s="1180" t="s">
        <v>1812</v>
      </c>
      <c r="O760" s="1180" t="s">
        <v>1283</v>
      </c>
      <c r="P760" s="728"/>
      <c r="X760" s="384"/>
      <c r="Y760" s="384"/>
      <c r="Z760" s="384"/>
      <c r="AA760" s="384"/>
      <c r="AB760" s="384"/>
      <c r="AC760" s="384"/>
      <c r="AD760" s="384"/>
      <c r="AE760" s="384"/>
      <c r="AF760" s="384"/>
      <c r="AG760" s="384"/>
      <c r="AH760" s="384"/>
      <c r="AI760" s="384"/>
      <c r="AJ760" s="384"/>
      <c r="AK760" s="384"/>
      <c r="AL760" s="384"/>
      <c r="AM760" s="384"/>
      <c r="AN760" s="384"/>
      <c r="AO760" s="384"/>
      <c r="AP760" s="384"/>
      <c r="AQ760" s="384"/>
      <c r="AR760" s="384"/>
    </row>
    <row r="761" spans="2:44" s="637" customFormat="1" ht="12" customHeight="1">
      <c r="B761" s="636"/>
      <c r="F761" s="731"/>
      <c r="G761" s="732"/>
      <c r="H761" s="733"/>
      <c r="N761" s="1180" t="s">
        <v>1813</v>
      </c>
      <c r="O761" s="1180" t="s">
        <v>717</v>
      </c>
      <c r="P761" s="728"/>
      <c r="X761" s="384"/>
      <c r="Y761" s="384"/>
      <c r="Z761" s="384"/>
      <c r="AA761" s="384"/>
      <c r="AB761" s="384"/>
      <c r="AC761" s="384"/>
      <c r="AD761" s="384"/>
      <c r="AE761" s="384"/>
      <c r="AF761" s="384"/>
      <c r="AG761" s="384"/>
      <c r="AH761" s="384"/>
      <c r="AI761" s="384"/>
      <c r="AJ761" s="384"/>
      <c r="AK761" s="384"/>
      <c r="AL761" s="384"/>
      <c r="AM761" s="384"/>
      <c r="AN761" s="384"/>
      <c r="AO761" s="384"/>
      <c r="AP761" s="384"/>
      <c r="AQ761" s="384"/>
      <c r="AR761" s="384"/>
    </row>
    <row r="762" spans="2:44" s="637" customFormat="1" ht="12" customHeight="1">
      <c r="B762" s="636"/>
      <c r="F762" s="731"/>
      <c r="G762" s="732"/>
      <c r="H762" s="733"/>
      <c r="N762" s="705" t="s">
        <v>1143</v>
      </c>
      <c r="O762" s="705" t="s">
        <v>1781</v>
      </c>
      <c r="P762" s="728"/>
      <c r="X762" s="384"/>
      <c r="Y762" s="384"/>
      <c r="Z762" s="384"/>
      <c r="AA762" s="384"/>
      <c r="AB762" s="384"/>
      <c r="AC762" s="384"/>
      <c r="AD762" s="384"/>
      <c r="AE762" s="384"/>
      <c r="AF762" s="384"/>
      <c r="AG762" s="384"/>
      <c r="AH762" s="384"/>
      <c r="AI762" s="384"/>
      <c r="AJ762" s="384"/>
      <c r="AK762" s="384"/>
      <c r="AL762" s="384"/>
      <c r="AM762" s="384"/>
      <c r="AN762" s="384"/>
      <c r="AO762" s="384"/>
      <c r="AP762" s="384"/>
      <c r="AQ762" s="384"/>
      <c r="AR762" s="384"/>
    </row>
    <row r="763" spans="2:44" s="637" customFormat="1" ht="12" customHeight="1">
      <c r="B763" s="636"/>
      <c r="F763" s="731"/>
      <c r="G763" s="732"/>
      <c r="H763" s="733"/>
      <c r="N763" s="1180" t="s">
        <v>1814</v>
      </c>
      <c r="O763" s="1180" t="s">
        <v>191</v>
      </c>
      <c r="P763" s="2029"/>
      <c r="X763" s="384"/>
      <c r="Y763" s="384"/>
      <c r="Z763" s="384"/>
      <c r="AA763" s="384"/>
      <c r="AB763" s="384"/>
      <c r="AC763" s="384"/>
      <c r="AD763" s="384"/>
      <c r="AE763" s="384"/>
      <c r="AF763" s="384"/>
      <c r="AG763" s="384"/>
      <c r="AH763" s="384"/>
      <c r="AI763" s="384"/>
      <c r="AJ763" s="384"/>
      <c r="AK763" s="384"/>
      <c r="AL763" s="384"/>
      <c r="AM763" s="384"/>
      <c r="AN763" s="384"/>
      <c r="AO763" s="384"/>
      <c r="AP763" s="384"/>
      <c r="AQ763" s="384"/>
      <c r="AR763" s="384"/>
    </row>
    <row r="764" spans="2:44" s="637" customFormat="1" ht="12" customHeight="1">
      <c r="B764" s="636"/>
      <c r="F764" s="731"/>
      <c r="G764" s="732"/>
      <c r="H764" s="733"/>
      <c r="N764" s="1180" t="s">
        <v>1815</v>
      </c>
      <c r="O764" s="1180" t="s">
        <v>182</v>
      </c>
      <c r="P764" s="728"/>
      <c r="X764" s="384"/>
      <c r="Y764" s="384"/>
      <c r="Z764" s="384"/>
      <c r="AA764" s="384"/>
      <c r="AB764" s="384"/>
      <c r="AC764" s="384"/>
      <c r="AD764" s="384"/>
      <c r="AE764" s="384"/>
      <c r="AF764" s="384"/>
      <c r="AG764" s="384"/>
      <c r="AH764" s="384"/>
      <c r="AI764" s="384"/>
      <c r="AJ764" s="384"/>
      <c r="AK764" s="384"/>
      <c r="AL764" s="384"/>
      <c r="AM764" s="384"/>
      <c r="AN764" s="384"/>
      <c r="AO764" s="384"/>
      <c r="AP764" s="384"/>
      <c r="AQ764" s="384"/>
      <c r="AR764" s="384"/>
    </row>
    <row r="765" spans="2:44" s="637" customFormat="1" ht="12" customHeight="1">
      <c r="B765" s="636"/>
      <c r="F765" s="731"/>
      <c r="G765" s="732"/>
      <c r="H765" s="733"/>
      <c r="N765" s="1180" t="s">
        <v>1816</v>
      </c>
      <c r="O765" s="1180" t="s">
        <v>2084</v>
      </c>
      <c r="P765" s="728"/>
      <c r="X765" s="384"/>
      <c r="Y765" s="384"/>
      <c r="Z765" s="384"/>
      <c r="AA765" s="384"/>
      <c r="AB765" s="384"/>
      <c r="AC765" s="384"/>
      <c r="AD765" s="384"/>
      <c r="AE765" s="384"/>
      <c r="AF765" s="384"/>
      <c r="AG765" s="384"/>
      <c r="AH765" s="384"/>
      <c r="AI765" s="384"/>
      <c r="AJ765" s="384"/>
      <c r="AK765" s="384"/>
      <c r="AL765" s="384"/>
      <c r="AM765" s="384"/>
      <c r="AN765" s="384"/>
      <c r="AO765" s="384"/>
      <c r="AP765" s="384"/>
      <c r="AQ765" s="384"/>
      <c r="AR765" s="384"/>
    </row>
    <row r="766" spans="2:44" s="637" customFormat="1" ht="12" customHeight="1">
      <c r="B766" s="636"/>
      <c r="F766" s="731"/>
      <c r="G766" s="732"/>
      <c r="H766" s="733"/>
      <c r="N766" s="705" t="s">
        <v>1817</v>
      </c>
      <c r="O766" s="705" t="s">
        <v>166</v>
      </c>
      <c r="P766" s="728"/>
      <c r="X766" s="384"/>
      <c r="Y766" s="384"/>
      <c r="Z766" s="384"/>
      <c r="AA766" s="384"/>
      <c r="AB766" s="384"/>
      <c r="AC766" s="384"/>
      <c r="AD766" s="384"/>
      <c r="AE766" s="384"/>
      <c r="AF766" s="384"/>
      <c r="AG766" s="384"/>
      <c r="AH766" s="384"/>
      <c r="AI766" s="384"/>
      <c r="AJ766" s="384"/>
      <c r="AK766" s="384"/>
      <c r="AL766" s="384"/>
      <c r="AM766" s="384"/>
      <c r="AN766" s="384"/>
      <c r="AO766" s="384"/>
      <c r="AP766" s="384"/>
      <c r="AQ766" s="384"/>
      <c r="AR766" s="384"/>
    </row>
    <row r="767" spans="2:44" s="637" customFormat="1" ht="12" customHeight="1">
      <c r="B767" s="636"/>
      <c r="F767" s="731"/>
      <c r="G767" s="732"/>
      <c r="H767" s="733"/>
      <c r="N767" s="1180" t="s">
        <v>1818</v>
      </c>
      <c r="O767" s="1180" t="s">
        <v>2043</v>
      </c>
      <c r="P767" s="2029"/>
      <c r="X767" s="384"/>
      <c r="Y767" s="384"/>
      <c r="Z767" s="384"/>
      <c r="AA767" s="384"/>
      <c r="AB767" s="384"/>
      <c r="AC767" s="384"/>
      <c r="AD767" s="384"/>
      <c r="AE767" s="384"/>
      <c r="AF767" s="384"/>
      <c r="AG767" s="384"/>
      <c r="AH767" s="384"/>
      <c r="AI767" s="384"/>
      <c r="AJ767" s="384"/>
      <c r="AK767" s="384"/>
      <c r="AL767" s="384"/>
      <c r="AM767" s="384"/>
      <c r="AN767" s="384"/>
      <c r="AO767" s="384"/>
      <c r="AP767" s="384"/>
      <c r="AQ767" s="384"/>
      <c r="AR767" s="384"/>
    </row>
    <row r="768" spans="2:44" s="637" customFormat="1" ht="12" customHeight="1">
      <c r="B768" s="636"/>
      <c r="F768" s="731"/>
      <c r="G768" s="732"/>
      <c r="H768" s="733"/>
      <c r="N768" s="1180" t="s">
        <v>1819</v>
      </c>
      <c r="O768" s="1180" t="s">
        <v>1415</v>
      </c>
      <c r="P768" s="728"/>
      <c r="X768" s="384"/>
      <c r="Y768" s="384"/>
      <c r="Z768" s="384"/>
      <c r="AA768" s="384"/>
      <c r="AB768" s="384"/>
      <c r="AC768" s="384"/>
      <c r="AD768" s="384"/>
      <c r="AE768" s="384"/>
      <c r="AF768" s="384"/>
      <c r="AG768" s="384"/>
      <c r="AH768" s="384"/>
      <c r="AI768" s="384"/>
      <c r="AJ768" s="384"/>
      <c r="AK768" s="384"/>
      <c r="AL768" s="384"/>
      <c r="AM768" s="384"/>
      <c r="AN768" s="384"/>
      <c r="AO768" s="384"/>
      <c r="AP768" s="384"/>
      <c r="AQ768" s="384"/>
      <c r="AR768" s="384"/>
    </row>
    <row r="769" spans="2:44" s="637" customFormat="1" ht="12" customHeight="1">
      <c r="B769" s="636"/>
      <c r="F769" s="731"/>
      <c r="G769" s="732"/>
      <c r="H769" s="733"/>
      <c r="N769" s="1180" t="s">
        <v>1820</v>
      </c>
      <c r="O769" s="1180" t="s">
        <v>1010</v>
      </c>
      <c r="P769" s="728"/>
      <c r="X769" s="384"/>
      <c r="Y769" s="384"/>
      <c r="Z769" s="384"/>
      <c r="AA769" s="384"/>
      <c r="AB769" s="384"/>
      <c r="AC769" s="384"/>
      <c r="AD769" s="384"/>
      <c r="AE769" s="384"/>
      <c r="AF769" s="384"/>
      <c r="AG769" s="384"/>
      <c r="AH769" s="384"/>
      <c r="AI769" s="384"/>
      <c r="AJ769" s="384"/>
      <c r="AK769" s="384"/>
      <c r="AL769" s="384"/>
      <c r="AM769" s="384"/>
      <c r="AN769" s="384"/>
      <c r="AO769" s="384"/>
      <c r="AP769" s="384"/>
      <c r="AQ769" s="384"/>
      <c r="AR769" s="384"/>
    </row>
    <row r="770" spans="2:44" s="637" customFormat="1" ht="12" customHeight="1">
      <c r="B770" s="636"/>
      <c r="F770" s="731"/>
      <c r="G770" s="732"/>
      <c r="H770" s="733"/>
      <c r="N770" s="1180" t="s">
        <v>1821</v>
      </c>
      <c r="O770" s="1180" t="s">
        <v>783</v>
      </c>
      <c r="P770" s="728"/>
      <c r="X770" s="384"/>
      <c r="Y770" s="384"/>
      <c r="Z770" s="384"/>
      <c r="AA770" s="384"/>
      <c r="AB770" s="384"/>
      <c r="AC770" s="384"/>
      <c r="AD770" s="384"/>
      <c r="AE770" s="384"/>
      <c r="AF770" s="384"/>
      <c r="AG770" s="384"/>
      <c r="AH770" s="384"/>
      <c r="AI770" s="384"/>
      <c r="AJ770" s="384"/>
      <c r="AK770" s="384"/>
      <c r="AL770" s="384"/>
      <c r="AM770" s="384"/>
      <c r="AN770" s="384"/>
      <c r="AO770" s="384"/>
      <c r="AP770" s="384"/>
      <c r="AQ770" s="384"/>
      <c r="AR770" s="384"/>
    </row>
    <row r="771" spans="2:44" s="637" customFormat="1" ht="12" customHeight="1">
      <c r="B771" s="636"/>
      <c r="F771" s="731"/>
      <c r="G771" s="732"/>
      <c r="H771" s="733"/>
      <c r="N771" s="1180" t="s">
        <v>1144</v>
      </c>
      <c r="O771" s="1180" t="s">
        <v>2654</v>
      </c>
      <c r="P771" s="728"/>
      <c r="X771" s="384"/>
      <c r="Y771" s="384"/>
      <c r="Z771" s="384"/>
      <c r="AA771" s="384"/>
      <c r="AB771" s="384"/>
      <c r="AC771" s="384"/>
      <c r="AD771" s="384"/>
      <c r="AE771" s="384"/>
      <c r="AF771" s="384"/>
      <c r="AG771" s="384"/>
      <c r="AH771" s="384"/>
      <c r="AI771" s="384"/>
      <c r="AJ771" s="384"/>
      <c r="AK771" s="384"/>
      <c r="AL771" s="384"/>
      <c r="AM771" s="384"/>
      <c r="AN771" s="384"/>
      <c r="AO771" s="384"/>
      <c r="AP771" s="384"/>
      <c r="AQ771" s="384"/>
      <c r="AR771" s="384"/>
    </row>
    <row r="772" spans="2:44" s="637" customFormat="1" ht="12" customHeight="1">
      <c r="B772" s="636"/>
      <c r="F772" s="731"/>
      <c r="G772" s="732"/>
      <c r="H772" s="733"/>
      <c r="N772" s="1180" t="s">
        <v>1822</v>
      </c>
      <c r="O772" s="1180" t="s">
        <v>332</v>
      </c>
      <c r="P772" s="728"/>
      <c r="X772" s="384"/>
      <c r="Y772" s="384"/>
      <c r="Z772" s="384"/>
      <c r="AA772" s="384"/>
      <c r="AB772" s="384"/>
      <c r="AC772" s="384"/>
      <c r="AD772" s="384"/>
      <c r="AE772" s="384"/>
      <c r="AF772" s="384"/>
      <c r="AG772" s="384"/>
      <c r="AH772" s="384"/>
      <c r="AI772" s="384"/>
      <c r="AJ772" s="384"/>
      <c r="AK772" s="384"/>
      <c r="AL772" s="384"/>
      <c r="AM772" s="384"/>
      <c r="AN772" s="384"/>
      <c r="AO772" s="384"/>
      <c r="AP772" s="384"/>
      <c r="AQ772" s="384"/>
      <c r="AR772" s="384"/>
    </row>
    <row r="773" spans="2:44" s="637" customFormat="1" ht="12" customHeight="1">
      <c r="B773" s="636"/>
      <c r="F773" s="731"/>
      <c r="G773" s="732"/>
      <c r="H773" s="733"/>
      <c r="N773" s="1180" t="s">
        <v>1823</v>
      </c>
      <c r="O773" s="1180" t="s">
        <v>346</v>
      </c>
      <c r="P773" s="728"/>
      <c r="X773" s="384"/>
      <c r="Y773" s="384"/>
      <c r="Z773" s="384"/>
      <c r="AA773" s="384"/>
      <c r="AB773" s="384"/>
      <c r="AC773" s="384"/>
      <c r="AD773" s="384"/>
      <c r="AE773" s="384"/>
      <c r="AF773" s="384"/>
      <c r="AG773" s="384"/>
      <c r="AH773" s="384"/>
      <c r="AI773" s="384"/>
      <c r="AJ773" s="384"/>
      <c r="AK773" s="384"/>
      <c r="AL773" s="384"/>
      <c r="AM773" s="384"/>
      <c r="AN773" s="384"/>
      <c r="AO773" s="384"/>
      <c r="AP773" s="384"/>
      <c r="AQ773" s="384"/>
      <c r="AR773" s="384"/>
    </row>
    <row r="774" spans="2:44" s="637" customFormat="1" ht="12" customHeight="1">
      <c r="B774" s="636"/>
      <c r="F774" s="731"/>
      <c r="G774" s="732"/>
      <c r="H774" s="733"/>
      <c r="N774" s="1180" t="s">
        <v>1824</v>
      </c>
      <c r="O774" s="1180" t="s">
        <v>171</v>
      </c>
      <c r="P774" s="728"/>
      <c r="X774" s="384"/>
      <c r="Y774" s="384"/>
      <c r="Z774" s="384"/>
      <c r="AA774" s="384"/>
      <c r="AB774" s="384"/>
      <c r="AC774" s="384"/>
      <c r="AD774" s="384"/>
      <c r="AE774" s="384"/>
      <c r="AF774" s="384"/>
      <c r="AG774" s="384"/>
      <c r="AH774" s="384"/>
      <c r="AI774" s="384"/>
      <c r="AJ774" s="384"/>
      <c r="AK774" s="384"/>
      <c r="AL774" s="384"/>
      <c r="AM774" s="384"/>
      <c r="AN774" s="384"/>
      <c r="AO774" s="384"/>
      <c r="AP774" s="384"/>
      <c r="AQ774" s="384"/>
      <c r="AR774" s="384"/>
    </row>
    <row r="775" spans="2:44" s="637" customFormat="1" ht="12" customHeight="1">
      <c r="B775" s="636"/>
      <c r="F775" s="731"/>
      <c r="G775" s="732"/>
      <c r="H775" s="733"/>
      <c r="N775" s="1180" t="s">
        <v>1825</v>
      </c>
      <c r="O775" s="1180" t="s">
        <v>2144</v>
      </c>
      <c r="P775" s="728"/>
      <c r="X775" s="384"/>
      <c r="Y775" s="384"/>
      <c r="Z775" s="384"/>
      <c r="AA775" s="384"/>
      <c r="AB775" s="384"/>
      <c r="AC775" s="384"/>
      <c r="AD775" s="384"/>
      <c r="AE775" s="384"/>
      <c r="AF775" s="384"/>
      <c r="AG775" s="384"/>
      <c r="AH775" s="384"/>
      <c r="AI775" s="384"/>
      <c r="AJ775" s="384"/>
      <c r="AK775" s="384"/>
      <c r="AL775" s="384"/>
      <c r="AM775" s="384"/>
      <c r="AN775" s="384"/>
      <c r="AO775" s="384"/>
      <c r="AP775" s="384"/>
      <c r="AQ775" s="384"/>
      <c r="AR775" s="384"/>
    </row>
    <row r="776" spans="2:44" s="637" customFormat="1" ht="12" customHeight="1">
      <c r="B776" s="636"/>
      <c r="F776" s="731"/>
      <c r="G776" s="732"/>
      <c r="H776" s="733"/>
      <c r="N776" s="1180" t="s">
        <v>1826</v>
      </c>
      <c r="O776" s="1180" t="s">
        <v>1552</v>
      </c>
      <c r="P776" s="728"/>
      <c r="X776" s="384"/>
      <c r="Y776" s="384"/>
      <c r="Z776" s="384"/>
      <c r="AA776" s="384"/>
      <c r="AB776" s="384"/>
      <c r="AC776" s="384"/>
      <c r="AD776" s="384"/>
      <c r="AE776" s="384"/>
      <c r="AF776" s="384"/>
      <c r="AG776" s="384"/>
      <c r="AH776" s="384"/>
      <c r="AI776" s="384"/>
      <c r="AJ776" s="384"/>
      <c r="AK776" s="384"/>
      <c r="AL776" s="384"/>
      <c r="AM776" s="384"/>
      <c r="AN776" s="384"/>
      <c r="AO776" s="384"/>
      <c r="AP776" s="384"/>
      <c r="AQ776" s="384"/>
      <c r="AR776" s="384"/>
    </row>
    <row r="777" spans="2:44" s="637" customFormat="1" ht="12" customHeight="1">
      <c r="B777" s="636"/>
      <c r="F777" s="731"/>
      <c r="G777" s="732"/>
      <c r="H777" s="733"/>
      <c r="N777" s="1180" t="s">
        <v>1827</v>
      </c>
      <c r="O777" s="1180" t="s">
        <v>2011</v>
      </c>
      <c r="P777" s="728"/>
      <c r="X777" s="384"/>
      <c r="Y777" s="384"/>
      <c r="Z777" s="384"/>
      <c r="AA777" s="384"/>
      <c r="AB777" s="384"/>
      <c r="AC777" s="384"/>
      <c r="AD777" s="384"/>
      <c r="AE777" s="384"/>
      <c r="AF777" s="384"/>
      <c r="AG777" s="384"/>
      <c r="AH777" s="384"/>
      <c r="AI777" s="384"/>
      <c r="AJ777" s="384"/>
      <c r="AK777" s="384"/>
      <c r="AL777" s="384"/>
      <c r="AM777" s="384"/>
      <c r="AN777" s="384"/>
      <c r="AO777" s="384"/>
      <c r="AP777" s="384"/>
      <c r="AQ777" s="384"/>
      <c r="AR777" s="384"/>
    </row>
    <row r="778" spans="2:44" s="637" customFormat="1" ht="12" customHeight="1">
      <c r="B778" s="636"/>
      <c r="F778" s="731"/>
      <c r="G778" s="732"/>
      <c r="H778" s="733"/>
      <c r="N778" s="1180" t="s">
        <v>1828</v>
      </c>
      <c r="O778" s="1180" t="s">
        <v>338</v>
      </c>
      <c r="P778" s="728"/>
      <c r="X778" s="384"/>
      <c r="Y778" s="384"/>
      <c r="Z778" s="384"/>
      <c r="AA778" s="384"/>
      <c r="AB778" s="384"/>
      <c r="AC778" s="384"/>
      <c r="AD778" s="384"/>
      <c r="AE778" s="384"/>
      <c r="AF778" s="384"/>
      <c r="AG778" s="384"/>
      <c r="AH778" s="384"/>
      <c r="AI778" s="384"/>
      <c r="AJ778" s="384"/>
      <c r="AK778" s="384"/>
      <c r="AL778" s="384"/>
      <c r="AM778" s="384"/>
      <c r="AN778" s="384"/>
      <c r="AO778" s="384"/>
      <c r="AP778" s="384"/>
      <c r="AQ778" s="384"/>
      <c r="AR778" s="384"/>
    </row>
    <row r="779" spans="2:44" s="637" customFormat="1" ht="12" customHeight="1">
      <c r="B779" s="636"/>
      <c r="F779" s="731"/>
      <c r="G779" s="732"/>
      <c r="H779" s="733"/>
      <c r="N779" s="1180" t="s">
        <v>1829</v>
      </c>
      <c r="O779" s="1180" t="s">
        <v>107</v>
      </c>
      <c r="P779" s="728"/>
      <c r="X779" s="384"/>
      <c r="Y779" s="384"/>
      <c r="Z779" s="384"/>
      <c r="AA779" s="384"/>
      <c r="AB779" s="384"/>
      <c r="AC779" s="384"/>
      <c r="AD779" s="384"/>
      <c r="AE779" s="384"/>
      <c r="AF779" s="384"/>
      <c r="AG779" s="384"/>
      <c r="AH779" s="384"/>
      <c r="AI779" s="384"/>
      <c r="AJ779" s="384"/>
      <c r="AK779" s="384"/>
      <c r="AL779" s="384"/>
      <c r="AM779" s="384"/>
      <c r="AN779" s="384"/>
      <c r="AO779" s="384"/>
      <c r="AP779" s="384"/>
      <c r="AQ779" s="384"/>
      <c r="AR779" s="384"/>
    </row>
    <row r="780" spans="2:44" s="637" customFormat="1" ht="12" customHeight="1">
      <c r="B780" s="636"/>
      <c r="F780" s="731"/>
      <c r="G780" s="732"/>
      <c r="H780" s="733"/>
      <c r="N780" s="728" t="s">
        <v>309</v>
      </c>
      <c r="O780" s="728" t="s">
        <v>2560</v>
      </c>
      <c r="P780" s="728"/>
      <c r="X780" s="384"/>
      <c r="Y780" s="384"/>
      <c r="Z780" s="384"/>
      <c r="AA780" s="384"/>
      <c r="AB780" s="384"/>
      <c r="AC780" s="384"/>
      <c r="AD780" s="384"/>
      <c r="AE780" s="384"/>
      <c r="AF780" s="384"/>
      <c r="AG780" s="384"/>
      <c r="AH780" s="384"/>
      <c r="AI780" s="384"/>
      <c r="AJ780" s="384"/>
      <c r="AK780" s="384"/>
      <c r="AL780" s="384"/>
      <c r="AM780" s="384"/>
      <c r="AN780" s="384"/>
      <c r="AO780" s="384"/>
      <c r="AP780" s="384"/>
      <c r="AQ780" s="384"/>
      <c r="AR780" s="384"/>
    </row>
    <row r="781" spans="2:44" s="637" customFormat="1" ht="12" customHeight="1">
      <c r="B781" s="636"/>
      <c r="F781" s="731"/>
      <c r="G781" s="732"/>
      <c r="H781" s="733"/>
      <c r="N781" s="1180" t="s">
        <v>109</v>
      </c>
      <c r="O781" s="1180" t="s">
        <v>2556</v>
      </c>
      <c r="X781" s="384"/>
      <c r="Y781" s="384"/>
      <c r="Z781" s="384"/>
      <c r="AA781" s="384"/>
      <c r="AB781" s="384"/>
      <c r="AC781" s="384"/>
      <c r="AD781" s="384"/>
      <c r="AE781" s="384"/>
      <c r="AF781" s="384"/>
      <c r="AG781" s="384"/>
      <c r="AH781" s="384"/>
      <c r="AI781" s="384"/>
      <c r="AJ781" s="384"/>
      <c r="AK781" s="384"/>
      <c r="AL781" s="384"/>
      <c r="AM781" s="384"/>
      <c r="AN781" s="384"/>
      <c r="AO781" s="384"/>
      <c r="AP781" s="384"/>
      <c r="AQ781" s="384"/>
      <c r="AR781" s="384"/>
    </row>
    <row r="782" spans="2:44" s="637" customFormat="1" ht="12" customHeight="1">
      <c r="B782" s="636"/>
      <c r="F782" s="731"/>
      <c r="G782" s="732"/>
      <c r="H782" s="733"/>
      <c r="N782" s="1180" t="s">
        <v>310</v>
      </c>
      <c r="O782" s="728" t="s">
        <v>2772</v>
      </c>
      <c r="X782" s="384"/>
      <c r="Y782" s="384"/>
      <c r="Z782" s="384"/>
      <c r="AA782" s="384"/>
      <c r="AB782" s="384"/>
      <c r="AC782" s="384"/>
      <c r="AD782" s="384"/>
      <c r="AE782" s="384"/>
      <c r="AF782" s="384"/>
      <c r="AG782" s="384"/>
      <c r="AH782" s="384"/>
      <c r="AI782" s="384"/>
      <c r="AJ782" s="384"/>
      <c r="AK782" s="384"/>
      <c r="AL782" s="384"/>
      <c r="AM782" s="384"/>
      <c r="AN782" s="384"/>
      <c r="AO782" s="384"/>
      <c r="AP782" s="384"/>
      <c r="AQ782" s="384"/>
      <c r="AR782" s="384"/>
    </row>
    <row r="783" spans="2:44" s="637" customFormat="1" ht="12" customHeight="1">
      <c r="B783" s="636"/>
      <c r="F783" s="731"/>
      <c r="G783" s="732"/>
      <c r="H783" s="733"/>
      <c r="N783" s="637" t="s">
        <v>311</v>
      </c>
      <c r="O783" s="637" t="s">
        <v>333</v>
      </c>
      <c r="X783" s="384"/>
      <c r="Y783" s="384"/>
      <c r="Z783" s="384"/>
      <c r="AA783" s="384"/>
      <c r="AB783" s="384"/>
      <c r="AC783" s="384"/>
      <c r="AD783" s="384"/>
      <c r="AE783" s="384"/>
      <c r="AF783" s="384"/>
      <c r="AG783" s="384"/>
      <c r="AH783" s="384"/>
      <c r="AI783" s="384"/>
      <c r="AJ783" s="384"/>
      <c r="AK783" s="384"/>
      <c r="AL783" s="384"/>
      <c r="AM783" s="384"/>
      <c r="AN783" s="384"/>
      <c r="AO783" s="384"/>
      <c r="AP783" s="384"/>
      <c r="AQ783" s="384"/>
      <c r="AR783" s="384"/>
    </row>
    <row r="784" spans="2:44" s="637" customFormat="1" ht="12" customHeight="1">
      <c r="B784" s="636"/>
      <c r="F784" s="731"/>
      <c r="G784" s="732"/>
      <c r="H784" s="733"/>
      <c r="N784" s="637" t="s">
        <v>312</v>
      </c>
      <c r="O784" s="637" t="s">
        <v>2145</v>
      </c>
      <c r="X784" s="384"/>
      <c r="Y784" s="384"/>
      <c r="Z784" s="384"/>
      <c r="AA784" s="384"/>
      <c r="AB784" s="384"/>
      <c r="AC784" s="384"/>
      <c r="AD784" s="384"/>
      <c r="AE784" s="384"/>
      <c r="AF784" s="384"/>
      <c r="AG784" s="384"/>
      <c r="AH784" s="384"/>
      <c r="AI784" s="384"/>
      <c r="AJ784" s="384"/>
      <c r="AK784" s="384"/>
      <c r="AL784" s="384"/>
      <c r="AM784" s="384"/>
      <c r="AN784" s="384"/>
      <c r="AO784" s="384"/>
      <c r="AP784" s="384"/>
      <c r="AQ784" s="384"/>
      <c r="AR784" s="384"/>
    </row>
    <row r="785" spans="2:44" s="637" customFormat="1" ht="12" customHeight="1">
      <c r="B785" s="636"/>
      <c r="F785" s="731"/>
      <c r="G785" s="732"/>
      <c r="H785" s="733"/>
      <c r="N785" s="637" t="s">
        <v>313</v>
      </c>
      <c r="O785" s="637" t="s">
        <v>1415</v>
      </c>
      <c r="X785" s="384"/>
      <c r="Y785" s="384"/>
      <c r="Z785" s="384"/>
      <c r="AA785" s="384"/>
      <c r="AB785" s="384"/>
      <c r="AC785" s="384"/>
      <c r="AD785" s="384"/>
      <c r="AE785" s="384"/>
      <c r="AF785" s="384"/>
      <c r="AG785" s="384"/>
      <c r="AH785" s="384"/>
      <c r="AI785" s="384"/>
      <c r="AJ785" s="384"/>
      <c r="AK785" s="384"/>
      <c r="AL785" s="384"/>
      <c r="AM785" s="384"/>
      <c r="AN785" s="384"/>
      <c r="AO785" s="384"/>
      <c r="AP785" s="384"/>
      <c r="AQ785" s="384"/>
      <c r="AR785" s="384"/>
    </row>
    <row r="786" spans="2:44" s="637" customFormat="1" ht="12" customHeight="1">
      <c r="B786" s="636"/>
      <c r="F786" s="731"/>
      <c r="G786" s="732"/>
      <c r="H786" s="733"/>
      <c r="N786" s="637" t="s">
        <v>314</v>
      </c>
      <c r="O786" s="637" t="s">
        <v>2049</v>
      </c>
      <c r="X786" s="384"/>
      <c r="Y786" s="384"/>
      <c r="Z786" s="384"/>
      <c r="AA786" s="384"/>
      <c r="AB786" s="384"/>
      <c r="AC786" s="384"/>
      <c r="AD786" s="384"/>
      <c r="AE786" s="384"/>
      <c r="AF786" s="384"/>
      <c r="AG786" s="384"/>
      <c r="AH786" s="384"/>
      <c r="AI786" s="384"/>
      <c r="AJ786" s="384"/>
      <c r="AK786" s="384"/>
      <c r="AL786" s="384"/>
      <c r="AM786" s="384"/>
      <c r="AN786" s="384"/>
      <c r="AO786" s="384"/>
      <c r="AP786" s="384"/>
      <c r="AQ786" s="384"/>
      <c r="AR786" s="384"/>
    </row>
    <row r="787" spans="2:44" s="637" customFormat="1" ht="12" customHeight="1">
      <c r="B787" s="636"/>
      <c r="F787" s="731"/>
      <c r="G787" s="732"/>
      <c r="H787" s="733"/>
      <c r="N787" s="637" t="s">
        <v>315</v>
      </c>
      <c r="O787" s="637" t="s">
        <v>113</v>
      </c>
      <c r="X787" s="384"/>
      <c r="Y787" s="384"/>
      <c r="Z787" s="384"/>
      <c r="AA787" s="384"/>
      <c r="AB787" s="384"/>
      <c r="AC787" s="384"/>
      <c r="AD787" s="384"/>
      <c r="AE787" s="384"/>
      <c r="AF787" s="384"/>
      <c r="AG787" s="384"/>
      <c r="AH787" s="384"/>
      <c r="AI787" s="384"/>
      <c r="AJ787" s="384"/>
      <c r="AK787" s="384"/>
      <c r="AL787" s="384"/>
      <c r="AM787" s="384"/>
      <c r="AN787" s="384"/>
      <c r="AO787" s="384"/>
      <c r="AP787" s="384"/>
      <c r="AQ787" s="384"/>
      <c r="AR787" s="384"/>
    </row>
    <row r="788" spans="2:44" s="637" customFormat="1" ht="12" customHeight="1">
      <c r="B788" s="636"/>
      <c r="F788" s="731"/>
      <c r="G788" s="732"/>
      <c r="H788" s="733"/>
      <c r="N788" s="637" t="s">
        <v>316</v>
      </c>
      <c r="O788" s="637" t="s">
        <v>715</v>
      </c>
      <c r="X788" s="384"/>
      <c r="Y788" s="384"/>
      <c r="Z788" s="384"/>
      <c r="AA788" s="384"/>
      <c r="AB788" s="384"/>
      <c r="AC788" s="384"/>
      <c r="AD788" s="384"/>
      <c r="AE788" s="384"/>
      <c r="AF788" s="384"/>
      <c r="AG788" s="384"/>
      <c r="AH788" s="384"/>
      <c r="AI788" s="384"/>
      <c r="AJ788" s="384"/>
      <c r="AK788" s="384"/>
      <c r="AL788" s="384"/>
      <c r="AM788" s="384"/>
      <c r="AN788" s="384"/>
      <c r="AO788" s="384"/>
      <c r="AP788" s="384"/>
      <c r="AQ788" s="384"/>
      <c r="AR788" s="384"/>
    </row>
    <row r="789" spans="2:44" s="637" customFormat="1" ht="12" customHeight="1">
      <c r="B789" s="636"/>
      <c r="F789" s="731"/>
      <c r="G789" s="732"/>
      <c r="H789" s="733"/>
      <c r="N789" s="637" t="s">
        <v>117</v>
      </c>
      <c r="O789" s="637" t="s">
        <v>1400</v>
      </c>
      <c r="X789" s="384"/>
      <c r="Y789" s="384"/>
      <c r="Z789" s="384"/>
      <c r="AA789" s="384"/>
      <c r="AB789" s="384"/>
      <c r="AC789" s="384"/>
      <c r="AD789" s="384"/>
      <c r="AE789" s="384"/>
      <c r="AF789" s="384"/>
      <c r="AG789" s="384"/>
      <c r="AH789" s="384"/>
      <c r="AI789" s="384"/>
      <c r="AJ789" s="384"/>
      <c r="AK789" s="384"/>
      <c r="AL789" s="384"/>
      <c r="AM789" s="384"/>
      <c r="AN789" s="384"/>
      <c r="AO789" s="384"/>
      <c r="AP789" s="384"/>
      <c r="AQ789" s="384"/>
      <c r="AR789" s="384"/>
    </row>
    <row r="790" spans="2:44" s="637" customFormat="1" ht="12" customHeight="1">
      <c r="B790" s="636"/>
      <c r="F790" s="731"/>
      <c r="G790" s="732"/>
      <c r="H790" s="733"/>
      <c r="N790" s="637" t="s">
        <v>1647</v>
      </c>
      <c r="O790" s="637" t="s">
        <v>717</v>
      </c>
      <c r="X790" s="384"/>
      <c r="Y790" s="384"/>
      <c r="Z790" s="384"/>
      <c r="AA790" s="384"/>
      <c r="AB790" s="384"/>
      <c r="AC790" s="384"/>
      <c r="AD790" s="384"/>
      <c r="AE790" s="384"/>
      <c r="AF790" s="384"/>
      <c r="AG790" s="384"/>
      <c r="AH790" s="384"/>
      <c r="AI790" s="384"/>
      <c r="AJ790" s="384"/>
      <c r="AK790" s="384"/>
      <c r="AL790" s="384"/>
      <c r="AM790" s="384"/>
      <c r="AN790" s="384"/>
      <c r="AO790" s="384"/>
      <c r="AP790" s="384"/>
      <c r="AQ790" s="384"/>
      <c r="AR790" s="384"/>
    </row>
    <row r="791" spans="2:44" s="637" customFormat="1" ht="12" customHeight="1">
      <c r="B791" s="636"/>
      <c r="F791" s="731"/>
      <c r="N791" s="637" t="s">
        <v>1145</v>
      </c>
      <c r="O791" s="637" t="s">
        <v>166</v>
      </c>
      <c r="X791" s="384"/>
      <c r="Y791" s="384"/>
      <c r="Z791" s="384"/>
      <c r="AA791" s="384"/>
      <c r="AB791" s="384"/>
      <c r="AC791" s="384"/>
      <c r="AD791" s="384"/>
      <c r="AE791" s="384"/>
      <c r="AF791" s="384"/>
      <c r="AG791" s="384"/>
      <c r="AH791" s="384"/>
      <c r="AI791" s="384"/>
      <c r="AJ791" s="384"/>
      <c r="AK791" s="384"/>
      <c r="AL791" s="384"/>
      <c r="AM791" s="384"/>
      <c r="AN791" s="384"/>
      <c r="AO791" s="384"/>
      <c r="AP791" s="384"/>
      <c r="AQ791" s="384"/>
      <c r="AR791" s="384"/>
    </row>
    <row r="792" spans="2:44" s="637" customFormat="1" ht="12" customHeight="1">
      <c r="B792" s="636"/>
      <c r="N792" s="637" t="s">
        <v>1648</v>
      </c>
      <c r="O792" s="637" t="s">
        <v>783</v>
      </c>
      <c r="X792" s="384"/>
      <c r="Y792" s="384"/>
      <c r="Z792" s="384"/>
      <c r="AA792" s="384"/>
      <c r="AB792" s="384"/>
      <c r="AC792" s="384"/>
      <c r="AD792" s="384"/>
      <c r="AE792" s="384"/>
      <c r="AF792" s="384"/>
      <c r="AG792" s="384"/>
      <c r="AH792" s="384"/>
      <c r="AI792" s="384"/>
      <c r="AJ792" s="384"/>
      <c r="AK792" s="384"/>
      <c r="AL792" s="384"/>
      <c r="AM792" s="384"/>
      <c r="AN792" s="384"/>
      <c r="AO792" s="384"/>
      <c r="AP792" s="384"/>
      <c r="AQ792" s="384"/>
      <c r="AR792" s="384"/>
    </row>
    <row r="793" spans="2:44" s="637" customFormat="1" ht="12" customHeight="1">
      <c r="B793" s="636"/>
      <c r="N793" s="637" t="s">
        <v>1649</v>
      </c>
      <c r="O793" s="637" t="s">
        <v>1901</v>
      </c>
      <c r="X793" s="384"/>
      <c r="Y793" s="384"/>
      <c r="Z793" s="384"/>
      <c r="AA793" s="384"/>
      <c r="AB793" s="384"/>
      <c r="AC793" s="384"/>
      <c r="AD793" s="384"/>
      <c r="AE793" s="384"/>
      <c r="AF793" s="384"/>
      <c r="AG793" s="384"/>
      <c r="AH793" s="384"/>
      <c r="AI793" s="384"/>
      <c r="AJ793" s="384"/>
      <c r="AK793" s="384"/>
      <c r="AL793" s="384"/>
      <c r="AM793" s="384"/>
      <c r="AN793" s="384"/>
      <c r="AO793" s="384"/>
      <c r="AP793" s="384"/>
      <c r="AQ793" s="384"/>
      <c r="AR793" s="384"/>
    </row>
    <row r="794" spans="2:44" s="637" customFormat="1" ht="12" customHeight="1">
      <c r="B794" s="636"/>
      <c r="N794" s="637" t="s">
        <v>1650</v>
      </c>
      <c r="O794" s="637" t="s">
        <v>1161</v>
      </c>
      <c r="X794" s="384"/>
      <c r="Y794" s="384"/>
      <c r="Z794" s="384"/>
      <c r="AA794" s="384"/>
      <c r="AB794" s="384"/>
      <c r="AC794" s="384"/>
      <c r="AD794" s="384"/>
      <c r="AE794" s="384"/>
      <c r="AF794" s="384"/>
      <c r="AG794" s="384"/>
      <c r="AH794" s="384"/>
      <c r="AI794" s="384"/>
      <c r="AJ794" s="384"/>
      <c r="AK794" s="384"/>
      <c r="AL794" s="384"/>
      <c r="AM794" s="384"/>
      <c r="AN794" s="384"/>
      <c r="AO794" s="384"/>
      <c r="AP794" s="384"/>
      <c r="AQ794" s="384"/>
      <c r="AR794" s="384"/>
    </row>
    <row r="795" spans="2:44" s="637" customFormat="1" ht="12" customHeight="1">
      <c r="B795" s="636"/>
      <c r="N795" s="637" t="s">
        <v>1146</v>
      </c>
      <c r="O795" s="637" t="s">
        <v>166</v>
      </c>
      <c r="X795" s="384"/>
      <c r="Y795" s="384"/>
      <c r="Z795" s="384"/>
      <c r="AA795" s="384"/>
      <c r="AB795" s="384"/>
      <c r="AC795" s="384"/>
      <c r="AD795" s="384"/>
      <c r="AE795" s="384"/>
      <c r="AF795" s="384"/>
      <c r="AG795" s="384"/>
    </row>
    <row r="796" spans="2:44" s="637" customFormat="1" ht="12" customHeight="1">
      <c r="B796" s="636"/>
      <c r="N796" s="637" t="s">
        <v>1651</v>
      </c>
      <c r="O796" s="637" t="s">
        <v>1399</v>
      </c>
      <c r="X796" s="384"/>
      <c r="Y796" s="384"/>
      <c r="Z796" s="384"/>
      <c r="AA796" s="384"/>
      <c r="AB796" s="384"/>
      <c r="AC796" s="384"/>
      <c r="AD796" s="384"/>
      <c r="AE796" s="384"/>
      <c r="AF796" s="384"/>
      <c r="AG796" s="384"/>
    </row>
    <row r="797" spans="2:44" s="637" customFormat="1" ht="12" customHeight="1">
      <c r="B797" s="636"/>
      <c r="N797" s="637" t="s">
        <v>1652</v>
      </c>
      <c r="O797" s="637" t="s">
        <v>172</v>
      </c>
      <c r="X797" s="384"/>
      <c r="Y797" s="384"/>
      <c r="Z797" s="384"/>
      <c r="AA797" s="384"/>
      <c r="AB797" s="384"/>
      <c r="AC797" s="384"/>
      <c r="AD797" s="384"/>
      <c r="AE797" s="384"/>
      <c r="AF797" s="384"/>
      <c r="AG797" s="384"/>
    </row>
    <row r="798" spans="2:44" s="637" customFormat="1" ht="12" customHeight="1">
      <c r="B798" s="636"/>
      <c r="N798" s="637" t="s">
        <v>1653</v>
      </c>
      <c r="O798" s="637" t="s">
        <v>1420</v>
      </c>
      <c r="X798" s="384"/>
      <c r="Y798" s="384"/>
      <c r="Z798" s="384"/>
      <c r="AA798" s="384"/>
      <c r="AB798" s="384"/>
      <c r="AC798" s="384"/>
      <c r="AD798" s="384"/>
      <c r="AE798" s="384"/>
      <c r="AF798" s="384"/>
      <c r="AG798" s="384"/>
    </row>
    <row r="799" spans="2:44" s="637" customFormat="1" ht="12" customHeight="1">
      <c r="B799" s="636"/>
      <c r="N799" s="637" t="s">
        <v>1654</v>
      </c>
      <c r="O799" s="637" t="s">
        <v>2011</v>
      </c>
      <c r="X799" s="384"/>
      <c r="Y799" s="384"/>
      <c r="Z799" s="384"/>
      <c r="AA799" s="384"/>
      <c r="AB799" s="384"/>
      <c r="AC799" s="384"/>
      <c r="AD799" s="384"/>
      <c r="AE799" s="384"/>
      <c r="AF799" s="384"/>
      <c r="AG799" s="384"/>
    </row>
    <row r="800" spans="2:44" s="637" customFormat="1" ht="12" customHeight="1">
      <c r="B800" s="636"/>
      <c r="N800" s="637" t="s">
        <v>1655</v>
      </c>
      <c r="O800" s="637" t="s">
        <v>2319</v>
      </c>
      <c r="X800" s="384"/>
      <c r="Y800" s="384"/>
      <c r="Z800" s="384"/>
      <c r="AA800" s="384"/>
      <c r="AB800" s="384"/>
      <c r="AC800" s="384"/>
      <c r="AD800" s="384"/>
      <c r="AE800" s="384"/>
      <c r="AF800" s="384"/>
      <c r="AG800" s="384"/>
    </row>
    <row r="801" spans="2:33" s="637" customFormat="1" ht="12" customHeight="1">
      <c r="B801" s="636"/>
      <c r="N801" s="637" t="s">
        <v>1656</v>
      </c>
      <c r="O801" s="637" t="s">
        <v>171</v>
      </c>
      <c r="X801" s="384"/>
      <c r="Y801" s="384"/>
      <c r="Z801" s="384"/>
      <c r="AA801" s="384"/>
      <c r="AB801" s="384"/>
      <c r="AC801" s="384"/>
      <c r="AD801" s="384"/>
      <c r="AE801" s="384"/>
      <c r="AF801" s="384"/>
      <c r="AG801" s="384"/>
    </row>
    <row r="802" spans="2:33" s="637" customFormat="1" ht="12" customHeight="1">
      <c r="B802" s="636"/>
      <c r="N802" s="637" t="s">
        <v>2537</v>
      </c>
      <c r="O802" s="637" t="s">
        <v>717</v>
      </c>
      <c r="X802" s="384"/>
      <c r="Y802" s="384"/>
      <c r="Z802" s="384"/>
      <c r="AA802" s="384"/>
      <c r="AB802" s="384"/>
      <c r="AC802" s="384"/>
      <c r="AD802" s="384"/>
      <c r="AE802" s="384"/>
      <c r="AF802" s="384"/>
      <c r="AG802" s="384"/>
    </row>
    <row r="803" spans="2:33" s="637" customFormat="1" ht="12" customHeight="1">
      <c r="B803" s="636"/>
      <c r="N803" s="637" t="s">
        <v>2538</v>
      </c>
      <c r="O803" s="637" t="s">
        <v>703</v>
      </c>
      <c r="X803" s="384"/>
      <c r="Y803" s="384"/>
      <c r="Z803" s="384"/>
      <c r="AA803" s="384"/>
      <c r="AB803" s="384"/>
      <c r="AC803" s="384"/>
      <c r="AD803" s="384"/>
      <c r="AE803" s="384"/>
      <c r="AF803" s="384"/>
      <c r="AG803" s="384"/>
    </row>
    <row r="804" spans="2:33" s="637" customFormat="1" ht="12" customHeight="1">
      <c r="B804" s="636"/>
      <c r="N804" s="637" t="s">
        <v>2539</v>
      </c>
      <c r="O804" s="637" t="s">
        <v>346</v>
      </c>
      <c r="X804" s="384"/>
      <c r="Y804" s="384"/>
      <c r="Z804" s="384"/>
      <c r="AA804" s="384"/>
      <c r="AB804" s="384"/>
      <c r="AC804" s="384"/>
      <c r="AD804" s="384"/>
      <c r="AE804" s="384"/>
      <c r="AF804" s="384"/>
      <c r="AG804" s="384"/>
    </row>
    <row r="805" spans="2:33" s="637" customFormat="1" ht="12" customHeight="1">
      <c r="B805" s="636"/>
      <c r="N805" s="637" t="s">
        <v>888</v>
      </c>
      <c r="O805" s="637" t="s">
        <v>350</v>
      </c>
      <c r="X805" s="384"/>
      <c r="Y805" s="384"/>
      <c r="Z805" s="384"/>
      <c r="AA805" s="384"/>
      <c r="AB805" s="384"/>
      <c r="AC805" s="384"/>
      <c r="AD805" s="384"/>
      <c r="AE805" s="384"/>
      <c r="AF805" s="384"/>
      <c r="AG805" s="384"/>
    </row>
    <row r="806" spans="2:33" s="637" customFormat="1" ht="12" customHeight="1">
      <c r="B806" s="636"/>
      <c r="N806" s="637" t="s">
        <v>889</v>
      </c>
      <c r="O806" s="637" t="s">
        <v>2141</v>
      </c>
      <c r="X806" s="384"/>
      <c r="Y806" s="384"/>
      <c r="Z806" s="384"/>
      <c r="AA806" s="384"/>
      <c r="AB806" s="384"/>
      <c r="AC806" s="384"/>
      <c r="AD806" s="384"/>
      <c r="AE806" s="384"/>
      <c r="AF806" s="384"/>
      <c r="AG806" s="384"/>
    </row>
    <row r="807" spans="2:33" s="637" customFormat="1" ht="12" customHeight="1">
      <c r="B807" s="636"/>
      <c r="N807" s="637" t="s">
        <v>3515</v>
      </c>
      <c r="O807" s="637" t="s">
        <v>117</v>
      </c>
      <c r="X807" s="384"/>
      <c r="Y807" s="384"/>
      <c r="Z807" s="384"/>
      <c r="AA807" s="384"/>
      <c r="AB807" s="384"/>
      <c r="AC807" s="384"/>
      <c r="AD807" s="384"/>
      <c r="AE807" s="384"/>
      <c r="AF807" s="384"/>
      <c r="AG807" s="384"/>
    </row>
    <row r="808" spans="2:33" s="637" customFormat="1" ht="12" customHeight="1">
      <c r="B808" s="636"/>
      <c r="N808" s="637" t="s">
        <v>890</v>
      </c>
      <c r="O808" s="637" t="s">
        <v>2045</v>
      </c>
      <c r="X808" s="384"/>
      <c r="Y808" s="384"/>
      <c r="Z808" s="384"/>
      <c r="AA808" s="384"/>
      <c r="AB808" s="384"/>
      <c r="AC808" s="384"/>
      <c r="AD808" s="384"/>
      <c r="AE808" s="384"/>
      <c r="AF808" s="384"/>
      <c r="AG808" s="384"/>
    </row>
    <row r="809" spans="2:33" s="637" customFormat="1" ht="12" customHeight="1">
      <c r="B809" s="636"/>
      <c r="N809" s="637" t="s">
        <v>891</v>
      </c>
      <c r="O809" s="637" t="s">
        <v>1161</v>
      </c>
      <c r="X809" s="384"/>
      <c r="Y809" s="384"/>
      <c r="Z809" s="384"/>
      <c r="AA809" s="384"/>
      <c r="AB809" s="384"/>
      <c r="AC809" s="384"/>
      <c r="AD809" s="384"/>
      <c r="AE809" s="384"/>
      <c r="AF809" s="384"/>
      <c r="AG809" s="384"/>
    </row>
    <row r="810" spans="2:33" s="637" customFormat="1" ht="12" customHeight="1">
      <c r="B810" s="636"/>
      <c r="X810" s="384"/>
      <c r="Y810" s="384"/>
      <c r="Z810" s="384"/>
      <c r="AA810" s="384"/>
      <c r="AB810" s="384"/>
      <c r="AC810" s="384"/>
      <c r="AD810" s="384"/>
      <c r="AE810" s="384"/>
      <c r="AF810" s="384"/>
      <c r="AG810" s="384"/>
    </row>
    <row r="811" spans="2:33" s="637" customFormat="1" ht="12" customHeight="1">
      <c r="B811" s="636"/>
    </row>
    <row r="812" spans="2:33" s="637" customFormat="1" ht="12" customHeight="1">
      <c r="B812" s="636"/>
    </row>
    <row r="813" spans="2:33" s="637" customFormat="1" ht="12" customHeight="1">
      <c r="B813" s="636"/>
    </row>
    <row r="814" spans="2:33" s="637" customFormat="1" ht="12" customHeight="1">
      <c r="B814" s="636"/>
    </row>
    <row r="815" spans="2:33" s="637" customFormat="1" ht="12" customHeight="1">
      <c r="B815" s="636"/>
    </row>
    <row r="816" spans="2:33" s="637" customFormat="1" ht="12" customHeight="1">
      <c r="B816" s="636"/>
    </row>
    <row r="817" spans="2:2" s="637" customFormat="1" ht="12" customHeight="1">
      <c r="B817" s="636"/>
    </row>
    <row r="818" spans="2:2" s="637" customFormat="1" ht="12" customHeight="1">
      <c r="B818" s="636"/>
    </row>
    <row r="819" spans="2:2" s="637" customFormat="1" ht="12" customHeight="1">
      <c r="B819" s="636"/>
    </row>
    <row r="820" spans="2:2" s="637" customFormat="1" ht="12" customHeight="1">
      <c r="B820" s="636"/>
    </row>
    <row r="821" spans="2:2" s="637" customFormat="1" ht="12" customHeight="1">
      <c r="B821" s="636"/>
    </row>
    <row r="822" spans="2:2" s="637" customFormat="1" ht="12" customHeight="1">
      <c r="B822" s="636"/>
    </row>
    <row r="823" spans="2:2" s="637" customFormat="1" ht="12" customHeight="1">
      <c r="B823" s="636"/>
    </row>
    <row r="824" spans="2:2" s="637" customFormat="1" ht="12" customHeight="1">
      <c r="B824" s="636"/>
    </row>
    <row r="825" spans="2:2" s="637" customFormat="1" ht="12" customHeight="1">
      <c r="B825" s="636"/>
    </row>
    <row r="826" spans="2:2" s="637" customFormat="1" ht="12" customHeight="1">
      <c r="B826" s="636"/>
    </row>
    <row r="827" spans="2:2" s="637" customFormat="1" ht="12" customHeight="1">
      <c r="B827" s="636"/>
    </row>
    <row r="828" spans="2:2" s="637" customFormat="1" ht="12" customHeight="1">
      <c r="B828" s="636"/>
    </row>
    <row r="829" spans="2:2" s="637" customFormat="1" ht="12" customHeight="1">
      <c r="B829" s="636"/>
    </row>
    <row r="830" spans="2:2" s="637" customFormat="1" ht="12" customHeight="1">
      <c r="B830" s="636"/>
    </row>
    <row r="831" spans="2:2" s="637" customFormat="1" ht="12" customHeight="1">
      <c r="B831" s="636"/>
    </row>
    <row r="832" spans="2:2" s="637" customFormat="1" ht="12" customHeight="1">
      <c r="B832" s="636"/>
    </row>
    <row r="833" spans="2:27" s="637" customFormat="1" ht="12" customHeight="1">
      <c r="B833" s="636"/>
    </row>
    <row r="834" spans="2:27" s="637" customFormat="1" ht="12" customHeight="1">
      <c r="B834" s="636"/>
    </row>
    <row r="835" spans="2:27" s="637" customFormat="1" ht="12" customHeight="1">
      <c r="B835" s="636"/>
    </row>
    <row r="836" spans="2:27" s="637" customFormat="1" ht="12" customHeight="1">
      <c r="B836" s="636"/>
    </row>
    <row r="837" spans="2:27" s="637" customFormat="1" ht="12" customHeight="1">
      <c r="B837" s="636"/>
    </row>
    <row r="838" spans="2:27" s="637" customFormat="1" ht="12" customHeight="1">
      <c r="B838" s="636"/>
      <c r="N838" s="384"/>
      <c r="O838" s="384"/>
    </row>
    <row r="839" spans="2:27" ht="12" customHeight="1">
      <c r="I839" s="637"/>
      <c r="Z839" s="482"/>
      <c r="AA839" s="482"/>
    </row>
    <row r="840" spans="2:27" ht="12" customHeight="1">
      <c r="Z840" s="482"/>
      <c r="AA840" s="482"/>
    </row>
    <row r="841" spans="2:27" ht="12" customHeight="1">
      <c r="Z841" s="482"/>
      <c r="AA841" s="482"/>
    </row>
    <row r="842" spans="2:27" ht="12" customHeight="1">
      <c r="Z842" s="482"/>
      <c r="AA842" s="482"/>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7"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A83" sqref="A1:XFD1048576"/>
    </sheetView>
  </sheetViews>
  <sheetFormatPr defaultColWidth="9.140625" defaultRowHeight="12" customHeight="1"/>
  <cols>
    <col min="1" max="1" width="2.7109375" style="384" customWidth="1"/>
    <col min="2" max="4" width="2.28515625" style="384" customWidth="1"/>
    <col min="5" max="5" width="14.7109375" style="384" customWidth="1"/>
    <col min="6" max="6" width="6.140625" style="384" customWidth="1"/>
    <col min="7" max="7" width="2.7109375" style="384" customWidth="1"/>
    <col min="8" max="8" width="8" style="384" customWidth="1"/>
    <col min="9" max="9" width="6.28515625" style="384" customWidth="1"/>
    <col min="10" max="10" width="8.28515625" style="384" customWidth="1"/>
    <col min="11" max="11" width="9.7109375" style="384" customWidth="1"/>
    <col min="12" max="13" width="8.85546875" style="384" customWidth="1"/>
    <col min="14" max="14" width="9.42578125" style="384" customWidth="1"/>
    <col min="15" max="15" width="9.7109375" style="384" customWidth="1"/>
    <col min="16" max="16" width="6.140625" style="384" customWidth="1"/>
    <col min="17" max="19" width="6.28515625" style="384" customWidth="1"/>
    <col min="20" max="24" width="11.5703125" style="384" customWidth="1"/>
    <col min="25" max="16384" width="9.140625" style="384"/>
  </cols>
  <sheetData>
    <row r="1" spans="1:26" s="364" customFormat="1" ht="13.9" customHeight="1">
      <c r="A1" s="1234" t="str">
        <f>CONCATENATE("PART TWO - DEVELOPMENT TEAM INFORMATION","  -  ",'Part I-Project Information'!$O$4," ",'Part I-Project Information'!$F$23,", ",'Part I-Project Information'!F27,", ",'Part I-Project Information'!J28," County")</f>
        <v>PART TWO - DEVELOPMENT TEAM INFORMATION  -  2014-039 Willingham Village II, Rome, Floyd County</v>
      </c>
      <c r="B1" s="1235"/>
      <c r="C1" s="1235"/>
      <c r="D1" s="1235"/>
      <c r="E1" s="1235"/>
      <c r="F1" s="1235"/>
      <c r="G1" s="1235"/>
      <c r="H1" s="1235"/>
      <c r="I1" s="1235"/>
      <c r="J1" s="1235"/>
      <c r="K1" s="1235"/>
      <c r="L1" s="1235"/>
      <c r="M1" s="1235"/>
      <c r="N1" s="1235"/>
      <c r="O1" s="1235"/>
      <c r="P1" s="1235"/>
      <c r="Q1" s="1235"/>
      <c r="R1" s="1235"/>
      <c r="S1" s="1236"/>
    </row>
    <row r="3" spans="1:26" s="364" customFormat="1" ht="13.15" customHeight="1">
      <c r="A3" s="367" t="s">
        <v>657</v>
      </c>
      <c r="B3" s="371" t="s">
        <v>1987</v>
      </c>
      <c r="C3" s="371"/>
      <c r="E3" s="371"/>
      <c r="F3" s="371"/>
      <c r="G3" s="371"/>
      <c r="H3" s="371"/>
      <c r="I3" s="371"/>
      <c r="J3" s="371"/>
      <c r="K3" s="371"/>
      <c r="L3" s="371"/>
      <c r="M3" s="371"/>
    </row>
    <row r="4" spans="1:26" s="364" customFormat="1" ht="8.4499999999999993" customHeight="1">
      <c r="A4" s="367"/>
      <c r="B4" s="367"/>
      <c r="C4" s="367"/>
      <c r="D4" s="371"/>
      <c r="E4" s="371"/>
      <c r="F4" s="371"/>
      <c r="G4" s="371"/>
      <c r="H4" s="371"/>
      <c r="I4" s="371"/>
      <c r="J4" s="371"/>
    </row>
    <row r="5" spans="1:26" s="364" customFormat="1" ht="12.6" customHeight="1">
      <c r="B5" s="367" t="s">
        <v>2118</v>
      </c>
      <c r="C5" s="371" t="s">
        <v>1983</v>
      </c>
      <c r="H5" s="1950" t="s">
        <v>3751</v>
      </c>
      <c r="I5" s="2005"/>
      <c r="J5" s="2005"/>
      <c r="K5" s="2005"/>
      <c r="L5" s="2005"/>
      <c r="M5" s="2005"/>
      <c r="N5" s="2006"/>
      <c r="O5" s="1134" t="s">
        <v>2125</v>
      </c>
      <c r="P5" s="1134"/>
      <c r="Q5" s="1950" t="s">
        <v>3716</v>
      </c>
      <c r="R5" s="2005"/>
      <c r="S5" s="2006"/>
    </row>
    <row r="6" spans="1:26" s="364" customFormat="1" ht="12.6" customHeight="1">
      <c r="D6" s="408"/>
      <c r="E6" s="370" t="s">
        <v>1083</v>
      </c>
      <c r="F6" s="378"/>
      <c r="H6" s="1950" t="s">
        <v>3705</v>
      </c>
      <c r="I6" s="2005"/>
      <c r="J6" s="2005"/>
      <c r="K6" s="2005"/>
      <c r="L6" s="2005"/>
      <c r="M6" s="2005"/>
      <c r="N6" s="2006"/>
      <c r="O6" s="1134" t="s">
        <v>1870</v>
      </c>
      <c r="Q6" s="1950" t="s">
        <v>3752</v>
      </c>
      <c r="R6" s="2005"/>
      <c r="S6" s="2006"/>
    </row>
    <row r="7" spans="1:26" s="364" customFormat="1" ht="12.6" customHeight="1">
      <c r="D7" s="408"/>
      <c r="E7" s="370" t="s">
        <v>659</v>
      </c>
      <c r="H7" s="1950" t="s">
        <v>3706</v>
      </c>
      <c r="I7" s="2005"/>
      <c r="J7" s="2006"/>
      <c r="K7" s="2032" t="s">
        <v>813</v>
      </c>
      <c r="L7" s="1950" t="s">
        <v>3715</v>
      </c>
      <c r="M7" s="2005"/>
      <c r="N7" s="2006"/>
      <c r="O7" s="1134" t="s">
        <v>1927</v>
      </c>
      <c r="Q7" s="1959">
        <v>2564174920</v>
      </c>
      <c r="R7" s="1960"/>
      <c r="S7" s="1961"/>
    </row>
    <row r="8" spans="1:26" s="364" customFormat="1" ht="12.6" customHeight="1">
      <c r="D8" s="408"/>
      <c r="E8" s="370" t="s">
        <v>1923</v>
      </c>
      <c r="H8" s="1962" t="s">
        <v>892</v>
      </c>
      <c r="I8" s="1140" t="s">
        <v>1366</v>
      </c>
      <c r="J8" s="1957">
        <v>359713484</v>
      </c>
      <c r="K8" s="2006"/>
      <c r="L8" s="331" t="s">
        <v>3003</v>
      </c>
      <c r="M8" s="2033">
        <v>9605</v>
      </c>
      <c r="N8" s="2034"/>
      <c r="O8" s="1134" t="s">
        <v>2114</v>
      </c>
      <c r="Q8" s="1959">
        <v>2569976659</v>
      </c>
      <c r="R8" s="1960"/>
      <c r="S8" s="1961"/>
    </row>
    <row r="9" spans="1:26" s="364" customFormat="1" ht="12.6" customHeight="1">
      <c r="D9" s="408"/>
      <c r="E9" s="370" t="s">
        <v>2120</v>
      </c>
      <c r="H9" s="1959">
        <v>2564174920</v>
      </c>
      <c r="I9" s="1961"/>
      <c r="J9" s="2035">
        <v>295</v>
      </c>
      <c r="K9" s="1140" t="s">
        <v>1926</v>
      </c>
      <c r="L9" s="1991">
        <v>2566233944</v>
      </c>
      <c r="M9" s="2036"/>
      <c r="N9" s="372" t="s">
        <v>2119</v>
      </c>
      <c r="O9" s="1963" t="s">
        <v>3718</v>
      </c>
      <c r="P9" s="1964"/>
      <c r="Q9" s="1964"/>
      <c r="R9" s="1964"/>
      <c r="S9" s="1965"/>
    </row>
    <row r="10" spans="1:26" s="364" customFormat="1" ht="13.15" customHeight="1">
      <c r="D10" s="408"/>
      <c r="E10" s="357" t="s">
        <v>3002</v>
      </c>
      <c r="H10" s="402"/>
      <c r="K10" s="331"/>
      <c r="N10" s="443" t="s">
        <v>1367</v>
      </c>
      <c r="Q10" s="1140"/>
    </row>
    <row r="11" spans="1:26" s="364" customFormat="1" ht="4.1500000000000004" customHeight="1">
      <c r="D11" s="409"/>
      <c r="E11" s="370"/>
      <c r="F11" s="371"/>
      <c r="G11" s="371"/>
      <c r="H11" s="371"/>
      <c r="I11" s="371"/>
      <c r="J11" s="371"/>
      <c r="N11" s="371"/>
      <c r="O11" s="371"/>
      <c r="P11" s="371"/>
      <c r="Q11" s="371"/>
      <c r="R11" s="371"/>
      <c r="S11" s="371"/>
      <c r="T11" s="371"/>
    </row>
    <row r="12" spans="1:26" s="364" customFormat="1" ht="13.15" customHeight="1">
      <c r="B12" s="407" t="s">
        <v>2121</v>
      </c>
      <c r="C12" s="371" t="s">
        <v>1984</v>
      </c>
      <c r="F12" s="371"/>
      <c r="G12" s="371"/>
      <c r="H12" s="371"/>
      <c r="I12" s="371"/>
      <c r="J12" s="371"/>
      <c r="N12" s="2037" t="s">
        <v>3120</v>
      </c>
      <c r="P12" s="2038" t="s">
        <v>1365</v>
      </c>
      <c r="W12" s="2038"/>
      <c r="X12" s="2038"/>
      <c r="Y12" s="2038"/>
      <c r="Z12" s="2038"/>
    </row>
    <row r="13" spans="1:26" s="364" customFormat="1" ht="4.1500000000000004" customHeight="1">
      <c r="D13" s="409"/>
      <c r="E13" s="370"/>
      <c r="F13" s="371"/>
      <c r="G13" s="371"/>
      <c r="H13" s="371"/>
      <c r="I13" s="371"/>
      <c r="J13" s="371"/>
      <c r="N13" s="420"/>
      <c r="P13" s="417"/>
      <c r="W13" s="417"/>
      <c r="X13" s="417"/>
      <c r="Y13" s="331"/>
      <c r="Z13" s="331"/>
    </row>
    <row r="14" spans="1:26" s="364" customFormat="1" ht="13.15" customHeight="1">
      <c r="C14" s="410" t="s">
        <v>2122</v>
      </c>
      <c r="D14" s="407" t="s">
        <v>2123</v>
      </c>
      <c r="H14" s="1144"/>
      <c r="I14" s="1144"/>
      <c r="J14" s="1144"/>
      <c r="N14" s="2037"/>
      <c r="W14" s="2039"/>
      <c r="X14" s="2039"/>
      <c r="Y14" s="2039"/>
      <c r="Z14" s="2039"/>
    </row>
    <row r="15" spans="1:26" s="364" customFormat="1" ht="4.1500000000000004" customHeight="1">
      <c r="D15" s="410"/>
      <c r="E15" s="411"/>
      <c r="H15" s="2040"/>
      <c r="I15" s="2040"/>
      <c r="J15" s="2040"/>
      <c r="K15" s="1136"/>
      <c r="L15" s="2040"/>
      <c r="M15" s="2040"/>
      <c r="N15" s="1136"/>
      <c r="O15" s="2041"/>
      <c r="P15" s="2041"/>
      <c r="Q15" s="1140"/>
      <c r="R15" s="2041"/>
      <c r="S15" s="2041"/>
    </row>
    <row r="16" spans="1:26" s="364" customFormat="1" ht="12.6" customHeight="1">
      <c r="D16" s="367" t="s">
        <v>2254</v>
      </c>
      <c r="E16" s="364" t="s">
        <v>1985</v>
      </c>
      <c r="H16" s="1950" t="s">
        <v>3730</v>
      </c>
      <c r="I16" s="2005"/>
      <c r="J16" s="2005"/>
      <c r="K16" s="2005"/>
      <c r="L16" s="2005"/>
      <c r="M16" s="2005"/>
      <c r="N16" s="2006"/>
      <c r="O16" s="1134" t="s">
        <v>2125</v>
      </c>
      <c r="P16" s="1134"/>
      <c r="Q16" s="1950" t="s">
        <v>3716</v>
      </c>
      <c r="R16" s="2005"/>
      <c r="S16" s="2006"/>
    </row>
    <row r="17" spans="4:19" s="364" customFormat="1" ht="12.6" customHeight="1">
      <c r="D17" s="408"/>
      <c r="E17" s="370" t="s">
        <v>1083</v>
      </c>
      <c r="F17" s="378"/>
      <c r="H17" s="1950" t="s">
        <v>3705</v>
      </c>
      <c r="I17" s="2005"/>
      <c r="J17" s="2005"/>
      <c r="K17" s="2005"/>
      <c r="L17" s="2005"/>
      <c r="M17" s="2005"/>
      <c r="N17" s="2006"/>
      <c r="O17" s="1134" t="s">
        <v>1870</v>
      </c>
      <c r="Q17" s="1950" t="s">
        <v>3717</v>
      </c>
      <c r="R17" s="2005"/>
      <c r="S17" s="2006"/>
    </row>
    <row r="18" spans="4:19" s="364" customFormat="1" ht="12.6" customHeight="1">
      <c r="D18" s="408"/>
      <c r="E18" s="370" t="s">
        <v>659</v>
      </c>
      <c r="H18" s="1950" t="s">
        <v>3706</v>
      </c>
      <c r="I18" s="2005"/>
      <c r="J18" s="2006"/>
      <c r="K18" s="1137" t="s">
        <v>2944</v>
      </c>
      <c r="L18" s="1950" t="s">
        <v>1029</v>
      </c>
      <c r="M18" s="2005"/>
      <c r="N18" s="2006"/>
      <c r="O18" s="1134" t="s">
        <v>1927</v>
      </c>
      <c r="Q18" s="1959">
        <v>2564174920</v>
      </c>
      <c r="R18" s="1960"/>
      <c r="S18" s="1961"/>
    </row>
    <row r="19" spans="4:19" s="364" customFormat="1" ht="12.6" customHeight="1">
      <c r="D19" s="367"/>
      <c r="E19" s="370" t="s">
        <v>1923</v>
      </c>
      <c r="H19" s="1962" t="s">
        <v>892</v>
      </c>
      <c r="I19" s="1140" t="s">
        <v>1366</v>
      </c>
      <c r="J19" s="1957">
        <v>359713484</v>
      </c>
      <c r="K19" s="2006"/>
      <c r="O19" s="1134" t="s">
        <v>2114</v>
      </c>
      <c r="Q19" s="1959">
        <v>2569976659</v>
      </c>
      <c r="R19" s="1960"/>
      <c r="S19" s="1961"/>
    </row>
    <row r="20" spans="4:19" s="364" customFormat="1" ht="12.6" customHeight="1">
      <c r="D20" s="408"/>
      <c r="E20" s="370" t="s">
        <v>2120</v>
      </c>
      <c r="H20" s="1959">
        <v>2564174920</v>
      </c>
      <c r="I20" s="1961"/>
      <c r="J20" s="2035">
        <v>295</v>
      </c>
      <c r="K20" s="1140" t="s">
        <v>1926</v>
      </c>
      <c r="L20" s="1991">
        <v>2566233944</v>
      </c>
      <c r="M20" s="2006"/>
      <c r="N20" s="372" t="s">
        <v>2119</v>
      </c>
      <c r="O20" s="1963" t="s">
        <v>3718</v>
      </c>
      <c r="P20" s="1964"/>
      <c r="Q20" s="1964"/>
      <c r="R20" s="1964"/>
      <c r="S20" s="1965"/>
    </row>
    <row r="21" spans="4:19" ht="4.1500000000000004" customHeight="1">
      <c r="D21" s="393"/>
      <c r="H21" s="2042"/>
      <c r="I21" s="2042"/>
      <c r="J21" s="2042"/>
      <c r="K21" s="1140"/>
      <c r="L21" s="2042"/>
      <c r="M21" s="2042"/>
      <c r="N21" s="1136"/>
      <c r="O21" s="2041"/>
      <c r="P21" s="2041"/>
      <c r="Q21" s="1140"/>
      <c r="R21" s="2041"/>
      <c r="S21" s="2041"/>
    </row>
    <row r="22" spans="4:19" s="364" customFormat="1" ht="12.6" customHeight="1">
      <c r="D22" s="367" t="s">
        <v>2255</v>
      </c>
      <c r="E22" s="364" t="s">
        <v>1986</v>
      </c>
      <c r="F22" s="1144"/>
      <c r="H22" s="1950" t="s">
        <v>3753</v>
      </c>
      <c r="I22" s="2005"/>
      <c r="J22" s="2005"/>
      <c r="K22" s="2005"/>
      <c r="L22" s="2005"/>
      <c r="M22" s="2005"/>
      <c r="N22" s="2006"/>
      <c r="O22" s="1134" t="s">
        <v>2125</v>
      </c>
      <c r="P22" s="1134"/>
      <c r="Q22" s="1950" t="s">
        <v>3749</v>
      </c>
      <c r="R22" s="2005"/>
      <c r="S22" s="2006"/>
    </row>
    <row r="23" spans="4:19" s="364" customFormat="1" ht="12.6" customHeight="1">
      <c r="D23" s="408"/>
      <c r="E23" s="370" t="s">
        <v>1083</v>
      </c>
      <c r="F23" s="378"/>
      <c r="H23" s="1950" t="s">
        <v>3748</v>
      </c>
      <c r="I23" s="2005"/>
      <c r="J23" s="2005"/>
      <c r="K23" s="2005"/>
      <c r="L23" s="2005"/>
      <c r="M23" s="2005"/>
      <c r="N23" s="2006"/>
      <c r="O23" s="1134" t="s">
        <v>1870</v>
      </c>
      <c r="Q23" s="1950" t="s">
        <v>3754</v>
      </c>
      <c r="R23" s="2005"/>
      <c r="S23" s="2006"/>
    </row>
    <row r="24" spans="4:19" s="364" customFormat="1" ht="12.6" customHeight="1">
      <c r="D24" s="408"/>
      <c r="E24" s="370" t="s">
        <v>659</v>
      </c>
      <c r="H24" s="1950" t="s">
        <v>2416</v>
      </c>
      <c r="I24" s="2005"/>
      <c r="J24" s="2006"/>
      <c r="K24" s="1137" t="s">
        <v>2944</v>
      </c>
      <c r="L24" s="1950" t="s">
        <v>1029</v>
      </c>
      <c r="M24" s="2005"/>
      <c r="N24" s="2006"/>
      <c r="O24" s="1134" t="s">
        <v>1927</v>
      </c>
      <c r="Q24" s="1959">
        <v>7063783940</v>
      </c>
      <c r="R24" s="1960"/>
      <c r="S24" s="1961"/>
    </row>
    <row r="25" spans="4:19" s="364" customFormat="1" ht="12.6" customHeight="1">
      <c r="E25" s="370" t="s">
        <v>1923</v>
      </c>
      <c r="H25" s="1962" t="s">
        <v>902</v>
      </c>
      <c r="I25" s="395" t="s">
        <v>2375</v>
      </c>
      <c r="J25" s="1957">
        <v>301621428</v>
      </c>
      <c r="K25" s="2006"/>
      <c r="O25" s="1134" t="s">
        <v>2114</v>
      </c>
      <c r="Q25" s="1959">
        <v>7062524635</v>
      </c>
      <c r="R25" s="1960"/>
      <c r="S25" s="1961"/>
    </row>
    <row r="26" spans="4:19" s="364" customFormat="1" ht="12.6" customHeight="1">
      <c r="D26" s="408"/>
      <c r="E26" s="370" t="s">
        <v>2120</v>
      </c>
      <c r="H26" s="1959">
        <v>7062910780</v>
      </c>
      <c r="I26" s="1961"/>
      <c r="J26" s="2035"/>
      <c r="K26" s="1140" t="s">
        <v>1926</v>
      </c>
      <c r="L26" s="1991">
        <v>7062950376</v>
      </c>
      <c r="M26" s="2006"/>
      <c r="N26" s="372" t="s">
        <v>2119</v>
      </c>
      <c r="O26" s="1963" t="s">
        <v>3750</v>
      </c>
      <c r="P26" s="1964"/>
      <c r="Q26" s="1964"/>
      <c r="R26" s="1964"/>
      <c r="S26" s="1965"/>
    </row>
    <row r="27" spans="4:19" s="364" customFormat="1" ht="4.1500000000000004" customHeight="1">
      <c r="D27" s="408"/>
      <c r="E27" s="1144"/>
      <c r="F27" s="1144"/>
      <c r="G27" s="1134"/>
      <c r="H27" s="2042"/>
      <c r="I27" s="2042"/>
      <c r="J27" s="2042"/>
      <c r="K27" s="1140"/>
      <c r="L27" s="2042"/>
      <c r="M27" s="2042"/>
      <c r="N27" s="1136"/>
      <c r="O27" s="2041"/>
      <c r="P27" s="2041"/>
      <c r="Q27" s="1140"/>
      <c r="R27" s="2041"/>
      <c r="S27" s="2041"/>
    </row>
    <row r="28" spans="4:19" s="364" customFormat="1" ht="12.6" customHeight="1">
      <c r="D28" s="367" t="s">
        <v>1856</v>
      </c>
      <c r="E28" s="364" t="s">
        <v>1986</v>
      </c>
      <c r="F28" s="1144"/>
      <c r="H28" s="1950"/>
      <c r="I28" s="2005"/>
      <c r="J28" s="2005"/>
      <c r="K28" s="2005"/>
      <c r="L28" s="2005"/>
      <c r="M28" s="2005"/>
      <c r="N28" s="2006"/>
      <c r="O28" s="1134" t="s">
        <v>2125</v>
      </c>
      <c r="P28" s="1134"/>
      <c r="Q28" s="1950"/>
      <c r="R28" s="2005"/>
      <c r="S28" s="2006"/>
    </row>
    <row r="29" spans="4:19" s="364" customFormat="1" ht="12.6" customHeight="1">
      <c r="D29" s="408"/>
      <c r="E29" s="370" t="s">
        <v>1083</v>
      </c>
      <c r="F29" s="378"/>
      <c r="H29" s="1950"/>
      <c r="I29" s="2005"/>
      <c r="J29" s="2005"/>
      <c r="K29" s="2005"/>
      <c r="L29" s="2005"/>
      <c r="M29" s="2005"/>
      <c r="N29" s="2006"/>
      <c r="O29" s="1134" t="s">
        <v>1870</v>
      </c>
      <c r="Q29" s="1950"/>
      <c r="R29" s="2005"/>
      <c r="S29" s="2006"/>
    </row>
    <row r="30" spans="4:19" s="364" customFormat="1" ht="12.6" customHeight="1">
      <c r="D30" s="408"/>
      <c r="E30" s="370" t="s">
        <v>659</v>
      </c>
      <c r="H30" s="1950"/>
      <c r="I30" s="2005"/>
      <c r="J30" s="2006"/>
      <c r="K30" s="1137" t="s">
        <v>2944</v>
      </c>
      <c r="L30" s="1950"/>
      <c r="M30" s="2005"/>
      <c r="N30" s="2006"/>
      <c r="O30" s="1134" t="s">
        <v>1927</v>
      </c>
      <c r="Q30" s="1959"/>
      <c r="R30" s="1960"/>
      <c r="S30" s="1961"/>
    </row>
    <row r="31" spans="4:19" s="364" customFormat="1" ht="12.6" customHeight="1">
      <c r="E31" s="370" t="s">
        <v>1923</v>
      </c>
      <c r="H31" s="1962"/>
      <c r="I31" s="395" t="s">
        <v>2375</v>
      </c>
      <c r="J31" s="1957"/>
      <c r="K31" s="2006"/>
      <c r="O31" s="1134" t="s">
        <v>2114</v>
      </c>
      <c r="Q31" s="1959"/>
      <c r="R31" s="1960"/>
      <c r="S31" s="1961"/>
    </row>
    <row r="32" spans="4:19" s="364" customFormat="1" ht="12.6" customHeight="1">
      <c r="D32" s="408"/>
      <c r="E32" s="370" t="s">
        <v>2120</v>
      </c>
      <c r="H32" s="1959"/>
      <c r="I32" s="1961"/>
      <c r="J32" s="2035"/>
      <c r="K32" s="1140" t="s">
        <v>1926</v>
      </c>
      <c r="L32" s="1991"/>
      <c r="M32" s="2006"/>
      <c r="N32" s="372" t="s">
        <v>2119</v>
      </c>
      <c r="O32" s="1963"/>
      <c r="P32" s="1964"/>
      <c r="Q32" s="1964"/>
      <c r="R32" s="1964"/>
      <c r="S32" s="1965"/>
    </row>
    <row r="33" spans="3:19" ht="4.1500000000000004" customHeight="1"/>
    <row r="34" spans="3:19" s="364" customFormat="1" ht="13.15" customHeight="1">
      <c r="C34" s="410" t="s">
        <v>2124</v>
      </c>
      <c r="D34" s="407" t="s">
        <v>1988</v>
      </c>
      <c r="H34" s="1144"/>
      <c r="I34" s="1144"/>
      <c r="J34" s="1144"/>
      <c r="K34" s="1144"/>
      <c r="L34" s="1144"/>
      <c r="M34" s="1144"/>
    </row>
    <row r="35" spans="3:19" s="364" customFormat="1" ht="4.1500000000000004" customHeight="1">
      <c r="C35" s="412"/>
      <c r="D35" s="407"/>
      <c r="H35" s="2040"/>
      <c r="I35" s="2040"/>
      <c r="J35" s="2040"/>
      <c r="K35" s="1136"/>
      <c r="L35" s="2040"/>
      <c r="M35" s="2040"/>
      <c r="N35" s="1136"/>
      <c r="O35" s="2041"/>
      <c r="P35" s="2041"/>
      <c r="Q35" s="1140"/>
      <c r="R35" s="2041"/>
      <c r="S35" s="2041"/>
    </row>
    <row r="36" spans="3:19" s="364" customFormat="1" ht="12.6" customHeight="1">
      <c r="D36" s="367" t="s">
        <v>2254</v>
      </c>
      <c r="E36" s="364" t="s">
        <v>800</v>
      </c>
      <c r="H36" s="1950" t="s">
        <v>3769</v>
      </c>
      <c r="I36" s="2005"/>
      <c r="J36" s="2005"/>
      <c r="K36" s="2005"/>
      <c r="L36" s="2005"/>
      <c r="M36" s="2005"/>
      <c r="N36" s="2006"/>
      <c r="O36" s="1134" t="s">
        <v>2125</v>
      </c>
      <c r="P36" s="1134"/>
      <c r="Q36" s="1950" t="s">
        <v>3772</v>
      </c>
      <c r="R36" s="2005"/>
      <c r="S36" s="2006"/>
    </row>
    <row r="37" spans="3:19" s="364" customFormat="1" ht="12.6" customHeight="1">
      <c r="D37" s="408"/>
      <c r="E37" s="370" t="s">
        <v>1083</v>
      </c>
      <c r="F37" s="378"/>
      <c r="H37" s="1950" t="s">
        <v>3770</v>
      </c>
      <c r="I37" s="2005"/>
      <c r="J37" s="2005"/>
      <c r="K37" s="2005"/>
      <c r="L37" s="2005"/>
      <c r="M37" s="2005"/>
      <c r="N37" s="2006"/>
      <c r="O37" s="1134" t="s">
        <v>1870</v>
      </c>
      <c r="Q37" s="1950" t="s">
        <v>3754</v>
      </c>
      <c r="R37" s="2005"/>
      <c r="S37" s="2006"/>
    </row>
    <row r="38" spans="3:19" s="364" customFormat="1" ht="12.6" customHeight="1">
      <c r="D38" s="408"/>
      <c r="E38" s="370" t="s">
        <v>659</v>
      </c>
      <c r="H38" s="1950" t="s">
        <v>3771</v>
      </c>
      <c r="I38" s="2005"/>
      <c r="J38" s="2006"/>
      <c r="K38" s="1137" t="s">
        <v>2944</v>
      </c>
      <c r="L38" s="1950"/>
      <c r="M38" s="2005"/>
      <c r="N38" s="2006"/>
      <c r="O38" s="1134" t="s">
        <v>1927</v>
      </c>
      <c r="Q38" s="1959">
        <v>9802336437</v>
      </c>
      <c r="R38" s="1960"/>
      <c r="S38" s="1961"/>
    </row>
    <row r="39" spans="3:19" s="364" customFormat="1" ht="12.6" customHeight="1">
      <c r="E39" s="370" t="s">
        <v>1923</v>
      </c>
      <c r="H39" s="1962" t="s">
        <v>1436</v>
      </c>
      <c r="I39" s="395" t="s">
        <v>2375</v>
      </c>
      <c r="J39" s="1957">
        <v>282100427</v>
      </c>
      <c r="K39" s="2006"/>
      <c r="O39" s="1134" t="s">
        <v>2114</v>
      </c>
      <c r="Q39" s="1959">
        <v>2165444223</v>
      </c>
      <c r="R39" s="1960"/>
      <c r="S39" s="1961"/>
    </row>
    <row r="40" spans="3:19" s="364" customFormat="1" ht="12.6" customHeight="1">
      <c r="D40" s="408"/>
      <c r="E40" s="370" t="s">
        <v>2120</v>
      </c>
      <c r="H40" s="1959">
        <v>9802336437</v>
      </c>
      <c r="I40" s="1961"/>
      <c r="J40" s="2035"/>
      <c r="K40" s="1140" t="s">
        <v>1926</v>
      </c>
      <c r="L40" s="1991"/>
      <c r="M40" s="2006"/>
      <c r="N40" s="372" t="s">
        <v>2119</v>
      </c>
      <c r="O40" s="1963" t="s">
        <v>3773</v>
      </c>
      <c r="P40" s="1964"/>
      <c r="Q40" s="1964"/>
      <c r="R40" s="1964"/>
      <c r="S40" s="1965"/>
    </row>
    <row r="41" spans="3:19" ht="4.1500000000000004" customHeight="1">
      <c r="H41" s="2042"/>
      <c r="I41" s="2042"/>
      <c r="J41" s="2042"/>
      <c r="K41" s="1140"/>
      <c r="L41" s="2042"/>
      <c r="M41" s="2042"/>
      <c r="N41" s="1136"/>
      <c r="O41" s="2041"/>
      <c r="P41" s="2041"/>
      <c r="Q41" s="1140"/>
      <c r="R41" s="2041"/>
      <c r="S41" s="2041"/>
    </row>
    <row r="42" spans="3:19" s="364" customFormat="1" ht="12.6" customHeight="1">
      <c r="D42" s="367" t="s">
        <v>2255</v>
      </c>
      <c r="E42" s="364" t="s">
        <v>801</v>
      </c>
      <c r="F42" s="367"/>
      <c r="H42" s="1950" t="s">
        <v>3769</v>
      </c>
      <c r="I42" s="2005"/>
      <c r="J42" s="2005"/>
      <c r="K42" s="2005"/>
      <c r="L42" s="2005"/>
      <c r="M42" s="2005"/>
      <c r="N42" s="2006"/>
      <c r="O42" s="1134" t="s">
        <v>2125</v>
      </c>
      <c r="P42" s="1134"/>
      <c r="Q42" s="1950" t="s">
        <v>3772</v>
      </c>
      <c r="R42" s="2005"/>
      <c r="S42" s="2006"/>
    </row>
    <row r="43" spans="3:19" s="364" customFormat="1" ht="12.6" customHeight="1">
      <c r="D43" s="408"/>
      <c r="E43" s="370" t="s">
        <v>1083</v>
      </c>
      <c r="F43" s="378"/>
      <c r="H43" s="1950" t="s">
        <v>3770</v>
      </c>
      <c r="I43" s="2005"/>
      <c r="J43" s="2005"/>
      <c r="K43" s="2005"/>
      <c r="L43" s="2005"/>
      <c r="M43" s="2005"/>
      <c r="N43" s="2006"/>
      <c r="O43" s="1134" t="s">
        <v>1870</v>
      </c>
      <c r="Q43" s="1950" t="s">
        <v>3754</v>
      </c>
      <c r="R43" s="2005"/>
      <c r="S43" s="2006"/>
    </row>
    <row r="44" spans="3:19" s="364" customFormat="1" ht="12.6" customHeight="1">
      <c r="D44" s="408"/>
      <c r="E44" s="370" t="s">
        <v>659</v>
      </c>
      <c r="H44" s="1950" t="s">
        <v>3771</v>
      </c>
      <c r="I44" s="2005"/>
      <c r="J44" s="2006"/>
      <c r="K44" s="1137" t="s">
        <v>2944</v>
      </c>
      <c r="L44" s="1950"/>
      <c r="M44" s="2005"/>
      <c r="N44" s="2006"/>
      <c r="O44" s="1134" t="s">
        <v>1927</v>
      </c>
      <c r="Q44" s="1959">
        <v>9802336437</v>
      </c>
      <c r="R44" s="1960"/>
      <c r="S44" s="1961"/>
    </row>
    <row r="45" spans="3:19" s="364" customFormat="1" ht="12.6" customHeight="1">
      <c r="D45" s="367"/>
      <c r="E45" s="370" t="s">
        <v>1923</v>
      </c>
      <c r="H45" s="1962" t="s">
        <v>1436</v>
      </c>
      <c r="I45" s="395" t="s">
        <v>2375</v>
      </c>
      <c r="J45" s="1957">
        <v>282100427</v>
      </c>
      <c r="K45" s="2006"/>
      <c r="O45" s="1134" t="s">
        <v>2114</v>
      </c>
      <c r="Q45" s="1959">
        <v>2165444223</v>
      </c>
      <c r="R45" s="1960"/>
      <c r="S45" s="1961"/>
    </row>
    <row r="46" spans="3:19" s="364" customFormat="1" ht="12.6" customHeight="1">
      <c r="D46" s="408"/>
      <c r="E46" s="370" t="s">
        <v>2120</v>
      </c>
      <c r="H46" s="1959">
        <v>9802336437</v>
      </c>
      <c r="I46" s="1961"/>
      <c r="J46" s="2035"/>
      <c r="K46" s="1140" t="s">
        <v>1926</v>
      </c>
      <c r="L46" s="1991"/>
      <c r="M46" s="2006"/>
      <c r="N46" s="372" t="s">
        <v>2119</v>
      </c>
      <c r="O46" s="1963" t="s">
        <v>3773</v>
      </c>
      <c r="P46" s="1964"/>
      <c r="Q46" s="1964"/>
      <c r="R46" s="1964"/>
      <c r="S46" s="1965"/>
    </row>
    <row r="47" spans="3:19" s="364" customFormat="1" ht="4.1500000000000004" customHeight="1">
      <c r="D47" s="408"/>
      <c r="E47" s="370"/>
      <c r="F47" s="367"/>
      <c r="H47" s="402"/>
      <c r="I47" s="402"/>
      <c r="J47" s="2043"/>
      <c r="K47" s="1140"/>
      <c r="L47" s="402"/>
      <c r="M47" s="402"/>
      <c r="N47" s="1140"/>
      <c r="O47" s="402"/>
      <c r="P47" s="402"/>
      <c r="Q47" s="1140"/>
      <c r="R47" s="402"/>
      <c r="S47" s="402"/>
    </row>
    <row r="48" spans="3:19" s="364" customFormat="1" ht="13.15" customHeight="1">
      <c r="C48" s="412" t="s">
        <v>2707</v>
      </c>
      <c r="D48" s="407" t="s">
        <v>696</v>
      </c>
      <c r="H48" s="1144"/>
      <c r="I48" s="1144"/>
      <c r="J48" s="1144"/>
      <c r="K48" s="1144"/>
      <c r="L48" s="1144"/>
      <c r="M48" s="1144"/>
    </row>
    <row r="49" spans="1:19" s="364" customFormat="1" ht="4.1500000000000004" customHeight="1">
      <c r="D49" s="412"/>
      <c r="E49" s="411"/>
      <c r="H49" s="2040"/>
      <c r="I49" s="2040"/>
      <c r="J49" s="2040"/>
      <c r="K49" s="1136"/>
      <c r="L49" s="2040"/>
      <c r="M49" s="2040"/>
      <c r="N49" s="1136"/>
      <c r="O49" s="2041"/>
      <c r="P49" s="2041"/>
      <c r="Q49" s="1140"/>
      <c r="R49" s="2041"/>
      <c r="S49" s="2041"/>
    </row>
    <row r="50" spans="1:19" s="364" customFormat="1" ht="12.6" customHeight="1">
      <c r="E50" s="364" t="s">
        <v>95</v>
      </c>
      <c r="H50" s="1950"/>
      <c r="I50" s="2005"/>
      <c r="J50" s="2005"/>
      <c r="K50" s="2005"/>
      <c r="L50" s="2005"/>
      <c r="M50" s="2005"/>
      <c r="N50" s="2006"/>
      <c r="O50" s="1134" t="s">
        <v>2125</v>
      </c>
      <c r="P50" s="1134"/>
      <c r="Q50" s="1950"/>
      <c r="R50" s="2005"/>
      <c r="S50" s="2006"/>
    </row>
    <row r="51" spans="1:19" s="364" customFormat="1" ht="12.6" customHeight="1">
      <c r="D51" s="408"/>
      <c r="E51" s="370" t="s">
        <v>1083</v>
      </c>
      <c r="F51" s="378"/>
      <c r="H51" s="1950"/>
      <c r="I51" s="2005"/>
      <c r="J51" s="2005"/>
      <c r="K51" s="2005"/>
      <c r="L51" s="2005"/>
      <c r="M51" s="2005"/>
      <c r="N51" s="2006"/>
      <c r="O51" s="1134" t="s">
        <v>1870</v>
      </c>
      <c r="Q51" s="1950"/>
      <c r="R51" s="2005"/>
      <c r="S51" s="2006"/>
    </row>
    <row r="52" spans="1:19" s="364" customFormat="1" ht="12.6" customHeight="1">
      <c r="D52" s="408"/>
      <c r="E52" s="370" t="s">
        <v>659</v>
      </c>
      <c r="H52" s="1950"/>
      <c r="I52" s="2005"/>
      <c r="J52" s="2006"/>
      <c r="K52" s="1137" t="s">
        <v>2944</v>
      </c>
      <c r="L52" s="1950"/>
      <c r="M52" s="2005"/>
      <c r="N52" s="2006"/>
      <c r="O52" s="1134" t="s">
        <v>1927</v>
      </c>
      <c r="Q52" s="1959"/>
      <c r="R52" s="1960"/>
      <c r="S52" s="1961"/>
    </row>
    <row r="53" spans="1:19" s="364" customFormat="1" ht="12.6" customHeight="1">
      <c r="E53" s="370" t="s">
        <v>1923</v>
      </c>
      <c r="H53" s="1962"/>
      <c r="I53" s="395" t="s">
        <v>2375</v>
      </c>
      <c r="J53" s="1957"/>
      <c r="K53" s="2006"/>
      <c r="O53" s="1134" t="s">
        <v>2114</v>
      </c>
      <c r="Q53" s="1959"/>
      <c r="R53" s="1960"/>
      <c r="S53" s="1961"/>
    </row>
    <row r="54" spans="1:19" s="364" customFormat="1" ht="12.6" customHeight="1">
      <c r="D54" s="408"/>
      <c r="E54" s="370" t="s">
        <v>2120</v>
      </c>
      <c r="H54" s="1959"/>
      <c r="I54" s="1961"/>
      <c r="J54" s="2035"/>
      <c r="K54" s="1140" t="s">
        <v>1926</v>
      </c>
      <c r="L54" s="1991"/>
      <c r="M54" s="2006"/>
      <c r="N54" s="372" t="s">
        <v>2119</v>
      </c>
      <c r="O54" s="1963"/>
      <c r="P54" s="1964"/>
      <c r="Q54" s="1964"/>
      <c r="R54" s="1964"/>
      <c r="S54" s="1965"/>
    </row>
    <row r="55" spans="1:19" ht="6.75" customHeight="1"/>
    <row r="56" spans="1:19" s="364" customFormat="1" ht="13.15" customHeight="1">
      <c r="A56" s="367" t="s">
        <v>790</v>
      </c>
      <c r="B56" s="367" t="s">
        <v>697</v>
      </c>
      <c r="F56" s="367"/>
      <c r="G56" s="1140"/>
      <c r="H56" s="1140"/>
      <c r="I56" s="1140"/>
      <c r="J56" s="1144"/>
      <c r="K56" s="1144"/>
      <c r="L56" s="1144"/>
      <c r="M56" s="1144"/>
      <c r="N56" s="1144"/>
      <c r="O56" s="1144"/>
      <c r="P56" s="1144"/>
      <c r="Q56" s="1144"/>
      <c r="R56" s="1144"/>
      <c r="S56" s="1144"/>
    </row>
    <row r="57" spans="1:19" s="364" customFormat="1" ht="9" customHeight="1">
      <c r="A57" s="367"/>
      <c r="B57" s="367"/>
      <c r="F57" s="367"/>
      <c r="G57" s="1140"/>
      <c r="H57" s="2040"/>
      <c r="I57" s="2040"/>
      <c r="J57" s="2040"/>
      <c r="K57" s="1136"/>
      <c r="L57" s="2040"/>
      <c r="M57" s="2040"/>
      <c r="N57" s="1136"/>
      <c r="O57" s="2041"/>
      <c r="P57" s="2041"/>
      <c r="Q57" s="1140"/>
      <c r="R57" s="2041"/>
      <c r="S57" s="2041"/>
    </row>
    <row r="58" spans="1:19" s="364" customFormat="1" ht="13.15" customHeight="1">
      <c r="B58" s="367" t="s">
        <v>2118</v>
      </c>
      <c r="C58" s="367" t="s">
        <v>298</v>
      </c>
      <c r="H58" s="1950" t="s">
        <v>3719</v>
      </c>
      <c r="I58" s="2005"/>
      <c r="J58" s="2005"/>
      <c r="K58" s="2005"/>
      <c r="L58" s="2005"/>
      <c r="M58" s="2005"/>
      <c r="N58" s="2006"/>
      <c r="O58" s="1134" t="s">
        <v>2125</v>
      </c>
      <c r="P58" s="1134"/>
      <c r="Q58" s="1950" t="s">
        <v>3716</v>
      </c>
      <c r="R58" s="2005"/>
      <c r="S58" s="2006"/>
    </row>
    <row r="59" spans="1:19" s="364" customFormat="1" ht="13.15" customHeight="1">
      <c r="D59" s="408"/>
      <c r="E59" s="370" t="s">
        <v>1083</v>
      </c>
      <c r="F59" s="378"/>
      <c r="H59" s="1950" t="s">
        <v>3705</v>
      </c>
      <c r="I59" s="2005"/>
      <c r="J59" s="2005"/>
      <c r="K59" s="2005"/>
      <c r="L59" s="2005"/>
      <c r="M59" s="2005"/>
      <c r="N59" s="2006"/>
      <c r="O59" s="1134" t="s">
        <v>1870</v>
      </c>
      <c r="Q59" s="1950" t="s">
        <v>3717</v>
      </c>
      <c r="R59" s="2005"/>
      <c r="S59" s="2006"/>
    </row>
    <row r="60" spans="1:19" s="364" customFormat="1" ht="13.15" customHeight="1">
      <c r="D60" s="408"/>
      <c r="E60" s="370" t="s">
        <v>659</v>
      </c>
      <c r="H60" s="1950" t="s">
        <v>3706</v>
      </c>
      <c r="I60" s="2005"/>
      <c r="J60" s="2006"/>
      <c r="K60" s="1137" t="s">
        <v>2944</v>
      </c>
      <c r="L60" s="1950" t="s">
        <v>3720</v>
      </c>
      <c r="M60" s="2005"/>
      <c r="N60" s="2006"/>
      <c r="O60" s="1134" t="s">
        <v>1927</v>
      </c>
      <c r="Q60" s="1959">
        <v>2564174920</v>
      </c>
      <c r="R60" s="1960"/>
      <c r="S60" s="1961"/>
    </row>
    <row r="61" spans="1:19" s="364" customFormat="1" ht="13.15" customHeight="1">
      <c r="E61" s="370" t="s">
        <v>1923</v>
      </c>
      <c r="H61" s="1962" t="s">
        <v>892</v>
      </c>
      <c r="I61" s="395" t="s">
        <v>2375</v>
      </c>
      <c r="J61" s="1957">
        <v>359713484</v>
      </c>
      <c r="K61" s="2006"/>
      <c r="O61" s="1134" t="s">
        <v>2114</v>
      </c>
      <c r="Q61" s="1959">
        <v>2569976659</v>
      </c>
      <c r="R61" s="1960"/>
      <c r="S61" s="1961"/>
    </row>
    <row r="62" spans="1:19" s="364" customFormat="1" ht="13.15" customHeight="1">
      <c r="D62" s="408"/>
      <c r="E62" s="370" t="s">
        <v>2120</v>
      </c>
      <c r="H62" s="1959">
        <v>2564174920</v>
      </c>
      <c r="I62" s="1961"/>
      <c r="J62" s="2035"/>
      <c r="K62" s="1140" t="s">
        <v>1926</v>
      </c>
      <c r="L62" s="1991">
        <v>2566233944</v>
      </c>
      <c r="M62" s="2006"/>
      <c r="N62" s="372" t="s">
        <v>2119</v>
      </c>
      <c r="O62" s="1963" t="s">
        <v>3718</v>
      </c>
      <c r="P62" s="1964"/>
      <c r="Q62" s="1964"/>
      <c r="R62" s="1964"/>
      <c r="S62" s="1965"/>
    </row>
    <row r="63" spans="1:19" s="364" customFormat="1" ht="6.6" customHeight="1">
      <c r="D63" s="408"/>
      <c r="E63" s="1144"/>
      <c r="F63" s="1144"/>
      <c r="G63" s="1134"/>
      <c r="H63" s="2042"/>
      <c r="I63" s="2042"/>
      <c r="J63" s="2042"/>
      <c r="K63" s="1140"/>
      <c r="L63" s="2042"/>
      <c r="M63" s="2042"/>
      <c r="N63" s="1136"/>
      <c r="O63" s="2041"/>
      <c r="P63" s="2041"/>
      <c r="Q63" s="1140"/>
      <c r="R63" s="2041"/>
      <c r="S63" s="2041"/>
    </row>
    <row r="64" spans="1:19" s="364" customFormat="1" ht="13.15" customHeight="1">
      <c r="B64" s="367" t="s">
        <v>2121</v>
      </c>
      <c r="C64" s="367" t="s">
        <v>299</v>
      </c>
      <c r="H64" s="1950" t="s">
        <v>3755</v>
      </c>
      <c r="I64" s="2005"/>
      <c r="J64" s="2005"/>
      <c r="K64" s="2005"/>
      <c r="L64" s="2005"/>
      <c r="M64" s="2005"/>
      <c r="N64" s="2006"/>
      <c r="O64" s="1134" t="s">
        <v>2125</v>
      </c>
      <c r="P64" s="1134"/>
      <c r="Q64" s="1950" t="s">
        <v>3749</v>
      </c>
      <c r="R64" s="2005"/>
      <c r="S64" s="2006"/>
    </row>
    <row r="65" spans="2:19" s="364" customFormat="1" ht="13.15" customHeight="1">
      <c r="D65" s="408"/>
      <c r="E65" s="370" t="s">
        <v>1083</v>
      </c>
      <c r="F65" s="378"/>
      <c r="H65" s="1950" t="s">
        <v>3748</v>
      </c>
      <c r="I65" s="2005"/>
      <c r="J65" s="2005"/>
      <c r="K65" s="2005"/>
      <c r="L65" s="2005"/>
      <c r="M65" s="2005"/>
      <c r="N65" s="2006"/>
      <c r="O65" s="1134" t="s">
        <v>1870</v>
      </c>
      <c r="Q65" s="1950" t="s">
        <v>3754</v>
      </c>
      <c r="R65" s="2005"/>
      <c r="S65" s="2006"/>
    </row>
    <row r="66" spans="2:19" s="364" customFormat="1" ht="13.15" customHeight="1">
      <c r="D66" s="408"/>
      <c r="E66" s="370" t="s">
        <v>659</v>
      </c>
      <c r="H66" s="1950" t="s">
        <v>2416</v>
      </c>
      <c r="I66" s="2005"/>
      <c r="J66" s="2006"/>
      <c r="K66" s="1137" t="s">
        <v>2944</v>
      </c>
      <c r="L66" s="1950" t="s">
        <v>1029</v>
      </c>
      <c r="M66" s="2005"/>
      <c r="N66" s="2006"/>
      <c r="O66" s="1134" t="s">
        <v>1927</v>
      </c>
      <c r="Q66" s="1959">
        <v>7063783940</v>
      </c>
      <c r="R66" s="1960"/>
      <c r="S66" s="1961"/>
    </row>
    <row r="67" spans="2:19" s="364" customFormat="1" ht="13.15" customHeight="1">
      <c r="E67" s="370" t="s">
        <v>1923</v>
      </c>
      <c r="H67" s="1962" t="s">
        <v>902</v>
      </c>
      <c r="I67" s="395" t="s">
        <v>2375</v>
      </c>
      <c r="J67" s="1957">
        <v>301621428</v>
      </c>
      <c r="K67" s="2006"/>
      <c r="O67" s="1134" t="s">
        <v>2114</v>
      </c>
      <c r="Q67" s="1959">
        <v>7062524635</v>
      </c>
      <c r="R67" s="1960"/>
      <c r="S67" s="1961"/>
    </row>
    <row r="68" spans="2:19" s="364" customFormat="1" ht="13.15" customHeight="1">
      <c r="D68" s="408"/>
      <c r="E68" s="370" t="s">
        <v>2120</v>
      </c>
      <c r="H68" s="1959">
        <v>7062910780</v>
      </c>
      <c r="I68" s="1961"/>
      <c r="J68" s="2035"/>
      <c r="K68" s="1140" t="s">
        <v>1926</v>
      </c>
      <c r="L68" s="1991">
        <v>7062950376</v>
      </c>
      <c r="M68" s="2006"/>
      <c r="N68" s="372" t="s">
        <v>2119</v>
      </c>
      <c r="O68" s="1963"/>
      <c r="P68" s="1964"/>
      <c r="Q68" s="1964"/>
      <c r="R68" s="1964"/>
      <c r="S68" s="1965"/>
    </row>
    <row r="69" spans="2:19" s="364" customFormat="1" ht="6.6" customHeight="1">
      <c r="D69" s="408"/>
      <c r="E69" s="1144"/>
      <c r="F69" s="1144"/>
      <c r="G69" s="1134"/>
      <c r="H69" s="2042"/>
      <c r="I69" s="2042"/>
      <c r="J69" s="2042"/>
      <c r="K69" s="1140"/>
      <c r="L69" s="2042"/>
      <c r="M69" s="2042"/>
      <c r="N69" s="1136"/>
      <c r="O69" s="2041"/>
      <c r="P69" s="2041"/>
      <c r="Q69" s="1140"/>
      <c r="R69" s="2041"/>
      <c r="S69" s="2041"/>
    </row>
    <row r="70" spans="2:19" s="364" customFormat="1" ht="13.15" customHeight="1">
      <c r="B70" s="367" t="s">
        <v>799</v>
      </c>
      <c r="C70" s="367" t="s">
        <v>1634</v>
      </c>
      <c r="H70" s="1950"/>
      <c r="I70" s="2005"/>
      <c r="J70" s="2005"/>
      <c r="K70" s="2005"/>
      <c r="L70" s="2005"/>
      <c r="M70" s="2005"/>
      <c r="N70" s="2006"/>
      <c r="O70" s="1134" t="s">
        <v>2125</v>
      </c>
      <c r="P70" s="1134"/>
      <c r="Q70" s="1950"/>
      <c r="R70" s="2005"/>
      <c r="S70" s="2006"/>
    </row>
    <row r="71" spans="2:19" s="364" customFormat="1" ht="13.15" customHeight="1">
      <c r="D71" s="408"/>
      <c r="E71" s="370" t="s">
        <v>1083</v>
      </c>
      <c r="F71" s="378"/>
      <c r="H71" s="1950"/>
      <c r="I71" s="2005"/>
      <c r="J71" s="2005"/>
      <c r="K71" s="2005"/>
      <c r="L71" s="2005"/>
      <c r="M71" s="2005"/>
      <c r="N71" s="2006"/>
      <c r="O71" s="1134" t="s">
        <v>1870</v>
      </c>
      <c r="Q71" s="1950"/>
      <c r="R71" s="2005"/>
      <c r="S71" s="2006"/>
    </row>
    <row r="72" spans="2:19" s="364" customFormat="1" ht="13.15" customHeight="1">
      <c r="D72" s="408"/>
      <c r="E72" s="370" t="s">
        <v>659</v>
      </c>
      <c r="H72" s="1950"/>
      <c r="I72" s="2005"/>
      <c r="J72" s="2006"/>
      <c r="K72" s="1137" t="s">
        <v>2944</v>
      </c>
      <c r="L72" s="1950"/>
      <c r="M72" s="2005"/>
      <c r="N72" s="2006"/>
      <c r="O72" s="1134" t="s">
        <v>1927</v>
      </c>
      <c r="Q72" s="1959"/>
      <c r="R72" s="1960"/>
      <c r="S72" s="1961"/>
    </row>
    <row r="73" spans="2:19" s="364" customFormat="1" ht="13.15" customHeight="1">
      <c r="E73" s="370" t="s">
        <v>1923</v>
      </c>
      <c r="H73" s="1962"/>
      <c r="I73" s="395" t="s">
        <v>2375</v>
      </c>
      <c r="J73" s="1957"/>
      <c r="K73" s="2006"/>
      <c r="O73" s="1134" t="s">
        <v>2114</v>
      </c>
      <c r="Q73" s="1959"/>
      <c r="R73" s="1960"/>
      <c r="S73" s="1961"/>
    </row>
    <row r="74" spans="2:19" s="364" customFormat="1" ht="13.15" customHeight="1">
      <c r="D74" s="408"/>
      <c r="E74" s="370" t="s">
        <v>2120</v>
      </c>
      <c r="H74" s="1959"/>
      <c r="I74" s="1961"/>
      <c r="J74" s="2035"/>
      <c r="K74" s="1140" t="s">
        <v>1926</v>
      </c>
      <c r="L74" s="1991"/>
      <c r="M74" s="2006"/>
      <c r="N74" s="372" t="s">
        <v>2119</v>
      </c>
      <c r="O74" s="1963"/>
      <c r="P74" s="1964"/>
      <c r="Q74" s="1964"/>
      <c r="R74" s="1964"/>
      <c r="S74" s="1965"/>
    </row>
    <row r="75" spans="2:19" ht="6.6" customHeight="1">
      <c r="H75" s="2042"/>
      <c r="I75" s="2042"/>
      <c r="J75" s="2042"/>
      <c r="K75" s="1140"/>
      <c r="L75" s="2042"/>
      <c r="M75" s="2042"/>
      <c r="N75" s="1136"/>
      <c r="O75" s="2041"/>
      <c r="P75" s="2041"/>
      <c r="Q75" s="1140"/>
      <c r="R75" s="2041"/>
      <c r="S75" s="2041"/>
    </row>
    <row r="76" spans="2:19" s="364" customFormat="1" ht="13.15" customHeight="1">
      <c r="B76" s="367" t="s">
        <v>2253</v>
      </c>
      <c r="C76" s="367" t="s">
        <v>300</v>
      </c>
      <c r="H76" s="1950"/>
      <c r="I76" s="2005"/>
      <c r="J76" s="2005"/>
      <c r="K76" s="2005"/>
      <c r="L76" s="2005"/>
      <c r="M76" s="2005"/>
      <c r="N76" s="2006"/>
      <c r="O76" s="1134" t="s">
        <v>2125</v>
      </c>
      <c r="P76" s="1134"/>
      <c r="Q76" s="1950"/>
      <c r="R76" s="2005"/>
      <c r="S76" s="2006"/>
    </row>
    <row r="77" spans="2:19" s="364" customFormat="1" ht="13.15" customHeight="1">
      <c r="D77" s="408"/>
      <c r="E77" s="370" t="s">
        <v>1083</v>
      </c>
      <c r="F77" s="378"/>
      <c r="H77" s="1950"/>
      <c r="I77" s="2005"/>
      <c r="J77" s="2005"/>
      <c r="K77" s="2005"/>
      <c r="L77" s="2005"/>
      <c r="M77" s="2005"/>
      <c r="N77" s="2006"/>
      <c r="O77" s="1134" t="s">
        <v>1870</v>
      </c>
      <c r="Q77" s="1950"/>
      <c r="R77" s="2005"/>
      <c r="S77" s="2006"/>
    </row>
    <row r="78" spans="2:19" s="364" customFormat="1" ht="13.15" customHeight="1">
      <c r="D78" s="408"/>
      <c r="E78" s="370" t="s">
        <v>659</v>
      </c>
      <c r="H78" s="1950"/>
      <c r="I78" s="2005"/>
      <c r="J78" s="2006"/>
      <c r="K78" s="1137" t="s">
        <v>2944</v>
      </c>
      <c r="L78" s="1950"/>
      <c r="M78" s="2005"/>
      <c r="N78" s="2006"/>
      <c r="O78" s="1134" t="s">
        <v>1927</v>
      </c>
      <c r="Q78" s="1959"/>
      <c r="R78" s="1960"/>
      <c r="S78" s="1961"/>
    </row>
    <row r="79" spans="2:19" s="364" customFormat="1" ht="13.15" customHeight="1">
      <c r="E79" s="370" t="s">
        <v>1923</v>
      </c>
      <c r="H79" s="1962"/>
      <c r="I79" s="395" t="s">
        <v>2375</v>
      </c>
      <c r="J79" s="1957"/>
      <c r="K79" s="2006"/>
      <c r="O79" s="1134" t="s">
        <v>2114</v>
      </c>
      <c r="Q79" s="1959"/>
      <c r="R79" s="1960"/>
      <c r="S79" s="1961"/>
    </row>
    <row r="80" spans="2:19" s="364" customFormat="1" ht="13.15" customHeight="1">
      <c r="D80" s="408"/>
      <c r="E80" s="370" t="s">
        <v>2120</v>
      </c>
      <c r="H80" s="1959"/>
      <c r="I80" s="1961"/>
      <c r="J80" s="2035"/>
      <c r="K80" s="1140" t="s">
        <v>1926</v>
      </c>
      <c r="L80" s="1991"/>
      <c r="M80" s="2006"/>
      <c r="N80" s="372" t="s">
        <v>2119</v>
      </c>
      <c r="O80" s="1963"/>
      <c r="P80" s="1964"/>
      <c r="Q80" s="1964"/>
      <c r="R80" s="1964"/>
      <c r="S80" s="1965"/>
    </row>
    <row r="81" spans="1:19" ht="6.75" customHeight="1"/>
    <row r="82" spans="1:19" s="370" customFormat="1" ht="13.15" customHeight="1">
      <c r="A82" s="371" t="s">
        <v>792</v>
      </c>
      <c r="B82" s="371" t="s">
        <v>301</v>
      </c>
      <c r="D82" s="371"/>
      <c r="E82" s="1134"/>
      <c r="F82" s="330"/>
      <c r="G82" s="330"/>
      <c r="H82" s="330"/>
      <c r="I82" s="330"/>
      <c r="J82" s="330"/>
      <c r="K82" s="330"/>
      <c r="L82" s="330"/>
      <c r="M82" s="330"/>
    </row>
    <row r="83" spans="1:19" s="370" customFormat="1" ht="9" customHeight="1">
      <c r="A83" s="371"/>
      <c r="B83" s="371"/>
      <c r="D83" s="371"/>
      <c r="E83" s="1134"/>
      <c r="F83" s="330"/>
      <c r="G83" s="330"/>
      <c r="H83" s="2040"/>
      <c r="I83" s="2040"/>
      <c r="J83" s="2040"/>
      <c r="K83" s="1136"/>
      <c r="L83" s="2040"/>
      <c r="M83" s="2040"/>
      <c r="N83" s="1136"/>
      <c r="O83" s="2041"/>
      <c r="P83" s="2041"/>
      <c r="Q83" s="1140"/>
      <c r="R83" s="2041"/>
      <c r="S83" s="2041"/>
    </row>
    <row r="84" spans="1:19" s="364" customFormat="1" ht="13.15" customHeight="1">
      <c r="B84" s="367" t="s">
        <v>2118</v>
      </c>
      <c r="C84" s="367" t="s">
        <v>302</v>
      </c>
      <c r="H84" s="1950"/>
      <c r="I84" s="2005"/>
      <c r="J84" s="2005"/>
      <c r="K84" s="2005"/>
      <c r="L84" s="2005"/>
      <c r="M84" s="2005"/>
      <c r="N84" s="2006"/>
      <c r="O84" s="1134" t="s">
        <v>2125</v>
      </c>
      <c r="P84" s="1134"/>
      <c r="Q84" s="1950"/>
      <c r="R84" s="2005"/>
      <c r="S84" s="2006"/>
    </row>
    <row r="85" spans="1:19" s="364" customFormat="1" ht="13.15" customHeight="1">
      <c r="D85" s="408"/>
      <c r="E85" s="370" t="s">
        <v>1083</v>
      </c>
      <c r="F85" s="378"/>
      <c r="H85" s="1950"/>
      <c r="I85" s="2005"/>
      <c r="J85" s="2005"/>
      <c r="K85" s="2005"/>
      <c r="L85" s="2005"/>
      <c r="M85" s="2005"/>
      <c r="N85" s="2006"/>
      <c r="O85" s="1134" t="s">
        <v>1870</v>
      </c>
      <c r="Q85" s="1950"/>
      <c r="R85" s="2005"/>
      <c r="S85" s="2006"/>
    </row>
    <row r="86" spans="1:19" s="364" customFormat="1" ht="13.15" customHeight="1">
      <c r="D86" s="408"/>
      <c r="E86" s="370" t="s">
        <v>659</v>
      </c>
      <c r="H86" s="1950"/>
      <c r="I86" s="2005"/>
      <c r="J86" s="2006"/>
      <c r="K86" s="1137" t="s">
        <v>2944</v>
      </c>
      <c r="L86" s="1950"/>
      <c r="M86" s="2005"/>
      <c r="N86" s="2006"/>
      <c r="O86" s="1134" t="s">
        <v>1927</v>
      </c>
      <c r="Q86" s="1959"/>
      <c r="R86" s="1960"/>
      <c r="S86" s="1961"/>
    </row>
    <row r="87" spans="1:19" s="364" customFormat="1" ht="13.15" customHeight="1">
      <c r="E87" s="370" t="s">
        <v>1923</v>
      </c>
      <c r="H87" s="1962"/>
      <c r="I87" s="395" t="s">
        <v>2375</v>
      </c>
      <c r="J87" s="1957"/>
      <c r="K87" s="2006"/>
      <c r="O87" s="1134" t="s">
        <v>2114</v>
      </c>
      <c r="Q87" s="1959"/>
      <c r="R87" s="1960"/>
      <c r="S87" s="1961"/>
    </row>
    <row r="88" spans="1:19" s="364" customFormat="1" ht="13.15" customHeight="1">
      <c r="D88" s="408"/>
      <c r="E88" s="370" t="s">
        <v>2120</v>
      </c>
      <c r="H88" s="1959"/>
      <c r="I88" s="1961"/>
      <c r="J88" s="2035"/>
      <c r="K88" s="1140" t="s">
        <v>1926</v>
      </c>
      <c r="L88" s="1991"/>
      <c r="M88" s="2006"/>
      <c r="N88" s="372" t="s">
        <v>2119</v>
      </c>
      <c r="O88" s="1963"/>
      <c r="P88" s="1964"/>
      <c r="Q88" s="1964"/>
      <c r="R88" s="1964"/>
      <c r="S88" s="1965"/>
    </row>
    <row r="89" spans="1:19" ht="6.6" customHeight="1">
      <c r="H89" s="2042"/>
      <c r="I89" s="2042"/>
      <c r="J89" s="2042"/>
      <c r="K89" s="1140"/>
      <c r="L89" s="2042"/>
      <c r="M89" s="2042"/>
      <c r="N89" s="1136"/>
      <c r="O89" s="2041"/>
      <c r="P89" s="2041"/>
      <c r="Q89" s="1140"/>
      <c r="R89" s="2041"/>
      <c r="S89" s="2041"/>
    </row>
    <row r="90" spans="1:19" s="364" customFormat="1" ht="13.15" customHeight="1">
      <c r="B90" s="367" t="s">
        <v>2121</v>
      </c>
      <c r="C90" s="367" t="s">
        <v>303</v>
      </c>
      <c r="H90" s="1950" t="s">
        <v>3721</v>
      </c>
      <c r="I90" s="2005"/>
      <c r="J90" s="2005"/>
      <c r="K90" s="2005"/>
      <c r="L90" s="2005"/>
      <c r="M90" s="2005"/>
      <c r="N90" s="2006"/>
      <c r="O90" s="1134" t="s">
        <v>2125</v>
      </c>
      <c r="P90" s="1134"/>
      <c r="Q90" s="1950" t="s">
        <v>3716</v>
      </c>
      <c r="R90" s="2005"/>
      <c r="S90" s="2006"/>
    </row>
    <row r="91" spans="1:19" s="364" customFormat="1" ht="13.15" customHeight="1">
      <c r="D91" s="408"/>
      <c r="E91" s="370" t="s">
        <v>1083</v>
      </c>
      <c r="F91" s="378"/>
      <c r="H91" s="1950" t="s">
        <v>3705</v>
      </c>
      <c r="I91" s="2005"/>
      <c r="J91" s="2005"/>
      <c r="K91" s="2005"/>
      <c r="L91" s="2005"/>
      <c r="M91" s="2005"/>
      <c r="N91" s="2006"/>
      <c r="O91" s="1134" t="s">
        <v>1870</v>
      </c>
      <c r="Q91" s="1950" t="s">
        <v>3717</v>
      </c>
      <c r="R91" s="2005"/>
      <c r="S91" s="2006"/>
    </row>
    <row r="92" spans="1:19" s="364" customFormat="1" ht="13.15" customHeight="1">
      <c r="D92" s="408"/>
      <c r="E92" s="370" t="s">
        <v>659</v>
      </c>
      <c r="H92" s="1950" t="s">
        <v>3706</v>
      </c>
      <c r="I92" s="2005"/>
      <c r="J92" s="2006"/>
      <c r="K92" s="1137" t="s">
        <v>2944</v>
      </c>
      <c r="L92" s="1950" t="s">
        <v>3720</v>
      </c>
      <c r="M92" s="2005"/>
      <c r="N92" s="2006"/>
      <c r="O92" s="1134" t="s">
        <v>1927</v>
      </c>
      <c r="Q92" s="1959">
        <v>2564174920</v>
      </c>
      <c r="R92" s="1960"/>
      <c r="S92" s="1961"/>
    </row>
    <row r="93" spans="1:19" s="364" customFormat="1" ht="13.15" customHeight="1">
      <c r="E93" s="370" t="s">
        <v>1923</v>
      </c>
      <c r="H93" s="1962" t="s">
        <v>892</v>
      </c>
      <c r="I93" s="395" t="s">
        <v>2375</v>
      </c>
      <c r="J93" s="1957">
        <v>359713484</v>
      </c>
      <c r="K93" s="2006"/>
      <c r="O93" s="1134" t="s">
        <v>2114</v>
      </c>
      <c r="Q93" s="1959">
        <v>2569976659</v>
      </c>
      <c r="R93" s="1960"/>
      <c r="S93" s="1961"/>
    </row>
    <row r="94" spans="1:19" s="364" customFormat="1" ht="13.15" customHeight="1">
      <c r="D94" s="408"/>
      <c r="E94" s="370" t="s">
        <v>2120</v>
      </c>
      <c r="H94" s="1959">
        <v>2564174922</v>
      </c>
      <c r="I94" s="1961"/>
      <c r="J94" s="2035">
        <v>295</v>
      </c>
      <c r="K94" s="1140" t="s">
        <v>1926</v>
      </c>
      <c r="L94" s="1991">
        <v>2566233944</v>
      </c>
      <c r="M94" s="2006"/>
      <c r="N94" s="372" t="s">
        <v>2119</v>
      </c>
      <c r="O94" s="1963" t="s">
        <v>3718</v>
      </c>
      <c r="P94" s="1964"/>
      <c r="Q94" s="1964"/>
      <c r="R94" s="1964"/>
      <c r="S94" s="1965"/>
    </row>
    <row r="95" spans="1:19" ht="6.6" customHeight="1">
      <c r="H95" s="2042"/>
      <c r="I95" s="2042"/>
      <c r="J95" s="2042"/>
      <c r="K95" s="1140"/>
      <c r="L95" s="2042"/>
      <c r="M95" s="2042"/>
      <c r="N95" s="1136"/>
      <c r="O95" s="2041"/>
      <c r="P95" s="2041"/>
      <c r="Q95" s="1140"/>
      <c r="R95" s="2041"/>
      <c r="S95" s="2041"/>
    </row>
    <row r="96" spans="1:19" s="364" customFormat="1" ht="13.15" customHeight="1">
      <c r="B96" s="367" t="s">
        <v>799</v>
      </c>
      <c r="C96" s="367" t="s">
        <v>304</v>
      </c>
      <c r="F96" s="384"/>
      <c r="H96" s="1950" t="s">
        <v>3722</v>
      </c>
      <c r="I96" s="2005"/>
      <c r="J96" s="2005"/>
      <c r="K96" s="2005"/>
      <c r="L96" s="2005"/>
      <c r="M96" s="2005"/>
      <c r="N96" s="2006"/>
      <c r="O96" s="1134" t="s">
        <v>2125</v>
      </c>
      <c r="P96" s="1134"/>
      <c r="Q96" s="1950" t="s">
        <v>3716</v>
      </c>
      <c r="R96" s="2005"/>
      <c r="S96" s="2006"/>
    </row>
    <row r="97" spans="2:19" s="364" customFormat="1" ht="13.15" customHeight="1">
      <c r="D97" s="408"/>
      <c r="E97" s="370" t="s">
        <v>1083</v>
      </c>
      <c r="F97" s="378"/>
      <c r="H97" s="1950" t="s">
        <v>3705</v>
      </c>
      <c r="I97" s="2005"/>
      <c r="J97" s="2005"/>
      <c r="K97" s="2005"/>
      <c r="L97" s="2005"/>
      <c r="M97" s="2005"/>
      <c r="N97" s="2006"/>
      <c r="O97" s="1134" t="s">
        <v>1870</v>
      </c>
      <c r="Q97" s="1950" t="s">
        <v>3717</v>
      </c>
      <c r="R97" s="2005"/>
      <c r="S97" s="2006"/>
    </row>
    <row r="98" spans="2:19" s="364" customFormat="1" ht="13.15" customHeight="1">
      <c r="D98" s="408"/>
      <c r="E98" s="370" t="s">
        <v>659</v>
      </c>
      <c r="H98" s="1950" t="s">
        <v>3706</v>
      </c>
      <c r="I98" s="2005"/>
      <c r="J98" s="2006"/>
      <c r="K98" s="1137" t="s">
        <v>2944</v>
      </c>
      <c r="L98" s="1950" t="s">
        <v>3720</v>
      </c>
      <c r="M98" s="2005"/>
      <c r="N98" s="2006"/>
      <c r="O98" s="1134" t="s">
        <v>1927</v>
      </c>
      <c r="Q98" s="1959">
        <v>2564174920</v>
      </c>
      <c r="R98" s="1960"/>
      <c r="S98" s="1961"/>
    </row>
    <row r="99" spans="2:19" s="364" customFormat="1" ht="13.15" customHeight="1">
      <c r="D99" s="408"/>
      <c r="E99" s="370" t="s">
        <v>1923</v>
      </c>
      <c r="H99" s="1962" t="s">
        <v>892</v>
      </c>
      <c r="I99" s="395" t="s">
        <v>2375</v>
      </c>
      <c r="J99" s="1957">
        <v>359713484</v>
      </c>
      <c r="K99" s="2006"/>
      <c r="O99" s="1134" t="s">
        <v>2114</v>
      </c>
      <c r="Q99" s="1959">
        <v>2569976659</v>
      </c>
      <c r="R99" s="1960"/>
      <c r="S99" s="1961"/>
    </row>
    <row r="100" spans="2:19" s="364" customFormat="1" ht="13.15" customHeight="1">
      <c r="D100" s="408"/>
      <c r="E100" s="370" t="s">
        <v>2120</v>
      </c>
      <c r="H100" s="1959">
        <v>2564174921</v>
      </c>
      <c r="I100" s="1961"/>
      <c r="J100" s="2035">
        <v>295</v>
      </c>
      <c r="K100" s="1140" t="s">
        <v>1926</v>
      </c>
      <c r="L100" s="1991">
        <v>2566233944</v>
      </c>
      <c r="M100" s="2006"/>
      <c r="N100" s="372" t="s">
        <v>2119</v>
      </c>
      <c r="O100" s="1963" t="s">
        <v>3718</v>
      </c>
      <c r="P100" s="1964"/>
      <c r="Q100" s="1964"/>
      <c r="R100" s="1964"/>
      <c r="S100" s="1965"/>
    </row>
    <row r="101" spans="2:19" ht="6.6" customHeight="1">
      <c r="H101" s="2042"/>
      <c r="I101" s="2042"/>
      <c r="J101" s="2042"/>
      <c r="K101" s="1140"/>
      <c r="L101" s="2042"/>
      <c r="M101" s="2042"/>
      <c r="N101" s="1136"/>
      <c r="O101" s="2041"/>
      <c r="P101" s="2041"/>
      <c r="Q101" s="1140"/>
      <c r="R101" s="2041"/>
      <c r="S101" s="2041"/>
    </row>
    <row r="102" spans="2:19" s="364" customFormat="1" ht="13.15" customHeight="1">
      <c r="B102" s="367" t="s">
        <v>2253</v>
      </c>
      <c r="C102" s="367" t="s">
        <v>305</v>
      </c>
      <c r="H102" s="1950" t="s">
        <v>3763</v>
      </c>
      <c r="I102" s="2005"/>
      <c r="J102" s="2005"/>
      <c r="K102" s="2005"/>
      <c r="L102" s="2005"/>
      <c r="M102" s="2005"/>
      <c r="N102" s="2006"/>
      <c r="O102" s="1134" t="s">
        <v>2125</v>
      </c>
      <c r="P102" s="1134"/>
      <c r="Q102" s="1950" t="s">
        <v>3766</v>
      </c>
      <c r="R102" s="2005"/>
      <c r="S102" s="2006"/>
    </row>
    <row r="103" spans="2:19" s="364" customFormat="1" ht="13.15" customHeight="1">
      <c r="D103" s="408"/>
      <c r="E103" s="370" t="s">
        <v>1083</v>
      </c>
      <c r="F103" s="378"/>
      <c r="H103" s="1950" t="s">
        <v>3764</v>
      </c>
      <c r="I103" s="2005"/>
      <c r="J103" s="2005"/>
      <c r="K103" s="2005"/>
      <c r="L103" s="2005"/>
      <c r="M103" s="2005"/>
      <c r="N103" s="2006"/>
      <c r="O103" s="1134" t="s">
        <v>1870</v>
      </c>
      <c r="Q103" s="1950" t="s">
        <v>3767</v>
      </c>
      <c r="R103" s="2005"/>
      <c r="S103" s="2006"/>
    </row>
    <row r="104" spans="2:19" s="364" customFormat="1" ht="13.15" customHeight="1">
      <c r="D104" s="408"/>
      <c r="E104" s="370" t="s">
        <v>659</v>
      </c>
      <c r="H104" s="1950" t="s">
        <v>3765</v>
      </c>
      <c r="I104" s="2005"/>
      <c r="J104" s="2006"/>
      <c r="K104" s="1137" t="s">
        <v>2944</v>
      </c>
      <c r="L104" s="1950"/>
      <c r="M104" s="2005"/>
      <c r="N104" s="2006"/>
      <c r="O104" s="1134" t="s">
        <v>1927</v>
      </c>
      <c r="Q104" s="1959">
        <v>2052263425</v>
      </c>
      <c r="R104" s="1960"/>
      <c r="S104" s="1961"/>
    </row>
    <row r="105" spans="2:19" s="364" customFormat="1" ht="13.15" customHeight="1">
      <c r="D105" s="408"/>
      <c r="E105" s="370" t="s">
        <v>1923</v>
      </c>
      <c r="H105" s="1962" t="s">
        <v>892</v>
      </c>
      <c r="I105" s="395" t="s">
        <v>2375</v>
      </c>
      <c r="J105" s="1957">
        <v>352034642</v>
      </c>
      <c r="K105" s="2006"/>
      <c r="O105" s="1134" t="s">
        <v>2114</v>
      </c>
      <c r="Q105" s="1959">
        <v>2052263425</v>
      </c>
      <c r="R105" s="1960"/>
      <c r="S105" s="1961"/>
    </row>
    <row r="106" spans="2:19" ht="13.15" customHeight="1">
      <c r="E106" s="370" t="s">
        <v>2120</v>
      </c>
      <c r="F106" s="364"/>
      <c r="G106" s="364"/>
      <c r="H106" s="1959">
        <v>2052263425</v>
      </c>
      <c r="I106" s="1961"/>
      <c r="J106" s="2035"/>
      <c r="K106" s="1140" t="s">
        <v>1926</v>
      </c>
      <c r="L106" s="1991">
        <v>2054885649</v>
      </c>
      <c r="M106" s="2006"/>
      <c r="N106" s="372" t="s">
        <v>2119</v>
      </c>
      <c r="O106" s="1963" t="s">
        <v>3768</v>
      </c>
      <c r="P106" s="1964"/>
      <c r="Q106" s="1964"/>
      <c r="R106" s="1964"/>
      <c r="S106" s="1965"/>
    </row>
    <row r="107" spans="2:19" ht="6" customHeight="1">
      <c r="E107" s="370"/>
      <c r="F107" s="364"/>
      <c r="G107" s="364"/>
      <c r="H107" s="364"/>
      <c r="I107" s="364"/>
      <c r="J107" s="364"/>
      <c r="K107" s="364"/>
      <c r="L107" s="364"/>
      <c r="M107" s="364"/>
      <c r="N107" s="364"/>
      <c r="O107" s="364"/>
      <c r="P107" s="364"/>
      <c r="Q107" s="1140"/>
      <c r="R107" s="1140"/>
      <c r="S107" s="2044"/>
    </row>
    <row r="108" spans="2:19" ht="0.6" customHeight="1">
      <c r="E108" s="370"/>
      <c r="F108" s="364"/>
      <c r="G108" s="1144"/>
      <c r="H108" s="2040"/>
      <c r="I108" s="2040"/>
      <c r="J108" s="2040"/>
      <c r="K108" s="1136"/>
      <c r="L108" s="2040"/>
      <c r="M108" s="2040"/>
      <c r="N108" s="1136"/>
      <c r="O108" s="2041"/>
      <c r="P108" s="2041"/>
      <c r="Q108" s="1140"/>
      <c r="R108" s="2041"/>
      <c r="S108" s="2041"/>
    </row>
    <row r="109" spans="2:19" s="364" customFormat="1" ht="13.15" customHeight="1">
      <c r="B109" s="367" t="s">
        <v>1857</v>
      </c>
      <c r="C109" s="367" t="s">
        <v>306</v>
      </c>
      <c r="H109" s="1950" t="s">
        <v>3756</v>
      </c>
      <c r="I109" s="2005"/>
      <c r="J109" s="2005"/>
      <c r="K109" s="2005"/>
      <c r="L109" s="2005"/>
      <c r="M109" s="2005"/>
      <c r="N109" s="2006"/>
      <c r="O109" s="1134" t="s">
        <v>2125</v>
      </c>
      <c r="P109" s="1134"/>
      <c r="Q109" s="1950" t="s">
        <v>3758</v>
      </c>
      <c r="R109" s="2005"/>
      <c r="S109" s="2006"/>
    </row>
    <row r="110" spans="2:19" s="364" customFormat="1" ht="13.15" customHeight="1">
      <c r="D110" s="408"/>
      <c r="E110" s="370" t="s">
        <v>1083</v>
      </c>
      <c r="F110" s="378"/>
      <c r="H110" s="1950" t="s">
        <v>3757</v>
      </c>
      <c r="I110" s="2005"/>
      <c r="J110" s="2005"/>
      <c r="K110" s="2005"/>
      <c r="L110" s="2005"/>
      <c r="M110" s="2005"/>
      <c r="N110" s="2006"/>
      <c r="O110" s="1134" t="s">
        <v>1870</v>
      </c>
      <c r="Q110" s="1950" t="s">
        <v>3707</v>
      </c>
      <c r="R110" s="2005"/>
      <c r="S110" s="2006"/>
    </row>
    <row r="111" spans="2:19" s="364" customFormat="1" ht="13.15" customHeight="1">
      <c r="D111" s="408"/>
      <c r="E111" s="370" t="s">
        <v>659</v>
      </c>
      <c r="H111" s="1950" t="s">
        <v>186</v>
      </c>
      <c r="I111" s="2005"/>
      <c r="J111" s="2006"/>
      <c r="K111" s="1137" t="s">
        <v>2944</v>
      </c>
      <c r="L111" s="1950" t="s">
        <v>1855</v>
      </c>
      <c r="M111" s="2005"/>
      <c r="N111" s="2006"/>
      <c r="O111" s="1134" t="s">
        <v>1927</v>
      </c>
      <c r="Q111" s="1959">
        <v>6082402643</v>
      </c>
      <c r="R111" s="1960"/>
      <c r="S111" s="1961"/>
    </row>
    <row r="112" spans="2:19" s="364" customFormat="1" ht="13.15" customHeight="1">
      <c r="D112" s="408"/>
      <c r="E112" s="370" t="s">
        <v>1923</v>
      </c>
      <c r="H112" s="1962" t="s">
        <v>1452</v>
      </c>
      <c r="I112" s="395" t="s">
        <v>2375</v>
      </c>
      <c r="J112" s="1957">
        <v>359063206</v>
      </c>
      <c r="K112" s="2006"/>
      <c r="O112" s="1134" t="s">
        <v>2114</v>
      </c>
      <c r="Q112" s="1959">
        <v>6084444009</v>
      </c>
      <c r="R112" s="1960"/>
      <c r="S112" s="1961"/>
    </row>
    <row r="113" spans="1:19" ht="13.15" customHeight="1">
      <c r="E113" s="370" t="s">
        <v>2120</v>
      </c>
      <c r="F113" s="364"/>
      <c r="G113" s="364"/>
      <c r="H113" s="1959">
        <v>6082496622</v>
      </c>
      <c r="I113" s="1961"/>
      <c r="J113" s="2035"/>
      <c r="K113" s="1140" t="s">
        <v>1926</v>
      </c>
      <c r="L113" s="1991">
        <v>6082498532</v>
      </c>
      <c r="M113" s="2006"/>
      <c r="N113" s="372" t="s">
        <v>2119</v>
      </c>
      <c r="O113" s="1963" t="s">
        <v>3762</v>
      </c>
      <c r="P113" s="1964"/>
      <c r="Q113" s="1964"/>
      <c r="R113" s="1964"/>
      <c r="S113" s="1965"/>
    </row>
    <row r="114" spans="1:19" ht="6.6" customHeight="1">
      <c r="E114" s="370"/>
      <c r="F114" s="364"/>
      <c r="G114" s="1144"/>
      <c r="H114" s="2042"/>
      <c r="I114" s="2042"/>
      <c r="J114" s="2042"/>
      <c r="K114" s="1140"/>
      <c r="L114" s="2042"/>
      <c r="M114" s="2042"/>
      <c r="N114" s="1136"/>
      <c r="O114" s="2041"/>
      <c r="P114" s="2041"/>
      <c r="Q114" s="1140"/>
      <c r="R114" s="2041"/>
      <c r="S114" s="2041"/>
    </row>
    <row r="115" spans="1:19" s="364" customFormat="1" ht="13.15" customHeight="1">
      <c r="B115" s="367" t="s">
        <v>1858</v>
      </c>
      <c r="C115" s="367" t="s">
        <v>307</v>
      </c>
      <c r="H115" s="1950" t="s">
        <v>3759</v>
      </c>
      <c r="I115" s="2005"/>
      <c r="J115" s="2005"/>
      <c r="K115" s="2005"/>
      <c r="L115" s="2005"/>
      <c r="M115" s="2005"/>
      <c r="N115" s="2006"/>
      <c r="O115" s="1134" t="s">
        <v>2125</v>
      </c>
      <c r="P115" s="1134"/>
      <c r="Q115" s="1950" t="s">
        <v>3759</v>
      </c>
      <c r="R115" s="2005"/>
      <c r="S115" s="2006"/>
    </row>
    <row r="116" spans="1:19" s="364" customFormat="1" ht="13.15" customHeight="1">
      <c r="D116" s="408"/>
      <c r="E116" s="370" t="s">
        <v>1083</v>
      </c>
      <c r="F116" s="378"/>
      <c r="H116" s="1950" t="s">
        <v>3760</v>
      </c>
      <c r="I116" s="2005"/>
      <c r="J116" s="2005"/>
      <c r="K116" s="2005"/>
      <c r="L116" s="2005"/>
      <c r="M116" s="2005"/>
      <c r="N116" s="2006"/>
      <c r="O116" s="1134" t="s">
        <v>1870</v>
      </c>
      <c r="Q116" s="1950" t="s">
        <v>2642</v>
      </c>
      <c r="R116" s="2005"/>
      <c r="S116" s="2006"/>
    </row>
    <row r="117" spans="1:19" s="364" customFormat="1" ht="13.15" customHeight="1">
      <c r="D117" s="408"/>
      <c r="E117" s="370" t="s">
        <v>659</v>
      </c>
      <c r="H117" s="1950" t="s">
        <v>2416</v>
      </c>
      <c r="I117" s="2005"/>
      <c r="J117" s="2006"/>
      <c r="K117" s="1137" t="s">
        <v>2944</v>
      </c>
      <c r="L117" s="1950" t="s">
        <v>1029</v>
      </c>
      <c r="M117" s="2005"/>
      <c r="N117" s="2006"/>
      <c r="O117" s="1134" t="s">
        <v>1927</v>
      </c>
      <c r="Q117" s="1959">
        <v>7705472221</v>
      </c>
      <c r="R117" s="1960"/>
      <c r="S117" s="1961"/>
    </row>
    <row r="118" spans="1:19" s="364" customFormat="1" ht="13.15" customHeight="1">
      <c r="D118" s="413"/>
      <c r="E118" s="370" t="s">
        <v>1923</v>
      </c>
      <c r="H118" s="1962" t="s">
        <v>902</v>
      </c>
      <c r="I118" s="395" t="s">
        <v>2375</v>
      </c>
      <c r="J118" s="1957">
        <v>301611734</v>
      </c>
      <c r="K118" s="2006"/>
      <c r="O118" s="1134" t="s">
        <v>2114</v>
      </c>
      <c r="Q118" s="1959">
        <v>7705472221</v>
      </c>
      <c r="R118" s="1960"/>
      <c r="S118" s="1961"/>
    </row>
    <row r="119" spans="1:19" s="364" customFormat="1" ht="13.15" customHeight="1">
      <c r="D119" s="413"/>
      <c r="E119" s="370" t="s">
        <v>2120</v>
      </c>
      <c r="H119" s="1959">
        <v>7705472221</v>
      </c>
      <c r="I119" s="1961"/>
      <c r="J119" s="2035"/>
      <c r="K119" s="1140" t="s">
        <v>1926</v>
      </c>
      <c r="L119" s="1991"/>
      <c r="M119" s="2006"/>
      <c r="N119" s="372" t="s">
        <v>2119</v>
      </c>
      <c r="O119" s="1963" t="s">
        <v>3761</v>
      </c>
      <c r="P119" s="1964"/>
      <c r="Q119" s="1964"/>
      <c r="R119" s="1964"/>
      <c r="S119" s="1965"/>
    </row>
    <row r="120" spans="1:19" ht="6" customHeight="1"/>
    <row r="121" spans="1:19" s="364" customFormat="1" ht="13.15" customHeight="1">
      <c r="A121" s="367" t="s">
        <v>1916</v>
      </c>
      <c r="B121" s="367" t="s">
        <v>2785</v>
      </c>
      <c r="F121" s="367"/>
      <c r="G121" s="1140"/>
      <c r="H121" s="1140"/>
      <c r="I121" s="1140"/>
      <c r="J121" s="1140"/>
      <c r="K121" s="1140"/>
      <c r="L121" s="1140"/>
      <c r="M121" s="1140"/>
      <c r="N121" s="1140"/>
      <c r="O121" s="1140"/>
      <c r="P121" s="1140"/>
      <c r="Q121" s="1137"/>
    </row>
    <row r="122" spans="1:19" s="364" customFormat="1" ht="3" customHeight="1">
      <c r="A122" s="367"/>
      <c r="B122" s="367"/>
      <c r="F122" s="367"/>
      <c r="G122" s="1140"/>
      <c r="H122" s="1140"/>
      <c r="I122" s="1140"/>
      <c r="J122" s="1140"/>
      <c r="K122" s="1140"/>
      <c r="L122" s="1140"/>
      <c r="M122" s="1140"/>
      <c r="N122" s="1140"/>
      <c r="O122" s="1140"/>
      <c r="P122" s="1140"/>
      <c r="Q122" s="1137"/>
    </row>
    <row r="123" spans="1:19" ht="13.15" customHeight="1">
      <c r="B123" s="367" t="s">
        <v>2118</v>
      </c>
      <c r="C123" s="367" t="s">
        <v>3383</v>
      </c>
    </row>
    <row r="124" spans="1:19" ht="13.15" customHeight="1">
      <c r="C124" s="384" t="s">
        <v>3384</v>
      </c>
      <c r="H124" s="444" t="s">
        <v>2681</v>
      </c>
      <c r="I124" s="384" t="s">
        <v>3387</v>
      </c>
    </row>
    <row r="125" spans="1:19" s="364" customFormat="1" ht="13.15" customHeight="1">
      <c r="C125" s="714" t="s">
        <v>2122</v>
      </c>
      <c r="D125" s="364" t="s">
        <v>3385</v>
      </c>
      <c r="H125" s="2045" t="s">
        <v>3701</v>
      </c>
      <c r="I125" s="2046" t="s">
        <v>3723</v>
      </c>
      <c r="J125" s="2047"/>
      <c r="K125" s="2047"/>
      <c r="L125" s="2047"/>
      <c r="M125" s="2047"/>
      <c r="N125" s="2047"/>
      <c r="O125" s="2047"/>
      <c r="P125" s="2047"/>
      <c r="Q125" s="2047"/>
      <c r="R125" s="2047"/>
      <c r="S125" s="2048"/>
    </row>
    <row r="126" spans="1:19" s="364" customFormat="1" ht="13.15" customHeight="1">
      <c r="C126" s="714" t="s">
        <v>2124</v>
      </c>
      <c r="D126" s="364" t="s">
        <v>3516</v>
      </c>
      <c r="H126" s="2045" t="s">
        <v>3702</v>
      </c>
      <c r="I126" s="2046"/>
      <c r="J126" s="2047"/>
      <c r="K126" s="2047"/>
      <c r="L126" s="2047"/>
      <c r="M126" s="2047"/>
      <c r="N126" s="2047"/>
      <c r="O126" s="2047"/>
      <c r="P126" s="2047"/>
      <c r="Q126" s="2047"/>
      <c r="R126" s="2047"/>
      <c r="S126" s="2048"/>
    </row>
    <row r="127" spans="1:19" s="364" customFormat="1" ht="13.15" customHeight="1">
      <c r="C127" s="714" t="s">
        <v>2707</v>
      </c>
      <c r="D127" s="364" t="s">
        <v>3575</v>
      </c>
      <c r="H127" s="2045" t="s">
        <v>3701</v>
      </c>
      <c r="I127" s="2046" t="s">
        <v>3791</v>
      </c>
      <c r="J127" s="2047"/>
      <c r="K127" s="2047"/>
      <c r="L127" s="2047"/>
      <c r="M127" s="2047"/>
      <c r="N127" s="2047"/>
      <c r="O127" s="2047"/>
      <c r="P127" s="2047"/>
      <c r="Q127" s="2047"/>
      <c r="R127" s="2047"/>
      <c r="S127" s="2048"/>
    </row>
    <row r="128" spans="1:19" s="364" customFormat="1" ht="13.15" customHeight="1">
      <c r="C128" s="714" t="s">
        <v>1301</v>
      </c>
      <c r="D128" s="364" t="s">
        <v>3517</v>
      </c>
      <c r="H128" s="2045" t="s">
        <v>3701</v>
      </c>
      <c r="I128" s="2046" t="s">
        <v>3724</v>
      </c>
      <c r="J128" s="2047"/>
      <c r="K128" s="2047"/>
      <c r="L128" s="2047"/>
      <c r="M128" s="2047"/>
      <c r="N128" s="2047"/>
      <c r="O128" s="2047"/>
      <c r="P128" s="2047"/>
      <c r="Q128" s="2047"/>
      <c r="R128" s="2047"/>
      <c r="S128" s="2048"/>
    </row>
    <row r="129" spans="1:19" s="364" customFormat="1" ht="13.15" customHeight="1">
      <c r="C129" s="714" t="s">
        <v>1302</v>
      </c>
      <c r="D129" s="364" t="s">
        <v>3518</v>
      </c>
      <c r="H129" s="2045" t="s">
        <v>3702</v>
      </c>
      <c r="I129" s="2046"/>
      <c r="J129" s="2047"/>
      <c r="K129" s="2047"/>
      <c r="L129" s="2047"/>
      <c r="M129" s="2047"/>
      <c r="N129" s="2047"/>
      <c r="O129" s="2047"/>
      <c r="P129" s="2047"/>
      <c r="Q129" s="2047"/>
      <c r="R129" s="2047"/>
      <c r="S129" s="2048"/>
    </row>
    <row r="130" spans="1:19" s="364" customFormat="1" ht="13.15" customHeight="1">
      <c r="C130" s="714" t="s">
        <v>2014</v>
      </c>
      <c r="D130" s="364" t="s">
        <v>3386</v>
      </c>
      <c r="H130" s="2045" t="s">
        <v>3702</v>
      </c>
      <c r="I130" s="2046"/>
      <c r="J130" s="2047"/>
      <c r="K130" s="2047"/>
      <c r="L130" s="2047"/>
      <c r="M130" s="2047"/>
      <c r="N130" s="2047"/>
      <c r="O130" s="2047"/>
      <c r="P130" s="2047"/>
      <c r="Q130" s="2047"/>
      <c r="R130" s="2047"/>
      <c r="S130" s="2048"/>
    </row>
    <row r="131" spans="1:19" s="364" customFormat="1" ht="13.15" customHeight="1">
      <c r="C131" s="714" t="s">
        <v>535</v>
      </c>
      <c r="D131" s="364" t="s">
        <v>3388</v>
      </c>
      <c r="H131" s="2045" t="s">
        <v>3702</v>
      </c>
      <c r="I131" s="2046"/>
      <c r="J131" s="2047"/>
      <c r="K131" s="2047"/>
      <c r="L131" s="2047"/>
      <c r="M131" s="2047"/>
      <c r="N131" s="2047"/>
      <c r="O131" s="2047"/>
      <c r="P131" s="2047"/>
      <c r="Q131" s="2047"/>
      <c r="R131" s="2047"/>
      <c r="S131" s="2048"/>
    </row>
    <row r="132" spans="1:19" s="364" customFormat="1" ht="13.15" customHeight="1">
      <c r="C132" s="714" t="s">
        <v>536</v>
      </c>
      <c r="D132" s="364" t="s">
        <v>1710</v>
      </c>
      <c r="H132" s="2049" t="s">
        <v>3701</v>
      </c>
      <c r="I132" s="2050" t="s">
        <v>3725</v>
      </c>
      <c r="J132" s="2051"/>
      <c r="K132" s="2051"/>
      <c r="L132" s="2051"/>
      <c r="M132" s="2051"/>
      <c r="N132" s="2051"/>
      <c r="O132" s="2051"/>
      <c r="P132" s="2051"/>
      <c r="Q132" s="2051"/>
      <c r="R132" s="2051"/>
      <c r="S132" s="2052"/>
    </row>
    <row r="133" spans="1:19" s="364" customFormat="1" ht="13.15" customHeight="1">
      <c r="A133" s="367" t="s">
        <v>1916</v>
      </c>
      <c r="B133" s="367" t="s">
        <v>3409</v>
      </c>
      <c r="F133" s="367"/>
      <c r="G133" s="1140"/>
      <c r="H133" s="1140"/>
      <c r="I133" s="1140"/>
      <c r="J133" s="1140"/>
      <c r="K133" s="1140"/>
      <c r="L133" s="1140"/>
      <c r="M133" s="1140"/>
      <c r="N133" s="1140"/>
      <c r="O133" s="1140"/>
      <c r="P133" s="1140"/>
      <c r="Q133" s="1137"/>
    </row>
    <row r="134" spans="1:19" s="364" customFormat="1" ht="6.6" customHeight="1">
      <c r="A134" s="367"/>
      <c r="B134" s="367"/>
      <c r="F134" s="367"/>
      <c r="G134" s="1140"/>
      <c r="H134" s="1140"/>
      <c r="I134" s="1140"/>
      <c r="J134" s="1140"/>
      <c r="K134" s="1140"/>
      <c r="L134" s="1140"/>
      <c r="M134" s="1140"/>
      <c r="N134" s="1140"/>
      <c r="O134" s="1140"/>
      <c r="P134" s="1140"/>
      <c r="Q134" s="1137"/>
    </row>
    <row r="135" spans="1:19" ht="13.15" customHeight="1">
      <c r="B135" s="367" t="s">
        <v>2121</v>
      </c>
      <c r="C135" s="367" t="s">
        <v>3389</v>
      </c>
    </row>
    <row r="136" spans="1:19" s="364" customFormat="1" ht="6.6" customHeight="1">
      <c r="A136" s="367"/>
      <c r="B136" s="367"/>
      <c r="F136" s="367"/>
      <c r="G136" s="1140"/>
      <c r="H136" s="1140"/>
      <c r="I136" s="1140"/>
      <c r="J136" s="1140"/>
      <c r="K136" s="1140"/>
      <c r="L136" s="1140"/>
      <c r="M136" s="1140"/>
      <c r="N136" s="1140"/>
      <c r="O136" s="1140"/>
      <c r="P136" s="1140"/>
      <c r="Q136" s="1137"/>
    </row>
    <row r="137" spans="1:19" s="364" customFormat="1" ht="8.25" customHeight="1">
      <c r="A137" s="1202" t="s">
        <v>681</v>
      </c>
      <c r="B137" s="1240"/>
      <c r="C137" s="1240"/>
      <c r="D137" s="1240"/>
      <c r="E137" s="1203"/>
      <c r="F137" s="1244" t="s">
        <v>3569</v>
      </c>
      <c r="G137" s="1245"/>
      <c r="H137" s="1248" t="s">
        <v>3570</v>
      </c>
      <c r="I137" s="1249"/>
      <c r="J137" s="1249"/>
      <c r="K137" s="1249"/>
      <c r="L137" s="1219" t="s">
        <v>3571</v>
      </c>
      <c r="M137" s="1220"/>
      <c r="N137" s="1220"/>
      <c r="O137" s="1221"/>
      <c r="P137" s="1219" t="s">
        <v>3572</v>
      </c>
      <c r="Q137" s="2053"/>
      <c r="R137" s="1228" t="s">
        <v>3573</v>
      </c>
      <c r="S137" s="1229"/>
    </row>
    <row r="138" spans="1:19" s="364" customFormat="1" ht="8.25" customHeight="1">
      <c r="A138" s="1183"/>
      <c r="B138" s="1241"/>
      <c r="C138" s="1241"/>
      <c r="D138" s="1241"/>
      <c r="E138" s="1185"/>
      <c r="F138" s="1246"/>
      <c r="G138" s="1247"/>
      <c r="H138" s="1250"/>
      <c r="I138" s="1251"/>
      <c r="J138" s="1251"/>
      <c r="K138" s="1251"/>
      <c r="L138" s="1222"/>
      <c r="M138" s="1223"/>
      <c r="N138" s="1223"/>
      <c r="O138" s="1224"/>
      <c r="P138" s="2054"/>
      <c r="Q138" s="2055"/>
      <c r="R138" s="1222"/>
      <c r="S138" s="1230"/>
    </row>
    <row r="139" spans="1:19" s="364" customFormat="1" ht="8.25" customHeight="1">
      <c r="A139" s="1183"/>
      <c r="B139" s="1241"/>
      <c r="C139" s="1241"/>
      <c r="D139" s="1241"/>
      <c r="E139" s="1185"/>
      <c r="F139" s="1246"/>
      <c r="G139" s="1247"/>
      <c r="H139" s="1250"/>
      <c r="I139" s="1251"/>
      <c r="J139" s="1251"/>
      <c r="K139" s="1251"/>
      <c r="L139" s="1222"/>
      <c r="M139" s="1223"/>
      <c r="N139" s="1223"/>
      <c r="O139" s="1224"/>
      <c r="P139" s="2054"/>
      <c r="Q139" s="2055"/>
      <c r="R139" s="1231"/>
      <c r="S139" s="1230"/>
    </row>
    <row r="140" spans="1:19" s="364" customFormat="1" ht="8.25" customHeight="1">
      <c r="A140" s="1183"/>
      <c r="B140" s="1241"/>
      <c r="C140" s="1241"/>
      <c r="D140" s="1241"/>
      <c r="E140" s="1185"/>
      <c r="F140" s="1246"/>
      <c r="G140" s="1247"/>
      <c r="H140" s="1250"/>
      <c r="I140" s="1251"/>
      <c r="J140" s="1251"/>
      <c r="K140" s="1251"/>
      <c r="L140" s="1222"/>
      <c r="M140" s="1223"/>
      <c r="N140" s="1223"/>
      <c r="O140" s="1224"/>
      <c r="P140" s="2054"/>
      <c r="Q140" s="2055"/>
      <c r="R140" s="1231"/>
      <c r="S140" s="1230"/>
    </row>
    <row r="141" spans="1:19" s="364" customFormat="1" ht="8.25" customHeight="1">
      <c r="A141" s="1242"/>
      <c r="B141" s="1196"/>
      <c r="C141" s="1196"/>
      <c r="D141" s="1196"/>
      <c r="E141" s="1243"/>
      <c r="F141" s="1246"/>
      <c r="G141" s="1247"/>
      <c r="H141" s="1252"/>
      <c r="I141" s="1253"/>
      <c r="J141" s="1253"/>
      <c r="K141" s="1253"/>
      <c r="L141" s="1225"/>
      <c r="M141" s="1226"/>
      <c r="N141" s="1226"/>
      <c r="O141" s="1227"/>
      <c r="P141" s="2056"/>
      <c r="Q141" s="2057"/>
      <c r="R141" s="1232"/>
      <c r="S141" s="1233"/>
    </row>
    <row r="142" spans="1:19" s="364" customFormat="1" ht="13.5" customHeight="1">
      <c r="A142" s="1237" t="s">
        <v>3560</v>
      </c>
      <c r="B142" s="1238"/>
      <c r="C142" s="1238"/>
      <c r="D142" s="1238"/>
      <c r="E142" s="1239"/>
      <c r="F142" s="2058" t="s">
        <v>3702</v>
      </c>
      <c r="G142" s="2058"/>
      <c r="H142" s="2058" t="s">
        <v>3702</v>
      </c>
      <c r="I142" s="2058"/>
      <c r="J142" s="2058"/>
      <c r="K142" s="2058"/>
      <c r="L142" s="2058" t="s">
        <v>3702</v>
      </c>
      <c r="M142" s="2058"/>
      <c r="N142" s="2058"/>
      <c r="O142" s="2058"/>
      <c r="P142" s="2059" t="s">
        <v>3726</v>
      </c>
      <c r="Q142" s="2060"/>
      <c r="R142" s="2061">
        <v>9.8999999999999994E-5</v>
      </c>
      <c r="S142" s="2062"/>
    </row>
    <row r="143" spans="1:19" s="364" customFormat="1" ht="13.5" customHeight="1">
      <c r="A143" s="1217" t="s">
        <v>3561</v>
      </c>
      <c r="B143" s="1189"/>
      <c r="C143" s="1189"/>
      <c r="D143" s="1189"/>
      <c r="E143" s="1218"/>
      <c r="F143" s="2063" t="s">
        <v>3702</v>
      </c>
      <c r="G143" s="2063"/>
      <c r="H143" s="2063" t="s">
        <v>3702</v>
      </c>
      <c r="I143" s="2063"/>
      <c r="J143" s="2063"/>
      <c r="K143" s="2063"/>
      <c r="L143" s="2063" t="s">
        <v>3702</v>
      </c>
      <c r="M143" s="2063"/>
      <c r="N143" s="2063"/>
      <c r="O143" s="2063"/>
      <c r="P143" s="2064" t="s">
        <v>2782</v>
      </c>
      <c r="Q143" s="2065"/>
      <c r="R143" s="2066">
        <v>9.9999999999999995E-7</v>
      </c>
      <c r="S143" s="2067"/>
    </row>
    <row r="144" spans="1:19" s="364" customFormat="1" ht="13.5" customHeight="1">
      <c r="A144" s="1217" t="s">
        <v>3562</v>
      </c>
      <c r="B144" s="1189"/>
      <c r="C144" s="1189"/>
      <c r="D144" s="1189"/>
      <c r="E144" s="1218"/>
      <c r="F144" s="2063"/>
      <c r="G144" s="2063"/>
      <c r="H144" s="2063"/>
      <c r="I144" s="2063"/>
      <c r="J144" s="2063"/>
      <c r="K144" s="2063"/>
      <c r="L144" s="2063"/>
      <c r="M144" s="2063"/>
      <c r="N144" s="2063"/>
      <c r="O144" s="2063"/>
      <c r="P144" s="2064"/>
      <c r="Q144" s="2065"/>
      <c r="R144" s="2066"/>
      <c r="S144" s="2067"/>
    </row>
    <row r="145" spans="1:24" s="364" customFormat="1" ht="13.5" customHeight="1">
      <c r="A145" s="1217" t="s">
        <v>800</v>
      </c>
      <c r="B145" s="1189"/>
      <c r="C145" s="1189"/>
      <c r="D145" s="1189"/>
      <c r="E145" s="1218"/>
      <c r="F145" s="2063" t="s">
        <v>3702</v>
      </c>
      <c r="G145" s="2063"/>
      <c r="H145" s="2063" t="s">
        <v>3702</v>
      </c>
      <c r="I145" s="2063"/>
      <c r="J145" s="2063"/>
      <c r="K145" s="2063"/>
      <c r="L145" s="2063" t="s">
        <v>3702</v>
      </c>
      <c r="M145" s="2063"/>
      <c r="N145" s="2063"/>
      <c r="O145" s="2063"/>
      <c r="P145" s="2064" t="s">
        <v>3726</v>
      </c>
      <c r="Q145" s="2065"/>
      <c r="R145" s="2066">
        <v>0.9899</v>
      </c>
      <c r="S145" s="2067"/>
    </row>
    <row r="146" spans="1:24" s="364" customFormat="1" ht="13.5" customHeight="1">
      <c r="A146" s="1217" t="s">
        <v>801</v>
      </c>
      <c r="B146" s="1189"/>
      <c r="C146" s="1189"/>
      <c r="D146" s="1189"/>
      <c r="E146" s="1218"/>
      <c r="F146" s="2063" t="s">
        <v>3702</v>
      </c>
      <c r="G146" s="2063"/>
      <c r="H146" s="2063" t="s">
        <v>3702</v>
      </c>
      <c r="I146" s="2063"/>
      <c r="J146" s="2063"/>
      <c r="K146" s="2063"/>
      <c r="L146" s="2063" t="s">
        <v>3702</v>
      </c>
      <c r="M146" s="2063"/>
      <c r="N146" s="2063"/>
      <c r="O146" s="2063"/>
      <c r="P146" s="2064" t="s">
        <v>3726</v>
      </c>
      <c r="Q146" s="2065"/>
      <c r="R146" s="2066">
        <v>0.01</v>
      </c>
      <c r="S146" s="2067"/>
    </row>
    <row r="147" spans="1:24" s="364" customFormat="1" ht="13.5" customHeight="1">
      <c r="A147" s="1217" t="s">
        <v>3563</v>
      </c>
      <c r="B147" s="1189"/>
      <c r="C147" s="1189"/>
      <c r="D147" s="1189"/>
      <c r="E147" s="1218"/>
      <c r="F147" s="2063"/>
      <c r="G147" s="2063"/>
      <c r="H147" s="2063"/>
      <c r="I147" s="2063"/>
      <c r="J147" s="2063"/>
      <c r="K147" s="2063"/>
      <c r="L147" s="2063"/>
      <c r="M147" s="2063"/>
      <c r="N147" s="2063"/>
      <c r="O147" s="2063"/>
      <c r="P147" s="2064"/>
      <c r="Q147" s="2065"/>
      <c r="R147" s="2066"/>
      <c r="S147" s="2067"/>
    </row>
    <row r="148" spans="1:24" s="364" customFormat="1" ht="13.5" customHeight="1">
      <c r="A148" s="1217" t="s">
        <v>698</v>
      </c>
      <c r="B148" s="1189"/>
      <c r="C148" s="1189"/>
      <c r="D148" s="1189"/>
      <c r="E148" s="1218"/>
      <c r="F148" s="2063" t="s">
        <v>3702</v>
      </c>
      <c r="G148" s="2063"/>
      <c r="H148" s="2063" t="s">
        <v>3702</v>
      </c>
      <c r="I148" s="2063"/>
      <c r="J148" s="2063"/>
      <c r="K148" s="2063"/>
      <c r="L148" s="2063" t="s">
        <v>3702</v>
      </c>
      <c r="M148" s="2063"/>
      <c r="N148" s="2063"/>
      <c r="O148" s="2063"/>
      <c r="P148" s="2064" t="s">
        <v>3726</v>
      </c>
      <c r="Q148" s="2065"/>
      <c r="R148" s="2066">
        <v>0</v>
      </c>
      <c r="S148" s="2067"/>
    </row>
    <row r="149" spans="1:24" s="364" customFormat="1" ht="13.5" customHeight="1">
      <c r="A149" s="1217" t="s">
        <v>3564</v>
      </c>
      <c r="B149" s="1189"/>
      <c r="C149" s="1189"/>
      <c r="D149" s="1189"/>
      <c r="E149" s="1218"/>
      <c r="F149" s="2063" t="s">
        <v>3702</v>
      </c>
      <c r="G149" s="2063"/>
      <c r="H149" s="2063" t="s">
        <v>3702</v>
      </c>
      <c r="I149" s="2063"/>
      <c r="J149" s="2063"/>
      <c r="K149" s="2063"/>
      <c r="L149" s="2063" t="s">
        <v>3702</v>
      </c>
      <c r="M149" s="2063"/>
      <c r="N149" s="2063"/>
      <c r="O149" s="2063"/>
      <c r="P149" s="2064" t="s">
        <v>3726</v>
      </c>
      <c r="Q149" s="2065"/>
      <c r="R149" s="2066">
        <v>0</v>
      </c>
      <c r="S149" s="2067"/>
    </row>
    <row r="150" spans="1:24" s="364" customFormat="1" ht="13.5" customHeight="1">
      <c r="A150" s="1217" t="s">
        <v>3565</v>
      </c>
      <c r="B150" s="1189"/>
      <c r="C150" s="1189"/>
      <c r="D150" s="1189"/>
      <c r="E150" s="1218"/>
      <c r="F150" s="2063"/>
      <c r="G150" s="2063"/>
      <c r="H150" s="2063"/>
      <c r="I150" s="2063"/>
      <c r="J150" s="2063"/>
      <c r="K150" s="2063"/>
      <c r="L150" s="2063"/>
      <c r="M150" s="2063"/>
      <c r="N150" s="2063"/>
      <c r="O150" s="2063"/>
      <c r="P150" s="2064"/>
      <c r="Q150" s="2065"/>
      <c r="R150" s="2066"/>
      <c r="S150" s="2067"/>
    </row>
    <row r="151" spans="1:24" s="364" customFormat="1" ht="13.5" customHeight="1">
      <c r="A151" s="1217" t="s">
        <v>3567</v>
      </c>
      <c r="B151" s="1189"/>
      <c r="C151" s="1189"/>
      <c r="D151" s="1189"/>
      <c r="E151" s="1218"/>
      <c r="F151" s="2063"/>
      <c r="G151" s="2063"/>
      <c r="H151" s="2063"/>
      <c r="I151" s="2063"/>
      <c r="J151" s="2063"/>
      <c r="K151" s="2063"/>
      <c r="L151" s="2063"/>
      <c r="M151" s="2063"/>
      <c r="N151" s="2063"/>
      <c r="O151" s="2063"/>
      <c r="P151" s="2064"/>
      <c r="Q151" s="2065"/>
      <c r="R151" s="2066"/>
      <c r="S151" s="2067"/>
    </row>
    <row r="152" spans="1:24" s="364" customFormat="1" ht="13.5" customHeight="1">
      <c r="A152" s="1217" t="s">
        <v>3566</v>
      </c>
      <c r="B152" s="1189"/>
      <c r="C152" s="1189"/>
      <c r="D152" s="1189"/>
      <c r="E152" s="1218"/>
      <c r="F152" s="2063"/>
      <c r="G152" s="2063"/>
      <c r="H152" s="2063"/>
      <c r="I152" s="2063"/>
      <c r="J152" s="2063"/>
      <c r="K152" s="2063"/>
      <c r="L152" s="2063"/>
      <c r="M152" s="2063"/>
      <c r="N152" s="2063"/>
      <c r="O152" s="2063"/>
      <c r="P152" s="2064"/>
      <c r="Q152" s="2065"/>
      <c r="R152" s="2066"/>
      <c r="S152" s="2067"/>
    </row>
    <row r="153" spans="1:24" s="364" customFormat="1" ht="13.5" customHeight="1">
      <c r="A153" s="1217" t="s">
        <v>1635</v>
      </c>
      <c r="B153" s="1189"/>
      <c r="C153" s="1189"/>
      <c r="D153" s="1189"/>
      <c r="E153" s="1218"/>
      <c r="F153" s="2063" t="s">
        <v>3702</v>
      </c>
      <c r="G153" s="2063"/>
      <c r="H153" s="2063" t="s">
        <v>3702</v>
      </c>
      <c r="I153" s="2063"/>
      <c r="J153" s="2063"/>
      <c r="K153" s="2063"/>
      <c r="L153" s="2063" t="s">
        <v>3702</v>
      </c>
      <c r="M153" s="2063"/>
      <c r="N153" s="2063"/>
      <c r="O153" s="2063"/>
      <c r="P153" s="2064" t="s">
        <v>3726</v>
      </c>
      <c r="Q153" s="2065"/>
      <c r="R153" s="2066">
        <v>0</v>
      </c>
      <c r="S153" s="2067"/>
    </row>
    <row r="154" spans="1:24" s="364" customFormat="1" ht="13.5" customHeight="1">
      <c r="A154" s="1214" t="s">
        <v>3568</v>
      </c>
      <c r="B154" s="1215"/>
      <c r="C154" s="1215"/>
      <c r="D154" s="1215"/>
      <c r="E154" s="1216"/>
      <c r="F154" s="2068" t="s">
        <v>3702</v>
      </c>
      <c r="G154" s="2068"/>
      <c r="H154" s="2068" t="s">
        <v>3702</v>
      </c>
      <c r="I154" s="2068"/>
      <c r="J154" s="2068"/>
      <c r="K154" s="2068"/>
      <c r="L154" s="2068" t="s">
        <v>3702</v>
      </c>
      <c r="M154" s="2068"/>
      <c r="N154" s="2068"/>
      <c r="O154" s="2068"/>
      <c r="P154" s="2069" t="s">
        <v>3726</v>
      </c>
      <c r="Q154" s="2070"/>
      <c r="R154" s="2071">
        <v>0</v>
      </c>
      <c r="S154" s="2072"/>
    </row>
    <row r="155" spans="1:24" s="1144" customFormat="1" ht="13.9" customHeight="1">
      <c r="G155" s="376"/>
      <c r="H155" s="376"/>
      <c r="I155" s="376"/>
      <c r="J155" s="1140"/>
      <c r="K155" s="1140"/>
      <c r="L155" s="1140"/>
      <c r="M155" s="1140"/>
      <c r="P155" s="374"/>
      <c r="Q155" s="391" t="s">
        <v>572</v>
      </c>
      <c r="R155" s="1212">
        <f>SUM(R142:S154)</f>
        <v>1</v>
      </c>
      <c r="S155" s="1213"/>
    </row>
    <row r="156" spans="1:24" s="1144" customFormat="1" ht="12" customHeight="1">
      <c r="G156" s="376"/>
      <c r="H156" s="376"/>
      <c r="I156" s="376"/>
      <c r="J156" s="1140"/>
      <c r="K156" s="1140"/>
      <c r="L156" s="1140"/>
      <c r="M156" s="1140"/>
      <c r="P156" s="374"/>
      <c r="R156" s="365"/>
      <c r="S156" s="415"/>
    </row>
    <row r="157" spans="1:24" ht="12" customHeight="1">
      <c r="A157" s="393" t="s">
        <v>1918</v>
      </c>
      <c r="B157" s="407"/>
      <c r="C157" s="393" t="s">
        <v>608</v>
      </c>
      <c r="N157" s="393" t="s">
        <v>563</v>
      </c>
      <c r="O157" s="393" t="s">
        <v>82</v>
      </c>
    </row>
    <row r="158" spans="1:24" ht="3.6" customHeight="1">
      <c r="B158" s="407"/>
    </row>
    <row r="159" spans="1:24" ht="192.75" customHeight="1">
      <c r="A159" s="1794" t="s">
        <v>3774</v>
      </c>
      <c r="B159" s="1795"/>
      <c r="C159" s="1795"/>
      <c r="D159" s="1795"/>
      <c r="E159" s="1795"/>
      <c r="F159" s="1795"/>
      <c r="G159" s="1795"/>
      <c r="H159" s="1795"/>
      <c r="I159" s="1795"/>
      <c r="J159" s="1795"/>
      <c r="K159" s="1795"/>
      <c r="L159" s="1795"/>
      <c r="M159" s="1796"/>
      <c r="N159" s="1797"/>
      <c r="O159" s="1798"/>
      <c r="P159" s="1798"/>
      <c r="Q159" s="1798"/>
      <c r="R159" s="1798"/>
      <c r="S159" s="1799"/>
      <c r="T159" s="1182" t="s">
        <v>2924</v>
      </c>
      <c r="U159" s="1182"/>
      <c r="V159" s="1182"/>
      <c r="W159" s="1182"/>
      <c r="X159" s="1182"/>
    </row>
    <row r="160" spans="1:24" s="364" customFormat="1" ht="12" customHeight="1">
      <c r="A160" s="371"/>
      <c r="B160" s="384"/>
      <c r="C160" s="384"/>
      <c r="D160" s="384"/>
      <c r="E160" s="384"/>
      <c r="F160" s="384"/>
      <c r="G160" s="384"/>
      <c r="H160" s="384"/>
      <c r="I160" s="384"/>
      <c r="J160" s="384"/>
      <c r="K160" s="384"/>
      <c r="L160" s="384"/>
      <c r="M160" s="384"/>
      <c r="N160" s="384"/>
      <c r="O160" s="384"/>
      <c r="T160" s="1182"/>
      <c r="U160" s="1182"/>
      <c r="V160" s="1182"/>
      <c r="W160" s="1182"/>
      <c r="X160" s="1182"/>
    </row>
    <row r="161" spans="1:16" s="364" customFormat="1" ht="12" customHeight="1">
      <c r="A161" s="619"/>
      <c r="B161" s="384"/>
      <c r="C161" s="384"/>
      <c r="D161" s="384"/>
      <c r="E161" s="384"/>
      <c r="F161" s="384"/>
      <c r="G161" s="384"/>
      <c r="H161" s="384"/>
      <c r="I161" s="384"/>
      <c r="J161" s="384"/>
      <c r="K161" s="384"/>
      <c r="L161" s="384"/>
      <c r="M161" s="384"/>
      <c r="N161" s="384"/>
      <c r="O161" s="384"/>
    </row>
    <row r="162" spans="1:16" s="364" customFormat="1" ht="12" customHeight="1">
      <c r="A162" s="371"/>
      <c r="B162" s="384"/>
      <c r="C162" s="384"/>
      <c r="D162" s="384"/>
      <c r="E162" s="384"/>
      <c r="F162" s="384"/>
      <c r="G162" s="384"/>
      <c r="H162" s="384"/>
      <c r="I162" s="384"/>
      <c r="J162" s="384"/>
      <c r="K162" s="384"/>
      <c r="L162" s="384"/>
      <c r="M162" s="384"/>
      <c r="N162" s="384"/>
      <c r="O162" s="384"/>
    </row>
    <row r="163" spans="1:16" s="364" customFormat="1" ht="12" customHeight="1">
      <c r="A163" s="371"/>
      <c r="B163" s="384"/>
      <c r="C163" s="384"/>
      <c r="D163" s="384"/>
      <c r="E163" s="384"/>
      <c r="F163" s="384"/>
      <c r="G163" s="384"/>
      <c r="H163" s="384"/>
      <c r="I163" s="384"/>
      <c r="J163" s="384"/>
      <c r="K163" s="384"/>
      <c r="L163" s="384"/>
      <c r="M163" s="384"/>
      <c r="N163" s="384"/>
      <c r="O163" s="384"/>
    </row>
    <row r="164" spans="1:16" s="364" customFormat="1" ht="12" customHeight="1">
      <c r="B164" s="384"/>
      <c r="C164" s="384"/>
      <c r="D164" s="384"/>
      <c r="E164" s="384"/>
      <c r="F164" s="384"/>
      <c r="G164" s="384"/>
      <c r="H164" s="384"/>
      <c r="I164" s="384"/>
      <c r="J164" s="384"/>
      <c r="K164" s="384"/>
      <c r="L164" s="384"/>
      <c r="M164" s="384"/>
      <c r="N164" s="384"/>
      <c r="O164" s="384"/>
      <c r="P164" s="2073" t="s">
        <v>1923</v>
      </c>
    </row>
    <row r="165" spans="1:16" s="364" customFormat="1" ht="12" customHeight="1">
      <c r="A165" s="408"/>
      <c r="B165" s="384"/>
      <c r="C165" s="384"/>
      <c r="D165" s="384"/>
      <c r="E165" s="384"/>
      <c r="F165" s="384"/>
      <c r="G165" s="384"/>
      <c r="H165" s="384"/>
      <c r="I165" s="384"/>
      <c r="J165" s="384"/>
      <c r="K165" s="384"/>
      <c r="L165" s="384"/>
      <c r="M165" s="384"/>
      <c r="N165" s="384"/>
      <c r="O165" s="384"/>
      <c r="P165" s="2074" t="s">
        <v>892</v>
      </c>
    </row>
    <row r="166" spans="1:16" s="364" customFormat="1" ht="12" customHeight="1">
      <c r="A166" s="408"/>
      <c r="B166" s="384"/>
      <c r="C166" s="384"/>
      <c r="D166" s="384"/>
      <c r="E166" s="384"/>
      <c r="F166" s="384"/>
      <c r="G166" s="384"/>
      <c r="H166" s="384"/>
      <c r="I166" s="384"/>
      <c r="J166" s="384"/>
      <c r="K166" s="384"/>
      <c r="L166" s="384"/>
      <c r="M166" s="384"/>
      <c r="N166" s="384"/>
      <c r="O166" s="384"/>
      <c r="P166" s="2074" t="s">
        <v>893</v>
      </c>
    </row>
    <row r="167" spans="1:16" s="364" customFormat="1" ht="12" customHeight="1">
      <c r="A167" s="408"/>
      <c r="B167" s="384"/>
      <c r="C167" s="384"/>
      <c r="D167" s="384"/>
      <c r="E167" s="384"/>
      <c r="F167" s="384"/>
      <c r="G167" s="384"/>
      <c r="H167" s="384"/>
      <c r="I167" s="384"/>
      <c r="J167" s="384"/>
      <c r="K167" s="384"/>
      <c r="L167" s="384"/>
      <c r="M167" s="384"/>
      <c r="N167" s="384"/>
      <c r="O167" s="384"/>
      <c r="P167" s="2074" t="s">
        <v>894</v>
      </c>
    </row>
    <row r="168" spans="1:16" s="364" customFormat="1" ht="12" customHeight="1">
      <c r="A168" s="619"/>
      <c r="B168" s="384"/>
      <c r="C168" s="384"/>
      <c r="D168" s="384"/>
      <c r="E168" s="384"/>
      <c r="F168" s="384"/>
      <c r="G168" s="384"/>
      <c r="H168" s="384"/>
      <c r="I168" s="384"/>
      <c r="J168" s="384"/>
      <c r="K168" s="384"/>
      <c r="L168" s="384"/>
      <c r="M168" s="384"/>
      <c r="N168" s="384"/>
      <c r="O168" s="384"/>
      <c r="P168" s="2074" t="s">
        <v>895</v>
      </c>
    </row>
    <row r="169" spans="1:16" s="364" customFormat="1" ht="12" customHeight="1">
      <c r="B169" s="384"/>
      <c r="C169" s="384"/>
      <c r="D169" s="384"/>
      <c r="E169" s="384"/>
      <c r="F169" s="384"/>
      <c r="G169" s="384"/>
      <c r="H169" s="384"/>
      <c r="I169" s="384"/>
      <c r="J169" s="384"/>
      <c r="K169" s="384"/>
      <c r="L169" s="384"/>
      <c r="M169" s="384"/>
      <c r="N169" s="384"/>
      <c r="O169" s="384"/>
      <c r="P169" s="2074" t="s">
        <v>896</v>
      </c>
    </row>
    <row r="170" spans="1:16" s="364" customFormat="1" ht="12" customHeight="1">
      <c r="B170" s="384"/>
      <c r="C170" s="384"/>
      <c r="D170" s="384"/>
      <c r="E170" s="384"/>
      <c r="F170" s="384"/>
      <c r="G170" s="384"/>
      <c r="H170" s="384"/>
      <c r="I170" s="384"/>
      <c r="J170" s="384"/>
      <c r="K170" s="384"/>
      <c r="L170" s="384"/>
      <c r="M170" s="384"/>
      <c r="N170" s="384"/>
      <c r="O170" s="384"/>
      <c r="P170" s="2074" t="s">
        <v>897</v>
      </c>
    </row>
    <row r="171" spans="1:16" s="364" customFormat="1" ht="12" customHeight="1">
      <c r="B171" s="384"/>
      <c r="C171" s="384"/>
      <c r="D171" s="384"/>
      <c r="E171" s="384"/>
      <c r="F171" s="384"/>
      <c r="G171" s="384"/>
      <c r="H171" s="384"/>
      <c r="I171" s="384"/>
      <c r="J171" s="384"/>
      <c r="K171" s="384"/>
      <c r="L171" s="384"/>
      <c r="M171" s="384"/>
      <c r="N171" s="384"/>
      <c r="O171" s="384"/>
      <c r="P171" s="2074" t="s">
        <v>898</v>
      </c>
    </row>
    <row r="172" spans="1:16" s="364" customFormat="1" ht="12" customHeight="1">
      <c r="B172" s="384"/>
      <c r="C172" s="384"/>
      <c r="D172" s="384"/>
      <c r="E172" s="384"/>
      <c r="F172" s="384"/>
      <c r="G172" s="384"/>
      <c r="H172" s="384"/>
      <c r="I172" s="384"/>
      <c r="J172" s="384"/>
      <c r="K172" s="384"/>
      <c r="L172" s="384"/>
      <c r="M172" s="384"/>
      <c r="N172" s="384"/>
      <c r="O172" s="384"/>
      <c r="P172" s="2074" t="s">
        <v>899</v>
      </c>
    </row>
    <row r="173" spans="1:16" ht="12" customHeight="1">
      <c r="P173" s="2074" t="s">
        <v>900</v>
      </c>
    </row>
    <row r="174" spans="1:16" ht="12" customHeight="1">
      <c r="A174" s="393"/>
      <c r="P174" s="2074" t="s">
        <v>901</v>
      </c>
    </row>
    <row r="175" spans="1:16" ht="12" customHeight="1">
      <c r="P175" s="2074" t="s">
        <v>902</v>
      </c>
    </row>
    <row r="176" spans="1:16" ht="12" customHeight="1">
      <c r="P176" s="2074" t="s">
        <v>903</v>
      </c>
    </row>
    <row r="177" spans="16:16" ht="12" customHeight="1">
      <c r="P177" s="2074" t="s">
        <v>904</v>
      </c>
    </row>
    <row r="178" spans="16:16" ht="12" customHeight="1">
      <c r="P178" s="2074" t="s">
        <v>905</v>
      </c>
    </row>
    <row r="179" spans="16:16" ht="12" customHeight="1">
      <c r="P179" s="2074" t="s">
        <v>906</v>
      </c>
    </row>
    <row r="180" spans="16:16" ht="12" customHeight="1">
      <c r="P180" s="2074" t="s">
        <v>907</v>
      </c>
    </row>
    <row r="181" spans="16:16" ht="12" customHeight="1">
      <c r="P181" s="2074" t="s">
        <v>908</v>
      </c>
    </row>
    <row r="182" spans="16:16" ht="12" customHeight="1">
      <c r="P182" s="2074" t="s">
        <v>909</v>
      </c>
    </row>
    <row r="183" spans="16:16" ht="12" customHeight="1">
      <c r="P183" s="2074" t="s">
        <v>910</v>
      </c>
    </row>
    <row r="184" spans="16:16" ht="12" customHeight="1">
      <c r="P184" s="2074" t="s">
        <v>911</v>
      </c>
    </row>
    <row r="185" spans="16:16" ht="12" customHeight="1">
      <c r="P185" s="2074" t="s">
        <v>912</v>
      </c>
    </row>
    <row r="186" spans="16:16" ht="12" customHeight="1">
      <c r="P186" s="2074" t="s">
        <v>913</v>
      </c>
    </row>
    <row r="187" spans="16:16" ht="12" customHeight="1">
      <c r="P187" s="2074" t="s">
        <v>914</v>
      </c>
    </row>
    <row r="188" spans="16:16" ht="12" customHeight="1">
      <c r="P188" s="2074" t="s">
        <v>915</v>
      </c>
    </row>
    <row r="189" spans="16:16" ht="12" customHeight="1">
      <c r="P189" s="2074" t="s">
        <v>916</v>
      </c>
    </row>
    <row r="190" spans="16:16" ht="12" customHeight="1">
      <c r="P190" s="2074" t="s">
        <v>1428</v>
      </c>
    </row>
    <row r="191" spans="16:16" ht="12" customHeight="1">
      <c r="P191" s="2074" t="s">
        <v>1429</v>
      </c>
    </row>
    <row r="192" spans="16:16" ht="12" customHeight="1">
      <c r="P192" s="2074" t="s">
        <v>1430</v>
      </c>
    </row>
    <row r="193" spans="16:16" ht="12" customHeight="1">
      <c r="P193" s="2074" t="s">
        <v>1431</v>
      </c>
    </row>
    <row r="194" spans="16:16" ht="12" customHeight="1">
      <c r="P194" s="2074" t="s">
        <v>1432</v>
      </c>
    </row>
    <row r="195" spans="16:16" ht="13.5">
      <c r="P195" s="2074" t="s">
        <v>1433</v>
      </c>
    </row>
    <row r="196" spans="16:16" ht="12" customHeight="1">
      <c r="P196" s="2074" t="s">
        <v>1434</v>
      </c>
    </row>
    <row r="197" spans="16:16" ht="12" customHeight="1">
      <c r="P197" s="2074" t="s">
        <v>1435</v>
      </c>
    </row>
    <row r="198" spans="16:16" ht="12" customHeight="1">
      <c r="P198" s="2074" t="s">
        <v>1436</v>
      </c>
    </row>
    <row r="199" spans="16:16" ht="12" customHeight="1">
      <c r="P199" s="2074" t="s">
        <v>1437</v>
      </c>
    </row>
    <row r="200" spans="16:16" ht="12" customHeight="1">
      <c r="P200" s="2074" t="s">
        <v>1438</v>
      </c>
    </row>
    <row r="201" spans="16:16" ht="12" customHeight="1">
      <c r="P201" s="2074" t="s">
        <v>1439</v>
      </c>
    </row>
    <row r="202" spans="16:16" ht="12" customHeight="1">
      <c r="P202" s="2074" t="s">
        <v>1440</v>
      </c>
    </row>
    <row r="203" spans="16:16" ht="12" customHeight="1">
      <c r="P203" s="2074" t="s">
        <v>1441</v>
      </c>
    </row>
    <row r="204" spans="16:16" ht="12" customHeight="1">
      <c r="P204" s="2074" t="s">
        <v>1442</v>
      </c>
    </row>
    <row r="205" spans="16:16" ht="12" customHeight="1">
      <c r="P205" s="2074" t="s">
        <v>1443</v>
      </c>
    </row>
    <row r="206" spans="16:16" ht="12" customHeight="1">
      <c r="P206" s="2074" t="s">
        <v>1444</v>
      </c>
    </row>
    <row r="207" spans="16:16" ht="12" customHeight="1">
      <c r="P207" s="2074" t="s">
        <v>1445</v>
      </c>
    </row>
    <row r="208" spans="16:16" ht="12" customHeight="1">
      <c r="P208" s="2074" t="s">
        <v>1446</v>
      </c>
    </row>
    <row r="209" spans="16:16" ht="12" customHeight="1">
      <c r="P209" s="2074" t="s">
        <v>1447</v>
      </c>
    </row>
    <row r="210" spans="16:16" ht="12" customHeight="1">
      <c r="P210" s="2074" t="s">
        <v>1448</v>
      </c>
    </row>
    <row r="211" spans="16:16" ht="12" customHeight="1">
      <c r="P211" s="2074" t="s">
        <v>1449</v>
      </c>
    </row>
    <row r="212" spans="16:16" ht="12" customHeight="1">
      <c r="P212" s="2074" t="s">
        <v>1450</v>
      </c>
    </row>
    <row r="213" spans="16:16" ht="12" customHeight="1">
      <c r="P213" s="2074" t="s">
        <v>1451</v>
      </c>
    </row>
    <row r="214" spans="16:16" ht="12" customHeight="1">
      <c r="P214" s="2074" t="s">
        <v>1452</v>
      </c>
    </row>
    <row r="215" spans="16:16" ht="12" customHeight="1">
      <c r="P215" s="2074" t="s">
        <v>1453</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7"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6" customWidth="1"/>
    <col min="2" max="17" width="7.7109375" style="416" customWidth="1"/>
    <col min="18" max="18" width="3.28515625" style="416" customWidth="1"/>
    <col min="19" max="19" width="13.5703125" style="416" customWidth="1"/>
    <col min="20" max="20" width="98.7109375" style="416" customWidth="1"/>
    <col min="21" max="16384" width="9.140625" style="416"/>
  </cols>
  <sheetData>
    <row r="1" spans="1:20" s="331" customFormat="1" ht="13.9" customHeight="1">
      <c r="A1" s="1234" t="str">
        <f>CONCATENATE("PART THREE - SOURCES OF FUNDS","  -  ",'Part I-Project Information'!$O$4," ",'Part I-Project Information'!$F$23,", ",'Part I-Project Information'!$F$27,", ",'Part I-Project Information'!$J$28," County")</f>
        <v>PART THREE - SOURCES OF FUNDS  -  2014-039 Willingham Village II, Rome, Floyd County</v>
      </c>
      <c r="B1" s="1235"/>
      <c r="C1" s="1235"/>
      <c r="D1" s="1235"/>
      <c r="E1" s="1235"/>
      <c r="F1" s="1235"/>
      <c r="G1" s="1235"/>
      <c r="H1" s="1235"/>
      <c r="I1" s="1235"/>
      <c r="J1" s="1235"/>
      <c r="K1" s="1235"/>
      <c r="L1" s="1235"/>
      <c r="M1" s="1235"/>
      <c r="N1" s="1235"/>
      <c r="O1" s="1235"/>
      <c r="P1" s="1235"/>
      <c r="Q1" s="1236"/>
      <c r="S1" s="1259" t="str">
        <f>$A$1</f>
        <v>PART THREE - SOURCES OF FUNDS  -  2014-039 Willingham Village II, Rome, Floyd County</v>
      </c>
      <c r="T1" s="1259"/>
    </row>
    <row r="2" spans="1:20" ht="17.45" customHeight="1">
      <c r="A2" s="384"/>
      <c r="B2" s="384"/>
      <c r="C2" s="384"/>
      <c r="D2" s="384"/>
      <c r="E2" s="384"/>
      <c r="F2" s="384"/>
      <c r="G2" s="384"/>
      <c r="H2" s="384"/>
      <c r="I2" s="384"/>
      <c r="J2" s="384"/>
      <c r="K2" s="384"/>
      <c r="L2" s="384"/>
      <c r="M2" s="384"/>
      <c r="N2" s="384"/>
      <c r="O2" s="384"/>
      <c r="P2" s="384"/>
      <c r="Q2" s="384"/>
    </row>
    <row r="3" spans="1:20" s="331" customFormat="1" ht="13.15" customHeight="1">
      <c r="A3" s="367" t="s">
        <v>657</v>
      </c>
      <c r="B3" s="387" t="s">
        <v>2659</v>
      </c>
      <c r="C3" s="364"/>
      <c r="D3" s="1144"/>
      <c r="E3" s="1144"/>
      <c r="F3" s="1144"/>
      <c r="G3" s="1144"/>
      <c r="J3" s="1144"/>
      <c r="M3" s="1144"/>
      <c r="N3" s="1144"/>
      <c r="S3" s="417" t="str">
        <f>B3</f>
        <v>GOVERNMENT FUNDING SOURCES  (check all that apply)</v>
      </c>
    </row>
    <row r="4" spans="1:20" s="331" customFormat="1" ht="15.75" customHeight="1">
      <c r="A4" s="393"/>
      <c r="B4" s="619"/>
      <c r="C4" s="387"/>
      <c r="D4" s="1144"/>
      <c r="E4" s="1144"/>
      <c r="F4" s="1144"/>
      <c r="G4" s="1144"/>
      <c r="H4" s="1962" t="s">
        <v>3702</v>
      </c>
      <c r="I4" s="1134" t="s">
        <v>3232</v>
      </c>
      <c r="J4" s="364"/>
      <c r="P4" s="2075"/>
      <c r="Q4" s="2076"/>
      <c r="S4" s="1260" t="s">
        <v>2891</v>
      </c>
      <c r="T4" s="1260"/>
    </row>
    <row r="5" spans="1:20" s="331" customFormat="1" ht="15.75" customHeight="1">
      <c r="A5" s="619"/>
      <c r="B5" s="1962" t="s">
        <v>3701</v>
      </c>
      <c r="C5" s="1134" t="s">
        <v>2573</v>
      </c>
      <c r="D5" s="364"/>
      <c r="E5" s="1962" t="s">
        <v>3702</v>
      </c>
      <c r="F5" s="1134" t="s">
        <v>584</v>
      </c>
      <c r="H5" s="1962" t="s">
        <v>3702</v>
      </c>
      <c r="I5" s="364" t="s">
        <v>2793</v>
      </c>
      <c r="M5" s="1962" t="s">
        <v>3702</v>
      </c>
      <c r="N5" s="1134" t="s">
        <v>582</v>
      </c>
      <c r="S5" s="2077"/>
      <c r="T5" s="2078"/>
    </row>
    <row r="6" spans="1:20" s="331" customFormat="1" ht="15.75" customHeight="1">
      <c r="A6" s="619"/>
      <c r="B6" s="1962" t="s">
        <v>3702</v>
      </c>
      <c r="C6" s="1134" t="s">
        <v>1928</v>
      </c>
      <c r="D6" s="364"/>
      <c r="E6" s="1962" t="s">
        <v>3702</v>
      </c>
      <c r="F6" s="364" t="s">
        <v>2791</v>
      </c>
      <c r="H6" s="1962" t="s">
        <v>3702</v>
      </c>
      <c r="I6" s="370" t="s">
        <v>3250</v>
      </c>
      <c r="J6" s="1134"/>
      <c r="K6" s="357"/>
      <c r="L6" s="357"/>
      <c r="M6" s="1962" t="s">
        <v>3702</v>
      </c>
      <c r="N6" s="370" t="s">
        <v>2792</v>
      </c>
      <c r="Q6" s="653"/>
      <c r="S6" s="2079"/>
      <c r="T6" s="2080"/>
    </row>
    <row r="7" spans="1:20" s="331" customFormat="1" ht="15.75" customHeight="1">
      <c r="A7" s="364"/>
      <c r="B7" s="1962" t="s">
        <v>3702</v>
      </c>
      <c r="C7" s="1134" t="s">
        <v>1929</v>
      </c>
      <c r="E7" s="1962" t="s">
        <v>3702</v>
      </c>
      <c r="F7" s="1133" t="s">
        <v>2341</v>
      </c>
      <c r="G7" s="364"/>
      <c r="H7" s="1962" t="s">
        <v>3702</v>
      </c>
      <c r="I7" s="1134" t="s">
        <v>1644</v>
      </c>
      <c r="J7" s="357"/>
      <c r="M7" s="1962" t="s">
        <v>3702</v>
      </c>
      <c r="N7" s="370" t="s">
        <v>3231</v>
      </c>
      <c r="P7" s="2081"/>
      <c r="Q7" s="2082"/>
      <c r="S7" s="2079"/>
      <c r="T7" s="2080"/>
    </row>
    <row r="8" spans="1:20" s="331" customFormat="1" ht="15.75" customHeight="1">
      <c r="A8" s="619"/>
      <c r="B8" s="1962" t="s">
        <v>3702</v>
      </c>
      <c r="C8" s="1144" t="s">
        <v>2783</v>
      </c>
      <c r="D8" s="364"/>
      <c r="E8" s="1962" t="s">
        <v>3702</v>
      </c>
      <c r="F8" s="389" t="s">
        <v>2784</v>
      </c>
      <c r="H8" s="1962" t="s">
        <v>3702</v>
      </c>
      <c r="I8" s="1134" t="s">
        <v>583</v>
      </c>
      <c r="J8" s="357"/>
      <c r="K8" s="370"/>
      <c r="L8" s="1139"/>
      <c r="M8" s="1962" t="s">
        <v>3701</v>
      </c>
      <c r="N8" s="1950" t="s">
        <v>3796</v>
      </c>
      <c r="O8" s="1951"/>
      <c r="P8" s="1951"/>
      <c r="Q8" s="1952"/>
      <c r="S8" s="2083"/>
      <c r="T8" s="2084"/>
    </row>
    <row r="9" spans="1:20" s="331" customFormat="1" ht="16.899999999999999" customHeight="1">
      <c r="A9" s="619"/>
      <c r="B9" s="331" t="s">
        <v>3146</v>
      </c>
      <c r="C9" s="364"/>
      <c r="D9" s="364"/>
      <c r="E9" s="364"/>
      <c r="F9" s="364"/>
      <c r="G9" s="364"/>
      <c r="H9" s="364"/>
      <c r="I9" s="364"/>
      <c r="J9" s="364"/>
      <c r="K9" s="364"/>
      <c r="L9" s="364"/>
      <c r="M9" s="389"/>
      <c r="N9" s="364"/>
      <c r="O9" s="364"/>
      <c r="P9" s="364"/>
      <c r="Q9" s="364"/>
    </row>
    <row r="10" spans="1:20" s="331" customFormat="1" ht="17.45" customHeight="1">
      <c r="A10" s="619"/>
      <c r="L10" s="364"/>
      <c r="M10" s="389"/>
      <c r="N10" s="364"/>
      <c r="O10" s="364"/>
      <c r="P10" s="364"/>
      <c r="Q10" s="364"/>
    </row>
    <row r="11" spans="1:20" s="417" customFormat="1" ht="15" customHeight="1">
      <c r="A11" s="367" t="s">
        <v>790</v>
      </c>
      <c r="B11" s="330" t="s">
        <v>2496</v>
      </c>
      <c r="C11" s="364"/>
      <c r="D11" s="1144"/>
      <c r="E11" s="364"/>
      <c r="F11" s="364"/>
      <c r="G11" s="364"/>
      <c r="H11" s="331"/>
      <c r="I11" s="331"/>
      <c r="J11" s="367"/>
      <c r="K11" s="364"/>
      <c r="L11" s="364"/>
      <c r="M11" s="1144"/>
      <c r="N11" s="1184"/>
      <c r="O11" s="1184"/>
      <c r="P11" s="364"/>
      <c r="Q11" s="364"/>
      <c r="S11" s="417" t="str">
        <f>B11</f>
        <v>CONSTRUCTION FINANCING</v>
      </c>
    </row>
    <row r="12" spans="1:20" s="417" customFormat="1" ht="13.9" customHeight="1">
      <c r="A12" s="367"/>
      <c r="B12" s="330"/>
      <c r="C12" s="364"/>
      <c r="K12" s="364"/>
      <c r="L12" s="364"/>
      <c r="M12" s="1144"/>
      <c r="N12" s="1137"/>
      <c r="O12" s="1137"/>
      <c r="P12" s="364"/>
      <c r="Q12" s="364"/>
    </row>
    <row r="13" spans="1:20" s="331" customFormat="1" ht="16.899999999999999" customHeight="1">
      <c r="A13" s="364"/>
      <c r="B13" s="1134" t="s">
        <v>2001</v>
      </c>
      <c r="C13" s="364"/>
      <c r="D13" s="364"/>
      <c r="E13" s="364"/>
      <c r="F13" s="364"/>
      <c r="G13" s="364"/>
      <c r="H13" s="1215" t="s">
        <v>1383</v>
      </c>
      <c r="I13" s="1215"/>
      <c r="J13" s="1215"/>
      <c r="K13" s="1215"/>
      <c r="L13" s="1196" t="s">
        <v>2126</v>
      </c>
      <c r="M13" s="1196"/>
      <c r="N13" s="1196" t="s">
        <v>1613</v>
      </c>
      <c r="O13" s="1196"/>
      <c r="P13" s="1196" t="s">
        <v>1741</v>
      </c>
      <c r="Q13" s="1196"/>
      <c r="S13" s="1260" t="s">
        <v>2891</v>
      </c>
      <c r="T13" s="1260"/>
    </row>
    <row r="14" spans="1:20" s="331" customFormat="1" ht="16.899999999999999" customHeight="1">
      <c r="A14" s="364"/>
      <c r="B14" s="1261" t="s">
        <v>1699</v>
      </c>
      <c r="C14" s="1262"/>
      <c r="D14" s="1262"/>
      <c r="E14" s="1145"/>
      <c r="F14" s="1145"/>
      <c r="G14" s="1145"/>
      <c r="H14" s="1950" t="s">
        <v>3775</v>
      </c>
      <c r="I14" s="1951"/>
      <c r="J14" s="1951"/>
      <c r="K14" s="1952"/>
      <c r="L14" s="2085">
        <v>6800000</v>
      </c>
      <c r="M14" s="2086"/>
      <c r="N14" s="2087">
        <v>4.4999999999999998E-2</v>
      </c>
      <c r="O14" s="2088"/>
      <c r="P14" s="2089">
        <v>24</v>
      </c>
      <c r="Q14" s="2090"/>
      <c r="S14" s="2077"/>
      <c r="T14" s="2078"/>
    </row>
    <row r="15" spans="1:20" s="331" customFormat="1" ht="16.899999999999999" customHeight="1">
      <c r="A15" s="364"/>
      <c r="B15" s="1254" t="s">
        <v>1700</v>
      </c>
      <c r="C15" s="1255"/>
      <c r="D15" s="1255"/>
      <c r="E15" s="1144"/>
      <c r="F15" s="1144"/>
      <c r="G15" s="1144"/>
      <c r="H15" s="1950" t="s">
        <v>3797</v>
      </c>
      <c r="I15" s="1951"/>
      <c r="J15" s="1951"/>
      <c r="K15" s="1952"/>
      <c r="L15" s="2085">
        <v>592166</v>
      </c>
      <c r="M15" s="2086"/>
      <c r="N15" s="2087">
        <v>3.2000000000000001E-2</v>
      </c>
      <c r="O15" s="2088"/>
      <c r="P15" s="2091">
        <v>24</v>
      </c>
      <c r="Q15" s="2092"/>
      <c r="S15" s="2079"/>
      <c r="T15" s="2080"/>
    </row>
    <row r="16" spans="1:20" s="331" customFormat="1" ht="16.899999999999999" customHeight="1">
      <c r="A16" s="364"/>
      <c r="B16" s="1256" t="s">
        <v>1701</v>
      </c>
      <c r="C16" s="1257"/>
      <c r="D16" s="1257"/>
      <c r="E16" s="1149"/>
      <c r="F16" s="1149"/>
      <c r="G16" s="1149"/>
      <c r="H16" s="1950"/>
      <c r="I16" s="1951"/>
      <c r="J16" s="1951"/>
      <c r="K16" s="1952"/>
      <c r="L16" s="2085"/>
      <c r="M16" s="2086"/>
      <c r="N16" s="2087"/>
      <c r="O16" s="2088"/>
      <c r="P16" s="2091"/>
      <c r="Q16" s="2092"/>
      <c r="S16" s="2079"/>
      <c r="T16" s="2080"/>
    </row>
    <row r="17" spans="1:20" s="331" customFormat="1" ht="16.899999999999999" customHeight="1">
      <c r="A17" s="364"/>
      <c r="B17" s="1261" t="s">
        <v>2359</v>
      </c>
      <c r="C17" s="1262"/>
      <c r="D17" s="1262"/>
      <c r="E17" s="1144"/>
      <c r="F17" s="1144"/>
      <c r="G17" s="1144"/>
      <c r="H17" s="1950"/>
      <c r="I17" s="1951"/>
      <c r="J17" s="1951"/>
      <c r="K17" s="1952"/>
      <c r="L17" s="2085"/>
      <c r="M17" s="2086"/>
      <c r="N17" s="1263"/>
      <c r="O17" s="1264"/>
      <c r="P17" s="1241"/>
      <c r="Q17" s="1241"/>
      <c r="S17" s="2079"/>
      <c r="T17" s="2080"/>
    </row>
    <row r="18" spans="1:20" s="331" customFormat="1" ht="16.899999999999999" customHeight="1">
      <c r="A18" s="364"/>
      <c r="B18" s="1254" t="s">
        <v>855</v>
      </c>
      <c r="C18" s="1255"/>
      <c r="D18" s="1255"/>
      <c r="E18" s="1144"/>
      <c r="H18" s="1950"/>
      <c r="I18" s="1951"/>
      <c r="J18" s="1951"/>
      <c r="K18" s="1952"/>
      <c r="L18" s="2085"/>
      <c r="M18" s="2086"/>
      <c r="N18" s="1263"/>
      <c r="O18" s="1264"/>
      <c r="P18" s="1241"/>
      <c r="Q18" s="1241"/>
      <c r="S18" s="2079"/>
      <c r="T18" s="2080"/>
    </row>
    <row r="19" spans="1:20" s="331" customFormat="1" ht="16.899999999999999" customHeight="1">
      <c r="A19" s="364"/>
      <c r="B19" s="1254" t="s">
        <v>682</v>
      </c>
      <c r="C19" s="1255"/>
      <c r="D19" s="1255"/>
      <c r="E19" s="1144"/>
      <c r="H19" s="1950"/>
      <c r="I19" s="1951"/>
      <c r="J19" s="1951"/>
      <c r="K19" s="1952"/>
      <c r="L19" s="2085"/>
      <c r="M19" s="2086"/>
      <c r="N19" s="1263"/>
      <c r="O19" s="1264"/>
      <c r="P19" s="1241"/>
      <c r="Q19" s="1241"/>
      <c r="S19" s="2079"/>
      <c r="T19" s="2080"/>
    </row>
    <row r="20" spans="1:20" s="331" customFormat="1" ht="16.899999999999999" customHeight="1">
      <c r="A20" s="364"/>
      <c r="B20" s="1254" t="s">
        <v>856</v>
      </c>
      <c r="C20" s="1255"/>
      <c r="D20" s="1255"/>
      <c r="E20" s="1144"/>
      <c r="H20" s="1950" t="s">
        <v>3776</v>
      </c>
      <c r="I20" s="1951"/>
      <c r="J20" s="1951"/>
      <c r="K20" s="1952"/>
      <c r="L20" s="2085">
        <v>1962527</v>
      </c>
      <c r="M20" s="2086"/>
      <c r="N20" s="364"/>
      <c r="O20" s="364"/>
      <c r="P20" s="364"/>
      <c r="Q20" s="364"/>
      <c r="S20" s="2083"/>
      <c r="T20" s="2084"/>
    </row>
    <row r="21" spans="1:20" s="331" customFormat="1" ht="16.899999999999999" customHeight="1">
      <c r="A21" s="364"/>
      <c r="B21" s="1254" t="s">
        <v>857</v>
      </c>
      <c r="C21" s="1255"/>
      <c r="D21" s="1255"/>
      <c r="E21" s="1144"/>
      <c r="H21" s="1950" t="s">
        <v>3776</v>
      </c>
      <c r="I21" s="1951"/>
      <c r="J21" s="1951"/>
      <c r="K21" s="1952"/>
      <c r="L21" s="2085">
        <v>808379</v>
      </c>
      <c r="M21" s="2086"/>
      <c r="N21" s="364"/>
      <c r="O21" s="364"/>
      <c r="P21" s="364"/>
      <c r="Q21" s="364"/>
      <c r="S21" s="2077"/>
      <c r="T21" s="2078"/>
    </row>
    <row r="22" spans="1:20" s="331" customFormat="1" ht="16.899999999999999" customHeight="1">
      <c r="A22" s="364"/>
      <c r="B22" s="1143" t="s">
        <v>255</v>
      </c>
      <c r="C22" s="1144"/>
      <c r="D22" s="2093"/>
      <c r="E22" s="2093"/>
      <c r="F22" s="2093"/>
      <c r="G22" s="2093"/>
      <c r="H22" s="1950"/>
      <c r="I22" s="1951"/>
      <c r="J22" s="1951"/>
      <c r="K22" s="1952"/>
      <c r="L22" s="2085"/>
      <c r="M22" s="2086"/>
      <c r="N22" s="364"/>
      <c r="O22" s="364"/>
      <c r="P22" s="364"/>
      <c r="Q22" s="364"/>
      <c r="S22" s="2079"/>
      <c r="T22" s="2080"/>
    </row>
    <row r="23" spans="1:20" s="331" customFormat="1" ht="16.899999999999999" customHeight="1">
      <c r="A23" s="364"/>
      <c r="B23" s="1143" t="s">
        <v>255</v>
      </c>
      <c r="C23" s="1144"/>
      <c r="D23" s="2093"/>
      <c r="E23" s="2093"/>
      <c r="F23" s="2093"/>
      <c r="G23" s="2093"/>
      <c r="H23" s="1950"/>
      <c r="I23" s="1951"/>
      <c r="J23" s="1951"/>
      <c r="K23" s="1952"/>
      <c r="L23" s="2085"/>
      <c r="M23" s="2086"/>
      <c r="N23" s="364"/>
      <c r="O23" s="364"/>
      <c r="P23" s="364"/>
      <c r="Q23" s="364"/>
      <c r="S23" s="2079"/>
      <c r="T23" s="2080"/>
    </row>
    <row r="24" spans="1:20" s="331" customFormat="1" ht="16.899999999999999" customHeight="1">
      <c r="A24" s="364"/>
      <c r="B24" s="1148" t="s">
        <v>255</v>
      </c>
      <c r="C24" s="1149"/>
      <c r="D24" s="2093"/>
      <c r="E24" s="2093"/>
      <c r="F24" s="2093"/>
      <c r="G24" s="2093"/>
      <c r="H24" s="1950"/>
      <c r="I24" s="1951"/>
      <c r="J24" s="1951"/>
      <c r="K24" s="1952"/>
      <c r="L24" s="2085"/>
      <c r="M24" s="2086"/>
      <c r="N24" s="364"/>
      <c r="O24" s="364"/>
      <c r="P24" s="364"/>
      <c r="Q24" s="364"/>
      <c r="S24" s="2079"/>
      <c r="T24" s="2080"/>
    </row>
    <row r="25" spans="1:20" s="331" customFormat="1" ht="16.899999999999999" customHeight="1">
      <c r="A25" s="364"/>
      <c r="B25" s="330" t="s">
        <v>1384</v>
      </c>
      <c r="C25" s="364"/>
      <c r="D25" s="364"/>
      <c r="E25" s="364"/>
      <c r="F25" s="364"/>
      <c r="G25" s="364"/>
      <c r="H25" s="364"/>
      <c r="I25" s="364"/>
      <c r="L25" s="1277">
        <f>SUM(L14:L24)</f>
        <v>10163072</v>
      </c>
      <c r="M25" s="1278"/>
      <c r="N25" s="384"/>
      <c r="O25" s="384"/>
      <c r="P25" s="384"/>
      <c r="Q25" s="384"/>
      <c r="S25" s="2079"/>
      <c r="T25" s="2080"/>
    </row>
    <row r="26" spans="1:20" s="331" customFormat="1" ht="16.899999999999999" customHeight="1">
      <c r="A26" s="364"/>
      <c r="B26" s="1134" t="s">
        <v>1385</v>
      </c>
      <c r="C26" s="364"/>
      <c r="D26" s="364"/>
      <c r="E26" s="364"/>
      <c r="F26" s="364"/>
      <c r="G26" s="364"/>
      <c r="H26" s="364"/>
      <c r="I26" s="364"/>
      <c r="L26" s="2094">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10122340</v>
      </c>
      <c r="M26" s="2095"/>
      <c r="N26" s="1275"/>
      <c r="O26" s="1276"/>
      <c r="P26" s="1276"/>
      <c r="Q26" s="1276"/>
      <c r="S26" s="2079"/>
      <c r="T26" s="2080"/>
    </row>
    <row r="27" spans="1:20" s="331" customFormat="1" ht="16.899999999999999" customHeight="1">
      <c r="A27" s="364"/>
      <c r="B27" s="370" t="s">
        <v>2295</v>
      </c>
      <c r="C27" s="364"/>
      <c r="D27" s="364"/>
      <c r="E27" s="364"/>
      <c r="F27" s="364"/>
      <c r="G27" s="364"/>
      <c r="H27" s="364"/>
      <c r="I27" s="364"/>
      <c r="L27" s="1279">
        <f>L25-L26</f>
        <v>40732</v>
      </c>
      <c r="M27" s="1280"/>
      <c r="N27" s="1275"/>
      <c r="O27" s="1276"/>
      <c r="P27" s="1276"/>
      <c r="Q27" s="1276"/>
      <c r="S27" s="2083"/>
      <c r="T27" s="2084"/>
    </row>
    <row r="28" spans="1:20" ht="9.6" customHeight="1">
      <c r="A28" s="393"/>
      <c r="B28" s="330"/>
      <c r="C28" s="384"/>
      <c r="D28" s="384"/>
      <c r="E28" s="384"/>
      <c r="F28" s="384"/>
      <c r="G28" s="384"/>
      <c r="H28" s="384"/>
      <c r="I28" s="384"/>
      <c r="J28" s="384"/>
      <c r="K28" s="384"/>
      <c r="L28" s="384"/>
      <c r="M28" s="1140"/>
      <c r="N28" s="1140"/>
      <c r="O28" s="384"/>
      <c r="P28" s="367"/>
      <c r="Q28" s="367"/>
    </row>
    <row r="29" spans="1:20" ht="9.6" customHeight="1">
      <c r="A29" s="367" t="s">
        <v>792</v>
      </c>
      <c r="B29" s="330" t="s">
        <v>854</v>
      </c>
      <c r="C29" s="384"/>
      <c r="D29" s="384"/>
      <c r="E29" s="384"/>
      <c r="F29" s="384"/>
      <c r="G29" s="384"/>
      <c r="H29" s="384"/>
      <c r="I29" s="384"/>
      <c r="J29" s="384"/>
      <c r="K29" s="384"/>
      <c r="L29" s="384"/>
      <c r="M29" s="1140"/>
      <c r="N29" s="1140"/>
      <c r="O29" s="384"/>
      <c r="P29" s="367"/>
      <c r="Q29" s="367"/>
      <c r="S29" s="417" t="str">
        <f>B29</f>
        <v>PERMANENT FINANCING</v>
      </c>
    </row>
    <row r="30" spans="1:20" s="331" customFormat="1" ht="13.15" customHeight="1">
      <c r="A30" s="364"/>
      <c r="B30" s="364"/>
      <c r="C30" s="364"/>
      <c r="D30" s="364"/>
      <c r="E30" s="364"/>
      <c r="F30" s="1140"/>
      <c r="G30" s="1140"/>
      <c r="H30" s="1241"/>
      <c r="I30" s="1241"/>
      <c r="J30" s="444" t="s">
        <v>2237</v>
      </c>
      <c r="K30" s="1140" t="s">
        <v>1381</v>
      </c>
      <c r="L30" s="1140" t="s">
        <v>1386</v>
      </c>
      <c r="M30" s="1191" t="s">
        <v>36</v>
      </c>
      <c r="N30" s="1191"/>
      <c r="O30" s="1137"/>
      <c r="P30" s="1140"/>
      <c r="Q30" s="1271" t="s">
        <v>2493</v>
      </c>
      <c r="S30" s="417"/>
    </row>
    <row r="31" spans="1:20" s="331" customFormat="1" ht="13.15" customHeight="1">
      <c r="A31" s="364"/>
      <c r="B31" s="1141" t="s">
        <v>2001</v>
      </c>
      <c r="C31" s="1149"/>
      <c r="D31" s="1149"/>
      <c r="E31" s="1255" t="s">
        <v>1383</v>
      </c>
      <c r="F31" s="1255"/>
      <c r="G31" s="1255"/>
      <c r="H31" s="1196" t="s">
        <v>519</v>
      </c>
      <c r="I31" s="1196"/>
      <c r="J31" s="1136" t="s">
        <v>1933</v>
      </c>
      <c r="K31" s="1136" t="s">
        <v>2358</v>
      </c>
      <c r="L31" s="1136" t="s">
        <v>2358</v>
      </c>
      <c r="M31" s="2096"/>
      <c r="N31" s="2096"/>
      <c r="O31" s="1196" t="s">
        <v>77</v>
      </c>
      <c r="P31" s="1196"/>
      <c r="Q31" s="1272"/>
      <c r="S31" s="1260" t="s">
        <v>2891</v>
      </c>
      <c r="T31" s="1260"/>
    </row>
    <row r="32" spans="1:20" s="331" customFormat="1" ht="13.15" customHeight="1">
      <c r="A32" s="364"/>
      <c r="B32" s="1261" t="s">
        <v>2797</v>
      </c>
      <c r="C32" s="1262"/>
      <c r="D32" s="1262"/>
      <c r="E32" s="1947" t="s">
        <v>3785</v>
      </c>
      <c r="F32" s="2097"/>
      <c r="G32" s="2098"/>
      <c r="H32" s="2099">
        <v>592166</v>
      </c>
      <c r="I32" s="2100"/>
      <c r="J32" s="2101">
        <v>3.2000000000000001E-2</v>
      </c>
      <c r="K32" s="1962">
        <v>10</v>
      </c>
      <c r="L32" s="1962">
        <v>10</v>
      </c>
      <c r="M32" s="2102">
        <f t="shared" ref="M32:M37" si="0">IF(OR(H32&lt;=0,H32=""),"",IF(O32="Amortizing",-PMT(J32/12,L32*12,H32,0,0)*12,""))</f>
        <v>69273.961968822725</v>
      </c>
      <c r="N32" s="2103"/>
      <c r="O32" s="1943" t="s">
        <v>3786</v>
      </c>
      <c r="P32" s="1944"/>
      <c r="Q32" s="2104">
        <v>1.25</v>
      </c>
      <c r="S32" s="2077"/>
      <c r="T32" s="2078"/>
    </row>
    <row r="33" spans="1:20" s="331" customFormat="1" ht="13.15" customHeight="1">
      <c r="A33" s="364"/>
      <c r="B33" s="1254" t="s">
        <v>2798</v>
      </c>
      <c r="C33" s="1255"/>
      <c r="D33" s="1255"/>
      <c r="E33" s="1953"/>
      <c r="F33" s="2105"/>
      <c r="G33" s="2106"/>
      <c r="H33" s="2107"/>
      <c r="I33" s="2100"/>
      <c r="J33" s="2101"/>
      <c r="K33" s="1962"/>
      <c r="L33" s="1962"/>
      <c r="M33" s="2102" t="str">
        <f t="shared" si="0"/>
        <v/>
      </c>
      <c r="N33" s="2103"/>
      <c r="O33" s="1943"/>
      <c r="P33" s="1944"/>
      <c r="Q33" s="2104"/>
      <c r="S33" s="2079"/>
      <c r="T33" s="2080"/>
    </row>
    <row r="34" spans="1:20" s="331" customFormat="1" ht="13.15" customHeight="1">
      <c r="A34" s="364"/>
      <c r="B34" s="1254" t="s">
        <v>2799</v>
      </c>
      <c r="C34" s="1255"/>
      <c r="D34" s="1255"/>
      <c r="E34" s="1950"/>
      <c r="F34" s="2108"/>
      <c r="G34" s="2100"/>
      <c r="H34" s="2107"/>
      <c r="I34" s="2100"/>
      <c r="J34" s="2101"/>
      <c r="K34" s="1962"/>
      <c r="L34" s="1962"/>
      <c r="M34" s="2102" t="str">
        <f t="shared" si="0"/>
        <v/>
      </c>
      <c r="N34" s="2103"/>
      <c r="O34" s="1943"/>
      <c r="P34" s="1944"/>
      <c r="Q34" s="2104"/>
      <c r="S34" s="2079"/>
      <c r="T34" s="2080"/>
    </row>
    <row r="35" spans="1:20" s="331" customFormat="1" ht="13.15" customHeight="1">
      <c r="A35" s="364"/>
      <c r="B35" s="1143" t="s">
        <v>791</v>
      </c>
      <c r="C35" s="1947"/>
      <c r="D35" s="1949"/>
      <c r="E35" s="1950"/>
      <c r="F35" s="2108"/>
      <c r="G35" s="2100"/>
      <c r="H35" s="2107"/>
      <c r="I35" s="2100"/>
      <c r="J35" s="2101"/>
      <c r="K35" s="1962"/>
      <c r="L35" s="1962"/>
      <c r="M35" s="2102" t="str">
        <f t="shared" si="0"/>
        <v/>
      </c>
      <c r="N35" s="2103"/>
      <c r="O35" s="1943"/>
      <c r="P35" s="1944"/>
      <c r="Q35" s="2104"/>
      <c r="S35" s="2079"/>
      <c r="T35" s="2080"/>
    </row>
    <row r="36" spans="1:20" s="331" customFormat="1" ht="13.15" customHeight="1">
      <c r="A36" s="364"/>
      <c r="B36" s="1143" t="s">
        <v>3022</v>
      </c>
      <c r="C36" s="1144"/>
      <c r="D36" s="1146"/>
      <c r="E36" s="1950"/>
      <c r="F36" s="2108"/>
      <c r="G36" s="2100"/>
      <c r="H36" s="2107"/>
      <c r="I36" s="2100"/>
      <c r="J36" s="589"/>
      <c r="K36" s="1142"/>
      <c r="L36" s="1142"/>
      <c r="M36" s="1288" t="str">
        <f t="shared" si="0"/>
        <v/>
      </c>
      <c r="N36" s="1288"/>
      <c r="O36" s="1287"/>
      <c r="P36" s="1287"/>
      <c r="Q36" s="590"/>
      <c r="S36" s="2079"/>
      <c r="T36" s="2080"/>
    </row>
    <row r="37" spans="1:20" s="331" customFormat="1" ht="13.15" customHeight="1">
      <c r="A37" s="364"/>
      <c r="B37" s="1148" t="s">
        <v>239</v>
      </c>
      <c r="C37" s="1149"/>
      <c r="D37" s="445" t="str">
        <f>IF(OR(H37="",H37=0,'Part IV-Uses of Funds'!$G$116="",'Part IV-Uses of Funds'!$G$116=0),"",H37/'Part IV-Uses of Funds'!$G$116)</f>
        <v/>
      </c>
      <c r="E37" s="1950"/>
      <c r="F37" s="2108"/>
      <c r="G37" s="2100"/>
      <c r="H37" s="2107"/>
      <c r="I37" s="2100"/>
      <c r="J37" s="2101"/>
      <c r="K37" s="1962"/>
      <c r="L37" s="1962"/>
      <c r="M37" s="2102" t="str">
        <f t="shared" si="0"/>
        <v/>
      </c>
      <c r="N37" s="2103"/>
      <c r="O37" s="1943"/>
      <c r="P37" s="1944"/>
      <c r="Q37" s="2104"/>
      <c r="S37" s="2079"/>
      <c r="T37" s="2080"/>
    </row>
    <row r="38" spans="1:20" s="331" customFormat="1" ht="13.15" customHeight="1">
      <c r="A38" s="364"/>
      <c r="B38" s="1261" t="s">
        <v>2359</v>
      </c>
      <c r="C38" s="1262"/>
      <c r="D38" s="1281"/>
      <c r="E38" s="1950"/>
      <c r="F38" s="2108"/>
      <c r="G38" s="2100"/>
      <c r="H38" s="2109"/>
      <c r="I38" s="2110"/>
      <c r="K38" s="446"/>
      <c r="L38" s="446"/>
      <c r="M38" s="446"/>
      <c r="N38" s="446"/>
      <c r="O38" s="446"/>
      <c r="P38" s="446"/>
      <c r="Q38" s="446"/>
      <c r="S38" s="2077"/>
      <c r="T38" s="2078"/>
    </row>
    <row r="39" spans="1:20" s="331" customFormat="1" ht="13.15" customHeight="1">
      <c r="A39" s="364"/>
      <c r="B39" s="1254" t="s">
        <v>855</v>
      </c>
      <c r="C39" s="1255"/>
      <c r="D39" s="1282"/>
      <c r="E39" s="1950"/>
      <c r="F39" s="2108"/>
      <c r="G39" s="2100"/>
      <c r="H39" s="2109"/>
      <c r="I39" s="2110"/>
      <c r="J39" s="1267" t="s">
        <v>550</v>
      </c>
      <c r="K39" s="1268"/>
      <c r="L39" s="1266" t="s">
        <v>551</v>
      </c>
      <c r="M39" s="1266"/>
      <c r="O39" s="492" t="s">
        <v>549</v>
      </c>
      <c r="P39" s="447"/>
      <c r="Q39" s="446"/>
      <c r="S39" s="2079"/>
      <c r="T39" s="2080"/>
    </row>
    <row r="40" spans="1:20" s="331" customFormat="1" ht="13.15" customHeight="1">
      <c r="A40" s="364"/>
      <c r="B40" s="1254" t="s">
        <v>856</v>
      </c>
      <c r="C40" s="1255"/>
      <c r="D40" s="1282"/>
      <c r="E40" s="1950" t="s">
        <v>3776</v>
      </c>
      <c r="F40" s="1951"/>
      <c r="G40" s="1952"/>
      <c r="H40" s="2107">
        <v>7548180</v>
      </c>
      <c r="I40" s="2111"/>
      <c r="J40" s="1269">
        <f>'Part IV-Uses of Funds'!$J$173*10*'Part IV-Uses of Funds'!$N$166</f>
        <v>7548935</v>
      </c>
      <c r="K40" s="1270"/>
      <c r="L40" s="1265">
        <f>H40-J40</f>
        <v>-755</v>
      </c>
      <c r="M40" s="1265"/>
      <c r="O40" s="493" t="s">
        <v>2742</v>
      </c>
      <c r="P40" s="447"/>
      <c r="Q40" s="446"/>
      <c r="S40" s="2079"/>
      <c r="T40" s="2080"/>
    </row>
    <row r="41" spans="1:20" s="331" customFormat="1" ht="13.15" customHeight="1">
      <c r="A41" s="364"/>
      <c r="B41" s="1254" t="s">
        <v>857</v>
      </c>
      <c r="C41" s="1255"/>
      <c r="D41" s="1282"/>
      <c r="E41" s="1950" t="s">
        <v>3776</v>
      </c>
      <c r="F41" s="1951"/>
      <c r="G41" s="1952"/>
      <c r="H41" s="2107">
        <v>3109149</v>
      </c>
      <c r="I41" s="2111"/>
      <c r="J41" s="1269">
        <f>'Part IV-Uses of Funds'!$J$173*10*'Part IV-Uses of Funds'!$Q$166</f>
        <v>3108385</v>
      </c>
      <c r="K41" s="1270"/>
      <c r="L41" s="1265">
        <f>H41-J41</f>
        <v>764</v>
      </c>
      <c r="M41" s="1265"/>
      <c r="O41" s="494">
        <f>H40/H50</f>
        <v>0.67097945285543925</v>
      </c>
      <c r="P41" s="447"/>
      <c r="Q41" s="446"/>
      <c r="S41" s="2079"/>
      <c r="T41" s="2080"/>
    </row>
    <row r="42" spans="1:20" s="331" customFormat="1" ht="13.15" customHeight="1">
      <c r="A42" s="364"/>
      <c r="B42" s="1254" t="s">
        <v>1502</v>
      </c>
      <c r="C42" s="1255"/>
      <c r="D42" s="1282"/>
      <c r="E42" s="1950"/>
      <c r="F42" s="1951"/>
      <c r="G42" s="1952"/>
      <c r="H42" s="2107"/>
      <c r="I42" s="2111"/>
      <c r="M42" s="447"/>
      <c r="O42" s="494">
        <f>H41/H50</f>
        <v>0.27638120644526709</v>
      </c>
      <c r="P42" s="447"/>
      <c r="Q42" s="446"/>
      <c r="S42" s="2083"/>
      <c r="T42" s="2084"/>
    </row>
    <row r="43" spans="1:20" s="331" customFormat="1" ht="13.15" customHeight="1">
      <c r="A43" s="364"/>
      <c r="B43" s="1143" t="s">
        <v>564</v>
      </c>
      <c r="C43" s="1144"/>
      <c r="D43" s="1146"/>
      <c r="E43" s="1950"/>
      <c r="F43" s="1951"/>
      <c r="G43" s="1952"/>
      <c r="H43" s="2107"/>
      <c r="I43" s="2111"/>
      <c r="K43" s="364"/>
      <c r="L43" s="364"/>
      <c r="M43" s="447"/>
      <c r="O43" s="495">
        <f>SUM(O41:O42)</f>
        <v>0.94736065930070634</v>
      </c>
      <c r="P43" s="447"/>
      <c r="Q43" s="446"/>
      <c r="S43" s="2079"/>
      <c r="T43" s="2080"/>
    </row>
    <row r="44" spans="1:20" s="331" customFormat="1" ht="13.15" customHeight="1">
      <c r="A44" s="364"/>
      <c r="B44" s="1143" t="s">
        <v>1999</v>
      </c>
      <c r="C44" s="1144"/>
      <c r="D44" s="1146"/>
      <c r="E44" s="1950"/>
      <c r="F44" s="1951"/>
      <c r="G44" s="1952"/>
      <c r="H44" s="2107"/>
      <c r="I44" s="2111"/>
      <c r="J44" s="364"/>
      <c r="M44" s="447"/>
      <c r="N44" s="447"/>
      <c r="O44" s="447"/>
      <c r="P44" s="447"/>
      <c r="Q44" s="446"/>
      <c r="S44" s="2079"/>
      <c r="T44" s="2080"/>
    </row>
    <row r="45" spans="1:20" s="331" customFormat="1" ht="13.15" customHeight="1">
      <c r="A45" s="364"/>
      <c r="B45" s="1143" t="s">
        <v>2000</v>
      </c>
      <c r="C45" s="1144"/>
      <c r="D45" s="1146"/>
      <c r="E45" s="1950"/>
      <c r="F45" s="1951"/>
      <c r="G45" s="1952"/>
      <c r="H45" s="2107"/>
      <c r="I45" s="2111"/>
      <c r="J45" s="364"/>
      <c r="M45" s="447"/>
      <c r="N45" s="447"/>
      <c r="O45" s="447"/>
      <c r="P45" s="447"/>
      <c r="Q45" s="446"/>
      <c r="S45" s="2079"/>
      <c r="T45" s="2080"/>
    </row>
    <row r="46" spans="1:20" s="331" customFormat="1" ht="13.15" customHeight="1">
      <c r="A46" s="364"/>
      <c r="B46" s="1143" t="s">
        <v>791</v>
      </c>
      <c r="C46" s="1950"/>
      <c r="D46" s="1952"/>
      <c r="E46" s="1950"/>
      <c r="F46" s="1951"/>
      <c r="G46" s="1952"/>
      <c r="H46" s="2107"/>
      <c r="I46" s="2111"/>
      <c r="J46" s="364"/>
      <c r="M46" s="447"/>
      <c r="N46" s="447"/>
      <c r="O46" s="447"/>
      <c r="P46" s="447"/>
      <c r="Q46" s="446"/>
      <c r="S46" s="2079"/>
      <c r="T46" s="2080"/>
    </row>
    <row r="47" spans="1:20" s="331" customFormat="1" ht="13.15" customHeight="1">
      <c r="A47" s="364"/>
      <c r="B47" s="1143" t="s">
        <v>791</v>
      </c>
      <c r="C47" s="1950"/>
      <c r="D47" s="1952"/>
      <c r="E47" s="1950"/>
      <c r="F47" s="1951"/>
      <c r="G47" s="1952"/>
      <c r="H47" s="2107"/>
      <c r="I47" s="2111"/>
      <c r="J47" s="364"/>
      <c r="K47" s="364"/>
      <c r="L47" s="448"/>
      <c r="M47" s="447"/>
      <c r="N47" s="447"/>
      <c r="O47" s="447"/>
      <c r="P47" s="447"/>
      <c r="Q47" s="446"/>
      <c r="S47" s="2079"/>
      <c r="T47" s="2080"/>
    </row>
    <row r="48" spans="1:20" s="331" customFormat="1" ht="13.15" customHeight="1">
      <c r="A48" s="364"/>
      <c r="B48" s="1148" t="s">
        <v>791</v>
      </c>
      <c r="C48" s="1950"/>
      <c r="D48" s="1952"/>
      <c r="E48" s="1950"/>
      <c r="F48" s="1951"/>
      <c r="G48" s="1952"/>
      <c r="H48" s="2107"/>
      <c r="I48" s="2111"/>
      <c r="J48" s="364"/>
      <c r="K48" s="364"/>
      <c r="L48" s="448"/>
      <c r="M48" s="447"/>
      <c r="N48" s="447"/>
      <c r="O48" s="447"/>
      <c r="P48" s="447"/>
      <c r="Q48" s="446"/>
      <c r="S48" s="2079"/>
      <c r="T48" s="2080"/>
    </row>
    <row r="49" spans="1:23" s="331" customFormat="1" ht="13.15" customHeight="1">
      <c r="A49" s="364"/>
      <c r="B49" s="1134" t="s">
        <v>2360</v>
      </c>
      <c r="C49" s="364"/>
      <c r="D49" s="364"/>
      <c r="E49" s="364"/>
      <c r="F49" s="364"/>
      <c r="G49" s="364"/>
      <c r="H49" s="1285">
        <f>SUM(H32:I48)</f>
        <v>11249495</v>
      </c>
      <c r="I49" s="1286"/>
      <c r="J49" s="384"/>
      <c r="K49" s="364"/>
      <c r="L49" s="448"/>
      <c r="M49" s="447"/>
      <c r="N49" s="447"/>
      <c r="O49" s="447"/>
      <c r="P49" s="447"/>
      <c r="Q49" s="446"/>
      <c r="S49" s="2079"/>
      <c r="T49" s="2080"/>
    </row>
    <row r="50" spans="1:23" s="331" customFormat="1" ht="13.15" customHeight="1" thickBot="1">
      <c r="A50" s="364"/>
      <c r="B50" s="1134" t="s">
        <v>2361</v>
      </c>
      <c r="C50" s="364"/>
      <c r="D50" s="364"/>
      <c r="E50" s="364"/>
      <c r="F50" s="364"/>
      <c r="G50" s="364"/>
      <c r="H50" s="1283">
        <f>'Part IV-Uses of Funds'!$G$130</f>
        <v>11249495</v>
      </c>
      <c r="I50" s="1284"/>
      <c r="J50" s="384"/>
      <c r="K50" s="364"/>
      <c r="L50" s="448"/>
      <c r="M50" s="447"/>
      <c r="N50" s="447"/>
      <c r="O50" s="447"/>
      <c r="P50" s="447"/>
      <c r="Q50" s="446"/>
      <c r="S50" s="2079"/>
      <c r="T50" s="2080"/>
    </row>
    <row r="51" spans="1:23" s="331" customFormat="1" ht="13.15" customHeight="1" thickBot="1">
      <c r="A51" s="364"/>
      <c r="B51" s="370" t="s">
        <v>1631</v>
      </c>
      <c r="C51" s="364"/>
      <c r="D51" s="364"/>
      <c r="E51" s="364"/>
      <c r="F51" s="364"/>
      <c r="G51" s="364"/>
      <c r="H51" s="1273">
        <f>H49-H50</f>
        <v>0</v>
      </c>
      <c r="I51" s="1274"/>
      <c r="J51" s="384"/>
      <c r="K51" s="364"/>
      <c r="L51" s="448"/>
      <c r="M51" s="447"/>
      <c r="N51" s="447"/>
      <c r="O51" s="447"/>
      <c r="P51" s="447"/>
      <c r="Q51" s="446"/>
      <c r="S51" s="2083"/>
      <c r="T51" s="2084"/>
    </row>
    <row r="52" spans="1:23" s="331" customFormat="1" ht="13.15" customHeight="1">
      <c r="A52" s="364" t="s">
        <v>3023</v>
      </c>
      <c r="B52" s="370"/>
      <c r="C52" s="364"/>
      <c r="D52" s="364"/>
      <c r="E52" s="364"/>
      <c r="F52" s="364"/>
      <c r="G52" s="364"/>
      <c r="H52" s="440"/>
      <c r="I52" s="440"/>
      <c r="J52" s="384"/>
      <c r="K52" s="364"/>
      <c r="L52" s="448"/>
      <c r="M52" s="447"/>
      <c r="N52" s="447"/>
      <c r="O52" s="447"/>
      <c r="P52" s="447"/>
      <c r="Q52" s="446"/>
      <c r="S52" s="2112"/>
      <c r="T52" s="2112"/>
    </row>
    <row r="53" spans="1:23" ht="6" customHeight="1">
      <c r="A53" s="384"/>
      <c r="B53" s="384"/>
      <c r="C53" s="384"/>
      <c r="D53" s="384"/>
      <c r="E53" s="384"/>
      <c r="F53" s="384"/>
      <c r="G53" s="384"/>
      <c r="H53" s="384"/>
      <c r="I53" s="384"/>
      <c r="J53" s="384"/>
      <c r="K53" s="384"/>
      <c r="L53" s="384"/>
      <c r="M53" s="384"/>
      <c r="N53" s="384"/>
      <c r="O53" s="384"/>
      <c r="P53" s="384"/>
      <c r="Q53" s="384"/>
    </row>
    <row r="54" spans="1:23" ht="12" customHeight="1">
      <c r="A54" s="367" t="s">
        <v>1916</v>
      </c>
      <c r="B54" s="367" t="s">
        <v>608</v>
      </c>
      <c r="C54" s="384"/>
      <c r="D54" s="384"/>
      <c r="E54" s="384"/>
      <c r="F54" s="384"/>
      <c r="G54" s="384"/>
      <c r="H54" s="384"/>
      <c r="I54" s="384"/>
      <c r="J54" s="384"/>
      <c r="K54" s="367" t="s">
        <v>1916</v>
      </c>
      <c r="L54" s="367" t="s">
        <v>82</v>
      </c>
      <c r="M54" s="384"/>
      <c r="N54" s="384"/>
      <c r="O54" s="384"/>
      <c r="P54" s="384"/>
      <c r="Q54" s="384"/>
    </row>
    <row r="55" spans="1:23" ht="5.45" customHeight="1">
      <c r="B55" s="419"/>
    </row>
    <row r="56" spans="1:23" ht="109.5" customHeight="1">
      <c r="A56" s="1794"/>
      <c r="B56" s="2113"/>
      <c r="C56" s="2113"/>
      <c r="D56" s="2113"/>
      <c r="E56" s="2113"/>
      <c r="F56" s="2113"/>
      <c r="G56" s="2113"/>
      <c r="H56" s="2113"/>
      <c r="I56" s="2113"/>
      <c r="J56" s="2114"/>
      <c r="K56" s="1797"/>
      <c r="L56" s="2113"/>
      <c r="M56" s="2113"/>
      <c r="N56" s="2113"/>
      <c r="O56" s="2113"/>
      <c r="P56" s="2113"/>
      <c r="Q56" s="2114"/>
      <c r="S56" s="1258" t="s">
        <v>2924</v>
      </c>
      <c r="T56" s="1258"/>
      <c r="U56" s="603"/>
      <c r="V56" s="603"/>
      <c r="W56" s="603"/>
    </row>
    <row r="57" spans="1:23" ht="11.25" customHeight="1">
      <c r="S57" s="603"/>
      <c r="T57" s="603"/>
      <c r="U57" s="603"/>
      <c r="V57" s="603"/>
      <c r="W57" s="603"/>
    </row>
    <row r="58" spans="1:23" ht="12" customHeight="1"/>
    <row r="59" spans="1:23" ht="12" customHeight="1">
      <c r="B59" s="419"/>
    </row>
    <row r="60" spans="1:23" ht="14.45" customHeight="1"/>
    <row r="61" spans="1:23" s="331" customFormat="1" ht="14.45" customHeight="1"/>
    <row r="62" spans="1:23" s="331" customFormat="1" ht="14.45" customHeight="1"/>
    <row r="63" spans="1:23" s="331" customFormat="1" ht="14.45" customHeight="1"/>
    <row r="64" spans="1:23" ht="14.45" customHeight="1"/>
    <row r="65" spans="1:1" s="331" customFormat="1" ht="14.45" customHeight="1">
      <c r="A65" s="420"/>
    </row>
    <row r="66" spans="1:1" s="331" customFormat="1" ht="14.45" customHeight="1">
      <c r="A66" s="420"/>
    </row>
    <row r="67" spans="1:1" s="331" customFormat="1" ht="14.45" customHeight="1"/>
    <row r="68" spans="1:1" s="331" customFormat="1" ht="14.45" customHeight="1">
      <c r="A68" s="420"/>
    </row>
    <row r="69" spans="1:1" s="331" customFormat="1" ht="14.45" customHeight="1">
      <c r="A69" s="418"/>
    </row>
    <row r="70" spans="1:1" s="331" customFormat="1" ht="14.45" customHeight="1">
      <c r="A70" s="418"/>
    </row>
    <row r="71" spans="1:1" s="331" customFormat="1" ht="14.45" customHeight="1">
      <c r="A71" s="421"/>
    </row>
    <row r="72" spans="1:1" s="331" customFormat="1" ht="14.45" customHeight="1">
      <c r="A72" s="420"/>
    </row>
    <row r="73" spans="1:1" s="331" customFormat="1" ht="14.45" customHeight="1">
      <c r="A73" s="418"/>
    </row>
    <row r="74" spans="1:1" s="331" customFormat="1" ht="14.45" customHeight="1">
      <c r="A74" s="418"/>
    </row>
    <row r="75" spans="1:1" s="331" customFormat="1" ht="14.45" customHeight="1">
      <c r="A75" s="421"/>
    </row>
    <row r="76" spans="1:1" s="331" customFormat="1" ht="14.45" customHeight="1">
      <c r="A76" s="420"/>
    </row>
    <row r="77" spans="1:1" s="331" customFormat="1" ht="14.45" customHeight="1">
      <c r="A77" s="418"/>
    </row>
    <row r="78" spans="1:1" s="331" customFormat="1" ht="14.45" customHeight="1">
      <c r="A78" s="418"/>
    </row>
    <row r="79" spans="1:1" s="331" customFormat="1" ht="14.45" customHeight="1">
      <c r="A79" s="421"/>
    </row>
    <row r="80" spans="1:1" s="331" customFormat="1" ht="14.45" customHeight="1">
      <c r="A80" s="421"/>
    </row>
    <row r="81" spans="1:1" s="331" customFormat="1" ht="14.45" customHeight="1">
      <c r="A81" s="421"/>
    </row>
    <row r="82" spans="1:1" s="331" customFormat="1" ht="14.45" customHeight="1">
      <c r="A82" s="421"/>
    </row>
    <row r="83" spans="1:1" s="331" customFormat="1" ht="14.45" customHeight="1"/>
    <row r="84" spans="1:1" s="33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38">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B39:D39"/>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L14:M14"/>
    <mergeCell ref="H14:K14"/>
    <mergeCell ref="H18:K18"/>
    <mergeCell ref="H19:K19"/>
    <mergeCell ref="H20:K20"/>
    <mergeCell ref="L16:M16"/>
    <mergeCell ref="L21:M21"/>
    <mergeCell ref="L22:M22"/>
    <mergeCell ref="L23:M23"/>
    <mergeCell ref="L18:M18"/>
    <mergeCell ref="L19:M19"/>
    <mergeCell ref="L20:M20"/>
    <mergeCell ref="Q30:Q31"/>
    <mergeCell ref="H30:I30"/>
    <mergeCell ref="J39:K39"/>
    <mergeCell ref="J40:K40"/>
    <mergeCell ref="J41:K41"/>
    <mergeCell ref="E34:G34"/>
    <mergeCell ref="E40:G40"/>
    <mergeCell ref="E39:G39"/>
    <mergeCell ref="H31:I31"/>
    <mergeCell ref="H33:I33"/>
    <mergeCell ref="H34:I34"/>
    <mergeCell ref="H32:I32"/>
    <mergeCell ref="H37:I37"/>
    <mergeCell ref="H35:I35"/>
    <mergeCell ref="E33:G33"/>
    <mergeCell ref="P7:Q7"/>
    <mergeCell ref="S56:T56"/>
    <mergeCell ref="S1:T1"/>
    <mergeCell ref="S13:T13"/>
    <mergeCell ref="H15:K15"/>
    <mergeCell ref="H16:K16"/>
    <mergeCell ref="S4:T4"/>
    <mergeCell ref="S14:T20"/>
    <mergeCell ref="S5:T8"/>
    <mergeCell ref="A1:Q1"/>
    <mergeCell ref="B20:D20"/>
    <mergeCell ref="B14:D14"/>
    <mergeCell ref="N17:O17"/>
    <mergeCell ref="L13:M13"/>
    <mergeCell ref="B18:D18"/>
    <mergeCell ref="B17:D17"/>
    <mergeCell ref="P17:Q17"/>
    <mergeCell ref="P4:Q4"/>
    <mergeCell ref="P13:Q13"/>
    <mergeCell ref="L41:M41"/>
    <mergeCell ref="L40:M40"/>
    <mergeCell ref="H39:I39"/>
    <mergeCell ref="L39:M39"/>
    <mergeCell ref="B21:D21"/>
    <mergeCell ref="N13:O13"/>
    <mergeCell ref="N11:O11"/>
    <mergeCell ref="B15:D15"/>
    <mergeCell ref="B16:D16"/>
    <mergeCell ref="H17:K17"/>
    <mergeCell ref="D23:G23"/>
    <mergeCell ref="D22:G22"/>
    <mergeCell ref="M37:N37"/>
    <mergeCell ref="M35:N35"/>
    <mergeCell ref="M34:N34"/>
    <mergeCell ref="B19:D19"/>
    <mergeCell ref="C35:D35"/>
    <mergeCell ref="D24:G24"/>
    <mergeCell ref="H24:K24"/>
    <mergeCell ref="H21:K21"/>
  </mergeCells>
  <phoneticPr fontId="7" type="noConversion"/>
  <conditionalFormatting sqref="B32:D34">
    <cfRule type="cellIs" dxfId="24"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5" customFormat="1" ht="16.149999999999999" customHeight="1">
      <c r="A1" s="1297" t="str">
        <f>CONCATENATE("PART III B: USD 538 LOAN","  -  ",'Part I-Project Information'!$O$4," ",'Part I-Project Information'!$F$23,", ",'Part I-Project Information'!$F$27,", ",'Part I-Project Information'!$J$28," County")</f>
        <v>PART III B: USD 538 LOAN  -  2014-039 Willingham Village II, Rome, Floyd County</v>
      </c>
      <c r="B1" s="1298"/>
      <c r="C1" s="1298"/>
      <c r="D1" s="1298"/>
      <c r="E1" s="1298"/>
      <c r="F1" s="1299"/>
      <c r="G1" s="202"/>
      <c r="H1" s="202"/>
      <c r="I1" s="202"/>
      <c r="J1" s="202"/>
      <c r="K1" s="202"/>
      <c r="L1" s="202"/>
      <c r="M1" s="202"/>
      <c r="N1" s="202"/>
      <c r="O1" s="202"/>
      <c r="P1" s="202"/>
      <c r="Q1" s="202"/>
    </row>
    <row r="2" spans="1:17" ht="10.9" customHeight="1">
      <c r="A2" s="240"/>
      <c r="B2" s="240"/>
      <c r="C2" s="240"/>
      <c r="D2" s="240"/>
      <c r="E2" s="240"/>
      <c r="F2" s="240"/>
      <c r="G2" s="240"/>
      <c r="H2" s="240"/>
    </row>
    <row r="3" spans="1:17" ht="14.45" customHeight="1">
      <c r="A3" s="1290" t="s">
        <v>226</v>
      </c>
      <c r="B3" s="1290"/>
      <c r="C3" s="1290"/>
      <c r="D3" s="1290"/>
      <c r="E3" s="1290"/>
      <c r="F3" s="1290"/>
      <c r="G3" s="240"/>
      <c r="H3" s="240"/>
    </row>
    <row r="4" spans="1:17" s="228" customFormat="1" ht="6" customHeight="1"/>
    <row r="5" spans="1:17">
      <c r="A5" s="40" t="s">
        <v>2403</v>
      </c>
      <c r="B5" s="40"/>
      <c r="C5" s="313"/>
      <c r="D5" s="314">
        <f>IF(C5&gt;1500000,1500000,0)</f>
        <v>0</v>
      </c>
      <c r="E5" s="315">
        <f>IF(C5&gt;1500000,C5-1500000,0)</f>
        <v>0</v>
      </c>
    </row>
    <row r="6" spans="1:17">
      <c r="A6" s="40" t="s">
        <v>2631</v>
      </c>
      <c r="B6" s="263" t="s">
        <v>537</v>
      </c>
      <c r="C6" s="316">
        <v>0</v>
      </c>
      <c r="D6" s="138" t="s">
        <v>538</v>
      </c>
      <c r="E6" s="40"/>
    </row>
    <row r="7" spans="1:17">
      <c r="A7" s="40"/>
      <c r="B7" s="263" t="s">
        <v>2647</v>
      </c>
      <c r="C7" s="317"/>
      <c r="D7" s="138" t="s">
        <v>1776</v>
      </c>
      <c r="E7" s="40"/>
    </row>
    <row r="8" spans="1:17" ht="13.15" customHeight="1">
      <c r="A8" s="40" t="s">
        <v>2635</v>
      </c>
      <c r="B8" s="40"/>
      <c r="C8" s="316">
        <v>0</v>
      </c>
      <c r="D8" s="138" t="s">
        <v>1777</v>
      </c>
      <c r="E8" s="40"/>
    </row>
    <row r="9" spans="1:17">
      <c r="A9" s="40" t="s">
        <v>1475</v>
      </c>
      <c r="B9" s="40"/>
      <c r="C9" s="318"/>
      <c r="D9" s="40"/>
      <c r="E9" s="40"/>
    </row>
    <row r="10" spans="1:17">
      <c r="A10" s="40" t="s">
        <v>1476</v>
      </c>
      <c r="B10" s="40"/>
      <c r="C10" s="318"/>
      <c r="D10" s="40"/>
      <c r="E10" s="40"/>
    </row>
    <row r="11" spans="1:17">
      <c r="A11" s="40" t="s">
        <v>1473</v>
      </c>
      <c r="B11" s="40"/>
      <c r="C11" s="319" t="e">
        <f>PMT(C7/12,C10*12,-C5,0,0)*12</f>
        <v>#NUM!</v>
      </c>
      <c r="D11" s="314" t="e">
        <f>PMT($C$7/12,$C$10*12,-D5,0,0)*12</f>
        <v>#NUM!</v>
      </c>
      <c r="E11" s="314" t="e">
        <f>PMT($C$7/12,$C$10*12,-E5,0,0)*12</f>
        <v>#NUM!</v>
      </c>
    </row>
    <row r="12" spans="1:17">
      <c r="A12" s="40" t="s">
        <v>1474</v>
      </c>
      <c r="B12" s="40"/>
      <c r="C12" s="320" t="e">
        <f>C11/12</f>
        <v>#NUM!</v>
      </c>
      <c r="D12" s="314" t="e">
        <f>D11/12</f>
        <v>#NUM!</v>
      </c>
      <c r="E12" s="314" t="e">
        <f>E11/12</f>
        <v>#NUM!</v>
      </c>
    </row>
    <row r="13" spans="1:17" ht="10.9" customHeight="1">
      <c r="A13" s="240"/>
      <c r="B13" s="240"/>
      <c r="C13" s="240"/>
      <c r="D13" s="240"/>
      <c r="E13" s="240"/>
      <c r="F13" s="240"/>
      <c r="G13" s="240"/>
      <c r="H13" s="240"/>
    </row>
    <row r="14" spans="1:17" ht="12.6" customHeight="1">
      <c r="A14" s="1291" t="s">
        <v>131</v>
      </c>
      <c r="B14" s="1291"/>
      <c r="C14" s="1291"/>
      <c r="D14" s="1291"/>
      <c r="E14" s="1291"/>
      <c r="F14" s="1291"/>
      <c r="G14" s="240"/>
      <c r="H14" s="240"/>
    </row>
    <row r="15" spans="1:17" ht="5.45" customHeight="1">
      <c r="A15" s="32"/>
      <c r="E15" s="251"/>
      <c r="F15" s="240"/>
      <c r="G15" s="240"/>
      <c r="H15" s="240"/>
    </row>
    <row r="16" spans="1:17" ht="13.15" customHeight="1">
      <c r="A16" s="253" t="s">
        <v>2648</v>
      </c>
      <c r="B16" s="254" t="s">
        <v>2645</v>
      </c>
      <c r="C16" s="254" t="s">
        <v>2646</v>
      </c>
      <c r="D16" s="1300" t="s">
        <v>2402</v>
      </c>
      <c r="E16" s="1300"/>
      <c r="F16" s="240"/>
      <c r="G16" s="240"/>
      <c r="H16" s="240"/>
    </row>
    <row r="17" spans="1:8" ht="12.6" customHeight="1">
      <c r="A17" s="94">
        <v>1</v>
      </c>
      <c r="B17" s="229">
        <f>IF(A17&gt;$C$9,0,SUM(C64:C75)*($C$6/$C$7))</f>
        <v>0</v>
      </c>
      <c r="C17" s="252">
        <f>IF(A17&gt;C9,0,(E63+K63)*$C$8)</f>
        <v>0</v>
      </c>
      <c r="D17" s="1295">
        <f t="shared" ref="D17:D56" si="0">IF(A17&gt;$C$9,0,$C$11+C17)</f>
        <v>0</v>
      </c>
      <c r="E17" s="1295"/>
      <c r="F17" s="240"/>
      <c r="G17" s="240"/>
      <c r="H17" s="240"/>
    </row>
    <row r="18" spans="1:8" ht="12.6" customHeight="1">
      <c r="A18" s="94">
        <v>2</v>
      </c>
      <c r="B18" s="229">
        <f>IF(A18&gt;C9,0,SUM(C76:C87)*($C$6/$C$7))</f>
        <v>0</v>
      </c>
      <c r="C18" s="259">
        <f>IF(A18&gt;C9,0,(E75+K75)*$C$8)</f>
        <v>0</v>
      </c>
      <c r="D18" s="1293">
        <f t="shared" si="0"/>
        <v>0</v>
      </c>
      <c r="E18" s="1293"/>
      <c r="F18" s="240"/>
      <c r="G18" s="240"/>
      <c r="H18" s="240"/>
    </row>
    <row r="19" spans="1:8" ht="12.6" customHeight="1">
      <c r="A19" s="94">
        <v>3</v>
      </c>
      <c r="B19" s="229">
        <f>IF(A19&gt;C9,0,SUM(C88:C99)*($C$6/$C$7))</f>
        <v>0</v>
      </c>
      <c r="C19" s="252">
        <f>IF(A19&gt;C9,0,(E87+K87)*$C$8)</f>
        <v>0</v>
      </c>
      <c r="D19" s="1293">
        <f t="shared" si="0"/>
        <v>0</v>
      </c>
      <c r="E19" s="1293"/>
      <c r="F19" s="240"/>
      <c r="G19" s="240"/>
      <c r="H19" s="240"/>
    </row>
    <row r="20" spans="1:8" ht="12.6" customHeight="1">
      <c r="A20" s="94">
        <v>4</v>
      </c>
      <c r="B20" s="229">
        <f>IF(A20&gt;C9,0,SUM(C100:C111)*($C$6/$C$7))</f>
        <v>0</v>
      </c>
      <c r="C20" s="252">
        <f>IF(A20&gt;C9,0,(E99+K99)*$C$8)</f>
        <v>0</v>
      </c>
      <c r="D20" s="1293">
        <f t="shared" si="0"/>
        <v>0</v>
      </c>
      <c r="E20" s="1293"/>
      <c r="F20" s="240"/>
      <c r="G20" s="240"/>
      <c r="H20" s="240"/>
    </row>
    <row r="21" spans="1:8" ht="12.6" customHeight="1">
      <c r="A21" s="94">
        <v>5</v>
      </c>
      <c r="B21" s="229">
        <f>IF(A21&gt;C9,0,SUM(C112:C123)*($C$6/$C$7))</f>
        <v>0</v>
      </c>
      <c r="C21" s="252">
        <f>IF(A21&gt;C9,0,(E111+K111)*$C$8)</f>
        <v>0</v>
      </c>
      <c r="D21" s="1294">
        <f t="shared" si="0"/>
        <v>0</v>
      </c>
      <c r="E21" s="1294"/>
      <c r="F21" s="240"/>
      <c r="G21" s="240"/>
      <c r="H21" s="240"/>
    </row>
    <row r="22" spans="1:8" ht="12.6" customHeight="1">
      <c r="A22" s="230">
        <v>6</v>
      </c>
      <c r="B22" s="231">
        <f>IF(A22&gt;C9,0,SUM(C124:C135)*($C$6/$C$7))</f>
        <v>0</v>
      </c>
      <c r="C22" s="256">
        <f>IF(A22&gt;C9,0,(E123+K123)*$C$8)</f>
        <v>0</v>
      </c>
      <c r="D22" s="1293">
        <f t="shared" si="0"/>
        <v>0</v>
      </c>
      <c r="E22" s="1293"/>
      <c r="F22" s="240"/>
      <c r="G22" s="240"/>
      <c r="H22" s="240"/>
    </row>
    <row r="23" spans="1:8" ht="12.6" customHeight="1">
      <c r="A23" s="232">
        <v>7</v>
      </c>
      <c r="B23" s="233">
        <f>IF(A23&gt;C9,0,SUM(C136:C147)*($C$6/$C$7))</f>
        <v>0</v>
      </c>
      <c r="C23" s="234">
        <f>IF(A23&gt;C9,0,(E135+K135)*$C$8)</f>
        <v>0</v>
      </c>
      <c r="D23" s="1293">
        <f t="shared" si="0"/>
        <v>0</v>
      </c>
      <c r="E23" s="1293"/>
      <c r="F23" s="240"/>
      <c r="G23" s="240"/>
      <c r="H23" s="240"/>
    </row>
    <row r="24" spans="1:8" ht="12.6" customHeight="1">
      <c r="A24" s="232">
        <v>8</v>
      </c>
      <c r="B24" s="233">
        <f>IF(A24&gt;C9,0,SUM(C148:C159)*($C$6/$C$7))</f>
        <v>0</v>
      </c>
      <c r="C24" s="234">
        <f>IF(A24&gt;C9,0,(E147+K147)*$C$8)</f>
        <v>0</v>
      </c>
      <c r="D24" s="1293">
        <f t="shared" si="0"/>
        <v>0</v>
      </c>
      <c r="E24" s="1293"/>
      <c r="F24" s="240"/>
      <c r="G24" s="240"/>
      <c r="H24" s="240"/>
    </row>
    <row r="25" spans="1:8" ht="12.6" customHeight="1">
      <c r="A25" s="232">
        <v>9</v>
      </c>
      <c r="B25" s="233">
        <f>IF(A25&gt;C9,0,SUM(C160:C171)*($C$6/$C$7))</f>
        <v>0</v>
      </c>
      <c r="C25" s="234">
        <f>IF(A25&gt;C9,0,(E159+K159)*$C$8)</f>
        <v>0</v>
      </c>
      <c r="D25" s="1293">
        <f t="shared" si="0"/>
        <v>0</v>
      </c>
      <c r="E25" s="1293"/>
      <c r="F25" s="240"/>
      <c r="G25" s="240"/>
      <c r="H25" s="240"/>
    </row>
    <row r="26" spans="1:8" ht="12.6" customHeight="1">
      <c r="A26" s="235">
        <v>10</v>
      </c>
      <c r="B26" s="236">
        <f>IF(A26&gt;C9,0,SUM(C172:C183)*($C$6/$C$7))</f>
        <v>0</v>
      </c>
      <c r="C26" s="255">
        <f>IF(A26&gt;C9,0,(E171+K171)*$C$8)</f>
        <v>0</v>
      </c>
      <c r="D26" s="1294">
        <f t="shared" si="0"/>
        <v>0</v>
      </c>
      <c r="E26" s="1294"/>
      <c r="F26" s="240"/>
      <c r="G26" s="240"/>
      <c r="H26" s="240"/>
    </row>
    <row r="27" spans="1:8" ht="12.6" customHeight="1">
      <c r="A27" s="237">
        <v>11</v>
      </c>
      <c r="B27" s="229">
        <f>IF(A27&gt;C9,0,SUM(C184:C195)*($C$6/$C$7))</f>
        <v>0</v>
      </c>
      <c r="C27" s="252">
        <f>IF(A27&gt;C9,0,(E183+K183)*$C$8)</f>
        <v>0</v>
      </c>
      <c r="D27" s="1293">
        <f t="shared" si="0"/>
        <v>0</v>
      </c>
      <c r="E27" s="1293"/>
      <c r="F27" s="240"/>
      <c r="G27" s="240"/>
      <c r="H27" s="240"/>
    </row>
    <row r="28" spans="1:8" ht="12.6" customHeight="1">
      <c r="A28" s="237">
        <v>12</v>
      </c>
      <c r="B28" s="229">
        <f>IF(A28&gt;C9,0,SUM(C196:C207)*($C$6/$C$7))</f>
        <v>0</v>
      </c>
      <c r="C28" s="252">
        <f>IF(A28&gt;C9,0,(E195+K195)*$C$8)</f>
        <v>0</v>
      </c>
      <c r="D28" s="1293">
        <f t="shared" si="0"/>
        <v>0</v>
      </c>
      <c r="E28" s="1293"/>
      <c r="F28" s="240"/>
      <c r="G28" s="240"/>
      <c r="H28" s="240"/>
    </row>
    <row r="29" spans="1:8" ht="12.6" customHeight="1">
      <c r="A29" s="237">
        <v>13</v>
      </c>
      <c r="B29" s="229">
        <f>IF(A29&gt;C9,0,SUM(C208:C219)*($C$6/$C$7))</f>
        <v>0</v>
      </c>
      <c r="C29" s="252">
        <f>IF(A29&gt;C9,0,(E207+K207)*$C$8)</f>
        <v>0</v>
      </c>
      <c r="D29" s="1293">
        <f t="shared" si="0"/>
        <v>0</v>
      </c>
      <c r="E29" s="1293"/>
      <c r="F29" s="240"/>
      <c r="G29" s="240"/>
      <c r="H29" s="240"/>
    </row>
    <row r="30" spans="1:8" ht="12.6" customHeight="1">
      <c r="A30" s="237">
        <v>14</v>
      </c>
      <c r="B30" s="229">
        <f>IF(A30&gt;C9,0,SUM(C220:C231)*($C$6/$C$7))</f>
        <v>0</v>
      </c>
      <c r="C30" s="252">
        <f>IF(A30&gt;C9,0,(E219+K219)*$C$8)</f>
        <v>0</v>
      </c>
      <c r="D30" s="1293">
        <f t="shared" si="0"/>
        <v>0</v>
      </c>
      <c r="E30" s="1293"/>
      <c r="F30" s="240"/>
      <c r="G30" s="240"/>
      <c r="H30" s="240"/>
    </row>
    <row r="31" spans="1:8" ht="12.6" customHeight="1">
      <c r="A31" s="237">
        <v>15</v>
      </c>
      <c r="B31" s="229">
        <f>IF(A31&gt;C9,0,SUM(C232:C243)*($C$6/$C$7))</f>
        <v>0</v>
      </c>
      <c r="C31" s="252">
        <f>IF(A31&gt;C9,0,(E231+K231)*$C$8)</f>
        <v>0</v>
      </c>
      <c r="D31" s="1294">
        <f t="shared" si="0"/>
        <v>0</v>
      </c>
      <c r="E31" s="1294"/>
      <c r="F31" s="240"/>
      <c r="G31" s="240"/>
      <c r="H31" s="240"/>
    </row>
    <row r="32" spans="1:8" ht="12.6" customHeight="1">
      <c r="A32" s="239">
        <v>16</v>
      </c>
      <c r="B32" s="231">
        <f>IF(A32&gt;C9,0,SUM(C244:C255)*($C$6/$C$7))</f>
        <v>0</v>
      </c>
      <c r="C32" s="256">
        <f>IF(A32&gt;C9,0,(E243+K243)*$C$8)</f>
        <v>0</v>
      </c>
      <c r="D32" s="1293">
        <f t="shared" si="0"/>
        <v>0</v>
      </c>
      <c r="E32" s="1293"/>
      <c r="F32" s="240"/>
      <c r="G32" s="240"/>
      <c r="H32" s="240"/>
    </row>
    <row r="33" spans="1:8" ht="12.6" customHeight="1">
      <c r="A33" s="232">
        <v>17</v>
      </c>
      <c r="B33" s="233">
        <f>IF(A33&gt;C9,0,SUM(C256:C267)*($C$6/$C$7))</f>
        <v>0</v>
      </c>
      <c r="C33" s="234">
        <f>IF(A33&gt;C9,0,(E255+K255)*$C$8)</f>
        <v>0</v>
      </c>
      <c r="D33" s="1293">
        <f t="shared" si="0"/>
        <v>0</v>
      </c>
      <c r="E33" s="1293"/>
      <c r="F33" s="240"/>
      <c r="G33" s="240"/>
      <c r="H33" s="240"/>
    </row>
    <row r="34" spans="1:8" ht="12.6" customHeight="1">
      <c r="A34" s="232">
        <v>18</v>
      </c>
      <c r="B34" s="233">
        <f>IF(A34&gt;C9,0,SUM(C268:C279)*($C$6/$C$7))</f>
        <v>0</v>
      </c>
      <c r="C34" s="234">
        <f>IF(A34&gt;C9,0,(E267+K267)*$C$8)</f>
        <v>0</v>
      </c>
      <c r="D34" s="1293">
        <f t="shared" si="0"/>
        <v>0</v>
      </c>
      <c r="E34" s="1293"/>
      <c r="F34" s="240"/>
      <c r="G34" s="240"/>
      <c r="H34" s="240"/>
    </row>
    <row r="35" spans="1:8" ht="12.6" customHeight="1">
      <c r="A35" s="232">
        <v>19</v>
      </c>
      <c r="B35" s="233">
        <f>IF(A35&gt;C9,0,SUM(C280:C291)*($C$6/$C$7))</f>
        <v>0</v>
      </c>
      <c r="C35" s="234">
        <f>IF(A35&gt;C9,0,(E279+K279)*$C$8)</f>
        <v>0</v>
      </c>
      <c r="D35" s="1293">
        <f t="shared" si="0"/>
        <v>0</v>
      </c>
      <c r="E35" s="1293"/>
      <c r="F35" s="240"/>
      <c r="G35" s="240"/>
      <c r="H35" s="240"/>
    </row>
    <row r="36" spans="1:8" ht="12.6" customHeight="1">
      <c r="A36" s="235">
        <v>20</v>
      </c>
      <c r="B36" s="236">
        <f>IF(A36&gt;C9,0,SUM(C292:C303)*($C$6/$C$7))</f>
        <v>0</v>
      </c>
      <c r="C36" s="255">
        <f>IF(A36&gt;C9,0,(E291+K291)*$C$8)</f>
        <v>0</v>
      </c>
      <c r="D36" s="1294">
        <f t="shared" si="0"/>
        <v>0</v>
      </c>
      <c r="E36" s="1294"/>
      <c r="F36" s="240"/>
      <c r="G36" s="240"/>
      <c r="H36" s="240"/>
    </row>
    <row r="37" spans="1:8" ht="12.6" customHeight="1">
      <c r="A37" s="94">
        <v>21</v>
      </c>
      <c r="B37" s="231">
        <f>IF(A37&gt;C9,0,SUM(C293:C304)*($C$6/$C$7))</f>
        <v>0</v>
      </c>
      <c r="C37" s="256">
        <f>IF(A37&gt;C9,0,(E303+K303)*$C$8)</f>
        <v>0</v>
      </c>
      <c r="D37" s="1296">
        <f t="shared" si="0"/>
        <v>0</v>
      </c>
      <c r="E37" s="1296"/>
      <c r="F37" s="240"/>
      <c r="G37" s="240"/>
      <c r="H37" s="240"/>
    </row>
    <row r="38" spans="1:8" ht="12.6" customHeight="1">
      <c r="A38" s="94">
        <v>22</v>
      </c>
      <c r="B38" s="233">
        <f>IF(A38&gt;C9,0,SUM(C294:C305)*($C$6/$C$7))</f>
        <v>0</v>
      </c>
      <c r="C38" s="234">
        <f>IF(A38&gt;C9,0,(E315+K315)*$C$8)</f>
        <v>0</v>
      </c>
      <c r="D38" s="1293">
        <f t="shared" si="0"/>
        <v>0</v>
      </c>
      <c r="E38" s="1293"/>
      <c r="F38" s="240"/>
      <c r="G38" s="240"/>
      <c r="H38" s="240"/>
    </row>
    <row r="39" spans="1:8" ht="12.6" customHeight="1">
      <c r="A39" s="94">
        <v>23</v>
      </c>
      <c r="B39" s="233">
        <f>IF(A39&gt;C9,0,SUM(C295:C306)*($C$6/$C$7))</f>
        <v>0</v>
      </c>
      <c r="C39" s="234">
        <f>IF(A39&gt;C9,0,(E327+K327)*$C$8)</f>
        <v>0</v>
      </c>
      <c r="D39" s="1293">
        <f t="shared" si="0"/>
        <v>0</v>
      </c>
      <c r="E39" s="1293"/>
      <c r="F39" s="240"/>
      <c r="G39" s="240"/>
      <c r="H39" s="240"/>
    </row>
    <row r="40" spans="1:8" ht="12.6" customHeight="1">
      <c r="A40" s="94">
        <v>24</v>
      </c>
      <c r="B40" s="233">
        <f>IF(A40&gt;C9,0,SUM(C296:C307)*($C$6/$C$7))</f>
        <v>0</v>
      </c>
      <c r="C40" s="234">
        <f>IF(A40&gt;C9,0,(E339+K339)*$C$8)</f>
        <v>0</v>
      </c>
      <c r="D40" s="1293">
        <f t="shared" si="0"/>
        <v>0</v>
      </c>
      <c r="E40" s="1293"/>
      <c r="F40" s="240"/>
      <c r="G40" s="240"/>
      <c r="H40" s="240"/>
    </row>
    <row r="41" spans="1:8" ht="12.6" customHeight="1">
      <c r="A41" s="94">
        <v>25</v>
      </c>
      <c r="B41" s="236">
        <f>IF(A41&gt;C9,0,SUM(C297:C308)*($C$6/$C$7))</f>
        <v>0</v>
      </c>
      <c r="C41" s="255">
        <f>IF(A41&gt;C9,0,(E351+K351)*$C$8)</f>
        <v>0</v>
      </c>
      <c r="D41" s="1294">
        <f t="shared" si="0"/>
        <v>0</v>
      </c>
      <c r="E41" s="1294"/>
      <c r="F41" s="240"/>
      <c r="G41" s="240"/>
      <c r="H41" s="240"/>
    </row>
    <row r="42" spans="1:8" ht="12.6" customHeight="1">
      <c r="A42" s="230">
        <v>26</v>
      </c>
      <c r="B42" s="231">
        <f>IF(A42&gt;C9,0,SUM(C298:C309)*($C$6/$C$7))</f>
        <v>0</v>
      </c>
      <c r="C42" s="256">
        <f>IF(A42&gt;C9,0,(E363+K363)*$C$8)</f>
        <v>0</v>
      </c>
      <c r="D42" s="1296">
        <f t="shared" si="0"/>
        <v>0</v>
      </c>
      <c r="E42" s="1296"/>
      <c r="F42" s="240"/>
      <c r="G42" s="240"/>
      <c r="H42" s="240"/>
    </row>
    <row r="43" spans="1:8" ht="12.6" customHeight="1">
      <c r="A43" s="232">
        <v>27</v>
      </c>
      <c r="B43" s="233">
        <f>IF(A43&gt;C9,0,SUM(C299:C310)*($C$6/$C$7))</f>
        <v>0</v>
      </c>
      <c r="C43" s="234">
        <f>IF(A43&gt;C9,0,(E375+K375)*$C$8)</f>
        <v>0</v>
      </c>
      <c r="D43" s="1293">
        <f t="shared" si="0"/>
        <v>0</v>
      </c>
      <c r="E43" s="1293"/>
      <c r="F43" s="240"/>
      <c r="G43" s="240"/>
      <c r="H43" s="240"/>
    </row>
    <row r="44" spans="1:8" ht="12.6" customHeight="1">
      <c r="A44" s="232">
        <v>28</v>
      </c>
      <c r="B44" s="233">
        <f>IF(A44&gt;C9,0,SUM(C300:C311)*($C$6/$C$7))</f>
        <v>0</v>
      </c>
      <c r="C44" s="234">
        <f>IF(A44&gt;C9,0,(E387+K387)*$C$8)</f>
        <v>0</v>
      </c>
      <c r="D44" s="1293">
        <f t="shared" si="0"/>
        <v>0</v>
      </c>
      <c r="E44" s="1293"/>
      <c r="F44" s="240"/>
      <c r="G44" s="240"/>
      <c r="H44" s="240"/>
    </row>
    <row r="45" spans="1:8" ht="12.6" customHeight="1">
      <c r="A45" s="232">
        <v>29</v>
      </c>
      <c r="B45" s="233">
        <f>IF(A45&gt;C9,0,SUM(C301:C312)*($C$6/$C$7))</f>
        <v>0</v>
      </c>
      <c r="C45" s="234">
        <f>IF(A45&gt;C9,0,(E411+K411)*$C$8)</f>
        <v>0</v>
      </c>
      <c r="D45" s="1293">
        <f t="shared" si="0"/>
        <v>0</v>
      </c>
      <c r="E45" s="1293"/>
      <c r="F45" s="240"/>
      <c r="G45" s="240"/>
      <c r="H45" s="240"/>
    </row>
    <row r="46" spans="1:8" ht="12.6" customHeight="1">
      <c r="A46" s="235">
        <v>30</v>
      </c>
      <c r="B46" s="236">
        <f>IF(A46&gt;C9,0,SUM(C302:C313)*($C$6/$C$7))</f>
        <v>0</v>
      </c>
      <c r="C46" s="255">
        <f>IF(A46&gt;C9,0,(E423+K423)*$C$8)</f>
        <v>0</v>
      </c>
      <c r="D46" s="1294">
        <f t="shared" si="0"/>
        <v>0</v>
      </c>
      <c r="E46" s="1294"/>
      <c r="F46" s="240"/>
      <c r="G46" s="240"/>
      <c r="H46" s="240"/>
    </row>
    <row r="47" spans="1:8" ht="12.6" customHeight="1">
      <c r="A47" s="239">
        <v>31</v>
      </c>
      <c r="B47" s="231">
        <f>IF(A47&gt;C9,0,SUM(C303:C314)*($C$6/$C$7))</f>
        <v>0</v>
      </c>
      <c r="C47" s="256">
        <f>IF(A47&gt;C9,0,(E435+K435)*$C$8)</f>
        <v>0</v>
      </c>
      <c r="D47" s="1296">
        <f t="shared" si="0"/>
        <v>0</v>
      </c>
      <c r="E47" s="1296"/>
      <c r="F47" s="240"/>
      <c r="G47" s="240"/>
      <c r="H47" s="240"/>
    </row>
    <row r="48" spans="1:8" ht="12.6" customHeight="1">
      <c r="A48" s="232">
        <v>32</v>
      </c>
      <c r="B48" s="233">
        <f>IF(A48&gt;C9,0,SUM(C304:C315)*($C$6/$C$7))</f>
        <v>0</v>
      </c>
      <c r="C48" s="234">
        <f>IF(A48&gt;C9,0,(E447+K447)*$C$8)</f>
        <v>0</v>
      </c>
      <c r="D48" s="1293">
        <f t="shared" si="0"/>
        <v>0</v>
      </c>
      <c r="E48" s="1293"/>
      <c r="F48" s="240"/>
      <c r="G48" s="240"/>
      <c r="H48" s="240"/>
    </row>
    <row r="49" spans="1:12" ht="12.6" customHeight="1">
      <c r="A49" s="232">
        <v>33</v>
      </c>
      <c r="B49" s="233">
        <f>IF(A49&gt;C9,0,SUM(C305:C316)*($C$6/$C$7))</f>
        <v>0</v>
      </c>
      <c r="C49" s="234">
        <f>IF(A49&gt;C9,0,(E459+K459)*$C$8)</f>
        <v>0</v>
      </c>
      <c r="D49" s="1293">
        <f t="shared" si="0"/>
        <v>0</v>
      </c>
      <c r="E49" s="1293"/>
      <c r="F49" s="240"/>
      <c r="G49" s="240"/>
      <c r="H49" s="240"/>
    </row>
    <row r="50" spans="1:12" ht="12.6" customHeight="1">
      <c r="A50" s="232">
        <v>34</v>
      </c>
      <c r="B50" s="233">
        <f>IF(A50&gt;C9,0,SUM(C306:C317)*($C$6/$C$7))</f>
        <v>0</v>
      </c>
      <c r="C50" s="234">
        <f>IF(A50&gt;C9,0,(E471+K471)*$C$8)</f>
        <v>0</v>
      </c>
      <c r="D50" s="1293">
        <f t="shared" si="0"/>
        <v>0</v>
      </c>
      <c r="E50" s="1293"/>
      <c r="F50" s="240"/>
      <c r="G50" s="240"/>
      <c r="H50" s="240"/>
    </row>
    <row r="51" spans="1:12" ht="12.6" customHeight="1">
      <c r="A51" s="235">
        <v>35</v>
      </c>
      <c r="B51" s="236">
        <f>IF(A51&gt;C9,0,SUM(C307:C318)*($C$6/$C$7))</f>
        <v>0</v>
      </c>
      <c r="C51" s="255">
        <f>IF(A51&gt;C9,0,(E483+K483)*$C$8)</f>
        <v>0</v>
      </c>
      <c r="D51" s="1294">
        <f t="shared" si="0"/>
        <v>0</v>
      </c>
      <c r="E51" s="1294"/>
      <c r="F51" s="240"/>
      <c r="G51" s="240"/>
      <c r="H51" s="240"/>
    </row>
    <row r="52" spans="1:12" ht="12.6" customHeight="1">
      <c r="A52" s="239">
        <v>36</v>
      </c>
      <c r="B52" s="231">
        <f>IF(A52&gt;C9,0,SUM(C308:C319)*($C$6/$C$7))</f>
        <v>0</v>
      </c>
      <c r="C52" s="256">
        <f>IF(A52&gt;C9,0,(E495+K495)*$C$8)</f>
        <v>0</v>
      </c>
      <c r="D52" s="1296">
        <f t="shared" si="0"/>
        <v>0</v>
      </c>
      <c r="E52" s="1296"/>
      <c r="F52" s="240"/>
      <c r="G52" s="240"/>
      <c r="H52" s="240"/>
    </row>
    <row r="53" spans="1:12" ht="12.6" customHeight="1">
      <c r="A53" s="232">
        <v>37</v>
      </c>
      <c r="B53" s="233">
        <f>IF(A53&gt;C9,0,SUM(C309:C320)*($C$6/$C$7))</f>
        <v>0</v>
      </c>
      <c r="C53" s="234">
        <f>IF(A53&gt;C9,0,(E507+K507)*$C$8)</f>
        <v>0</v>
      </c>
      <c r="D53" s="1293">
        <f t="shared" si="0"/>
        <v>0</v>
      </c>
      <c r="E53" s="1293"/>
      <c r="F53" s="240"/>
      <c r="G53" s="240"/>
      <c r="H53" s="240"/>
    </row>
    <row r="54" spans="1:12" ht="12.6" customHeight="1">
      <c r="A54" s="232">
        <v>38</v>
      </c>
      <c r="B54" s="233">
        <f>IF(A54&gt;C9,0,SUM(C310:C321)*($C$6/$C$7))</f>
        <v>0</v>
      </c>
      <c r="C54" s="234">
        <f>IF(A54&gt;C9,0,(E519+K519)*$C$8)</f>
        <v>0</v>
      </c>
      <c r="D54" s="1293">
        <f t="shared" si="0"/>
        <v>0</v>
      </c>
      <c r="E54" s="1293"/>
      <c r="F54" s="240"/>
      <c r="G54" s="240"/>
      <c r="H54" s="240"/>
    </row>
    <row r="55" spans="1:12" ht="12.6" customHeight="1">
      <c r="A55" s="232">
        <v>39</v>
      </c>
      <c r="B55" s="233">
        <f>IF(A55&gt;C9,0,SUM(C311:C322)*($C$6/$C$7))</f>
        <v>0</v>
      </c>
      <c r="C55" s="234">
        <f>IF(A55&gt;C9,0,(E531+K531)*$C$8)</f>
        <v>0</v>
      </c>
      <c r="D55" s="1293">
        <f t="shared" si="0"/>
        <v>0</v>
      </c>
      <c r="E55" s="1293"/>
      <c r="F55" s="240"/>
      <c r="G55" s="240"/>
      <c r="H55" s="240"/>
    </row>
    <row r="56" spans="1:12" ht="12.6" customHeight="1">
      <c r="A56" s="235">
        <v>40</v>
      </c>
      <c r="B56" s="236">
        <f>IF(A56&gt;C9,0,SUM(C312:C323)*($C$6/$C$7))</f>
        <v>0</v>
      </c>
      <c r="C56" s="255">
        <f>IF(A56&gt;C9,0,(E543+K543)*$C$8)</f>
        <v>0</v>
      </c>
      <c r="D56" s="1294">
        <f t="shared" si="0"/>
        <v>0</v>
      </c>
      <c r="E56" s="1294"/>
      <c r="F56" s="240"/>
      <c r="G56" s="240"/>
      <c r="H56" s="240"/>
    </row>
    <row r="57" spans="1:12" ht="3" customHeight="1">
      <c r="A57" s="240"/>
      <c r="B57" s="240"/>
      <c r="C57" s="240"/>
      <c r="D57" s="240"/>
      <c r="E57" s="240"/>
      <c r="F57" s="240"/>
      <c r="G57" s="240"/>
      <c r="H57" s="240"/>
    </row>
    <row r="58" spans="1:12" ht="13.15" customHeight="1">
      <c r="A58" s="1292" t="str">
        <f>CONCATENATE('Part I-Project Information'!$O$4," ",'Part I-Project Information'!$F$23,", ",'Part I-Project Information'!$F$27,", ",'Part I-Project Information'!$J$28," County")</f>
        <v>2014-039 Willingham Village II, Rome, Floyd County</v>
      </c>
      <c r="B58" s="1292"/>
      <c r="C58" s="1292"/>
      <c r="D58" s="1292"/>
      <c r="E58" s="1292"/>
      <c r="F58" s="1292"/>
      <c r="G58" s="1292" t="str">
        <f>CONCATENATE('Part I-Project Information'!$O$4," ",'Part I-Project Information'!$F$23,", ",'Part I-Project Information'!$F$27,", ",'Part I-Project Information'!$J$28," County")</f>
        <v>2014-039 Willingham Village II, Rome, Floyd County</v>
      </c>
      <c r="H58" s="1292"/>
      <c r="I58" s="1292"/>
      <c r="J58" s="1292"/>
      <c r="K58" s="1292"/>
      <c r="L58" s="1292"/>
    </row>
    <row r="59" spans="1:12" ht="15">
      <c r="A59" s="1289" t="s">
        <v>2639</v>
      </c>
      <c r="B59" s="1289"/>
      <c r="C59" s="1289"/>
      <c r="D59" s="1289"/>
      <c r="E59" s="1289"/>
      <c r="F59" s="1289"/>
      <c r="G59" s="1289" t="s">
        <v>2639</v>
      </c>
      <c r="H59" s="1289"/>
      <c r="I59" s="1289"/>
      <c r="J59" s="1289"/>
      <c r="K59" s="1289"/>
      <c r="L59" s="1289"/>
    </row>
    <row r="60" spans="1:12" ht="6" customHeight="1">
      <c r="C60" s="238"/>
      <c r="D60" s="238"/>
      <c r="I60" s="238"/>
      <c r="J60" s="238"/>
    </row>
    <row r="61" spans="1:12">
      <c r="A61" s="241" t="s">
        <v>2640</v>
      </c>
      <c r="B61" s="242" t="s">
        <v>2641</v>
      </c>
      <c r="C61" s="242" t="s">
        <v>1380</v>
      </c>
      <c r="D61" s="242" t="s">
        <v>2642</v>
      </c>
      <c r="E61" s="241" t="s">
        <v>2643</v>
      </c>
      <c r="F61" s="270" t="s">
        <v>2648</v>
      </c>
      <c r="G61" s="241" t="s">
        <v>2640</v>
      </c>
      <c r="H61" s="242" t="s">
        <v>2641</v>
      </c>
      <c r="I61" s="242" t="s">
        <v>1380</v>
      </c>
      <c r="J61" s="242" t="s">
        <v>2642</v>
      </c>
      <c r="K61" s="241" t="s">
        <v>2643</v>
      </c>
      <c r="L61" s="270" t="s">
        <v>2648</v>
      </c>
    </row>
    <row r="62" spans="1:12" ht="3.6" customHeight="1">
      <c r="A62" s="244"/>
      <c r="B62" s="137"/>
      <c r="C62" s="137"/>
      <c r="D62" s="137"/>
      <c r="E62" s="137"/>
      <c r="F62" s="94"/>
      <c r="G62" s="244"/>
      <c r="H62" s="137"/>
      <c r="I62" s="137"/>
      <c r="J62" s="137"/>
      <c r="K62" s="137"/>
      <c r="L62" s="94"/>
    </row>
    <row r="63" spans="1:12">
      <c r="A63" s="245" t="s">
        <v>2644</v>
      </c>
      <c r="B63" s="246"/>
      <c r="C63" s="246"/>
      <c r="D63" s="246"/>
      <c r="E63" s="247">
        <f>IF($C$5&gt;1500000,$D$5,$C$5)</f>
        <v>0</v>
      </c>
      <c r="F63" s="94"/>
      <c r="G63" s="245" t="s">
        <v>2644</v>
      </c>
      <c r="H63" s="246"/>
      <c r="I63" s="246"/>
      <c r="J63" s="246"/>
      <c r="K63" s="247">
        <f>IF($C$5&gt;1500000,$E$5,0)</f>
        <v>0</v>
      </c>
      <c r="L63" s="94"/>
    </row>
    <row r="64" spans="1:12">
      <c r="A64" s="248">
        <v>1</v>
      </c>
      <c r="B64" s="249">
        <f t="shared" ref="B64:B127" si="1">IF(A64&gt;12*$C$9,0,IF($C$5&gt;1500000,$D$12,$C$12))</f>
        <v>0</v>
      </c>
      <c r="C64" s="249">
        <f t="shared" ref="C64:C127" si="2">IF(A64&gt;12*$C$9,0,E63*$C$7/12)</f>
        <v>0</v>
      </c>
      <c r="D64" s="249">
        <f t="shared" ref="D64:D127" si="3">IF(A64&gt;12*$C$9,0,B64-C64)</f>
        <v>0</v>
      </c>
      <c r="E64" s="249">
        <f t="shared" ref="E64:E127" si="4">IF(A64&gt;12*$C$9,0,E63-D64)</f>
        <v>0</v>
      </c>
      <c r="F64" s="248"/>
      <c r="G64" s="248">
        <v>1</v>
      </c>
      <c r="H64" s="249">
        <f t="shared" ref="H64:H127" si="5">IF(G64&gt;12*$C$9,0,IF($C$5&gt;1500000,$E$12,0))</f>
        <v>0</v>
      </c>
      <c r="I64" s="249">
        <f t="shared" ref="I64:I127" si="6">IF(G64&gt;12*$C$9,0,K63*$C$7/12)</f>
        <v>0</v>
      </c>
      <c r="J64" s="249">
        <f t="shared" ref="J64:J127" si="7">IF(G64&gt;12*$C$9,0,H64-I64)</f>
        <v>0</v>
      </c>
      <c r="K64" s="249">
        <f t="shared" ref="K64:K127" si="8">IF(G64&gt;12*$C$9,0,K63-J64)</f>
        <v>0</v>
      </c>
      <c r="L64" s="248"/>
    </row>
    <row r="65" spans="1:12">
      <c r="A65" s="248">
        <v>2</v>
      </c>
      <c r="B65" s="249">
        <f t="shared" si="1"/>
        <v>0</v>
      </c>
      <c r="C65" s="249">
        <f t="shared" si="2"/>
        <v>0</v>
      </c>
      <c r="D65" s="249">
        <f t="shared" si="3"/>
        <v>0</v>
      </c>
      <c r="E65" s="249">
        <f t="shared" si="4"/>
        <v>0</v>
      </c>
      <c r="F65" s="248"/>
      <c r="G65" s="248">
        <v>2</v>
      </c>
      <c r="H65" s="249">
        <f t="shared" si="5"/>
        <v>0</v>
      </c>
      <c r="I65" s="249">
        <f t="shared" si="6"/>
        <v>0</v>
      </c>
      <c r="J65" s="249">
        <f t="shared" si="7"/>
        <v>0</v>
      </c>
      <c r="K65" s="249">
        <f t="shared" si="8"/>
        <v>0</v>
      </c>
      <c r="L65" s="248"/>
    </row>
    <row r="66" spans="1:12">
      <c r="A66" s="248">
        <v>3</v>
      </c>
      <c r="B66" s="249">
        <f t="shared" si="1"/>
        <v>0</v>
      </c>
      <c r="C66" s="249">
        <f t="shared" si="2"/>
        <v>0</v>
      </c>
      <c r="D66" s="249">
        <f t="shared" si="3"/>
        <v>0</v>
      </c>
      <c r="E66" s="249">
        <f t="shared" si="4"/>
        <v>0</v>
      </c>
      <c r="F66" s="248"/>
      <c r="G66" s="248">
        <v>3</v>
      </c>
      <c r="H66" s="249">
        <f t="shared" si="5"/>
        <v>0</v>
      </c>
      <c r="I66" s="249">
        <f t="shared" si="6"/>
        <v>0</v>
      </c>
      <c r="J66" s="249">
        <f t="shared" si="7"/>
        <v>0</v>
      </c>
      <c r="K66" s="249">
        <f t="shared" si="8"/>
        <v>0</v>
      </c>
      <c r="L66" s="248"/>
    </row>
    <row r="67" spans="1:12">
      <c r="A67" s="248">
        <v>4</v>
      </c>
      <c r="B67" s="249">
        <f t="shared" si="1"/>
        <v>0</v>
      </c>
      <c r="C67" s="249">
        <f t="shared" si="2"/>
        <v>0</v>
      </c>
      <c r="D67" s="249">
        <f t="shared" si="3"/>
        <v>0</v>
      </c>
      <c r="E67" s="249">
        <f t="shared" si="4"/>
        <v>0</v>
      </c>
      <c r="F67" s="248"/>
      <c r="G67" s="248">
        <v>4</v>
      </c>
      <c r="H67" s="249">
        <f t="shared" si="5"/>
        <v>0</v>
      </c>
      <c r="I67" s="249">
        <f t="shared" si="6"/>
        <v>0</v>
      </c>
      <c r="J67" s="249">
        <f t="shared" si="7"/>
        <v>0</v>
      </c>
      <c r="K67" s="249">
        <f t="shared" si="8"/>
        <v>0</v>
      </c>
      <c r="L67" s="248"/>
    </row>
    <row r="68" spans="1:12">
      <c r="A68" s="248">
        <v>5</v>
      </c>
      <c r="B68" s="249">
        <f t="shared" si="1"/>
        <v>0</v>
      </c>
      <c r="C68" s="249">
        <f t="shared" si="2"/>
        <v>0</v>
      </c>
      <c r="D68" s="249">
        <f t="shared" si="3"/>
        <v>0</v>
      </c>
      <c r="E68" s="249">
        <f t="shared" si="4"/>
        <v>0</v>
      </c>
      <c r="F68" s="248"/>
      <c r="G68" s="248">
        <v>5</v>
      </c>
      <c r="H68" s="249">
        <f t="shared" si="5"/>
        <v>0</v>
      </c>
      <c r="I68" s="249">
        <f t="shared" si="6"/>
        <v>0</v>
      </c>
      <c r="J68" s="249">
        <f t="shared" si="7"/>
        <v>0</v>
      </c>
      <c r="K68" s="249">
        <f t="shared" si="8"/>
        <v>0</v>
      </c>
      <c r="L68" s="248"/>
    </row>
    <row r="69" spans="1:12">
      <c r="A69" s="248">
        <v>6</v>
      </c>
      <c r="B69" s="249">
        <f t="shared" si="1"/>
        <v>0</v>
      </c>
      <c r="C69" s="249">
        <f t="shared" si="2"/>
        <v>0</v>
      </c>
      <c r="D69" s="249">
        <f t="shared" si="3"/>
        <v>0</v>
      </c>
      <c r="E69" s="249">
        <f t="shared" si="4"/>
        <v>0</v>
      </c>
      <c r="F69" s="248"/>
      <c r="G69" s="248">
        <v>6</v>
      </c>
      <c r="H69" s="249">
        <f t="shared" si="5"/>
        <v>0</v>
      </c>
      <c r="I69" s="249">
        <f t="shared" si="6"/>
        <v>0</v>
      </c>
      <c r="J69" s="249">
        <f t="shared" si="7"/>
        <v>0</v>
      </c>
      <c r="K69" s="249">
        <f t="shared" si="8"/>
        <v>0</v>
      </c>
      <c r="L69" s="248"/>
    </row>
    <row r="70" spans="1:12">
      <c r="A70" s="248">
        <v>7</v>
      </c>
      <c r="B70" s="249">
        <f t="shared" si="1"/>
        <v>0</v>
      </c>
      <c r="C70" s="249">
        <f t="shared" si="2"/>
        <v>0</v>
      </c>
      <c r="D70" s="249">
        <f t="shared" si="3"/>
        <v>0</v>
      </c>
      <c r="E70" s="249">
        <f t="shared" si="4"/>
        <v>0</v>
      </c>
      <c r="F70" s="248"/>
      <c r="G70" s="248">
        <v>7</v>
      </c>
      <c r="H70" s="249">
        <f t="shared" si="5"/>
        <v>0</v>
      </c>
      <c r="I70" s="249">
        <f t="shared" si="6"/>
        <v>0</v>
      </c>
      <c r="J70" s="249">
        <f t="shared" si="7"/>
        <v>0</v>
      </c>
      <c r="K70" s="249">
        <f t="shared" si="8"/>
        <v>0</v>
      </c>
      <c r="L70" s="248"/>
    </row>
    <row r="71" spans="1:12">
      <c r="A71" s="248">
        <v>8</v>
      </c>
      <c r="B71" s="249">
        <f t="shared" si="1"/>
        <v>0</v>
      </c>
      <c r="C71" s="249">
        <f t="shared" si="2"/>
        <v>0</v>
      </c>
      <c r="D71" s="249">
        <f t="shared" si="3"/>
        <v>0</v>
      </c>
      <c r="E71" s="249">
        <f t="shared" si="4"/>
        <v>0</v>
      </c>
      <c r="F71" s="248"/>
      <c r="G71" s="248">
        <v>8</v>
      </c>
      <c r="H71" s="249">
        <f t="shared" si="5"/>
        <v>0</v>
      </c>
      <c r="I71" s="249">
        <f t="shared" si="6"/>
        <v>0</v>
      </c>
      <c r="J71" s="249">
        <f t="shared" si="7"/>
        <v>0</v>
      </c>
      <c r="K71" s="249">
        <f t="shared" si="8"/>
        <v>0</v>
      </c>
      <c r="L71" s="248"/>
    </row>
    <row r="72" spans="1:12">
      <c r="A72" s="248">
        <v>9</v>
      </c>
      <c r="B72" s="249">
        <f t="shared" si="1"/>
        <v>0</v>
      </c>
      <c r="C72" s="249">
        <f t="shared" si="2"/>
        <v>0</v>
      </c>
      <c r="D72" s="249">
        <f t="shared" si="3"/>
        <v>0</v>
      </c>
      <c r="E72" s="249">
        <f t="shared" si="4"/>
        <v>0</v>
      </c>
      <c r="F72" s="248"/>
      <c r="G72" s="248">
        <v>9</v>
      </c>
      <c r="H72" s="249">
        <f t="shared" si="5"/>
        <v>0</v>
      </c>
      <c r="I72" s="249">
        <f t="shared" si="6"/>
        <v>0</v>
      </c>
      <c r="J72" s="249">
        <f t="shared" si="7"/>
        <v>0</v>
      </c>
      <c r="K72" s="249">
        <f t="shared" si="8"/>
        <v>0</v>
      </c>
      <c r="L72" s="248"/>
    </row>
    <row r="73" spans="1:12">
      <c r="A73" s="248">
        <v>10</v>
      </c>
      <c r="B73" s="249">
        <f t="shared" si="1"/>
        <v>0</v>
      </c>
      <c r="C73" s="249">
        <f t="shared" si="2"/>
        <v>0</v>
      </c>
      <c r="D73" s="249">
        <f t="shared" si="3"/>
        <v>0</v>
      </c>
      <c r="E73" s="249">
        <f t="shared" si="4"/>
        <v>0</v>
      </c>
      <c r="F73" s="248"/>
      <c r="G73" s="248">
        <v>10</v>
      </c>
      <c r="H73" s="249">
        <f t="shared" si="5"/>
        <v>0</v>
      </c>
      <c r="I73" s="249">
        <f t="shared" si="6"/>
        <v>0</v>
      </c>
      <c r="J73" s="249">
        <f t="shared" si="7"/>
        <v>0</v>
      </c>
      <c r="K73" s="249">
        <f t="shared" si="8"/>
        <v>0</v>
      </c>
      <c r="L73" s="248"/>
    </row>
    <row r="74" spans="1:12">
      <c r="A74" s="248">
        <v>11</v>
      </c>
      <c r="B74" s="249">
        <f t="shared" si="1"/>
        <v>0</v>
      </c>
      <c r="C74" s="249">
        <f t="shared" si="2"/>
        <v>0</v>
      </c>
      <c r="D74" s="249">
        <f t="shared" si="3"/>
        <v>0</v>
      </c>
      <c r="E74" s="249">
        <f t="shared" si="4"/>
        <v>0</v>
      </c>
      <c r="F74" s="248"/>
      <c r="G74" s="248">
        <v>11</v>
      </c>
      <c r="H74" s="249">
        <f t="shared" si="5"/>
        <v>0</v>
      </c>
      <c r="I74" s="249">
        <f t="shared" si="6"/>
        <v>0</v>
      </c>
      <c r="J74" s="249">
        <f t="shared" si="7"/>
        <v>0</v>
      </c>
      <c r="K74" s="249">
        <f t="shared" si="8"/>
        <v>0</v>
      </c>
      <c r="L74" s="248"/>
    </row>
    <row r="75" spans="1:12">
      <c r="A75" s="248">
        <v>12</v>
      </c>
      <c r="B75" s="249">
        <f t="shared" si="1"/>
        <v>0</v>
      </c>
      <c r="C75" s="249">
        <f t="shared" si="2"/>
        <v>0</v>
      </c>
      <c r="D75" s="249">
        <f t="shared" si="3"/>
        <v>0</v>
      </c>
      <c r="E75" s="249">
        <f t="shared" si="4"/>
        <v>0</v>
      </c>
      <c r="F75" s="248">
        <v>1</v>
      </c>
      <c r="G75" s="248">
        <v>12</v>
      </c>
      <c r="H75" s="249">
        <f t="shared" si="5"/>
        <v>0</v>
      </c>
      <c r="I75" s="249">
        <f t="shared" si="6"/>
        <v>0</v>
      </c>
      <c r="J75" s="249">
        <f t="shared" si="7"/>
        <v>0</v>
      </c>
      <c r="K75" s="249">
        <f t="shared" si="8"/>
        <v>0</v>
      </c>
      <c r="L75" s="248">
        <v>1</v>
      </c>
    </row>
    <row r="76" spans="1:12">
      <c r="A76" s="248">
        <v>13</v>
      </c>
      <c r="B76" s="249">
        <f t="shared" si="1"/>
        <v>0</v>
      </c>
      <c r="C76" s="249">
        <f t="shared" si="2"/>
        <v>0</v>
      </c>
      <c r="D76" s="249">
        <f t="shared" si="3"/>
        <v>0</v>
      </c>
      <c r="E76" s="249">
        <f t="shared" si="4"/>
        <v>0</v>
      </c>
      <c r="F76" s="248"/>
      <c r="G76" s="248">
        <v>13</v>
      </c>
      <c r="H76" s="249">
        <f t="shared" si="5"/>
        <v>0</v>
      </c>
      <c r="I76" s="249">
        <f t="shared" si="6"/>
        <v>0</v>
      </c>
      <c r="J76" s="249">
        <f t="shared" si="7"/>
        <v>0</v>
      </c>
      <c r="K76" s="249">
        <f t="shared" si="8"/>
        <v>0</v>
      </c>
      <c r="L76" s="248"/>
    </row>
    <row r="77" spans="1:12">
      <c r="A77" s="248">
        <v>14</v>
      </c>
      <c r="B77" s="249">
        <f t="shared" si="1"/>
        <v>0</v>
      </c>
      <c r="C77" s="249">
        <f t="shared" si="2"/>
        <v>0</v>
      </c>
      <c r="D77" s="249">
        <f t="shared" si="3"/>
        <v>0</v>
      </c>
      <c r="E77" s="249">
        <f t="shared" si="4"/>
        <v>0</v>
      </c>
      <c r="F77" s="248"/>
      <c r="G77" s="248">
        <v>14</v>
      </c>
      <c r="H77" s="249">
        <f t="shared" si="5"/>
        <v>0</v>
      </c>
      <c r="I77" s="249">
        <f t="shared" si="6"/>
        <v>0</v>
      </c>
      <c r="J77" s="249">
        <f t="shared" si="7"/>
        <v>0</v>
      </c>
      <c r="K77" s="249">
        <f t="shared" si="8"/>
        <v>0</v>
      </c>
      <c r="L77" s="248"/>
    </row>
    <row r="78" spans="1:12">
      <c r="A78" s="248">
        <v>15</v>
      </c>
      <c r="B78" s="249">
        <f t="shared" si="1"/>
        <v>0</v>
      </c>
      <c r="C78" s="249">
        <f t="shared" si="2"/>
        <v>0</v>
      </c>
      <c r="D78" s="249">
        <f t="shared" si="3"/>
        <v>0</v>
      </c>
      <c r="E78" s="249">
        <f t="shared" si="4"/>
        <v>0</v>
      </c>
      <c r="F78" s="248"/>
      <c r="G78" s="248">
        <v>15</v>
      </c>
      <c r="H78" s="249">
        <f t="shared" si="5"/>
        <v>0</v>
      </c>
      <c r="I78" s="249">
        <f t="shared" si="6"/>
        <v>0</v>
      </c>
      <c r="J78" s="249">
        <f t="shared" si="7"/>
        <v>0</v>
      </c>
      <c r="K78" s="249">
        <f t="shared" si="8"/>
        <v>0</v>
      </c>
      <c r="L78" s="248"/>
    </row>
    <row r="79" spans="1:12">
      <c r="A79" s="248">
        <v>16</v>
      </c>
      <c r="B79" s="249">
        <f t="shared" si="1"/>
        <v>0</v>
      </c>
      <c r="C79" s="249">
        <f t="shared" si="2"/>
        <v>0</v>
      </c>
      <c r="D79" s="249">
        <f t="shared" si="3"/>
        <v>0</v>
      </c>
      <c r="E79" s="249">
        <f t="shared" si="4"/>
        <v>0</v>
      </c>
      <c r="F79" s="248"/>
      <c r="G79" s="248">
        <v>16</v>
      </c>
      <c r="H79" s="249">
        <f t="shared" si="5"/>
        <v>0</v>
      </c>
      <c r="I79" s="249">
        <f t="shared" si="6"/>
        <v>0</v>
      </c>
      <c r="J79" s="249">
        <f t="shared" si="7"/>
        <v>0</v>
      </c>
      <c r="K79" s="249">
        <f t="shared" si="8"/>
        <v>0</v>
      </c>
      <c r="L79" s="248"/>
    </row>
    <row r="80" spans="1:12">
      <c r="A80" s="248">
        <v>17</v>
      </c>
      <c r="B80" s="249">
        <f t="shared" si="1"/>
        <v>0</v>
      </c>
      <c r="C80" s="249">
        <f t="shared" si="2"/>
        <v>0</v>
      </c>
      <c r="D80" s="249">
        <f t="shared" si="3"/>
        <v>0</v>
      </c>
      <c r="E80" s="249">
        <f t="shared" si="4"/>
        <v>0</v>
      </c>
      <c r="F80" s="248"/>
      <c r="G80" s="248">
        <v>17</v>
      </c>
      <c r="H80" s="249">
        <f t="shared" si="5"/>
        <v>0</v>
      </c>
      <c r="I80" s="249">
        <f t="shared" si="6"/>
        <v>0</v>
      </c>
      <c r="J80" s="249">
        <f t="shared" si="7"/>
        <v>0</v>
      </c>
      <c r="K80" s="249">
        <f t="shared" si="8"/>
        <v>0</v>
      </c>
      <c r="L80" s="248"/>
    </row>
    <row r="81" spans="1:12">
      <c r="A81" s="248">
        <v>18</v>
      </c>
      <c r="B81" s="249">
        <f t="shared" si="1"/>
        <v>0</v>
      </c>
      <c r="C81" s="249">
        <f t="shared" si="2"/>
        <v>0</v>
      </c>
      <c r="D81" s="249">
        <f t="shared" si="3"/>
        <v>0</v>
      </c>
      <c r="E81" s="249">
        <f t="shared" si="4"/>
        <v>0</v>
      </c>
      <c r="F81" s="248"/>
      <c r="G81" s="248">
        <v>18</v>
      </c>
      <c r="H81" s="249">
        <f t="shared" si="5"/>
        <v>0</v>
      </c>
      <c r="I81" s="249">
        <f t="shared" si="6"/>
        <v>0</v>
      </c>
      <c r="J81" s="249">
        <f t="shared" si="7"/>
        <v>0</v>
      </c>
      <c r="K81" s="249">
        <f t="shared" si="8"/>
        <v>0</v>
      </c>
      <c r="L81" s="248"/>
    </row>
    <row r="82" spans="1:12">
      <c r="A82" s="248">
        <v>19</v>
      </c>
      <c r="B82" s="249">
        <f t="shared" si="1"/>
        <v>0</v>
      </c>
      <c r="C82" s="249">
        <f t="shared" si="2"/>
        <v>0</v>
      </c>
      <c r="D82" s="249">
        <f t="shared" si="3"/>
        <v>0</v>
      </c>
      <c r="E82" s="249">
        <f t="shared" si="4"/>
        <v>0</v>
      </c>
      <c r="F82" s="248"/>
      <c r="G82" s="248">
        <v>19</v>
      </c>
      <c r="H82" s="249">
        <f t="shared" si="5"/>
        <v>0</v>
      </c>
      <c r="I82" s="249">
        <f t="shared" si="6"/>
        <v>0</v>
      </c>
      <c r="J82" s="249">
        <f t="shared" si="7"/>
        <v>0</v>
      </c>
      <c r="K82" s="249">
        <f t="shared" si="8"/>
        <v>0</v>
      </c>
      <c r="L82" s="248"/>
    </row>
    <row r="83" spans="1:12">
      <c r="A83" s="248">
        <v>20</v>
      </c>
      <c r="B83" s="249">
        <f t="shared" si="1"/>
        <v>0</v>
      </c>
      <c r="C83" s="249">
        <f t="shared" si="2"/>
        <v>0</v>
      </c>
      <c r="D83" s="249">
        <f t="shared" si="3"/>
        <v>0</v>
      </c>
      <c r="E83" s="249">
        <f t="shared" si="4"/>
        <v>0</v>
      </c>
      <c r="F83" s="248"/>
      <c r="G83" s="248">
        <v>20</v>
      </c>
      <c r="H83" s="249">
        <f t="shared" si="5"/>
        <v>0</v>
      </c>
      <c r="I83" s="249">
        <f t="shared" si="6"/>
        <v>0</v>
      </c>
      <c r="J83" s="249">
        <f t="shared" si="7"/>
        <v>0</v>
      </c>
      <c r="K83" s="249">
        <f t="shared" si="8"/>
        <v>0</v>
      </c>
      <c r="L83" s="248"/>
    </row>
    <row r="84" spans="1:12">
      <c r="A84" s="248">
        <v>21</v>
      </c>
      <c r="B84" s="249">
        <f t="shared" si="1"/>
        <v>0</v>
      </c>
      <c r="C84" s="249">
        <f t="shared" si="2"/>
        <v>0</v>
      </c>
      <c r="D84" s="249">
        <f t="shared" si="3"/>
        <v>0</v>
      </c>
      <c r="E84" s="249">
        <f t="shared" si="4"/>
        <v>0</v>
      </c>
      <c r="F84" s="248"/>
      <c r="G84" s="248">
        <v>21</v>
      </c>
      <c r="H84" s="249">
        <f t="shared" si="5"/>
        <v>0</v>
      </c>
      <c r="I84" s="249">
        <f t="shared" si="6"/>
        <v>0</v>
      </c>
      <c r="J84" s="249">
        <f t="shared" si="7"/>
        <v>0</v>
      </c>
      <c r="K84" s="249">
        <f t="shared" si="8"/>
        <v>0</v>
      </c>
      <c r="L84" s="248"/>
    </row>
    <row r="85" spans="1:12">
      <c r="A85" s="248">
        <v>22</v>
      </c>
      <c r="B85" s="249">
        <f t="shared" si="1"/>
        <v>0</v>
      </c>
      <c r="C85" s="249">
        <f t="shared" si="2"/>
        <v>0</v>
      </c>
      <c r="D85" s="249">
        <f t="shared" si="3"/>
        <v>0</v>
      </c>
      <c r="E85" s="249">
        <f t="shared" si="4"/>
        <v>0</v>
      </c>
      <c r="F85" s="248"/>
      <c r="G85" s="248">
        <v>22</v>
      </c>
      <c r="H85" s="249">
        <f t="shared" si="5"/>
        <v>0</v>
      </c>
      <c r="I85" s="249">
        <f t="shared" si="6"/>
        <v>0</v>
      </c>
      <c r="J85" s="249">
        <f t="shared" si="7"/>
        <v>0</v>
      </c>
      <c r="K85" s="249">
        <f t="shared" si="8"/>
        <v>0</v>
      </c>
      <c r="L85" s="248"/>
    </row>
    <row r="86" spans="1:12">
      <c r="A86" s="248">
        <v>23</v>
      </c>
      <c r="B86" s="249">
        <f t="shared" si="1"/>
        <v>0</v>
      </c>
      <c r="C86" s="249">
        <f t="shared" si="2"/>
        <v>0</v>
      </c>
      <c r="D86" s="249">
        <f t="shared" si="3"/>
        <v>0</v>
      </c>
      <c r="E86" s="249">
        <f t="shared" si="4"/>
        <v>0</v>
      </c>
      <c r="F86" s="248"/>
      <c r="G86" s="248">
        <v>23</v>
      </c>
      <c r="H86" s="249">
        <f t="shared" si="5"/>
        <v>0</v>
      </c>
      <c r="I86" s="249">
        <f t="shared" si="6"/>
        <v>0</v>
      </c>
      <c r="J86" s="249">
        <f t="shared" si="7"/>
        <v>0</v>
      </c>
      <c r="K86" s="249">
        <f t="shared" si="8"/>
        <v>0</v>
      </c>
      <c r="L86" s="248"/>
    </row>
    <row r="87" spans="1:12">
      <c r="A87" s="248">
        <v>24</v>
      </c>
      <c r="B87" s="249">
        <f t="shared" si="1"/>
        <v>0</v>
      </c>
      <c r="C87" s="249">
        <f t="shared" si="2"/>
        <v>0</v>
      </c>
      <c r="D87" s="249">
        <f t="shared" si="3"/>
        <v>0</v>
      </c>
      <c r="E87" s="249">
        <f t="shared" si="4"/>
        <v>0</v>
      </c>
      <c r="F87" s="248">
        <v>2</v>
      </c>
      <c r="G87" s="248">
        <v>24</v>
      </c>
      <c r="H87" s="249">
        <f t="shared" si="5"/>
        <v>0</v>
      </c>
      <c r="I87" s="249">
        <f t="shared" si="6"/>
        <v>0</v>
      </c>
      <c r="J87" s="249">
        <f t="shared" si="7"/>
        <v>0</v>
      </c>
      <c r="K87" s="249">
        <f t="shared" si="8"/>
        <v>0</v>
      </c>
      <c r="L87" s="248">
        <v>2</v>
      </c>
    </row>
    <row r="88" spans="1:12">
      <c r="A88" s="248">
        <v>25</v>
      </c>
      <c r="B88" s="249">
        <f t="shared" si="1"/>
        <v>0</v>
      </c>
      <c r="C88" s="249">
        <f t="shared" si="2"/>
        <v>0</v>
      </c>
      <c r="D88" s="249">
        <f t="shared" si="3"/>
        <v>0</v>
      </c>
      <c r="E88" s="249">
        <f t="shared" si="4"/>
        <v>0</v>
      </c>
      <c r="F88" s="248"/>
      <c r="G88" s="248">
        <v>25</v>
      </c>
      <c r="H88" s="249">
        <f t="shared" si="5"/>
        <v>0</v>
      </c>
      <c r="I88" s="249">
        <f t="shared" si="6"/>
        <v>0</v>
      </c>
      <c r="J88" s="249">
        <f t="shared" si="7"/>
        <v>0</v>
      </c>
      <c r="K88" s="249">
        <f t="shared" si="8"/>
        <v>0</v>
      </c>
      <c r="L88" s="248"/>
    </row>
    <row r="89" spans="1:12">
      <c r="A89" s="248">
        <v>26</v>
      </c>
      <c r="B89" s="249">
        <f t="shared" si="1"/>
        <v>0</v>
      </c>
      <c r="C89" s="249">
        <f t="shared" si="2"/>
        <v>0</v>
      </c>
      <c r="D89" s="249">
        <f t="shared" si="3"/>
        <v>0</v>
      </c>
      <c r="E89" s="249">
        <f t="shared" si="4"/>
        <v>0</v>
      </c>
      <c r="F89" s="248"/>
      <c r="G89" s="248">
        <v>26</v>
      </c>
      <c r="H89" s="249">
        <f t="shared" si="5"/>
        <v>0</v>
      </c>
      <c r="I89" s="249">
        <f t="shared" si="6"/>
        <v>0</v>
      </c>
      <c r="J89" s="249">
        <f t="shared" si="7"/>
        <v>0</v>
      </c>
      <c r="K89" s="249">
        <f t="shared" si="8"/>
        <v>0</v>
      </c>
      <c r="L89" s="248"/>
    </row>
    <row r="90" spans="1:12">
      <c r="A90" s="248">
        <v>27</v>
      </c>
      <c r="B90" s="249">
        <f t="shared" si="1"/>
        <v>0</v>
      </c>
      <c r="C90" s="249">
        <f t="shared" si="2"/>
        <v>0</v>
      </c>
      <c r="D90" s="249">
        <f t="shared" si="3"/>
        <v>0</v>
      </c>
      <c r="E90" s="249">
        <f t="shared" si="4"/>
        <v>0</v>
      </c>
      <c r="F90" s="248"/>
      <c r="G90" s="248">
        <v>27</v>
      </c>
      <c r="H90" s="249">
        <f t="shared" si="5"/>
        <v>0</v>
      </c>
      <c r="I90" s="249">
        <f t="shared" si="6"/>
        <v>0</v>
      </c>
      <c r="J90" s="249">
        <f t="shared" si="7"/>
        <v>0</v>
      </c>
      <c r="K90" s="249">
        <f t="shared" si="8"/>
        <v>0</v>
      </c>
      <c r="L90" s="248"/>
    </row>
    <row r="91" spans="1:12">
      <c r="A91" s="248">
        <v>28</v>
      </c>
      <c r="B91" s="249">
        <f t="shared" si="1"/>
        <v>0</v>
      </c>
      <c r="C91" s="249">
        <f t="shared" si="2"/>
        <v>0</v>
      </c>
      <c r="D91" s="249">
        <f t="shared" si="3"/>
        <v>0</v>
      </c>
      <c r="E91" s="249">
        <f t="shared" si="4"/>
        <v>0</v>
      </c>
      <c r="F91" s="248"/>
      <c r="G91" s="248">
        <v>28</v>
      </c>
      <c r="H91" s="249">
        <f t="shared" si="5"/>
        <v>0</v>
      </c>
      <c r="I91" s="249">
        <f t="shared" si="6"/>
        <v>0</v>
      </c>
      <c r="J91" s="249">
        <f t="shared" si="7"/>
        <v>0</v>
      </c>
      <c r="K91" s="249">
        <f t="shared" si="8"/>
        <v>0</v>
      </c>
      <c r="L91" s="248"/>
    </row>
    <row r="92" spans="1:12">
      <c r="A92" s="248">
        <v>29</v>
      </c>
      <c r="B92" s="249">
        <f t="shared" si="1"/>
        <v>0</v>
      </c>
      <c r="C92" s="249">
        <f t="shared" si="2"/>
        <v>0</v>
      </c>
      <c r="D92" s="249">
        <f t="shared" si="3"/>
        <v>0</v>
      </c>
      <c r="E92" s="249">
        <f t="shared" si="4"/>
        <v>0</v>
      </c>
      <c r="F92" s="248"/>
      <c r="G92" s="248">
        <v>29</v>
      </c>
      <c r="H92" s="249">
        <f t="shared" si="5"/>
        <v>0</v>
      </c>
      <c r="I92" s="249">
        <f t="shared" si="6"/>
        <v>0</v>
      </c>
      <c r="J92" s="249">
        <f t="shared" si="7"/>
        <v>0</v>
      </c>
      <c r="K92" s="249">
        <f t="shared" si="8"/>
        <v>0</v>
      </c>
      <c r="L92" s="248"/>
    </row>
    <row r="93" spans="1:12">
      <c r="A93" s="248">
        <v>30</v>
      </c>
      <c r="B93" s="249">
        <f t="shared" si="1"/>
        <v>0</v>
      </c>
      <c r="C93" s="249">
        <f t="shared" si="2"/>
        <v>0</v>
      </c>
      <c r="D93" s="249">
        <f t="shared" si="3"/>
        <v>0</v>
      </c>
      <c r="E93" s="249">
        <f t="shared" si="4"/>
        <v>0</v>
      </c>
      <c r="F93" s="248"/>
      <c r="G93" s="248">
        <v>30</v>
      </c>
      <c r="H93" s="249">
        <f t="shared" si="5"/>
        <v>0</v>
      </c>
      <c r="I93" s="249">
        <f t="shared" si="6"/>
        <v>0</v>
      </c>
      <c r="J93" s="249">
        <f t="shared" si="7"/>
        <v>0</v>
      </c>
      <c r="K93" s="249">
        <f t="shared" si="8"/>
        <v>0</v>
      </c>
      <c r="L93" s="248"/>
    </row>
    <row r="94" spans="1:12">
      <c r="A94" s="248">
        <v>31</v>
      </c>
      <c r="B94" s="249">
        <f t="shared" si="1"/>
        <v>0</v>
      </c>
      <c r="C94" s="249">
        <f t="shared" si="2"/>
        <v>0</v>
      </c>
      <c r="D94" s="249">
        <f t="shared" si="3"/>
        <v>0</v>
      </c>
      <c r="E94" s="249">
        <f t="shared" si="4"/>
        <v>0</v>
      </c>
      <c r="F94" s="248"/>
      <c r="G94" s="248">
        <v>31</v>
      </c>
      <c r="H94" s="249">
        <f t="shared" si="5"/>
        <v>0</v>
      </c>
      <c r="I94" s="249">
        <f t="shared" si="6"/>
        <v>0</v>
      </c>
      <c r="J94" s="249">
        <f t="shared" si="7"/>
        <v>0</v>
      </c>
      <c r="K94" s="249">
        <f t="shared" si="8"/>
        <v>0</v>
      </c>
      <c r="L94" s="248"/>
    </row>
    <row r="95" spans="1:12">
      <c r="A95" s="248">
        <v>32</v>
      </c>
      <c r="B95" s="249">
        <f t="shared" si="1"/>
        <v>0</v>
      </c>
      <c r="C95" s="249">
        <f t="shared" si="2"/>
        <v>0</v>
      </c>
      <c r="D95" s="249">
        <f t="shared" si="3"/>
        <v>0</v>
      </c>
      <c r="E95" s="249">
        <f t="shared" si="4"/>
        <v>0</v>
      </c>
      <c r="F95" s="248"/>
      <c r="G95" s="248">
        <v>32</v>
      </c>
      <c r="H95" s="249">
        <f t="shared" si="5"/>
        <v>0</v>
      </c>
      <c r="I95" s="249">
        <f t="shared" si="6"/>
        <v>0</v>
      </c>
      <c r="J95" s="249">
        <f t="shared" si="7"/>
        <v>0</v>
      </c>
      <c r="K95" s="249">
        <f t="shared" si="8"/>
        <v>0</v>
      </c>
      <c r="L95" s="248"/>
    </row>
    <row r="96" spans="1:12">
      <c r="A96" s="248">
        <v>33</v>
      </c>
      <c r="B96" s="249">
        <f t="shared" si="1"/>
        <v>0</v>
      </c>
      <c r="C96" s="249">
        <f t="shared" si="2"/>
        <v>0</v>
      </c>
      <c r="D96" s="249">
        <f t="shared" si="3"/>
        <v>0</v>
      </c>
      <c r="E96" s="249">
        <f t="shared" si="4"/>
        <v>0</v>
      </c>
      <c r="F96" s="248"/>
      <c r="G96" s="248">
        <v>33</v>
      </c>
      <c r="H96" s="249">
        <f t="shared" si="5"/>
        <v>0</v>
      </c>
      <c r="I96" s="249">
        <f t="shared" si="6"/>
        <v>0</v>
      </c>
      <c r="J96" s="249">
        <f t="shared" si="7"/>
        <v>0</v>
      </c>
      <c r="K96" s="249">
        <f t="shared" si="8"/>
        <v>0</v>
      </c>
      <c r="L96" s="248"/>
    </row>
    <row r="97" spans="1:12">
      <c r="A97" s="248">
        <v>34</v>
      </c>
      <c r="B97" s="249">
        <f t="shared" si="1"/>
        <v>0</v>
      </c>
      <c r="C97" s="249">
        <f t="shared" si="2"/>
        <v>0</v>
      </c>
      <c r="D97" s="249">
        <f t="shared" si="3"/>
        <v>0</v>
      </c>
      <c r="E97" s="249">
        <f t="shared" si="4"/>
        <v>0</v>
      </c>
      <c r="F97" s="248"/>
      <c r="G97" s="248">
        <v>34</v>
      </c>
      <c r="H97" s="249">
        <f t="shared" si="5"/>
        <v>0</v>
      </c>
      <c r="I97" s="249">
        <f t="shared" si="6"/>
        <v>0</v>
      </c>
      <c r="J97" s="249">
        <f t="shared" si="7"/>
        <v>0</v>
      </c>
      <c r="K97" s="249">
        <f t="shared" si="8"/>
        <v>0</v>
      </c>
      <c r="L97" s="248"/>
    </row>
    <row r="98" spans="1:12">
      <c r="A98" s="248">
        <v>35</v>
      </c>
      <c r="B98" s="249">
        <f t="shared" si="1"/>
        <v>0</v>
      </c>
      <c r="C98" s="249">
        <f t="shared" si="2"/>
        <v>0</v>
      </c>
      <c r="D98" s="249">
        <f t="shared" si="3"/>
        <v>0</v>
      </c>
      <c r="E98" s="249">
        <f t="shared" si="4"/>
        <v>0</v>
      </c>
      <c r="F98" s="248"/>
      <c r="G98" s="248">
        <v>35</v>
      </c>
      <c r="H98" s="249">
        <f t="shared" si="5"/>
        <v>0</v>
      </c>
      <c r="I98" s="249">
        <f t="shared" si="6"/>
        <v>0</v>
      </c>
      <c r="J98" s="249">
        <f t="shared" si="7"/>
        <v>0</v>
      </c>
      <c r="K98" s="249">
        <f t="shared" si="8"/>
        <v>0</v>
      </c>
      <c r="L98" s="248"/>
    </row>
    <row r="99" spans="1:12">
      <c r="A99" s="248">
        <v>36</v>
      </c>
      <c r="B99" s="249">
        <f t="shared" si="1"/>
        <v>0</v>
      </c>
      <c r="C99" s="249">
        <f t="shared" si="2"/>
        <v>0</v>
      </c>
      <c r="D99" s="249">
        <f t="shared" si="3"/>
        <v>0</v>
      </c>
      <c r="E99" s="249">
        <f t="shared" si="4"/>
        <v>0</v>
      </c>
      <c r="F99" s="248">
        <v>3</v>
      </c>
      <c r="G99" s="248">
        <v>36</v>
      </c>
      <c r="H99" s="249">
        <f t="shared" si="5"/>
        <v>0</v>
      </c>
      <c r="I99" s="249">
        <f t="shared" si="6"/>
        <v>0</v>
      </c>
      <c r="J99" s="249">
        <f t="shared" si="7"/>
        <v>0</v>
      </c>
      <c r="K99" s="249">
        <f t="shared" si="8"/>
        <v>0</v>
      </c>
      <c r="L99" s="248">
        <v>3</v>
      </c>
    </row>
    <row r="100" spans="1:12">
      <c r="A100" s="248">
        <v>37</v>
      </c>
      <c r="B100" s="249">
        <f t="shared" si="1"/>
        <v>0</v>
      </c>
      <c r="C100" s="249">
        <f t="shared" si="2"/>
        <v>0</v>
      </c>
      <c r="D100" s="249">
        <f t="shared" si="3"/>
        <v>0</v>
      </c>
      <c r="E100" s="249">
        <f t="shared" si="4"/>
        <v>0</v>
      </c>
      <c r="F100" s="248"/>
      <c r="G100" s="248">
        <v>37</v>
      </c>
      <c r="H100" s="249">
        <f t="shared" si="5"/>
        <v>0</v>
      </c>
      <c r="I100" s="249">
        <f t="shared" si="6"/>
        <v>0</v>
      </c>
      <c r="J100" s="249">
        <f t="shared" si="7"/>
        <v>0</v>
      </c>
      <c r="K100" s="249">
        <f t="shared" si="8"/>
        <v>0</v>
      </c>
      <c r="L100" s="248"/>
    </row>
    <row r="101" spans="1:12">
      <c r="A101" s="248">
        <v>38</v>
      </c>
      <c r="B101" s="249">
        <f t="shared" si="1"/>
        <v>0</v>
      </c>
      <c r="C101" s="249">
        <f t="shared" si="2"/>
        <v>0</v>
      </c>
      <c r="D101" s="249">
        <f t="shared" si="3"/>
        <v>0</v>
      </c>
      <c r="E101" s="249">
        <f t="shared" si="4"/>
        <v>0</v>
      </c>
      <c r="F101" s="248"/>
      <c r="G101" s="248">
        <v>38</v>
      </c>
      <c r="H101" s="249">
        <f t="shared" si="5"/>
        <v>0</v>
      </c>
      <c r="I101" s="249">
        <f t="shared" si="6"/>
        <v>0</v>
      </c>
      <c r="J101" s="249">
        <f t="shared" si="7"/>
        <v>0</v>
      </c>
      <c r="K101" s="249">
        <f t="shared" si="8"/>
        <v>0</v>
      </c>
      <c r="L101" s="248"/>
    </row>
    <row r="102" spans="1:12">
      <c r="A102" s="248">
        <v>39</v>
      </c>
      <c r="B102" s="249">
        <f t="shared" si="1"/>
        <v>0</v>
      </c>
      <c r="C102" s="249">
        <f t="shared" si="2"/>
        <v>0</v>
      </c>
      <c r="D102" s="249">
        <f t="shared" si="3"/>
        <v>0</v>
      </c>
      <c r="E102" s="249">
        <f t="shared" si="4"/>
        <v>0</v>
      </c>
      <c r="F102" s="248"/>
      <c r="G102" s="248">
        <v>39</v>
      </c>
      <c r="H102" s="249">
        <f t="shared" si="5"/>
        <v>0</v>
      </c>
      <c r="I102" s="249">
        <f t="shared" si="6"/>
        <v>0</v>
      </c>
      <c r="J102" s="249">
        <f t="shared" si="7"/>
        <v>0</v>
      </c>
      <c r="K102" s="249">
        <f t="shared" si="8"/>
        <v>0</v>
      </c>
      <c r="L102" s="248"/>
    </row>
    <row r="103" spans="1:12">
      <c r="A103" s="248">
        <v>40</v>
      </c>
      <c r="B103" s="249">
        <f t="shared" si="1"/>
        <v>0</v>
      </c>
      <c r="C103" s="249">
        <f t="shared" si="2"/>
        <v>0</v>
      </c>
      <c r="D103" s="249">
        <f t="shared" si="3"/>
        <v>0</v>
      </c>
      <c r="E103" s="249">
        <f t="shared" si="4"/>
        <v>0</v>
      </c>
      <c r="F103" s="248"/>
      <c r="G103" s="248">
        <v>40</v>
      </c>
      <c r="H103" s="249">
        <f t="shared" si="5"/>
        <v>0</v>
      </c>
      <c r="I103" s="249">
        <f t="shared" si="6"/>
        <v>0</v>
      </c>
      <c r="J103" s="249">
        <f t="shared" si="7"/>
        <v>0</v>
      </c>
      <c r="K103" s="249">
        <f t="shared" si="8"/>
        <v>0</v>
      </c>
      <c r="L103" s="248"/>
    </row>
    <row r="104" spans="1:12">
      <c r="A104" s="248">
        <v>41</v>
      </c>
      <c r="B104" s="249">
        <f t="shared" si="1"/>
        <v>0</v>
      </c>
      <c r="C104" s="249">
        <f t="shared" si="2"/>
        <v>0</v>
      </c>
      <c r="D104" s="249">
        <f t="shared" si="3"/>
        <v>0</v>
      </c>
      <c r="E104" s="249">
        <f t="shared" si="4"/>
        <v>0</v>
      </c>
      <c r="F104" s="248"/>
      <c r="G104" s="248">
        <v>41</v>
      </c>
      <c r="H104" s="249">
        <f t="shared" si="5"/>
        <v>0</v>
      </c>
      <c r="I104" s="249">
        <f t="shared" si="6"/>
        <v>0</v>
      </c>
      <c r="J104" s="249">
        <f t="shared" si="7"/>
        <v>0</v>
      </c>
      <c r="K104" s="249">
        <f t="shared" si="8"/>
        <v>0</v>
      </c>
      <c r="L104" s="248"/>
    </row>
    <row r="105" spans="1:12">
      <c r="A105" s="248">
        <v>42</v>
      </c>
      <c r="B105" s="249">
        <f t="shared" si="1"/>
        <v>0</v>
      </c>
      <c r="C105" s="249">
        <f t="shared" si="2"/>
        <v>0</v>
      </c>
      <c r="D105" s="249">
        <f t="shared" si="3"/>
        <v>0</v>
      </c>
      <c r="E105" s="249">
        <f t="shared" si="4"/>
        <v>0</v>
      </c>
      <c r="F105" s="248"/>
      <c r="G105" s="248">
        <v>42</v>
      </c>
      <c r="H105" s="249">
        <f t="shared" si="5"/>
        <v>0</v>
      </c>
      <c r="I105" s="249">
        <f t="shared" si="6"/>
        <v>0</v>
      </c>
      <c r="J105" s="249">
        <f t="shared" si="7"/>
        <v>0</v>
      </c>
      <c r="K105" s="249">
        <f t="shared" si="8"/>
        <v>0</v>
      </c>
      <c r="L105" s="248"/>
    </row>
    <row r="106" spans="1:12">
      <c r="A106" s="248">
        <v>43</v>
      </c>
      <c r="B106" s="249">
        <f t="shared" si="1"/>
        <v>0</v>
      </c>
      <c r="C106" s="249">
        <f t="shared" si="2"/>
        <v>0</v>
      </c>
      <c r="D106" s="249">
        <f t="shared" si="3"/>
        <v>0</v>
      </c>
      <c r="E106" s="249">
        <f t="shared" si="4"/>
        <v>0</v>
      </c>
      <c r="F106" s="248"/>
      <c r="G106" s="248">
        <v>43</v>
      </c>
      <c r="H106" s="249">
        <f t="shared" si="5"/>
        <v>0</v>
      </c>
      <c r="I106" s="249">
        <f t="shared" si="6"/>
        <v>0</v>
      </c>
      <c r="J106" s="249">
        <f t="shared" si="7"/>
        <v>0</v>
      </c>
      <c r="K106" s="249">
        <f t="shared" si="8"/>
        <v>0</v>
      </c>
      <c r="L106" s="248"/>
    </row>
    <row r="107" spans="1:12">
      <c r="A107" s="248">
        <v>44</v>
      </c>
      <c r="B107" s="249">
        <f t="shared" si="1"/>
        <v>0</v>
      </c>
      <c r="C107" s="249">
        <f t="shared" si="2"/>
        <v>0</v>
      </c>
      <c r="D107" s="249">
        <f t="shared" si="3"/>
        <v>0</v>
      </c>
      <c r="E107" s="249">
        <f t="shared" si="4"/>
        <v>0</v>
      </c>
      <c r="F107" s="248"/>
      <c r="G107" s="248">
        <v>44</v>
      </c>
      <c r="H107" s="249">
        <f t="shared" si="5"/>
        <v>0</v>
      </c>
      <c r="I107" s="249">
        <f t="shared" si="6"/>
        <v>0</v>
      </c>
      <c r="J107" s="249">
        <f t="shared" si="7"/>
        <v>0</v>
      </c>
      <c r="K107" s="249">
        <f t="shared" si="8"/>
        <v>0</v>
      </c>
      <c r="L107" s="248"/>
    </row>
    <row r="108" spans="1:12">
      <c r="A108" s="248">
        <v>45</v>
      </c>
      <c r="B108" s="249">
        <f t="shared" si="1"/>
        <v>0</v>
      </c>
      <c r="C108" s="249">
        <f t="shared" si="2"/>
        <v>0</v>
      </c>
      <c r="D108" s="249">
        <f t="shared" si="3"/>
        <v>0</v>
      </c>
      <c r="E108" s="249">
        <f t="shared" si="4"/>
        <v>0</v>
      </c>
      <c r="F108" s="248"/>
      <c r="G108" s="248">
        <v>45</v>
      </c>
      <c r="H108" s="249">
        <f t="shared" si="5"/>
        <v>0</v>
      </c>
      <c r="I108" s="249">
        <f t="shared" si="6"/>
        <v>0</v>
      </c>
      <c r="J108" s="249">
        <f t="shared" si="7"/>
        <v>0</v>
      </c>
      <c r="K108" s="249">
        <f t="shared" si="8"/>
        <v>0</v>
      </c>
      <c r="L108" s="248"/>
    </row>
    <row r="109" spans="1:12">
      <c r="A109" s="248">
        <v>46</v>
      </c>
      <c r="B109" s="249">
        <f t="shared" si="1"/>
        <v>0</v>
      </c>
      <c r="C109" s="249">
        <f t="shared" si="2"/>
        <v>0</v>
      </c>
      <c r="D109" s="249">
        <f t="shared" si="3"/>
        <v>0</v>
      </c>
      <c r="E109" s="249">
        <f t="shared" si="4"/>
        <v>0</v>
      </c>
      <c r="F109" s="248"/>
      <c r="G109" s="248">
        <v>46</v>
      </c>
      <c r="H109" s="249">
        <f t="shared" si="5"/>
        <v>0</v>
      </c>
      <c r="I109" s="249">
        <f t="shared" si="6"/>
        <v>0</v>
      </c>
      <c r="J109" s="249">
        <f t="shared" si="7"/>
        <v>0</v>
      </c>
      <c r="K109" s="249">
        <f t="shared" si="8"/>
        <v>0</v>
      </c>
      <c r="L109" s="248"/>
    </row>
    <row r="110" spans="1:12">
      <c r="A110" s="248">
        <v>47</v>
      </c>
      <c r="B110" s="249">
        <f t="shared" si="1"/>
        <v>0</v>
      </c>
      <c r="C110" s="249">
        <f t="shared" si="2"/>
        <v>0</v>
      </c>
      <c r="D110" s="249">
        <f t="shared" si="3"/>
        <v>0</v>
      </c>
      <c r="E110" s="249">
        <f t="shared" si="4"/>
        <v>0</v>
      </c>
      <c r="F110" s="248"/>
      <c r="G110" s="248">
        <v>47</v>
      </c>
      <c r="H110" s="249">
        <f t="shared" si="5"/>
        <v>0</v>
      </c>
      <c r="I110" s="249">
        <f t="shared" si="6"/>
        <v>0</v>
      </c>
      <c r="J110" s="249">
        <f t="shared" si="7"/>
        <v>0</v>
      </c>
      <c r="K110" s="249">
        <f t="shared" si="8"/>
        <v>0</v>
      </c>
      <c r="L110" s="248"/>
    </row>
    <row r="111" spans="1:12">
      <c r="A111" s="248">
        <v>48</v>
      </c>
      <c r="B111" s="249">
        <f t="shared" si="1"/>
        <v>0</v>
      </c>
      <c r="C111" s="249">
        <f t="shared" si="2"/>
        <v>0</v>
      </c>
      <c r="D111" s="249">
        <f t="shared" si="3"/>
        <v>0</v>
      </c>
      <c r="E111" s="249">
        <f t="shared" si="4"/>
        <v>0</v>
      </c>
      <c r="F111" s="248">
        <v>4</v>
      </c>
      <c r="G111" s="248">
        <v>48</v>
      </c>
      <c r="H111" s="249">
        <f t="shared" si="5"/>
        <v>0</v>
      </c>
      <c r="I111" s="249">
        <f t="shared" si="6"/>
        <v>0</v>
      </c>
      <c r="J111" s="249">
        <f t="shared" si="7"/>
        <v>0</v>
      </c>
      <c r="K111" s="249">
        <f t="shared" si="8"/>
        <v>0</v>
      </c>
      <c r="L111" s="248">
        <v>4</v>
      </c>
    </row>
    <row r="112" spans="1:12">
      <c r="A112" s="248">
        <v>49</v>
      </c>
      <c r="B112" s="249">
        <f t="shared" si="1"/>
        <v>0</v>
      </c>
      <c r="C112" s="249">
        <f t="shared" si="2"/>
        <v>0</v>
      </c>
      <c r="D112" s="249">
        <f t="shared" si="3"/>
        <v>0</v>
      </c>
      <c r="E112" s="249">
        <f t="shared" si="4"/>
        <v>0</v>
      </c>
      <c r="F112" s="248"/>
      <c r="G112" s="248">
        <v>49</v>
      </c>
      <c r="H112" s="249">
        <f t="shared" si="5"/>
        <v>0</v>
      </c>
      <c r="I112" s="249">
        <f t="shared" si="6"/>
        <v>0</v>
      </c>
      <c r="J112" s="249">
        <f t="shared" si="7"/>
        <v>0</v>
      </c>
      <c r="K112" s="249">
        <f t="shared" si="8"/>
        <v>0</v>
      </c>
      <c r="L112" s="248"/>
    </row>
    <row r="113" spans="1:12">
      <c r="A113" s="248">
        <v>50</v>
      </c>
      <c r="B113" s="249">
        <f t="shared" si="1"/>
        <v>0</v>
      </c>
      <c r="C113" s="249">
        <f t="shared" si="2"/>
        <v>0</v>
      </c>
      <c r="D113" s="249">
        <f t="shared" si="3"/>
        <v>0</v>
      </c>
      <c r="E113" s="249">
        <f t="shared" si="4"/>
        <v>0</v>
      </c>
      <c r="F113" s="248"/>
      <c r="G113" s="248">
        <v>50</v>
      </c>
      <c r="H113" s="249">
        <f t="shared" si="5"/>
        <v>0</v>
      </c>
      <c r="I113" s="249">
        <f t="shared" si="6"/>
        <v>0</v>
      </c>
      <c r="J113" s="249">
        <f t="shared" si="7"/>
        <v>0</v>
      </c>
      <c r="K113" s="249">
        <f t="shared" si="8"/>
        <v>0</v>
      </c>
      <c r="L113" s="248"/>
    </row>
    <row r="114" spans="1:12">
      <c r="A114" s="248">
        <v>51</v>
      </c>
      <c r="B114" s="249">
        <f t="shared" si="1"/>
        <v>0</v>
      </c>
      <c r="C114" s="249">
        <f t="shared" si="2"/>
        <v>0</v>
      </c>
      <c r="D114" s="249">
        <f t="shared" si="3"/>
        <v>0</v>
      </c>
      <c r="E114" s="249">
        <f t="shared" si="4"/>
        <v>0</v>
      </c>
      <c r="F114" s="248"/>
      <c r="G114" s="248">
        <v>51</v>
      </c>
      <c r="H114" s="249">
        <f t="shared" si="5"/>
        <v>0</v>
      </c>
      <c r="I114" s="249">
        <f t="shared" si="6"/>
        <v>0</v>
      </c>
      <c r="J114" s="249">
        <f t="shared" si="7"/>
        <v>0</v>
      </c>
      <c r="K114" s="249">
        <f t="shared" si="8"/>
        <v>0</v>
      </c>
      <c r="L114" s="248"/>
    </row>
    <row r="115" spans="1:12">
      <c r="A115" s="248">
        <v>52</v>
      </c>
      <c r="B115" s="249">
        <f t="shared" si="1"/>
        <v>0</v>
      </c>
      <c r="C115" s="249">
        <f t="shared" si="2"/>
        <v>0</v>
      </c>
      <c r="D115" s="249">
        <f t="shared" si="3"/>
        <v>0</v>
      </c>
      <c r="E115" s="249">
        <f t="shared" si="4"/>
        <v>0</v>
      </c>
      <c r="F115" s="248"/>
      <c r="G115" s="248">
        <v>52</v>
      </c>
      <c r="H115" s="249">
        <f t="shared" si="5"/>
        <v>0</v>
      </c>
      <c r="I115" s="249">
        <f t="shared" si="6"/>
        <v>0</v>
      </c>
      <c r="J115" s="249">
        <f t="shared" si="7"/>
        <v>0</v>
      </c>
      <c r="K115" s="249">
        <f t="shared" si="8"/>
        <v>0</v>
      </c>
      <c r="L115" s="248"/>
    </row>
    <row r="116" spans="1:12">
      <c r="A116" s="248">
        <v>53</v>
      </c>
      <c r="B116" s="249">
        <f t="shared" si="1"/>
        <v>0</v>
      </c>
      <c r="C116" s="249">
        <f t="shared" si="2"/>
        <v>0</v>
      </c>
      <c r="D116" s="249">
        <f t="shared" si="3"/>
        <v>0</v>
      </c>
      <c r="E116" s="249">
        <f t="shared" si="4"/>
        <v>0</v>
      </c>
      <c r="F116" s="248"/>
      <c r="G116" s="248">
        <v>53</v>
      </c>
      <c r="H116" s="249">
        <f t="shared" si="5"/>
        <v>0</v>
      </c>
      <c r="I116" s="249">
        <f t="shared" si="6"/>
        <v>0</v>
      </c>
      <c r="J116" s="249">
        <f t="shared" si="7"/>
        <v>0</v>
      </c>
      <c r="K116" s="249">
        <f t="shared" si="8"/>
        <v>0</v>
      </c>
      <c r="L116" s="248"/>
    </row>
    <row r="117" spans="1:12">
      <c r="A117" s="248">
        <v>54</v>
      </c>
      <c r="B117" s="249">
        <f t="shared" si="1"/>
        <v>0</v>
      </c>
      <c r="C117" s="249">
        <f t="shared" si="2"/>
        <v>0</v>
      </c>
      <c r="D117" s="249">
        <f t="shared" si="3"/>
        <v>0</v>
      </c>
      <c r="E117" s="249">
        <f t="shared" si="4"/>
        <v>0</v>
      </c>
      <c r="F117" s="248"/>
      <c r="G117" s="248">
        <v>54</v>
      </c>
      <c r="H117" s="249">
        <f t="shared" si="5"/>
        <v>0</v>
      </c>
      <c r="I117" s="249">
        <f t="shared" si="6"/>
        <v>0</v>
      </c>
      <c r="J117" s="249">
        <f t="shared" si="7"/>
        <v>0</v>
      </c>
      <c r="K117" s="249">
        <f t="shared" si="8"/>
        <v>0</v>
      </c>
      <c r="L117" s="248"/>
    </row>
    <row r="118" spans="1:12">
      <c r="A118" s="248">
        <v>55</v>
      </c>
      <c r="B118" s="249">
        <f t="shared" si="1"/>
        <v>0</v>
      </c>
      <c r="C118" s="249">
        <f t="shared" si="2"/>
        <v>0</v>
      </c>
      <c r="D118" s="249">
        <f t="shared" si="3"/>
        <v>0</v>
      </c>
      <c r="E118" s="249">
        <f t="shared" si="4"/>
        <v>0</v>
      </c>
      <c r="F118" s="248"/>
      <c r="G118" s="248">
        <v>55</v>
      </c>
      <c r="H118" s="249">
        <f t="shared" si="5"/>
        <v>0</v>
      </c>
      <c r="I118" s="249">
        <f t="shared" si="6"/>
        <v>0</v>
      </c>
      <c r="J118" s="249">
        <f t="shared" si="7"/>
        <v>0</v>
      </c>
      <c r="K118" s="249">
        <f t="shared" si="8"/>
        <v>0</v>
      </c>
      <c r="L118" s="248"/>
    </row>
    <row r="119" spans="1:12">
      <c r="A119" s="248">
        <v>56</v>
      </c>
      <c r="B119" s="249">
        <f t="shared" si="1"/>
        <v>0</v>
      </c>
      <c r="C119" s="249">
        <f t="shared" si="2"/>
        <v>0</v>
      </c>
      <c r="D119" s="249">
        <f t="shared" si="3"/>
        <v>0</v>
      </c>
      <c r="E119" s="249">
        <f t="shared" si="4"/>
        <v>0</v>
      </c>
      <c r="F119" s="248"/>
      <c r="G119" s="248">
        <v>56</v>
      </c>
      <c r="H119" s="249">
        <f t="shared" si="5"/>
        <v>0</v>
      </c>
      <c r="I119" s="249">
        <f t="shared" si="6"/>
        <v>0</v>
      </c>
      <c r="J119" s="249">
        <f t="shared" si="7"/>
        <v>0</v>
      </c>
      <c r="K119" s="249">
        <f t="shared" si="8"/>
        <v>0</v>
      </c>
      <c r="L119" s="248"/>
    </row>
    <row r="120" spans="1:12">
      <c r="A120" s="248">
        <v>57</v>
      </c>
      <c r="B120" s="249">
        <f t="shared" si="1"/>
        <v>0</v>
      </c>
      <c r="C120" s="249">
        <f t="shared" si="2"/>
        <v>0</v>
      </c>
      <c r="D120" s="249">
        <f t="shared" si="3"/>
        <v>0</v>
      </c>
      <c r="E120" s="249">
        <f t="shared" si="4"/>
        <v>0</v>
      </c>
      <c r="F120" s="248"/>
      <c r="G120" s="248">
        <v>57</v>
      </c>
      <c r="H120" s="249">
        <f t="shared" si="5"/>
        <v>0</v>
      </c>
      <c r="I120" s="249">
        <f t="shared" si="6"/>
        <v>0</v>
      </c>
      <c r="J120" s="249">
        <f t="shared" si="7"/>
        <v>0</v>
      </c>
      <c r="K120" s="249">
        <f t="shared" si="8"/>
        <v>0</v>
      </c>
      <c r="L120" s="248"/>
    </row>
    <row r="121" spans="1:12">
      <c r="A121" s="248">
        <v>58</v>
      </c>
      <c r="B121" s="249">
        <f t="shared" si="1"/>
        <v>0</v>
      </c>
      <c r="C121" s="249">
        <f t="shared" si="2"/>
        <v>0</v>
      </c>
      <c r="D121" s="249">
        <f t="shared" si="3"/>
        <v>0</v>
      </c>
      <c r="E121" s="249">
        <f t="shared" si="4"/>
        <v>0</v>
      </c>
      <c r="F121" s="248"/>
      <c r="G121" s="248">
        <v>58</v>
      </c>
      <c r="H121" s="249">
        <f t="shared" si="5"/>
        <v>0</v>
      </c>
      <c r="I121" s="249">
        <f t="shared" si="6"/>
        <v>0</v>
      </c>
      <c r="J121" s="249">
        <f t="shared" si="7"/>
        <v>0</v>
      </c>
      <c r="K121" s="249">
        <f t="shared" si="8"/>
        <v>0</v>
      </c>
      <c r="L121" s="248"/>
    </row>
    <row r="122" spans="1:12">
      <c r="A122" s="248">
        <v>59</v>
      </c>
      <c r="B122" s="249">
        <f t="shared" si="1"/>
        <v>0</v>
      </c>
      <c r="C122" s="249">
        <f t="shared" si="2"/>
        <v>0</v>
      </c>
      <c r="D122" s="249">
        <f t="shared" si="3"/>
        <v>0</v>
      </c>
      <c r="E122" s="249">
        <f t="shared" si="4"/>
        <v>0</v>
      </c>
      <c r="F122" s="248"/>
      <c r="G122" s="248">
        <v>59</v>
      </c>
      <c r="H122" s="249">
        <f t="shared" si="5"/>
        <v>0</v>
      </c>
      <c r="I122" s="249">
        <f t="shared" si="6"/>
        <v>0</v>
      </c>
      <c r="J122" s="249">
        <f t="shared" si="7"/>
        <v>0</v>
      </c>
      <c r="K122" s="249">
        <f t="shared" si="8"/>
        <v>0</v>
      </c>
      <c r="L122" s="248"/>
    </row>
    <row r="123" spans="1:12">
      <c r="A123" s="248">
        <v>60</v>
      </c>
      <c r="B123" s="249">
        <f t="shared" si="1"/>
        <v>0</v>
      </c>
      <c r="C123" s="249">
        <f t="shared" si="2"/>
        <v>0</v>
      </c>
      <c r="D123" s="249">
        <f t="shared" si="3"/>
        <v>0</v>
      </c>
      <c r="E123" s="249">
        <f t="shared" si="4"/>
        <v>0</v>
      </c>
      <c r="F123" s="248"/>
      <c r="G123" s="248">
        <v>60</v>
      </c>
      <c r="H123" s="249">
        <f t="shared" si="5"/>
        <v>0</v>
      </c>
      <c r="I123" s="249">
        <f t="shared" si="6"/>
        <v>0</v>
      </c>
      <c r="J123" s="249">
        <f t="shared" si="7"/>
        <v>0</v>
      </c>
      <c r="K123" s="249">
        <f t="shared" si="8"/>
        <v>0</v>
      </c>
      <c r="L123" s="248"/>
    </row>
    <row r="124" spans="1:12">
      <c r="A124" s="248">
        <v>61</v>
      </c>
      <c r="B124" s="249">
        <f t="shared" si="1"/>
        <v>0</v>
      </c>
      <c r="C124" s="249">
        <f t="shared" si="2"/>
        <v>0</v>
      </c>
      <c r="D124" s="249">
        <f t="shared" si="3"/>
        <v>0</v>
      </c>
      <c r="E124" s="249">
        <f t="shared" si="4"/>
        <v>0</v>
      </c>
      <c r="F124" s="248"/>
      <c r="G124" s="248">
        <v>61</v>
      </c>
      <c r="H124" s="249">
        <f t="shared" si="5"/>
        <v>0</v>
      </c>
      <c r="I124" s="249">
        <f t="shared" si="6"/>
        <v>0</v>
      </c>
      <c r="J124" s="249">
        <f t="shared" si="7"/>
        <v>0</v>
      </c>
      <c r="K124" s="249">
        <f t="shared" si="8"/>
        <v>0</v>
      </c>
      <c r="L124" s="248"/>
    </row>
    <row r="125" spans="1:12">
      <c r="A125" s="248">
        <v>62</v>
      </c>
      <c r="B125" s="249">
        <f t="shared" si="1"/>
        <v>0</v>
      </c>
      <c r="C125" s="249">
        <f t="shared" si="2"/>
        <v>0</v>
      </c>
      <c r="D125" s="249">
        <f t="shared" si="3"/>
        <v>0</v>
      </c>
      <c r="E125" s="249">
        <f t="shared" si="4"/>
        <v>0</v>
      </c>
      <c r="F125" s="248">
        <v>5</v>
      </c>
      <c r="G125" s="248">
        <v>62</v>
      </c>
      <c r="H125" s="249">
        <f t="shared" si="5"/>
        <v>0</v>
      </c>
      <c r="I125" s="249">
        <f t="shared" si="6"/>
        <v>0</v>
      </c>
      <c r="J125" s="249">
        <f t="shared" si="7"/>
        <v>0</v>
      </c>
      <c r="K125" s="249">
        <f t="shared" si="8"/>
        <v>0</v>
      </c>
      <c r="L125" s="248">
        <v>5</v>
      </c>
    </row>
    <row r="126" spans="1:12">
      <c r="A126" s="248">
        <v>63</v>
      </c>
      <c r="B126" s="249">
        <f t="shared" si="1"/>
        <v>0</v>
      </c>
      <c r="C126" s="249">
        <f t="shared" si="2"/>
        <v>0</v>
      </c>
      <c r="D126" s="249">
        <f t="shared" si="3"/>
        <v>0</v>
      </c>
      <c r="E126" s="249">
        <f t="shared" si="4"/>
        <v>0</v>
      </c>
      <c r="F126" s="248"/>
      <c r="G126" s="248">
        <v>63</v>
      </c>
      <c r="H126" s="249">
        <f t="shared" si="5"/>
        <v>0</v>
      </c>
      <c r="I126" s="249">
        <f t="shared" si="6"/>
        <v>0</v>
      </c>
      <c r="J126" s="249">
        <f t="shared" si="7"/>
        <v>0</v>
      </c>
      <c r="K126" s="249">
        <f t="shared" si="8"/>
        <v>0</v>
      </c>
      <c r="L126" s="248"/>
    </row>
    <row r="127" spans="1:12">
      <c r="A127" s="248">
        <v>64</v>
      </c>
      <c r="B127" s="249">
        <f t="shared" si="1"/>
        <v>0</v>
      </c>
      <c r="C127" s="249">
        <f t="shared" si="2"/>
        <v>0</v>
      </c>
      <c r="D127" s="249">
        <f t="shared" si="3"/>
        <v>0</v>
      </c>
      <c r="E127" s="249">
        <f t="shared" si="4"/>
        <v>0</v>
      </c>
      <c r="F127" s="248"/>
      <c r="G127" s="248">
        <v>64</v>
      </c>
      <c r="H127" s="249">
        <f t="shared" si="5"/>
        <v>0</v>
      </c>
      <c r="I127" s="249">
        <f t="shared" si="6"/>
        <v>0</v>
      </c>
      <c r="J127" s="249">
        <f t="shared" si="7"/>
        <v>0</v>
      </c>
      <c r="K127" s="249">
        <f t="shared" si="8"/>
        <v>0</v>
      </c>
      <c r="L127" s="248"/>
    </row>
    <row r="128" spans="1:12">
      <c r="A128" s="248">
        <v>65</v>
      </c>
      <c r="B128" s="249">
        <f t="shared" ref="B128:B191" si="9">IF(A128&gt;12*$C$9,0,IF($C$5&gt;1500000,$D$12,$C$12))</f>
        <v>0</v>
      </c>
      <c r="C128" s="249">
        <f t="shared" ref="C128:C191" si="10">IF(A128&gt;12*$C$9,0,E127*$C$7/12)</f>
        <v>0</v>
      </c>
      <c r="D128" s="249">
        <f t="shared" ref="D128:D191" si="11">IF(A128&gt;12*$C$9,0,B128-C128)</f>
        <v>0</v>
      </c>
      <c r="E128" s="249">
        <f t="shared" ref="E128:E191" si="12">IF(A128&gt;12*$C$9,0,E127-D128)</f>
        <v>0</v>
      </c>
      <c r="F128" s="248"/>
      <c r="G128" s="248">
        <v>65</v>
      </c>
      <c r="H128" s="249">
        <f t="shared" ref="H128:H191" si="13">IF(G128&gt;12*$C$9,0,IF($C$5&gt;1500000,$E$12,0))</f>
        <v>0</v>
      </c>
      <c r="I128" s="249">
        <f t="shared" ref="I128:I191" si="14">IF(G128&gt;12*$C$9,0,K127*$C$7/12)</f>
        <v>0</v>
      </c>
      <c r="J128" s="249">
        <f t="shared" ref="J128:J191" si="15">IF(G128&gt;12*$C$9,0,H128-I128)</f>
        <v>0</v>
      </c>
      <c r="K128" s="249">
        <f t="shared" ref="K128:K191" si="16">IF(G128&gt;12*$C$9,0,K127-J128)</f>
        <v>0</v>
      </c>
      <c r="L128" s="248"/>
    </row>
    <row r="129" spans="1:12">
      <c r="A129" s="248">
        <v>66</v>
      </c>
      <c r="B129" s="249">
        <f t="shared" si="9"/>
        <v>0</v>
      </c>
      <c r="C129" s="249">
        <f t="shared" si="10"/>
        <v>0</v>
      </c>
      <c r="D129" s="249">
        <f t="shared" si="11"/>
        <v>0</v>
      </c>
      <c r="E129" s="249">
        <f t="shared" si="12"/>
        <v>0</v>
      </c>
      <c r="F129" s="248"/>
      <c r="G129" s="248">
        <v>66</v>
      </c>
      <c r="H129" s="249">
        <f t="shared" si="13"/>
        <v>0</v>
      </c>
      <c r="I129" s="249">
        <f t="shared" si="14"/>
        <v>0</v>
      </c>
      <c r="J129" s="249">
        <f t="shared" si="15"/>
        <v>0</v>
      </c>
      <c r="K129" s="249">
        <f t="shared" si="16"/>
        <v>0</v>
      </c>
      <c r="L129" s="248"/>
    </row>
    <row r="130" spans="1:12">
      <c r="A130" s="248">
        <v>67</v>
      </c>
      <c r="B130" s="249">
        <f t="shared" si="9"/>
        <v>0</v>
      </c>
      <c r="C130" s="249">
        <f t="shared" si="10"/>
        <v>0</v>
      </c>
      <c r="D130" s="249">
        <f t="shared" si="11"/>
        <v>0</v>
      </c>
      <c r="E130" s="249">
        <f t="shared" si="12"/>
        <v>0</v>
      </c>
      <c r="F130" s="248"/>
      <c r="G130" s="248">
        <v>67</v>
      </c>
      <c r="H130" s="249">
        <f t="shared" si="13"/>
        <v>0</v>
      </c>
      <c r="I130" s="249">
        <f t="shared" si="14"/>
        <v>0</v>
      </c>
      <c r="J130" s="249">
        <f t="shared" si="15"/>
        <v>0</v>
      </c>
      <c r="K130" s="249">
        <f t="shared" si="16"/>
        <v>0</v>
      </c>
      <c r="L130" s="248"/>
    </row>
    <row r="131" spans="1:12">
      <c r="A131" s="248">
        <v>68</v>
      </c>
      <c r="B131" s="249">
        <f t="shared" si="9"/>
        <v>0</v>
      </c>
      <c r="C131" s="249">
        <f t="shared" si="10"/>
        <v>0</v>
      </c>
      <c r="D131" s="249">
        <f t="shared" si="11"/>
        <v>0</v>
      </c>
      <c r="E131" s="249">
        <f t="shared" si="12"/>
        <v>0</v>
      </c>
      <c r="F131" s="248"/>
      <c r="G131" s="248">
        <v>68</v>
      </c>
      <c r="H131" s="249">
        <f t="shared" si="13"/>
        <v>0</v>
      </c>
      <c r="I131" s="249">
        <f t="shared" si="14"/>
        <v>0</v>
      </c>
      <c r="J131" s="249">
        <f t="shared" si="15"/>
        <v>0</v>
      </c>
      <c r="K131" s="249">
        <f t="shared" si="16"/>
        <v>0</v>
      </c>
      <c r="L131" s="248"/>
    </row>
    <row r="132" spans="1:12">
      <c r="A132" s="248">
        <v>69</v>
      </c>
      <c r="B132" s="249">
        <f t="shared" si="9"/>
        <v>0</v>
      </c>
      <c r="C132" s="249">
        <f t="shared" si="10"/>
        <v>0</v>
      </c>
      <c r="D132" s="249">
        <f t="shared" si="11"/>
        <v>0</v>
      </c>
      <c r="E132" s="249">
        <f t="shared" si="12"/>
        <v>0</v>
      </c>
      <c r="F132" s="248"/>
      <c r="G132" s="248">
        <v>69</v>
      </c>
      <c r="H132" s="249">
        <f t="shared" si="13"/>
        <v>0</v>
      </c>
      <c r="I132" s="249">
        <f t="shared" si="14"/>
        <v>0</v>
      </c>
      <c r="J132" s="249">
        <f t="shared" si="15"/>
        <v>0</v>
      </c>
      <c r="K132" s="249">
        <f t="shared" si="16"/>
        <v>0</v>
      </c>
      <c r="L132" s="248"/>
    </row>
    <row r="133" spans="1:12">
      <c r="A133" s="248">
        <v>70</v>
      </c>
      <c r="B133" s="249">
        <f t="shared" si="9"/>
        <v>0</v>
      </c>
      <c r="C133" s="249">
        <f t="shared" si="10"/>
        <v>0</v>
      </c>
      <c r="D133" s="249">
        <f t="shared" si="11"/>
        <v>0</v>
      </c>
      <c r="E133" s="249">
        <f t="shared" si="12"/>
        <v>0</v>
      </c>
      <c r="F133" s="248"/>
      <c r="G133" s="248">
        <v>70</v>
      </c>
      <c r="H133" s="249">
        <f t="shared" si="13"/>
        <v>0</v>
      </c>
      <c r="I133" s="249">
        <f t="shared" si="14"/>
        <v>0</v>
      </c>
      <c r="J133" s="249">
        <f t="shared" si="15"/>
        <v>0</v>
      </c>
      <c r="K133" s="249">
        <f t="shared" si="16"/>
        <v>0</v>
      </c>
      <c r="L133" s="248"/>
    </row>
    <row r="134" spans="1:12">
      <c r="A134" s="248">
        <v>71</v>
      </c>
      <c r="B134" s="249">
        <f t="shared" si="9"/>
        <v>0</v>
      </c>
      <c r="C134" s="249">
        <f t="shared" si="10"/>
        <v>0</v>
      </c>
      <c r="D134" s="249">
        <f t="shared" si="11"/>
        <v>0</v>
      </c>
      <c r="E134" s="249">
        <f t="shared" si="12"/>
        <v>0</v>
      </c>
      <c r="F134" s="248"/>
      <c r="G134" s="248">
        <v>71</v>
      </c>
      <c r="H134" s="249">
        <f t="shared" si="13"/>
        <v>0</v>
      </c>
      <c r="I134" s="249">
        <f t="shared" si="14"/>
        <v>0</v>
      </c>
      <c r="J134" s="249">
        <f t="shared" si="15"/>
        <v>0</v>
      </c>
      <c r="K134" s="249">
        <f t="shared" si="16"/>
        <v>0</v>
      </c>
      <c r="L134" s="248"/>
    </row>
    <row r="135" spans="1:12">
      <c r="A135" s="248">
        <v>72</v>
      </c>
      <c r="B135" s="249">
        <f t="shared" si="9"/>
        <v>0</v>
      </c>
      <c r="C135" s="249">
        <f t="shared" si="10"/>
        <v>0</v>
      </c>
      <c r="D135" s="249">
        <f t="shared" si="11"/>
        <v>0</v>
      </c>
      <c r="E135" s="249">
        <f t="shared" si="12"/>
        <v>0</v>
      </c>
      <c r="F135" s="248"/>
      <c r="G135" s="248">
        <v>72</v>
      </c>
      <c r="H135" s="249">
        <f t="shared" si="13"/>
        <v>0</v>
      </c>
      <c r="I135" s="249">
        <f t="shared" si="14"/>
        <v>0</v>
      </c>
      <c r="J135" s="249">
        <f t="shared" si="15"/>
        <v>0</v>
      </c>
      <c r="K135" s="249">
        <f t="shared" si="16"/>
        <v>0</v>
      </c>
      <c r="L135" s="248"/>
    </row>
    <row r="136" spans="1:12">
      <c r="A136" s="248">
        <v>73</v>
      </c>
      <c r="B136" s="249">
        <f t="shared" si="9"/>
        <v>0</v>
      </c>
      <c r="C136" s="249">
        <f t="shared" si="10"/>
        <v>0</v>
      </c>
      <c r="D136" s="249">
        <f t="shared" si="11"/>
        <v>0</v>
      </c>
      <c r="E136" s="249">
        <f t="shared" si="12"/>
        <v>0</v>
      </c>
      <c r="F136" s="248"/>
      <c r="G136" s="248">
        <v>73</v>
      </c>
      <c r="H136" s="249">
        <f t="shared" si="13"/>
        <v>0</v>
      </c>
      <c r="I136" s="249">
        <f t="shared" si="14"/>
        <v>0</v>
      </c>
      <c r="J136" s="249">
        <f t="shared" si="15"/>
        <v>0</v>
      </c>
      <c r="K136" s="249">
        <f t="shared" si="16"/>
        <v>0</v>
      </c>
      <c r="L136" s="248"/>
    </row>
    <row r="137" spans="1:12">
      <c r="A137" s="248">
        <v>74</v>
      </c>
      <c r="B137" s="249">
        <f t="shared" si="9"/>
        <v>0</v>
      </c>
      <c r="C137" s="249">
        <f t="shared" si="10"/>
        <v>0</v>
      </c>
      <c r="D137" s="249">
        <f t="shared" si="11"/>
        <v>0</v>
      </c>
      <c r="E137" s="249">
        <f t="shared" si="12"/>
        <v>0</v>
      </c>
      <c r="F137" s="248">
        <v>6</v>
      </c>
      <c r="G137" s="248">
        <v>74</v>
      </c>
      <c r="H137" s="249">
        <f t="shared" si="13"/>
        <v>0</v>
      </c>
      <c r="I137" s="249">
        <f t="shared" si="14"/>
        <v>0</v>
      </c>
      <c r="J137" s="249">
        <f t="shared" si="15"/>
        <v>0</v>
      </c>
      <c r="K137" s="249">
        <f t="shared" si="16"/>
        <v>0</v>
      </c>
      <c r="L137" s="248">
        <v>6</v>
      </c>
    </row>
    <row r="138" spans="1:12">
      <c r="A138" s="248">
        <v>75</v>
      </c>
      <c r="B138" s="249">
        <f t="shared" si="9"/>
        <v>0</v>
      </c>
      <c r="C138" s="249">
        <f t="shared" si="10"/>
        <v>0</v>
      </c>
      <c r="D138" s="249">
        <f t="shared" si="11"/>
        <v>0</v>
      </c>
      <c r="E138" s="249">
        <f t="shared" si="12"/>
        <v>0</v>
      </c>
      <c r="F138" s="248"/>
      <c r="G138" s="248">
        <v>75</v>
      </c>
      <c r="H138" s="249">
        <f t="shared" si="13"/>
        <v>0</v>
      </c>
      <c r="I138" s="249">
        <f t="shared" si="14"/>
        <v>0</v>
      </c>
      <c r="J138" s="249">
        <f t="shared" si="15"/>
        <v>0</v>
      </c>
      <c r="K138" s="249">
        <f t="shared" si="16"/>
        <v>0</v>
      </c>
      <c r="L138" s="248"/>
    </row>
    <row r="139" spans="1:12">
      <c r="A139" s="248">
        <v>76</v>
      </c>
      <c r="B139" s="249">
        <f t="shared" si="9"/>
        <v>0</v>
      </c>
      <c r="C139" s="249">
        <f t="shared" si="10"/>
        <v>0</v>
      </c>
      <c r="D139" s="249">
        <f t="shared" si="11"/>
        <v>0</v>
      </c>
      <c r="E139" s="249">
        <f t="shared" si="12"/>
        <v>0</v>
      </c>
      <c r="F139" s="248"/>
      <c r="G139" s="248">
        <v>76</v>
      </c>
      <c r="H139" s="249">
        <f t="shared" si="13"/>
        <v>0</v>
      </c>
      <c r="I139" s="249">
        <f t="shared" si="14"/>
        <v>0</v>
      </c>
      <c r="J139" s="249">
        <f t="shared" si="15"/>
        <v>0</v>
      </c>
      <c r="K139" s="249">
        <f t="shared" si="16"/>
        <v>0</v>
      </c>
      <c r="L139" s="248"/>
    </row>
    <row r="140" spans="1:12">
      <c r="A140" s="248">
        <v>77</v>
      </c>
      <c r="B140" s="249">
        <f t="shared" si="9"/>
        <v>0</v>
      </c>
      <c r="C140" s="249">
        <f t="shared" si="10"/>
        <v>0</v>
      </c>
      <c r="D140" s="249">
        <f t="shared" si="11"/>
        <v>0</v>
      </c>
      <c r="E140" s="249">
        <f t="shared" si="12"/>
        <v>0</v>
      </c>
      <c r="F140" s="248"/>
      <c r="G140" s="248">
        <v>77</v>
      </c>
      <c r="H140" s="249">
        <f t="shared" si="13"/>
        <v>0</v>
      </c>
      <c r="I140" s="249">
        <f t="shared" si="14"/>
        <v>0</v>
      </c>
      <c r="J140" s="249">
        <f t="shared" si="15"/>
        <v>0</v>
      </c>
      <c r="K140" s="249">
        <f t="shared" si="16"/>
        <v>0</v>
      </c>
      <c r="L140" s="248"/>
    </row>
    <row r="141" spans="1:12">
      <c r="A141" s="248">
        <v>78</v>
      </c>
      <c r="B141" s="249">
        <f t="shared" si="9"/>
        <v>0</v>
      </c>
      <c r="C141" s="249">
        <f t="shared" si="10"/>
        <v>0</v>
      </c>
      <c r="D141" s="249">
        <f t="shared" si="11"/>
        <v>0</v>
      </c>
      <c r="E141" s="249">
        <f t="shared" si="12"/>
        <v>0</v>
      </c>
      <c r="F141" s="248"/>
      <c r="G141" s="248">
        <v>78</v>
      </c>
      <c r="H141" s="249">
        <f t="shared" si="13"/>
        <v>0</v>
      </c>
      <c r="I141" s="249">
        <f t="shared" si="14"/>
        <v>0</v>
      </c>
      <c r="J141" s="249">
        <f t="shared" si="15"/>
        <v>0</v>
      </c>
      <c r="K141" s="249">
        <f t="shared" si="16"/>
        <v>0</v>
      </c>
      <c r="L141" s="248"/>
    </row>
    <row r="142" spans="1:12">
      <c r="A142" s="248">
        <v>79</v>
      </c>
      <c r="B142" s="249">
        <f t="shared" si="9"/>
        <v>0</v>
      </c>
      <c r="C142" s="249">
        <f t="shared" si="10"/>
        <v>0</v>
      </c>
      <c r="D142" s="249">
        <f t="shared" si="11"/>
        <v>0</v>
      </c>
      <c r="E142" s="249">
        <f t="shared" si="12"/>
        <v>0</v>
      </c>
      <c r="F142" s="248"/>
      <c r="G142" s="248">
        <v>79</v>
      </c>
      <c r="H142" s="249">
        <f t="shared" si="13"/>
        <v>0</v>
      </c>
      <c r="I142" s="249">
        <f t="shared" si="14"/>
        <v>0</v>
      </c>
      <c r="J142" s="249">
        <f t="shared" si="15"/>
        <v>0</v>
      </c>
      <c r="K142" s="249">
        <f t="shared" si="16"/>
        <v>0</v>
      </c>
      <c r="L142" s="248"/>
    </row>
    <row r="143" spans="1:12">
      <c r="A143" s="248">
        <v>80</v>
      </c>
      <c r="B143" s="249">
        <f t="shared" si="9"/>
        <v>0</v>
      </c>
      <c r="C143" s="249">
        <f t="shared" si="10"/>
        <v>0</v>
      </c>
      <c r="D143" s="249">
        <f t="shared" si="11"/>
        <v>0</v>
      </c>
      <c r="E143" s="249">
        <f t="shared" si="12"/>
        <v>0</v>
      </c>
      <c r="F143" s="248"/>
      <c r="G143" s="248">
        <v>80</v>
      </c>
      <c r="H143" s="249">
        <f t="shared" si="13"/>
        <v>0</v>
      </c>
      <c r="I143" s="249">
        <f t="shared" si="14"/>
        <v>0</v>
      </c>
      <c r="J143" s="249">
        <f t="shared" si="15"/>
        <v>0</v>
      </c>
      <c r="K143" s="249">
        <f t="shared" si="16"/>
        <v>0</v>
      </c>
      <c r="L143" s="248"/>
    </row>
    <row r="144" spans="1:12">
      <c r="A144" s="248">
        <v>81</v>
      </c>
      <c r="B144" s="249">
        <f t="shared" si="9"/>
        <v>0</v>
      </c>
      <c r="C144" s="249">
        <f t="shared" si="10"/>
        <v>0</v>
      </c>
      <c r="D144" s="249">
        <f t="shared" si="11"/>
        <v>0</v>
      </c>
      <c r="E144" s="249">
        <f t="shared" si="12"/>
        <v>0</v>
      </c>
      <c r="F144" s="248"/>
      <c r="G144" s="248">
        <v>81</v>
      </c>
      <c r="H144" s="249">
        <f t="shared" si="13"/>
        <v>0</v>
      </c>
      <c r="I144" s="249">
        <f t="shared" si="14"/>
        <v>0</v>
      </c>
      <c r="J144" s="249">
        <f t="shared" si="15"/>
        <v>0</v>
      </c>
      <c r="K144" s="249">
        <f t="shared" si="16"/>
        <v>0</v>
      </c>
      <c r="L144" s="248"/>
    </row>
    <row r="145" spans="1:12">
      <c r="A145" s="248">
        <v>82</v>
      </c>
      <c r="B145" s="249">
        <f t="shared" si="9"/>
        <v>0</v>
      </c>
      <c r="C145" s="249">
        <f t="shared" si="10"/>
        <v>0</v>
      </c>
      <c r="D145" s="249">
        <f t="shared" si="11"/>
        <v>0</v>
      </c>
      <c r="E145" s="249">
        <f t="shared" si="12"/>
        <v>0</v>
      </c>
      <c r="F145" s="248"/>
      <c r="G145" s="248">
        <v>82</v>
      </c>
      <c r="H145" s="249">
        <f t="shared" si="13"/>
        <v>0</v>
      </c>
      <c r="I145" s="249">
        <f t="shared" si="14"/>
        <v>0</v>
      </c>
      <c r="J145" s="249">
        <f t="shared" si="15"/>
        <v>0</v>
      </c>
      <c r="K145" s="249">
        <f t="shared" si="16"/>
        <v>0</v>
      </c>
      <c r="L145" s="248"/>
    </row>
    <row r="146" spans="1:12">
      <c r="A146" s="248">
        <v>83</v>
      </c>
      <c r="B146" s="249">
        <f t="shared" si="9"/>
        <v>0</v>
      </c>
      <c r="C146" s="249">
        <f t="shared" si="10"/>
        <v>0</v>
      </c>
      <c r="D146" s="249">
        <f t="shared" si="11"/>
        <v>0</v>
      </c>
      <c r="E146" s="249">
        <f t="shared" si="12"/>
        <v>0</v>
      </c>
      <c r="F146" s="248"/>
      <c r="G146" s="248">
        <v>83</v>
      </c>
      <c r="H146" s="249">
        <f t="shared" si="13"/>
        <v>0</v>
      </c>
      <c r="I146" s="249">
        <f t="shared" si="14"/>
        <v>0</v>
      </c>
      <c r="J146" s="249">
        <f t="shared" si="15"/>
        <v>0</v>
      </c>
      <c r="K146" s="249">
        <f t="shared" si="16"/>
        <v>0</v>
      </c>
      <c r="L146" s="248"/>
    </row>
    <row r="147" spans="1:12">
      <c r="A147" s="248">
        <v>84</v>
      </c>
      <c r="B147" s="249">
        <f t="shared" si="9"/>
        <v>0</v>
      </c>
      <c r="C147" s="249">
        <f t="shared" si="10"/>
        <v>0</v>
      </c>
      <c r="D147" s="249">
        <f t="shared" si="11"/>
        <v>0</v>
      </c>
      <c r="E147" s="249">
        <f t="shared" si="12"/>
        <v>0</v>
      </c>
      <c r="F147" s="248">
        <v>7</v>
      </c>
      <c r="G147" s="248">
        <v>84</v>
      </c>
      <c r="H147" s="249">
        <f t="shared" si="13"/>
        <v>0</v>
      </c>
      <c r="I147" s="249">
        <f t="shared" si="14"/>
        <v>0</v>
      </c>
      <c r="J147" s="249">
        <f t="shared" si="15"/>
        <v>0</v>
      </c>
      <c r="K147" s="249">
        <f t="shared" si="16"/>
        <v>0</v>
      </c>
      <c r="L147" s="248">
        <v>7</v>
      </c>
    </row>
    <row r="148" spans="1:12">
      <c r="A148" s="248">
        <v>85</v>
      </c>
      <c r="B148" s="249">
        <f t="shared" si="9"/>
        <v>0</v>
      </c>
      <c r="C148" s="249">
        <f t="shared" si="10"/>
        <v>0</v>
      </c>
      <c r="D148" s="249">
        <f t="shared" si="11"/>
        <v>0</v>
      </c>
      <c r="E148" s="249">
        <f t="shared" si="12"/>
        <v>0</v>
      </c>
      <c r="F148" s="248"/>
      <c r="G148" s="248">
        <v>85</v>
      </c>
      <c r="H148" s="249">
        <f t="shared" si="13"/>
        <v>0</v>
      </c>
      <c r="I148" s="249">
        <f t="shared" si="14"/>
        <v>0</v>
      </c>
      <c r="J148" s="249">
        <f t="shared" si="15"/>
        <v>0</v>
      </c>
      <c r="K148" s="249">
        <f t="shared" si="16"/>
        <v>0</v>
      </c>
      <c r="L148" s="248"/>
    </row>
    <row r="149" spans="1:12">
      <c r="A149" s="248">
        <v>86</v>
      </c>
      <c r="B149" s="249">
        <f t="shared" si="9"/>
        <v>0</v>
      </c>
      <c r="C149" s="249">
        <f t="shared" si="10"/>
        <v>0</v>
      </c>
      <c r="D149" s="249">
        <f t="shared" si="11"/>
        <v>0</v>
      </c>
      <c r="E149" s="249">
        <f t="shared" si="12"/>
        <v>0</v>
      </c>
      <c r="F149" s="248"/>
      <c r="G149" s="248">
        <v>86</v>
      </c>
      <c r="H149" s="249">
        <f t="shared" si="13"/>
        <v>0</v>
      </c>
      <c r="I149" s="249">
        <f t="shared" si="14"/>
        <v>0</v>
      </c>
      <c r="J149" s="249">
        <f t="shared" si="15"/>
        <v>0</v>
      </c>
      <c r="K149" s="249">
        <f t="shared" si="16"/>
        <v>0</v>
      </c>
      <c r="L149" s="248"/>
    </row>
    <row r="150" spans="1:12">
      <c r="A150" s="248">
        <v>87</v>
      </c>
      <c r="B150" s="249">
        <f t="shared" si="9"/>
        <v>0</v>
      </c>
      <c r="C150" s="249">
        <f t="shared" si="10"/>
        <v>0</v>
      </c>
      <c r="D150" s="249">
        <f t="shared" si="11"/>
        <v>0</v>
      </c>
      <c r="E150" s="249">
        <f t="shared" si="12"/>
        <v>0</v>
      </c>
      <c r="F150" s="248"/>
      <c r="G150" s="248">
        <v>87</v>
      </c>
      <c r="H150" s="249">
        <f t="shared" si="13"/>
        <v>0</v>
      </c>
      <c r="I150" s="249">
        <f t="shared" si="14"/>
        <v>0</v>
      </c>
      <c r="J150" s="249">
        <f t="shared" si="15"/>
        <v>0</v>
      </c>
      <c r="K150" s="249">
        <f t="shared" si="16"/>
        <v>0</v>
      </c>
      <c r="L150" s="248"/>
    </row>
    <row r="151" spans="1:12">
      <c r="A151" s="248">
        <v>88</v>
      </c>
      <c r="B151" s="249">
        <f t="shared" si="9"/>
        <v>0</v>
      </c>
      <c r="C151" s="249">
        <f t="shared" si="10"/>
        <v>0</v>
      </c>
      <c r="D151" s="249">
        <f t="shared" si="11"/>
        <v>0</v>
      </c>
      <c r="E151" s="249">
        <f t="shared" si="12"/>
        <v>0</v>
      </c>
      <c r="F151" s="248"/>
      <c r="G151" s="248">
        <v>88</v>
      </c>
      <c r="H151" s="249">
        <f t="shared" si="13"/>
        <v>0</v>
      </c>
      <c r="I151" s="249">
        <f t="shared" si="14"/>
        <v>0</v>
      </c>
      <c r="J151" s="249">
        <f t="shared" si="15"/>
        <v>0</v>
      </c>
      <c r="K151" s="249">
        <f t="shared" si="16"/>
        <v>0</v>
      </c>
      <c r="L151" s="248"/>
    </row>
    <row r="152" spans="1:12">
      <c r="A152" s="248">
        <v>89</v>
      </c>
      <c r="B152" s="249">
        <f t="shared" si="9"/>
        <v>0</v>
      </c>
      <c r="C152" s="249">
        <f t="shared" si="10"/>
        <v>0</v>
      </c>
      <c r="D152" s="249">
        <f t="shared" si="11"/>
        <v>0</v>
      </c>
      <c r="E152" s="249">
        <f t="shared" si="12"/>
        <v>0</v>
      </c>
      <c r="F152" s="248"/>
      <c r="G152" s="248">
        <v>89</v>
      </c>
      <c r="H152" s="249">
        <f t="shared" si="13"/>
        <v>0</v>
      </c>
      <c r="I152" s="249">
        <f t="shared" si="14"/>
        <v>0</v>
      </c>
      <c r="J152" s="249">
        <f t="shared" si="15"/>
        <v>0</v>
      </c>
      <c r="K152" s="249">
        <f t="shared" si="16"/>
        <v>0</v>
      </c>
      <c r="L152" s="248"/>
    </row>
    <row r="153" spans="1:12">
      <c r="A153" s="248">
        <v>90</v>
      </c>
      <c r="B153" s="249">
        <f t="shared" si="9"/>
        <v>0</v>
      </c>
      <c r="C153" s="249">
        <f t="shared" si="10"/>
        <v>0</v>
      </c>
      <c r="D153" s="249">
        <f t="shared" si="11"/>
        <v>0</v>
      </c>
      <c r="E153" s="249">
        <f t="shared" si="12"/>
        <v>0</v>
      </c>
      <c r="F153" s="248"/>
      <c r="G153" s="248">
        <v>90</v>
      </c>
      <c r="H153" s="249">
        <f t="shared" si="13"/>
        <v>0</v>
      </c>
      <c r="I153" s="249">
        <f t="shared" si="14"/>
        <v>0</v>
      </c>
      <c r="J153" s="249">
        <f t="shared" si="15"/>
        <v>0</v>
      </c>
      <c r="K153" s="249">
        <f t="shared" si="16"/>
        <v>0</v>
      </c>
      <c r="L153" s="248"/>
    </row>
    <row r="154" spans="1:12">
      <c r="A154" s="248">
        <v>91</v>
      </c>
      <c r="B154" s="249">
        <f t="shared" si="9"/>
        <v>0</v>
      </c>
      <c r="C154" s="249">
        <f t="shared" si="10"/>
        <v>0</v>
      </c>
      <c r="D154" s="249">
        <f t="shared" si="11"/>
        <v>0</v>
      </c>
      <c r="E154" s="249">
        <f t="shared" si="12"/>
        <v>0</v>
      </c>
      <c r="F154" s="248"/>
      <c r="G154" s="248">
        <v>91</v>
      </c>
      <c r="H154" s="249">
        <f t="shared" si="13"/>
        <v>0</v>
      </c>
      <c r="I154" s="249">
        <f t="shared" si="14"/>
        <v>0</v>
      </c>
      <c r="J154" s="249">
        <f t="shared" si="15"/>
        <v>0</v>
      </c>
      <c r="K154" s="249">
        <f t="shared" si="16"/>
        <v>0</v>
      </c>
      <c r="L154" s="248"/>
    </row>
    <row r="155" spans="1:12">
      <c r="A155" s="248">
        <v>92</v>
      </c>
      <c r="B155" s="249">
        <f t="shared" si="9"/>
        <v>0</v>
      </c>
      <c r="C155" s="249">
        <f t="shared" si="10"/>
        <v>0</v>
      </c>
      <c r="D155" s="249">
        <f t="shared" si="11"/>
        <v>0</v>
      </c>
      <c r="E155" s="249">
        <f t="shared" si="12"/>
        <v>0</v>
      </c>
      <c r="F155" s="248"/>
      <c r="G155" s="248">
        <v>92</v>
      </c>
      <c r="H155" s="249">
        <f t="shared" si="13"/>
        <v>0</v>
      </c>
      <c r="I155" s="249">
        <f t="shared" si="14"/>
        <v>0</v>
      </c>
      <c r="J155" s="249">
        <f t="shared" si="15"/>
        <v>0</v>
      </c>
      <c r="K155" s="249">
        <f t="shared" si="16"/>
        <v>0</v>
      </c>
      <c r="L155" s="248"/>
    </row>
    <row r="156" spans="1:12">
      <c r="A156" s="248">
        <v>93</v>
      </c>
      <c r="B156" s="249">
        <f t="shared" si="9"/>
        <v>0</v>
      </c>
      <c r="C156" s="249">
        <f t="shared" si="10"/>
        <v>0</v>
      </c>
      <c r="D156" s="249">
        <f t="shared" si="11"/>
        <v>0</v>
      </c>
      <c r="E156" s="249">
        <f t="shared" si="12"/>
        <v>0</v>
      </c>
      <c r="F156" s="248"/>
      <c r="G156" s="248">
        <v>93</v>
      </c>
      <c r="H156" s="249">
        <f t="shared" si="13"/>
        <v>0</v>
      </c>
      <c r="I156" s="249">
        <f t="shared" si="14"/>
        <v>0</v>
      </c>
      <c r="J156" s="249">
        <f t="shared" si="15"/>
        <v>0</v>
      </c>
      <c r="K156" s="249">
        <f t="shared" si="16"/>
        <v>0</v>
      </c>
      <c r="L156" s="248"/>
    </row>
    <row r="157" spans="1:12">
      <c r="A157" s="248">
        <v>94</v>
      </c>
      <c r="B157" s="249">
        <f t="shared" si="9"/>
        <v>0</v>
      </c>
      <c r="C157" s="249">
        <f t="shared" si="10"/>
        <v>0</v>
      </c>
      <c r="D157" s="249">
        <f t="shared" si="11"/>
        <v>0</v>
      </c>
      <c r="E157" s="249">
        <f t="shared" si="12"/>
        <v>0</v>
      </c>
      <c r="F157" s="248"/>
      <c r="G157" s="248">
        <v>94</v>
      </c>
      <c r="H157" s="249">
        <f t="shared" si="13"/>
        <v>0</v>
      </c>
      <c r="I157" s="249">
        <f t="shared" si="14"/>
        <v>0</v>
      </c>
      <c r="J157" s="249">
        <f t="shared" si="15"/>
        <v>0</v>
      </c>
      <c r="K157" s="249">
        <f t="shared" si="16"/>
        <v>0</v>
      </c>
      <c r="L157" s="248"/>
    </row>
    <row r="158" spans="1:12">
      <c r="A158" s="248">
        <v>95</v>
      </c>
      <c r="B158" s="249">
        <f t="shared" si="9"/>
        <v>0</v>
      </c>
      <c r="C158" s="249">
        <f t="shared" si="10"/>
        <v>0</v>
      </c>
      <c r="D158" s="249">
        <f t="shared" si="11"/>
        <v>0</v>
      </c>
      <c r="E158" s="249">
        <f t="shared" si="12"/>
        <v>0</v>
      </c>
      <c r="F158" s="248"/>
      <c r="G158" s="248">
        <v>95</v>
      </c>
      <c r="H158" s="249">
        <f t="shared" si="13"/>
        <v>0</v>
      </c>
      <c r="I158" s="249">
        <f t="shared" si="14"/>
        <v>0</v>
      </c>
      <c r="J158" s="249">
        <f t="shared" si="15"/>
        <v>0</v>
      </c>
      <c r="K158" s="249">
        <f t="shared" si="16"/>
        <v>0</v>
      </c>
      <c r="L158" s="248"/>
    </row>
    <row r="159" spans="1:12">
      <c r="A159" s="248">
        <v>96</v>
      </c>
      <c r="B159" s="249">
        <f t="shared" si="9"/>
        <v>0</v>
      </c>
      <c r="C159" s="249">
        <f t="shared" si="10"/>
        <v>0</v>
      </c>
      <c r="D159" s="249">
        <f t="shared" si="11"/>
        <v>0</v>
      </c>
      <c r="E159" s="249">
        <f t="shared" si="12"/>
        <v>0</v>
      </c>
      <c r="F159" s="248">
        <v>8</v>
      </c>
      <c r="G159" s="248">
        <v>96</v>
      </c>
      <c r="H159" s="249">
        <f t="shared" si="13"/>
        <v>0</v>
      </c>
      <c r="I159" s="249">
        <f t="shared" si="14"/>
        <v>0</v>
      </c>
      <c r="J159" s="249">
        <f t="shared" si="15"/>
        <v>0</v>
      </c>
      <c r="K159" s="249">
        <f t="shared" si="16"/>
        <v>0</v>
      </c>
      <c r="L159" s="248">
        <v>8</v>
      </c>
    </row>
    <row r="160" spans="1:12">
      <c r="A160" s="248">
        <v>97</v>
      </c>
      <c r="B160" s="249">
        <f t="shared" si="9"/>
        <v>0</v>
      </c>
      <c r="C160" s="249">
        <f t="shared" si="10"/>
        <v>0</v>
      </c>
      <c r="D160" s="249">
        <f t="shared" si="11"/>
        <v>0</v>
      </c>
      <c r="E160" s="249">
        <f t="shared" si="12"/>
        <v>0</v>
      </c>
      <c r="F160" s="248"/>
      <c r="G160" s="248">
        <v>97</v>
      </c>
      <c r="H160" s="249">
        <f t="shared" si="13"/>
        <v>0</v>
      </c>
      <c r="I160" s="249">
        <f t="shared" si="14"/>
        <v>0</v>
      </c>
      <c r="J160" s="249">
        <f t="shared" si="15"/>
        <v>0</v>
      </c>
      <c r="K160" s="249">
        <f t="shared" si="16"/>
        <v>0</v>
      </c>
      <c r="L160" s="248"/>
    </row>
    <row r="161" spans="1:12">
      <c r="A161" s="248">
        <v>98</v>
      </c>
      <c r="B161" s="249">
        <f t="shared" si="9"/>
        <v>0</v>
      </c>
      <c r="C161" s="249">
        <f t="shared" si="10"/>
        <v>0</v>
      </c>
      <c r="D161" s="249">
        <f t="shared" si="11"/>
        <v>0</v>
      </c>
      <c r="E161" s="249">
        <f t="shared" si="12"/>
        <v>0</v>
      </c>
      <c r="F161" s="248"/>
      <c r="G161" s="248">
        <v>98</v>
      </c>
      <c r="H161" s="249">
        <f t="shared" si="13"/>
        <v>0</v>
      </c>
      <c r="I161" s="249">
        <f t="shared" si="14"/>
        <v>0</v>
      </c>
      <c r="J161" s="249">
        <f t="shared" si="15"/>
        <v>0</v>
      </c>
      <c r="K161" s="249">
        <f t="shared" si="16"/>
        <v>0</v>
      </c>
      <c r="L161" s="248"/>
    </row>
    <row r="162" spans="1:12">
      <c r="A162" s="248">
        <v>99</v>
      </c>
      <c r="B162" s="249">
        <f t="shared" si="9"/>
        <v>0</v>
      </c>
      <c r="C162" s="249">
        <f t="shared" si="10"/>
        <v>0</v>
      </c>
      <c r="D162" s="249">
        <f t="shared" si="11"/>
        <v>0</v>
      </c>
      <c r="E162" s="249">
        <f t="shared" si="12"/>
        <v>0</v>
      </c>
      <c r="F162" s="248"/>
      <c r="G162" s="248">
        <v>99</v>
      </c>
      <c r="H162" s="249">
        <f t="shared" si="13"/>
        <v>0</v>
      </c>
      <c r="I162" s="249">
        <f t="shared" si="14"/>
        <v>0</v>
      </c>
      <c r="J162" s="249">
        <f t="shared" si="15"/>
        <v>0</v>
      </c>
      <c r="K162" s="249">
        <f t="shared" si="16"/>
        <v>0</v>
      </c>
      <c r="L162" s="248"/>
    </row>
    <row r="163" spans="1:12">
      <c r="A163" s="248">
        <v>100</v>
      </c>
      <c r="B163" s="249">
        <f t="shared" si="9"/>
        <v>0</v>
      </c>
      <c r="C163" s="249">
        <f t="shared" si="10"/>
        <v>0</v>
      </c>
      <c r="D163" s="249">
        <f t="shared" si="11"/>
        <v>0</v>
      </c>
      <c r="E163" s="249">
        <f t="shared" si="12"/>
        <v>0</v>
      </c>
      <c r="F163" s="248"/>
      <c r="G163" s="248">
        <v>100</v>
      </c>
      <c r="H163" s="249">
        <f t="shared" si="13"/>
        <v>0</v>
      </c>
      <c r="I163" s="249">
        <f t="shared" si="14"/>
        <v>0</v>
      </c>
      <c r="J163" s="249">
        <f t="shared" si="15"/>
        <v>0</v>
      </c>
      <c r="K163" s="249">
        <f t="shared" si="16"/>
        <v>0</v>
      </c>
      <c r="L163" s="248"/>
    </row>
    <row r="164" spans="1:12">
      <c r="A164" s="248">
        <v>101</v>
      </c>
      <c r="B164" s="249">
        <f t="shared" si="9"/>
        <v>0</v>
      </c>
      <c r="C164" s="249">
        <f t="shared" si="10"/>
        <v>0</v>
      </c>
      <c r="D164" s="249">
        <f t="shared" si="11"/>
        <v>0</v>
      </c>
      <c r="E164" s="249">
        <f t="shared" si="12"/>
        <v>0</v>
      </c>
      <c r="F164" s="248"/>
      <c r="G164" s="248">
        <v>101</v>
      </c>
      <c r="H164" s="249">
        <f t="shared" si="13"/>
        <v>0</v>
      </c>
      <c r="I164" s="249">
        <f t="shared" si="14"/>
        <v>0</v>
      </c>
      <c r="J164" s="249">
        <f t="shared" si="15"/>
        <v>0</v>
      </c>
      <c r="K164" s="249">
        <f t="shared" si="16"/>
        <v>0</v>
      </c>
      <c r="L164" s="248"/>
    </row>
    <row r="165" spans="1:12">
      <c r="A165" s="248">
        <v>102</v>
      </c>
      <c r="B165" s="249">
        <f t="shared" si="9"/>
        <v>0</v>
      </c>
      <c r="C165" s="249">
        <f t="shared" si="10"/>
        <v>0</v>
      </c>
      <c r="D165" s="249">
        <f t="shared" si="11"/>
        <v>0</v>
      </c>
      <c r="E165" s="249">
        <f t="shared" si="12"/>
        <v>0</v>
      </c>
      <c r="F165" s="248"/>
      <c r="G165" s="248">
        <v>102</v>
      </c>
      <c r="H165" s="249">
        <f t="shared" si="13"/>
        <v>0</v>
      </c>
      <c r="I165" s="249">
        <f t="shared" si="14"/>
        <v>0</v>
      </c>
      <c r="J165" s="249">
        <f t="shared" si="15"/>
        <v>0</v>
      </c>
      <c r="K165" s="249">
        <f t="shared" si="16"/>
        <v>0</v>
      </c>
      <c r="L165" s="248"/>
    </row>
    <row r="166" spans="1:12">
      <c r="A166" s="248">
        <v>103</v>
      </c>
      <c r="B166" s="249">
        <f t="shared" si="9"/>
        <v>0</v>
      </c>
      <c r="C166" s="249">
        <f t="shared" si="10"/>
        <v>0</v>
      </c>
      <c r="D166" s="249">
        <f t="shared" si="11"/>
        <v>0</v>
      </c>
      <c r="E166" s="249">
        <f t="shared" si="12"/>
        <v>0</v>
      </c>
      <c r="F166" s="248"/>
      <c r="G166" s="248">
        <v>103</v>
      </c>
      <c r="H166" s="249">
        <f t="shared" si="13"/>
        <v>0</v>
      </c>
      <c r="I166" s="249">
        <f t="shared" si="14"/>
        <v>0</v>
      </c>
      <c r="J166" s="249">
        <f t="shared" si="15"/>
        <v>0</v>
      </c>
      <c r="K166" s="249">
        <f t="shared" si="16"/>
        <v>0</v>
      </c>
      <c r="L166" s="248"/>
    </row>
    <row r="167" spans="1:12">
      <c r="A167" s="248">
        <v>104</v>
      </c>
      <c r="B167" s="249">
        <f t="shared" si="9"/>
        <v>0</v>
      </c>
      <c r="C167" s="249">
        <f t="shared" si="10"/>
        <v>0</v>
      </c>
      <c r="D167" s="249">
        <f t="shared" si="11"/>
        <v>0</v>
      </c>
      <c r="E167" s="249">
        <f t="shared" si="12"/>
        <v>0</v>
      </c>
      <c r="F167" s="248"/>
      <c r="G167" s="248">
        <v>104</v>
      </c>
      <c r="H167" s="249">
        <f t="shared" si="13"/>
        <v>0</v>
      </c>
      <c r="I167" s="249">
        <f t="shared" si="14"/>
        <v>0</v>
      </c>
      <c r="J167" s="249">
        <f t="shared" si="15"/>
        <v>0</v>
      </c>
      <c r="K167" s="249">
        <f t="shared" si="16"/>
        <v>0</v>
      </c>
      <c r="L167" s="248"/>
    </row>
    <row r="168" spans="1:12">
      <c r="A168" s="248">
        <v>105</v>
      </c>
      <c r="B168" s="249">
        <f t="shared" si="9"/>
        <v>0</v>
      </c>
      <c r="C168" s="249">
        <f t="shared" si="10"/>
        <v>0</v>
      </c>
      <c r="D168" s="249">
        <f t="shared" si="11"/>
        <v>0</v>
      </c>
      <c r="E168" s="249">
        <f t="shared" si="12"/>
        <v>0</v>
      </c>
      <c r="F168" s="248"/>
      <c r="G168" s="248">
        <v>105</v>
      </c>
      <c r="H168" s="249">
        <f t="shared" si="13"/>
        <v>0</v>
      </c>
      <c r="I168" s="249">
        <f t="shared" si="14"/>
        <v>0</v>
      </c>
      <c r="J168" s="249">
        <f t="shared" si="15"/>
        <v>0</v>
      </c>
      <c r="K168" s="249">
        <f t="shared" si="16"/>
        <v>0</v>
      </c>
      <c r="L168" s="248"/>
    </row>
    <row r="169" spans="1:12">
      <c r="A169" s="248">
        <v>106</v>
      </c>
      <c r="B169" s="249">
        <f t="shared" si="9"/>
        <v>0</v>
      </c>
      <c r="C169" s="249">
        <f t="shared" si="10"/>
        <v>0</v>
      </c>
      <c r="D169" s="249">
        <f t="shared" si="11"/>
        <v>0</v>
      </c>
      <c r="E169" s="249">
        <f t="shared" si="12"/>
        <v>0</v>
      </c>
      <c r="F169" s="248"/>
      <c r="G169" s="248">
        <v>106</v>
      </c>
      <c r="H169" s="249">
        <f t="shared" si="13"/>
        <v>0</v>
      </c>
      <c r="I169" s="249">
        <f t="shared" si="14"/>
        <v>0</v>
      </c>
      <c r="J169" s="249">
        <f t="shared" si="15"/>
        <v>0</v>
      </c>
      <c r="K169" s="249">
        <f t="shared" si="16"/>
        <v>0</v>
      </c>
      <c r="L169" s="248"/>
    </row>
    <row r="170" spans="1:12">
      <c r="A170" s="248">
        <v>107</v>
      </c>
      <c r="B170" s="249">
        <f t="shared" si="9"/>
        <v>0</v>
      </c>
      <c r="C170" s="249">
        <f t="shared" si="10"/>
        <v>0</v>
      </c>
      <c r="D170" s="249">
        <f t="shared" si="11"/>
        <v>0</v>
      </c>
      <c r="E170" s="249">
        <f t="shared" si="12"/>
        <v>0</v>
      </c>
      <c r="F170" s="248"/>
      <c r="G170" s="248">
        <v>107</v>
      </c>
      <c r="H170" s="249">
        <f t="shared" si="13"/>
        <v>0</v>
      </c>
      <c r="I170" s="249">
        <f t="shared" si="14"/>
        <v>0</v>
      </c>
      <c r="J170" s="249">
        <f t="shared" si="15"/>
        <v>0</v>
      </c>
      <c r="K170" s="249">
        <f t="shared" si="16"/>
        <v>0</v>
      </c>
      <c r="L170" s="248"/>
    </row>
    <row r="171" spans="1:12">
      <c r="A171" s="248">
        <v>108</v>
      </c>
      <c r="B171" s="249">
        <f t="shared" si="9"/>
        <v>0</v>
      </c>
      <c r="C171" s="249">
        <f t="shared" si="10"/>
        <v>0</v>
      </c>
      <c r="D171" s="249">
        <f t="shared" si="11"/>
        <v>0</v>
      </c>
      <c r="E171" s="249">
        <f t="shared" si="12"/>
        <v>0</v>
      </c>
      <c r="F171" s="248">
        <v>9</v>
      </c>
      <c r="G171" s="248">
        <v>108</v>
      </c>
      <c r="H171" s="249">
        <f t="shared" si="13"/>
        <v>0</v>
      </c>
      <c r="I171" s="249">
        <f t="shared" si="14"/>
        <v>0</v>
      </c>
      <c r="J171" s="249">
        <f t="shared" si="15"/>
        <v>0</v>
      </c>
      <c r="K171" s="249">
        <f t="shared" si="16"/>
        <v>0</v>
      </c>
      <c r="L171" s="248">
        <v>9</v>
      </c>
    </row>
    <row r="172" spans="1:12">
      <c r="A172" s="248">
        <v>109</v>
      </c>
      <c r="B172" s="249">
        <f t="shared" si="9"/>
        <v>0</v>
      </c>
      <c r="C172" s="249">
        <f t="shared" si="10"/>
        <v>0</v>
      </c>
      <c r="D172" s="249">
        <f t="shared" si="11"/>
        <v>0</v>
      </c>
      <c r="E172" s="249">
        <f t="shared" si="12"/>
        <v>0</v>
      </c>
      <c r="F172" s="248"/>
      <c r="G172" s="248">
        <v>109</v>
      </c>
      <c r="H172" s="249">
        <f t="shared" si="13"/>
        <v>0</v>
      </c>
      <c r="I172" s="249">
        <f t="shared" si="14"/>
        <v>0</v>
      </c>
      <c r="J172" s="249">
        <f t="shared" si="15"/>
        <v>0</v>
      </c>
      <c r="K172" s="249">
        <f t="shared" si="16"/>
        <v>0</v>
      </c>
      <c r="L172" s="248"/>
    </row>
    <row r="173" spans="1:12">
      <c r="A173" s="248">
        <v>110</v>
      </c>
      <c r="B173" s="249">
        <f t="shared" si="9"/>
        <v>0</v>
      </c>
      <c r="C173" s="249">
        <f t="shared" si="10"/>
        <v>0</v>
      </c>
      <c r="D173" s="249">
        <f t="shared" si="11"/>
        <v>0</v>
      </c>
      <c r="E173" s="249">
        <f t="shared" si="12"/>
        <v>0</v>
      </c>
      <c r="F173" s="248"/>
      <c r="G173" s="248">
        <v>110</v>
      </c>
      <c r="H173" s="249">
        <f t="shared" si="13"/>
        <v>0</v>
      </c>
      <c r="I173" s="249">
        <f t="shared" si="14"/>
        <v>0</v>
      </c>
      <c r="J173" s="249">
        <f t="shared" si="15"/>
        <v>0</v>
      </c>
      <c r="K173" s="249">
        <f t="shared" si="16"/>
        <v>0</v>
      </c>
      <c r="L173" s="248"/>
    </row>
    <row r="174" spans="1:12">
      <c r="A174" s="248">
        <v>111</v>
      </c>
      <c r="B174" s="249">
        <f t="shared" si="9"/>
        <v>0</v>
      </c>
      <c r="C174" s="249">
        <f t="shared" si="10"/>
        <v>0</v>
      </c>
      <c r="D174" s="249">
        <f t="shared" si="11"/>
        <v>0</v>
      </c>
      <c r="E174" s="249">
        <f t="shared" si="12"/>
        <v>0</v>
      </c>
      <c r="F174" s="248"/>
      <c r="G174" s="248">
        <v>111</v>
      </c>
      <c r="H174" s="249">
        <f t="shared" si="13"/>
        <v>0</v>
      </c>
      <c r="I174" s="249">
        <f t="shared" si="14"/>
        <v>0</v>
      </c>
      <c r="J174" s="249">
        <f t="shared" si="15"/>
        <v>0</v>
      </c>
      <c r="K174" s="249">
        <f t="shared" si="16"/>
        <v>0</v>
      </c>
      <c r="L174" s="248"/>
    </row>
    <row r="175" spans="1:12">
      <c r="A175" s="248">
        <v>112</v>
      </c>
      <c r="B175" s="249">
        <f t="shared" si="9"/>
        <v>0</v>
      </c>
      <c r="C175" s="249">
        <f t="shared" si="10"/>
        <v>0</v>
      </c>
      <c r="D175" s="249">
        <f t="shared" si="11"/>
        <v>0</v>
      </c>
      <c r="E175" s="249">
        <f t="shared" si="12"/>
        <v>0</v>
      </c>
      <c r="F175" s="248"/>
      <c r="G175" s="248">
        <v>112</v>
      </c>
      <c r="H175" s="249">
        <f t="shared" si="13"/>
        <v>0</v>
      </c>
      <c r="I175" s="249">
        <f t="shared" si="14"/>
        <v>0</v>
      </c>
      <c r="J175" s="249">
        <f t="shared" si="15"/>
        <v>0</v>
      </c>
      <c r="K175" s="249">
        <f t="shared" si="16"/>
        <v>0</v>
      </c>
      <c r="L175" s="248"/>
    </row>
    <row r="176" spans="1:12">
      <c r="A176" s="248">
        <v>113</v>
      </c>
      <c r="B176" s="249">
        <f t="shared" si="9"/>
        <v>0</v>
      </c>
      <c r="C176" s="249">
        <f t="shared" si="10"/>
        <v>0</v>
      </c>
      <c r="D176" s="249">
        <f t="shared" si="11"/>
        <v>0</v>
      </c>
      <c r="E176" s="249">
        <f t="shared" si="12"/>
        <v>0</v>
      </c>
      <c r="F176" s="248"/>
      <c r="G176" s="248">
        <v>113</v>
      </c>
      <c r="H176" s="249">
        <f t="shared" si="13"/>
        <v>0</v>
      </c>
      <c r="I176" s="249">
        <f t="shared" si="14"/>
        <v>0</v>
      </c>
      <c r="J176" s="249">
        <f t="shared" si="15"/>
        <v>0</v>
      </c>
      <c r="K176" s="249">
        <f t="shared" si="16"/>
        <v>0</v>
      </c>
      <c r="L176" s="248"/>
    </row>
    <row r="177" spans="1:12">
      <c r="A177" s="248">
        <v>114</v>
      </c>
      <c r="B177" s="249">
        <f t="shared" si="9"/>
        <v>0</v>
      </c>
      <c r="C177" s="249">
        <f t="shared" si="10"/>
        <v>0</v>
      </c>
      <c r="D177" s="249">
        <f t="shared" si="11"/>
        <v>0</v>
      </c>
      <c r="E177" s="249">
        <f t="shared" si="12"/>
        <v>0</v>
      </c>
      <c r="F177" s="248"/>
      <c r="G177" s="248">
        <v>114</v>
      </c>
      <c r="H177" s="249">
        <f t="shared" si="13"/>
        <v>0</v>
      </c>
      <c r="I177" s="249">
        <f t="shared" si="14"/>
        <v>0</v>
      </c>
      <c r="J177" s="249">
        <f t="shared" si="15"/>
        <v>0</v>
      </c>
      <c r="K177" s="249">
        <f t="shared" si="16"/>
        <v>0</v>
      </c>
      <c r="L177" s="248"/>
    </row>
    <row r="178" spans="1:12">
      <c r="A178" s="248">
        <v>115</v>
      </c>
      <c r="B178" s="249">
        <f t="shared" si="9"/>
        <v>0</v>
      </c>
      <c r="C178" s="249">
        <f t="shared" si="10"/>
        <v>0</v>
      </c>
      <c r="D178" s="249">
        <f t="shared" si="11"/>
        <v>0</v>
      </c>
      <c r="E178" s="249">
        <f t="shared" si="12"/>
        <v>0</v>
      </c>
      <c r="F178" s="248"/>
      <c r="G178" s="248">
        <v>115</v>
      </c>
      <c r="H178" s="249">
        <f t="shared" si="13"/>
        <v>0</v>
      </c>
      <c r="I178" s="249">
        <f t="shared" si="14"/>
        <v>0</v>
      </c>
      <c r="J178" s="249">
        <f t="shared" si="15"/>
        <v>0</v>
      </c>
      <c r="K178" s="249">
        <f t="shared" si="16"/>
        <v>0</v>
      </c>
      <c r="L178" s="248"/>
    </row>
    <row r="179" spans="1:12">
      <c r="A179" s="248">
        <v>116</v>
      </c>
      <c r="B179" s="249">
        <f t="shared" si="9"/>
        <v>0</v>
      </c>
      <c r="C179" s="249">
        <f t="shared" si="10"/>
        <v>0</v>
      </c>
      <c r="D179" s="249">
        <f t="shared" si="11"/>
        <v>0</v>
      </c>
      <c r="E179" s="249">
        <f t="shared" si="12"/>
        <v>0</v>
      </c>
      <c r="F179" s="248"/>
      <c r="G179" s="248">
        <v>116</v>
      </c>
      <c r="H179" s="249">
        <f t="shared" si="13"/>
        <v>0</v>
      </c>
      <c r="I179" s="249">
        <f t="shared" si="14"/>
        <v>0</v>
      </c>
      <c r="J179" s="249">
        <f t="shared" si="15"/>
        <v>0</v>
      </c>
      <c r="K179" s="249">
        <f t="shared" si="16"/>
        <v>0</v>
      </c>
      <c r="L179" s="248"/>
    </row>
    <row r="180" spans="1:12">
      <c r="A180" s="248">
        <v>117</v>
      </c>
      <c r="B180" s="249">
        <f t="shared" si="9"/>
        <v>0</v>
      </c>
      <c r="C180" s="249">
        <f t="shared" si="10"/>
        <v>0</v>
      </c>
      <c r="D180" s="249">
        <f t="shared" si="11"/>
        <v>0</v>
      </c>
      <c r="E180" s="249">
        <f t="shared" si="12"/>
        <v>0</v>
      </c>
      <c r="F180" s="248"/>
      <c r="G180" s="248">
        <v>117</v>
      </c>
      <c r="H180" s="249">
        <f t="shared" si="13"/>
        <v>0</v>
      </c>
      <c r="I180" s="249">
        <f t="shared" si="14"/>
        <v>0</v>
      </c>
      <c r="J180" s="249">
        <f t="shared" si="15"/>
        <v>0</v>
      </c>
      <c r="K180" s="249">
        <f t="shared" si="16"/>
        <v>0</v>
      </c>
      <c r="L180" s="248"/>
    </row>
    <row r="181" spans="1:12">
      <c r="A181" s="248">
        <v>118</v>
      </c>
      <c r="B181" s="249">
        <f t="shared" si="9"/>
        <v>0</v>
      </c>
      <c r="C181" s="249">
        <f t="shared" si="10"/>
        <v>0</v>
      </c>
      <c r="D181" s="249">
        <f t="shared" si="11"/>
        <v>0</v>
      </c>
      <c r="E181" s="249">
        <f t="shared" si="12"/>
        <v>0</v>
      </c>
      <c r="F181" s="248"/>
      <c r="G181" s="248">
        <v>118</v>
      </c>
      <c r="H181" s="249">
        <f t="shared" si="13"/>
        <v>0</v>
      </c>
      <c r="I181" s="249">
        <f t="shared" si="14"/>
        <v>0</v>
      </c>
      <c r="J181" s="249">
        <f t="shared" si="15"/>
        <v>0</v>
      </c>
      <c r="K181" s="249">
        <f t="shared" si="16"/>
        <v>0</v>
      </c>
      <c r="L181" s="248"/>
    </row>
    <row r="182" spans="1:12">
      <c r="A182" s="248">
        <v>119</v>
      </c>
      <c r="B182" s="249">
        <f t="shared" si="9"/>
        <v>0</v>
      </c>
      <c r="C182" s="249">
        <f t="shared" si="10"/>
        <v>0</v>
      </c>
      <c r="D182" s="249">
        <f t="shared" si="11"/>
        <v>0</v>
      </c>
      <c r="E182" s="249">
        <f t="shared" si="12"/>
        <v>0</v>
      </c>
      <c r="F182" s="248"/>
      <c r="G182" s="248">
        <v>119</v>
      </c>
      <c r="H182" s="249">
        <f t="shared" si="13"/>
        <v>0</v>
      </c>
      <c r="I182" s="249">
        <f t="shared" si="14"/>
        <v>0</v>
      </c>
      <c r="J182" s="249">
        <f t="shared" si="15"/>
        <v>0</v>
      </c>
      <c r="K182" s="249">
        <f t="shared" si="16"/>
        <v>0</v>
      </c>
      <c r="L182" s="248"/>
    </row>
    <row r="183" spans="1:12">
      <c r="A183" s="248">
        <v>120</v>
      </c>
      <c r="B183" s="249">
        <f t="shared" si="9"/>
        <v>0</v>
      </c>
      <c r="C183" s="249">
        <f t="shared" si="10"/>
        <v>0</v>
      </c>
      <c r="D183" s="249">
        <f t="shared" si="11"/>
        <v>0</v>
      </c>
      <c r="E183" s="249">
        <f t="shared" si="12"/>
        <v>0</v>
      </c>
      <c r="F183" s="248">
        <v>10</v>
      </c>
      <c r="G183" s="248">
        <v>120</v>
      </c>
      <c r="H183" s="249">
        <f t="shared" si="13"/>
        <v>0</v>
      </c>
      <c r="I183" s="249">
        <f t="shared" si="14"/>
        <v>0</v>
      </c>
      <c r="J183" s="249">
        <f t="shared" si="15"/>
        <v>0</v>
      </c>
      <c r="K183" s="249">
        <f t="shared" si="16"/>
        <v>0</v>
      </c>
      <c r="L183" s="248">
        <v>10</v>
      </c>
    </row>
    <row r="184" spans="1:12">
      <c r="A184" s="248">
        <v>121</v>
      </c>
      <c r="B184" s="249">
        <f t="shared" si="9"/>
        <v>0</v>
      </c>
      <c r="C184" s="249">
        <f t="shared" si="10"/>
        <v>0</v>
      </c>
      <c r="D184" s="249">
        <f t="shared" si="11"/>
        <v>0</v>
      </c>
      <c r="E184" s="249">
        <f t="shared" si="12"/>
        <v>0</v>
      </c>
      <c r="F184" s="248"/>
      <c r="G184" s="248">
        <v>121</v>
      </c>
      <c r="H184" s="249">
        <f t="shared" si="13"/>
        <v>0</v>
      </c>
      <c r="I184" s="249">
        <f t="shared" si="14"/>
        <v>0</v>
      </c>
      <c r="J184" s="249">
        <f t="shared" si="15"/>
        <v>0</v>
      </c>
      <c r="K184" s="249">
        <f t="shared" si="16"/>
        <v>0</v>
      </c>
      <c r="L184" s="248"/>
    </row>
    <row r="185" spans="1:12">
      <c r="A185" s="248">
        <v>122</v>
      </c>
      <c r="B185" s="249">
        <f t="shared" si="9"/>
        <v>0</v>
      </c>
      <c r="C185" s="249">
        <f t="shared" si="10"/>
        <v>0</v>
      </c>
      <c r="D185" s="249">
        <f t="shared" si="11"/>
        <v>0</v>
      </c>
      <c r="E185" s="249">
        <f t="shared" si="12"/>
        <v>0</v>
      </c>
      <c r="F185" s="248"/>
      <c r="G185" s="248">
        <v>122</v>
      </c>
      <c r="H185" s="249">
        <f t="shared" si="13"/>
        <v>0</v>
      </c>
      <c r="I185" s="249">
        <f t="shared" si="14"/>
        <v>0</v>
      </c>
      <c r="J185" s="249">
        <f t="shared" si="15"/>
        <v>0</v>
      </c>
      <c r="K185" s="249">
        <f t="shared" si="16"/>
        <v>0</v>
      </c>
      <c r="L185" s="248"/>
    </row>
    <row r="186" spans="1:12">
      <c r="A186" s="248">
        <v>123</v>
      </c>
      <c r="B186" s="249">
        <f t="shared" si="9"/>
        <v>0</v>
      </c>
      <c r="C186" s="249">
        <f t="shared" si="10"/>
        <v>0</v>
      </c>
      <c r="D186" s="249">
        <f t="shared" si="11"/>
        <v>0</v>
      </c>
      <c r="E186" s="249">
        <f t="shared" si="12"/>
        <v>0</v>
      </c>
      <c r="F186" s="248"/>
      <c r="G186" s="248">
        <v>123</v>
      </c>
      <c r="H186" s="249">
        <f t="shared" si="13"/>
        <v>0</v>
      </c>
      <c r="I186" s="249">
        <f t="shared" si="14"/>
        <v>0</v>
      </c>
      <c r="J186" s="249">
        <f t="shared" si="15"/>
        <v>0</v>
      </c>
      <c r="K186" s="249">
        <f t="shared" si="16"/>
        <v>0</v>
      </c>
      <c r="L186" s="248"/>
    </row>
    <row r="187" spans="1:12">
      <c r="A187" s="248">
        <v>124</v>
      </c>
      <c r="B187" s="249">
        <f t="shared" si="9"/>
        <v>0</v>
      </c>
      <c r="C187" s="249">
        <f t="shared" si="10"/>
        <v>0</v>
      </c>
      <c r="D187" s="249">
        <f t="shared" si="11"/>
        <v>0</v>
      </c>
      <c r="E187" s="249">
        <f t="shared" si="12"/>
        <v>0</v>
      </c>
      <c r="F187" s="248"/>
      <c r="G187" s="248">
        <v>124</v>
      </c>
      <c r="H187" s="249">
        <f t="shared" si="13"/>
        <v>0</v>
      </c>
      <c r="I187" s="249">
        <f t="shared" si="14"/>
        <v>0</v>
      </c>
      <c r="J187" s="249">
        <f t="shared" si="15"/>
        <v>0</v>
      </c>
      <c r="K187" s="249">
        <f t="shared" si="16"/>
        <v>0</v>
      </c>
      <c r="L187" s="248"/>
    </row>
    <row r="188" spans="1:12">
      <c r="A188" s="248">
        <v>125</v>
      </c>
      <c r="B188" s="249">
        <f t="shared" si="9"/>
        <v>0</v>
      </c>
      <c r="C188" s="249">
        <f t="shared" si="10"/>
        <v>0</v>
      </c>
      <c r="D188" s="249">
        <f t="shared" si="11"/>
        <v>0</v>
      </c>
      <c r="E188" s="249">
        <f t="shared" si="12"/>
        <v>0</v>
      </c>
      <c r="F188" s="248"/>
      <c r="G188" s="248">
        <v>125</v>
      </c>
      <c r="H188" s="249">
        <f t="shared" si="13"/>
        <v>0</v>
      </c>
      <c r="I188" s="249">
        <f t="shared" si="14"/>
        <v>0</v>
      </c>
      <c r="J188" s="249">
        <f t="shared" si="15"/>
        <v>0</v>
      </c>
      <c r="K188" s="249">
        <f t="shared" si="16"/>
        <v>0</v>
      </c>
      <c r="L188" s="248"/>
    </row>
    <row r="189" spans="1:12">
      <c r="A189" s="248">
        <v>126</v>
      </c>
      <c r="B189" s="249">
        <f t="shared" si="9"/>
        <v>0</v>
      </c>
      <c r="C189" s="249">
        <f t="shared" si="10"/>
        <v>0</v>
      </c>
      <c r="D189" s="249">
        <f t="shared" si="11"/>
        <v>0</v>
      </c>
      <c r="E189" s="249">
        <f t="shared" si="12"/>
        <v>0</v>
      </c>
      <c r="F189" s="248"/>
      <c r="G189" s="248">
        <v>126</v>
      </c>
      <c r="H189" s="249">
        <f t="shared" si="13"/>
        <v>0</v>
      </c>
      <c r="I189" s="249">
        <f t="shared" si="14"/>
        <v>0</v>
      </c>
      <c r="J189" s="249">
        <f t="shared" si="15"/>
        <v>0</v>
      </c>
      <c r="K189" s="249">
        <f t="shared" si="16"/>
        <v>0</v>
      </c>
      <c r="L189" s="248"/>
    </row>
    <row r="190" spans="1:12">
      <c r="A190" s="248">
        <v>127</v>
      </c>
      <c r="B190" s="249">
        <f t="shared" si="9"/>
        <v>0</v>
      </c>
      <c r="C190" s="249">
        <f t="shared" si="10"/>
        <v>0</v>
      </c>
      <c r="D190" s="249">
        <f t="shared" si="11"/>
        <v>0</v>
      </c>
      <c r="E190" s="249">
        <f t="shared" si="12"/>
        <v>0</v>
      </c>
      <c r="F190" s="248"/>
      <c r="G190" s="248">
        <v>127</v>
      </c>
      <c r="H190" s="249">
        <f t="shared" si="13"/>
        <v>0</v>
      </c>
      <c r="I190" s="249">
        <f t="shared" si="14"/>
        <v>0</v>
      </c>
      <c r="J190" s="249">
        <f t="shared" si="15"/>
        <v>0</v>
      </c>
      <c r="K190" s="249">
        <f t="shared" si="16"/>
        <v>0</v>
      </c>
      <c r="L190" s="248"/>
    </row>
    <row r="191" spans="1:12">
      <c r="A191" s="248">
        <v>128</v>
      </c>
      <c r="B191" s="249">
        <f t="shared" si="9"/>
        <v>0</v>
      </c>
      <c r="C191" s="249">
        <f t="shared" si="10"/>
        <v>0</v>
      </c>
      <c r="D191" s="249">
        <f t="shared" si="11"/>
        <v>0</v>
      </c>
      <c r="E191" s="249">
        <f t="shared" si="12"/>
        <v>0</v>
      </c>
      <c r="F191" s="248"/>
      <c r="G191" s="248">
        <v>128</v>
      </c>
      <c r="H191" s="249">
        <f t="shared" si="13"/>
        <v>0</v>
      </c>
      <c r="I191" s="249">
        <f t="shared" si="14"/>
        <v>0</v>
      </c>
      <c r="J191" s="249">
        <f t="shared" si="15"/>
        <v>0</v>
      </c>
      <c r="K191" s="249">
        <f t="shared" si="16"/>
        <v>0</v>
      </c>
      <c r="L191" s="248"/>
    </row>
    <row r="192" spans="1:12">
      <c r="A192" s="248">
        <v>129</v>
      </c>
      <c r="B192" s="249">
        <f t="shared" ref="B192:B255" si="17">IF(A192&gt;12*$C$9,0,IF($C$5&gt;1500000,$D$12,$C$12))</f>
        <v>0</v>
      </c>
      <c r="C192" s="249">
        <f t="shared" ref="C192:C255" si="18">IF(A192&gt;12*$C$9,0,E191*$C$7/12)</f>
        <v>0</v>
      </c>
      <c r="D192" s="249">
        <f t="shared" ref="D192:D255" si="19">IF(A192&gt;12*$C$9,0,B192-C192)</f>
        <v>0</v>
      </c>
      <c r="E192" s="249">
        <f t="shared" ref="E192:E255" si="20">IF(A192&gt;12*$C$9,0,E191-D192)</f>
        <v>0</v>
      </c>
      <c r="F192" s="248"/>
      <c r="G192" s="248">
        <v>129</v>
      </c>
      <c r="H192" s="249">
        <f t="shared" ref="H192:H255" si="21">IF(G192&gt;12*$C$9,0,IF($C$5&gt;1500000,$E$12,0))</f>
        <v>0</v>
      </c>
      <c r="I192" s="249">
        <f t="shared" ref="I192:I255" si="22">IF(G192&gt;12*$C$9,0,K191*$C$7/12)</f>
        <v>0</v>
      </c>
      <c r="J192" s="249">
        <f t="shared" ref="J192:J255" si="23">IF(G192&gt;12*$C$9,0,H192-I192)</f>
        <v>0</v>
      </c>
      <c r="K192" s="249">
        <f t="shared" ref="K192:K255" si="24">IF(G192&gt;12*$C$9,0,K191-J192)</f>
        <v>0</v>
      </c>
      <c r="L192" s="248"/>
    </row>
    <row r="193" spans="1:12">
      <c r="A193" s="248">
        <v>130</v>
      </c>
      <c r="B193" s="249">
        <f t="shared" si="17"/>
        <v>0</v>
      </c>
      <c r="C193" s="249">
        <f t="shared" si="18"/>
        <v>0</v>
      </c>
      <c r="D193" s="249">
        <f t="shared" si="19"/>
        <v>0</v>
      </c>
      <c r="E193" s="249">
        <f t="shared" si="20"/>
        <v>0</v>
      </c>
      <c r="F193" s="248"/>
      <c r="G193" s="248">
        <v>130</v>
      </c>
      <c r="H193" s="249">
        <f t="shared" si="21"/>
        <v>0</v>
      </c>
      <c r="I193" s="249">
        <f t="shared" si="22"/>
        <v>0</v>
      </c>
      <c r="J193" s="249">
        <f t="shared" si="23"/>
        <v>0</v>
      </c>
      <c r="K193" s="249">
        <f t="shared" si="24"/>
        <v>0</v>
      </c>
      <c r="L193" s="248"/>
    </row>
    <row r="194" spans="1:12">
      <c r="A194" s="248">
        <v>131</v>
      </c>
      <c r="B194" s="249">
        <f t="shared" si="17"/>
        <v>0</v>
      </c>
      <c r="C194" s="249">
        <f t="shared" si="18"/>
        <v>0</v>
      </c>
      <c r="D194" s="249">
        <f t="shared" si="19"/>
        <v>0</v>
      </c>
      <c r="E194" s="249">
        <f t="shared" si="20"/>
        <v>0</v>
      </c>
      <c r="F194" s="248"/>
      <c r="G194" s="248">
        <v>131</v>
      </c>
      <c r="H194" s="249">
        <f t="shared" si="21"/>
        <v>0</v>
      </c>
      <c r="I194" s="249">
        <f t="shared" si="22"/>
        <v>0</v>
      </c>
      <c r="J194" s="249">
        <f t="shared" si="23"/>
        <v>0</v>
      </c>
      <c r="K194" s="249">
        <f t="shared" si="24"/>
        <v>0</v>
      </c>
      <c r="L194" s="248"/>
    </row>
    <row r="195" spans="1:12">
      <c r="A195" s="248">
        <v>132</v>
      </c>
      <c r="B195" s="249">
        <f t="shared" si="17"/>
        <v>0</v>
      </c>
      <c r="C195" s="249">
        <f t="shared" si="18"/>
        <v>0</v>
      </c>
      <c r="D195" s="249">
        <f t="shared" si="19"/>
        <v>0</v>
      </c>
      <c r="E195" s="249">
        <f t="shared" si="20"/>
        <v>0</v>
      </c>
      <c r="F195" s="248">
        <v>11</v>
      </c>
      <c r="G195" s="248">
        <v>132</v>
      </c>
      <c r="H195" s="249">
        <f t="shared" si="21"/>
        <v>0</v>
      </c>
      <c r="I195" s="249">
        <f t="shared" si="22"/>
        <v>0</v>
      </c>
      <c r="J195" s="249">
        <f t="shared" si="23"/>
        <v>0</v>
      </c>
      <c r="K195" s="249">
        <f t="shared" si="24"/>
        <v>0</v>
      </c>
      <c r="L195" s="248">
        <v>11</v>
      </c>
    </row>
    <row r="196" spans="1:12">
      <c r="A196" s="248">
        <v>133</v>
      </c>
      <c r="B196" s="249">
        <f t="shared" si="17"/>
        <v>0</v>
      </c>
      <c r="C196" s="249">
        <f t="shared" si="18"/>
        <v>0</v>
      </c>
      <c r="D196" s="249">
        <f t="shared" si="19"/>
        <v>0</v>
      </c>
      <c r="E196" s="249">
        <f t="shared" si="20"/>
        <v>0</v>
      </c>
      <c r="F196" s="248"/>
      <c r="G196" s="248">
        <v>133</v>
      </c>
      <c r="H196" s="249">
        <f t="shared" si="21"/>
        <v>0</v>
      </c>
      <c r="I196" s="249">
        <f t="shared" si="22"/>
        <v>0</v>
      </c>
      <c r="J196" s="249">
        <f t="shared" si="23"/>
        <v>0</v>
      </c>
      <c r="K196" s="249">
        <f t="shared" si="24"/>
        <v>0</v>
      </c>
      <c r="L196" s="248"/>
    </row>
    <row r="197" spans="1:12">
      <c r="A197" s="248">
        <v>134</v>
      </c>
      <c r="B197" s="249">
        <f t="shared" si="17"/>
        <v>0</v>
      </c>
      <c r="C197" s="249">
        <f t="shared" si="18"/>
        <v>0</v>
      </c>
      <c r="D197" s="249">
        <f t="shared" si="19"/>
        <v>0</v>
      </c>
      <c r="E197" s="249">
        <f t="shared" si="20"/>
        <v>0</v>
      </c>
      <c r="F197" s="248"/>
      <c r="G197" s="248">
        <v>134</v>
      </c>
      <c r="H197" s="249">
        <f t="shared" si="21"/>
        <v>0</v>
      </c>
      <c r="I197" s="249">
        <f t="shared" si="22"/>
        <v>0</v>
      </c>
      <c r="J197" s="249">
        <f t="shared" si="23"/>
        <v>0</v>
      </c>
      <c r="K197" s="249">
        <f t="shared" si="24"/>
        <v>0</v>
      </c>
      <c r="L197" s="248"/>
    </row>
    <row r="198" spans="1:12">
      <c r="A198" s="248">
        <v>135</v>
      </c>
      <c r="B198" s="249">
        <f t="shared" si="17"/>
        <v>0</v>
      </c>
      <c r="C198" s="249">
        <f t="shared" si="18"/>
        <v>0</v>
      </c>
      <c r="D198" s="249">
        <f t="shared" si="19"/>
        <v>0</v>
      </c>
      <c r="E198" s="249">
        <f t="shared" si="20"/>
        <v>0</v>
      </c>
      <c r="F198" s="248"/>
      <c r="G198" s="248">
        <v>135</v>
      </c>
      <c r="H198" s="249">
        <f t="shared" si="21"/>
        <v>0</v>
      </c>
      <c r="I198" s="249">
        <f t="shared" si="22"/>
        <v>0</v>
      </c>
      <c r="J198" s="249">
        <f t="shared" si="23"/>
        <v>0</v>
      </c>
      <c r="K198" s="249">
        <f t="shared" si="24"/>
        <v>0</v>
      </c>
      <c r="L198" s="248"/>
    </row>
    <row r="199" spans="1:12">
      <c r="A199" s="248">
        <v>136</v>
      </c>
      <c r="B199" s="249">
        <f t="shared" si="17"/>
        <v>0</v>
      </c>
      <c r="C199" s="249">
        <f t="shared" si="18"/>
        <v>0</v>
      </c>
      <c r="D199" s="249">
        <f t="shared" si="19"/>
        <v>0</v>
      </c>
      <c r="E199" s="249">
        <f t="shared" si="20"/>
        <v>0</v>
      </c>
      <c r="F199" s="248"/>
      <c r="G199" s="248">
        <v>136</v>
      </c>
      <c r="H199" s="249">
        <f t="shared" si="21"/>
        <v>0</v>
      </c>
      <c r="I199" s="249">
        <f t="shared" si="22"/>
        <v>0</v>
      </c>
      <c r="J199" s="249">
        <f t="shared" si="23"/>
        <v>0</v>
      </c>
      <c r="K199" s="249">
        <f t="shared" si="24"/>
        <v>0</v>
      </c>
      <c r="L199" s="248"/>
    </row>
    <row r="200" spans="1:12">
      <c r="A200" s="248">
        <v>137</v>
      </c>
      <c r="B200" s="249">
        <f t="shared" si="17"/>
        <v>0</v>
      </c>
      <c r="C200" s="249">
        <f t="shared" si="18"/>
        <v>0</v>
      </c>
      <c r="D200" s="249">
        <f t="shared" si="19"/>
        <v>0</v>
      </c>
      <c r="E200" s="249">
        <f t="shared" si="20"/>
        <v>0</v>
      </c>
      <c r="F200" s="248"/>
      <c r="G200" s="248">
        <v>137</v>
      </c>
      <c r="H200" s="249">
        <f t="shared" si="21"/>
        <v>0</v>
      </c>
      <c r="I200" s="249">
        <f t="shared" si="22"/>
        <v>0</v>
      </c>
      <c r="J200" s="249">
        <f t="shared" si="23"/>
        <v>0</v>
      </c>
      <c r="K200" s="249">
        <f t="shared" si="24"/>
        <v>0</v>
      </c>
      <c r="L200" s="248"/>
    </row>
    <row r="201" spans="1:12">
      <c r="A201" s="248">
        <v>138</v>
      </c>
      <c r="B201" s="249">
        <f t="shared" si="17"/>
        <v>0</v>
      </c>
      <c r="C201" s="249">
        <f t="shared" si="18"/>
        <v>0</v>
      </c>
      <c r="D201" s="249">
        <f t="shared" si="19"/>
        <v>0</v>
      </c>
      <c r="E201" s="249">
        <f t="shared" si="20"/>
        <v>0</v>
      </c>
      <c r="F201" s="248"/>
      <c r="G201" s="248">
        <v>138</v>
      </c>
      <c r="H201" s="249">
        <f t="shared" si="21"/>
        <v>0</v>
      </c>
      <c r="I201" s="249">
        <f t="shared" si="22"/>
        <v>0</v>
      </c>
      <c r="J201" s="249">
        <f t="shared" si="23"/>
        <v>0</v>
      </c>
      <c r="K201" s="249">
        <f t="shared" si="24"/>
        <v>0</v>
      </c>
      <c r="L201" s="248"/>
    </row>
    <row r="202" spans="1:12">
      <c r="A202" s="248">
        <v>139</v>
      </c>
      <c r="B202" s="249">
        <f t="shared" si="17"/>
        <v>0</v>
      </c>
      <c r="C202" s="249">
        <f t="shared" si="18"/>
        <v>0</v>
      </c>
      <c r="D202" s="249">
        <f t="shared" si="19"/>
        <v>0</v>
      </c>
      <c r="E202" s="249">
        <f t="shared" si="20"/>
        <v>0</v>
      </c>
      <c r="F202" s="248"/>
      <c r="G202" s="248">
        <v>139</v>
      </c>
      <c r="H202" s="249">
        <f t="shared" si="21"/>
        <v>0</v>
      </c>
      <c r="I202" s="249">
        <f t="shared" si="22"/>
        <v>0</v>
      </c>
      <c r="J202" s="249">
        <f t="shared" si="23"/>
        <v>0</v>
      </c>
      <c r="K202" s="249">
        <f t="shared" si="24"/>
        <v>0</v>
      </c>
      <c r="L202" s="248"/>
    </row>
    <row r="203" spans="1:12">
      <c r="A203" s="248">
        <v>140</v>
      </c>
      <c r="B203" s="249">
        <f t="shared" si="17"/>
        <v>0</v>
      </c>
      <c r="C203" s="249">
        <f t="shared" si="18"/>
        <v>0</v>
      </c>
      <c r="D203" s="249">
        <f t="shared" si="19"/>
        <v>0</v>
      </c>
      <c r="E203" s="249">
        <f t="shared" si="20"/>
        <v>0</v>
      </c>
      <c r="F203" s="248"/>
      <c r="G203" s="248">
        <v>140</v>
      </c>
      <c r="H203" s="249">
        <f t="shared" si="21"/>
        <v>0</v>
      </c>
      <c r="I203" s="249">
        <f t="shared" si="22"/>
        <v>0</v>
      </c>
      <c r="J203" s="249">
        <f t="shared" si="23"/>
        <v>0</v>
      </c>
      <c r="K203" s="249">
        <f t="shared" si="24"/>
        <v>0</v>
      </c>
      <c r="L203" s="248"/>
    </row>
    <row r="204" spans="1:12">
      <c r="A204" s="248">
        <v>141</v>
      </c>
      <c r="B204" s="249">
        <f t="shared" si="17"/>
        <v>0</v>
      </c>
      <c r="C204" s="249">
        <f t="shared" si="18"/>
        <v>0</v>
      </c>
      <c r="D204" s="249">
        <f t="shared" si="19"/>
        <v>0</v>
      </c>
      <c r="E204" s="249">
        <f t="shared" si="20"/>
        <v>0</v>
      </c>
      <c r="F204" s="248"/>
      <c r="G204" s="248">
        <v>141</v>
      </c>
      <c r="H204" s="249">
        <f t="shared" si="21"/>
        <v>0</v>
      </c>
      <c r="I204" s="249">
        <f t="shared" si="22"/>
        <v>0</v>
      </c>
      <c r="J204" s="249">
        <f t="shared" si="23"/>
        <v>0</v>
      </c>
      <c r="K204" s="249">
        <f t="shared" si="24"/>
        <v>0</v>
      </c>
      <c r="L204" s="248"/>
    </row>
    <row r="205" spans="1:12">
      <c r="A205" s="248">
        <v>142</v>
      </c>
      <c r="B205" s="249">
        <f t="shared" si="17"/>
        <v>0</v>
      </c>
      <c r="C205" s="249">
        <f t="shared" si="18"/>
        <v>0</v>
      </c>
      <c r="D205" s="249">
        <f t="shared" si="19"/>
        <v>0</v>
      </c>
      <c r="E205" s="249">
        <f t="shared" si="20"/>
        <v>0</v>
      </c>
      <c r="F205" s="248"/>
      <c r="G205" s="248">
        <v>142</v>
      </c>
      <c r="H205" s="249">
        <f t="shared" si="21"/>
        <v>0</v>
      </c>
      <c r="I205" s="249">
        <f t="shared" si="22"/>
        <v>0</v>
      </c>
      <c r="J205" s="249">
        <f t="shared" si="23"/>
        <v>0</v>
      </c>
      <c r="K205" s="249">
        <f t="shared" si="24"/>
        <v>0</v>
      </c>
      <c r="L205" s="248"/>
    </row>
    <row r="206" spans="1:12">
      <c r="A206" s="248">
        <v>143</v>
      </c>
      <c r="B206" s="249">
        <f t="shared" si="17"/>
        <v>0</v>
      </c>
      <c r="C206" s="249">
        <f t="shared" si="18"/>
        <v>0</v>
      </c>
      <c r="D206" s="249">
        <f t="shared" si="19"/>
        <v>0</v>
      </c>
      <c r="E206" s="249">
        <f t="shared" si="20"/>
        <v>0</v>
      </c>
      <c r="F206" s="248"/>
      <c r="G206" s="248">
        <v>143</v>
      </c>
      <c r="H206" s="249">
        <f t="shared" si="21"/>
        <v>0</v>
      </c>
      <c r="I206" s="249">
        <f t="shared" si="22"/>
        <v>0</v>
      </c>
      <c r="J206" s="249">
        <f t="shared" si="23"/>
        <v>0</v>
      </c>
      <c r="K206" s="249">
        <f t="shared" si="24"/>
        <v>0</v>
      </c>
      <c r="L206" s="248"/>
    </row>
    <row r="207" spans="1:12">
      <c r="A207" s="250">
        <v>144</v>
      </c>
      <c r="B207" s="249">
        <f t="shared" si="17"/>
        <v>0</v>
      </c>
      <c r="C207" s="249">
        <f t="shared" si="18"/>
        <v>0</v>
      </c>
      <c r="D207" s="249">
        <f t="shared" si="19"/>
        <v>0</v>
      </c>
      <c r="E207" s="249">
        <f t="shared" si="20"/>
        <v>0</v>
      </c>
      <c r="F207" s="250">
        <v>12</v>
      </c>
      <c r="G207" s="250">
        <v>144</v>
      </c>
      <c r="H207" s="249">
        <f t="shared" si="21"/>
        <v>0</v>
      </c>
      <c r="I207" s="249">
        <f t="shared" si="22"/>
        <v>0</v>
      </c>
      <c r="J207" s="249">
        <f t="shared" si="23"/>
        <v>0</v>
      </c>
      <c r="K207" s="249">
        <f t="shared" si="24"/>
        <v>0</v>
      </c>
      <c r="L207" s="250">
        <v>12</v>
      </c>
    </row>
    <row r="208" spans="1:12">
      <c r="A208" s="248">
        <v>145</v>
      </c>
      <c r="B208" s="249">
        <f t="shared" si="17"/>
        <v>0</v>
      </c>
      <c r="C208" s="249">
        <f t="shared" si="18"/>
        <v>0</v>
      </c>
      <c r="D208" s="249">
        <f t="shared" si="19"/>
        <v>0</v>
      </c>
      <c r="E208" s="249">
        <f t="shared" si="20"/>
        <v>0</v>
      </c>
      <c r="F208" s="248"/>
      <c r="G208" s="248">
        <v>145</v>
      </c>
      <c r="H208" s="249">
        <f t="shared" si="21"/>
        <v>0</v>
      </c>
      <c r="I208" s="249">
        <f t="shared" si="22"/>
        <v>0</v>
      </c>
      <c r="J208" s="249">
        <f t="shared" si="23"/>
        <v>0</v>
      </c>
      <c r="K208" s="249">
        <f t="shared" si="24"/>
        <v>0</v>
      </c>
      <c r="L208" s="248"/>
    </row>
    <row r="209" spans="1:12" s="228" customFormat="1">
      <c r="A209" s="248">
        <v>146</v>
      </c>
      <c r="B209" s="249">
        <f t="shared" si="17"/>
        <v>0</v>
      </c>
      <c r="C209" s="249">
        <f t="shared" si="18"/>
        <v>0</v>
      </c>
      <c r="D209" s="249">
        <f t="shared" si="19"/>
        <v>0</v>
      </c>
      <c r="E209" s="249">
        <f t="shared" si="20"/>
        <v>0</v>
      </c>
      <c r="F209" s="248"/>
      <c r="G209" s="248">
        <v>146</v>
      </c>
      <c r="H209" s="249">
        <f t="shared" si="21"/>
        <v>0</v>
      </c>
      <c r="I209" s="249">
        <f t="shared" si="22"/>
        <v>0</v>
      </c>
      <c r="J209" s="249">
        <f t="shared" si="23"/>
        <v>0</v>
      </c>
      <c r="K209" s="249">
        <f t="shared" si="24"/>
        <v>0</v>
      </c>
      <c r="L209" s="248"/>
    </row>
    <row r="210" spans="1:12">
      <c r="A210" s="248">
        <v>147</v>
      </c>
      <c r="B210" s="249">
        <f t="shared" si="17"/>
        <v>0</v>
      </c>
      <c r="C210" s="249">
        <f t="shared" si="18"/>
        <v>0</v>
      </c>
      <c r="D210" s="249">
        <f t="shared" si="19"/>
        <v>0</v>
      </c>
      <c r="E210" s="249">
        <f t="shared" si="20"/>
        <v>0</v>
      </c>
      <c r="F210" s="248"/>
      <c r="G210" s="248">
        <v>147</v>
      </c>
      <c r="H210" s="249">
        <f t="shared" si="21"/>
        <v>0</v>
      </c>
      <c r="I210" s="249">
        <f t="shared" si="22"/>
        <v>0</v>
      </c>
      <c r="J210" s="249">
        <f t="shared" si="23"/>
        <v>0</v>
      </c>
      <c r="K210" s="249">
        <f t="shared" si="24"/>
        <v>0</v>
      </c>
      <c r="L210" s="248"/>
    </row>
    <row r="211" spans="1:12">
      <c r="A211" s="248">
        <v>148</v>
      </c>
      <c r="B211" s="249">
        <f t="shared" si="17"/>
        <v>0</v>
      </c>
      <c r="C211" s="249">
        <f t="shared" si="18"/>
        <v>0</v>
      </c>
      <c r="D211" s="249">
        <f t="shared" si="19"/>
        <v>0</v>
      </c>
      <c r="E211" s="249">
        <f t="shared" si="20"/>
        <v>0</v>
      </c>
      <c r="F211" s="248"/>
      <c r="G211" s="248">
        <v>148</v>
      </c>
      <c r="H211" s="249">
        <f t="shared" si="21"/>
        <v>0</v>
      </c>
      <c r="I211" s="249">
        <f t="shared" si="22"/>
        <v>0</v>
      </c>
      <c r="J211" s="249">
        <f t="shared" si="23"/>
        <v>0</v>
      </c>
      <c r="K211" s="249">
        <f t="shared" si="24"/>
        <v>0</v>
      </c>
      <c r="L211" s="248"/>
    </row>
    <row r="212" spans="1:12">
      <c r="A212" s="248">
        <v>149</v>
      </c>
      <c r="B212" s="249">
        <f t="shared" si="17"/>
        <v>0</v>
      </c>
      <c r="C212" s="249">
        <f t="shared" si="18"/>
        <v>0</v>
      </c>
      <c r="D212" s="249">
        <f t="shared" si="19"/>
        <v>0</v>
      </c>
      <c r="E212" s="249">
        <f t="shared" si="20"/>
        <v>0</v>
      </c>
      <c r="F212" s="248"/>
      <c r="G212" s="248">
        <v>149</v>
      </c>
      <c r="H212" s="249">
        <f t="shared" si="21"/>
        <v>0</v>
      </c>
      <c r="I212" s="249">
        <f t="shared" si="22"/>
        <v>0</v>
      </c>
      <c r="J212" s="249">
        <f t="shared" si="23"/>
        <v>0</v>
      </c>
      <c r="K212" s="249">
        <f t="shared" si="24"/>
        <v>0</v>
      </c>
      <c r="L212" s="248"/>
    </row>
    <row r="213" spans="1:12">
      <c r="A213" s="248">
        <v>150</v>
      </c>
      <c r="B213" s="249">
        <f t="shared" si="17"/>
        <v>0</v>
      </c>
      <c r="C213" s="249">
        <f t="shared" si="18"/>
        <v>0</v>
      </c>
      <c r="D213" s="249">
        <f t="shared" si="19"/>
        <v>0</v>
      </c>
      <c r="E213" s="249">
        <f t="shared" si="20"/>
        <v>0</v>
      </c>
      <c r="F213" s="248"/>
      <c r="G213" s="248">
        <v>150</v>
      </c>
      <c r="H213" s="249">
        <f t="shared" si="21"/>
        <v>0</v>
      </c>
      <c r="I213" s="249">
        <f t="shared" si="22"/>
        <v>0</v>
      </c>
      <c r="J213" s="249">
        <f t="shared" si="23"/>
        <v>0</v>
      </c>
      <c r="K213" s="249">
        <f t="shared" si="24"/>
        <v>0</v>
      </c>
      <c r="L213" s="248"/>
    </row>
    <row r="214" spans="1:12">
      <c r="A214" s="248">
        <v>151</v>
      </c>
      <c r="B214" s="249">
        <f t="shared" si="17"/>
        <v>0</v>
      </c>
      <c r="C214" s="249">
        <f t="shared" si="18"/>
        <v>0</v>
      </c>
      <c r="D214" s="249">
        <f t="shared" si="19"/>
        <v>0</v>
      </c>
      <c r="E214" s="249">
        <f t="shared" si="20"/>
        <v>0</v>
      </c>
      <c r="F214" s="248"/>
      <c r="G214" s="248">
        <v>151</v>
      </c>
      <c r="H214" s="249">
        <f t="shared" si="21"/>
        <v>0</v>
      </c>
      <c r="I214" s="249">
        <f t="shared" si="22"/>
        <v>0</v>
      </c>
      <c r="J214" s="249">
        <f t="shared" si="23"/>
        <v>0</v>
      </c>
      <c r="K214" s="249">
        <f t="shared" si="24"/>
        <v>0</v>
      </c>
      <c r="L214" s="248"/>
    </row>
    <row r="215" spans="1:12">
      <c r="A215" s="248">
        <v>152</v>
      </c>
      <c r="B215" s="249">
        <f t="shared" si="17"/>
        <v>0</v>
      </c>
      <c r="C215" s="249">
        <f t="shared" si="18"/>
        <v>0</v>
      </c>
      <c r="D215" s="249">
        <f t="shared" si="19"/>
        <v>0</v>
      </c>
      <c r="E215" s="249">
        <f t="shared" si="20"/>
        <v>0</v>
      </c>
      <c r="F215" s="248"/>
      <c r="G215" s="248">
        <v>152</v>
      </c>
      <c r="H215" s="249">
        <f t="shared" si="21"/>
        <v>0</v>
      </c>
      <c r="I215" s="249">
        <f t="shared" si="22"/>
        <v>0</v>
      </c>
      <c r="J215" s="249">
        <f t="shared" si="23"/>
        <v>0</v>
      </c>
      <c r="K215" s="249">
        <f t="shared" si="24"/>
        <v>0</v>
      </c>
      <c r="L215" s="248"/>
    </row>
    <row r="216" spans="1:12">
      <c r="A216" s="248">
        <v>153</v>
      </c>
      <c r="B216" s="249">
        <f t="shared" si="17"/>
        <v>0</v>
      </c>
      <c r="C216" s="249">
        <f t="shared" si="18"/>
        <v>0</v>
      </c>
      <c r="D216" s="249">
        <f t="shared" si="19"/>
        <v>0</v>
      </c>
      <c r="E216" s="249">
        <f t="shared" si="20"/>
        <v>0</v>
      </c>
      <c r="F216" s="248"/>
      <c r="G216" s="248">
        <v>153</v>
      </c>
      <c r="H216" s="249">
        <f t="shared" si="21"/>
        <v>0</v>
      </c>
      <c r="I216" s="249">
        <f t="shared" si="22"/>
        <v>0</v>
      </c>
      <c r="J216" s="249">
        <f t="shared" si="23"/>
        <v>0</v>
      </c>
      <c r="K216" s="249">
        <f t="shared" si="24"/>
        <v>0</v>
      </c>
      <c r="L216" s="248"/>
    </row>
    <row r="217" spans="1:12">
      <c r="A217" s="248">
        <v>154</v>
      </c>
      <c r="B217" s="249">
        <f t="shared" si="17"/>
        <v>0</v>
      </c>
      <c r="C217" s="249">
        <f t="shared" si="18"/>
        <v>0</v>
      </c>
      <c r="D217" s="249">
        <f t="shared" si="19"/>
        <v>0</v>
      </c>
      <c r="E217" s="249">
        <f t="shared" si="20"/>
        <v>0</v>
      </c>
      <c r="F217" s="248"/>
      <c r="G217" s="248">
        <v>154</v>
      </c>
      <c r="H217" s="249">
        <f t="shared" si="21"/>
        <v>0</v>
      </c>
      <c r="I217" s="249">
        <f t="shared" si="22"/>
        <v>0</v>
      </c>
      <c r="J217" s="249">
        <f t="shared" si="23"/>
        <v>0</v>
      </c>
      <c r="K217" s="249">
        <f t="shared" si="24"/>
        <v>0</v>
      </c>
      <c r="L217" s="248"/>
    </row>
    <row r="218" spans="1:12">
      <c r="A218" s="248">
        <v>155</v>
      </c>
      <c r="B218" s="249">
        <f t="shared" si="17"/>
        <v>0</v>
      </c>
      <c r="C218" s="249">
        <f t="shared" si="18"/>
        <v>0</v>
      </c>
      <c r="D218" s="249">
        <f t="shared" si="19"/>
        <v>0</v>
      </c>
      <c r="E218" s="249">
        <f t="shared" si="20"/>
        <v>0</v>
      </c>
      <c r="F218" s="248"/>
      <c r="G218" s="248">
        <v>155</v>
      </c>
      <c r="H218" s="249">
        <f t="shared" si="21"/>
        <v>0</v>
      </c>
      <c r="I218" s="249">
        <f t="shared" si="22"/>
        <v>0</v>
      </c>
      <c r="J218" s="249">
        <f t="shared" si="23"/>
        <v>0</v>
      </c>
      <c r="K218" s="249">
        <f t="shared" si="24"/>
        <v>0</v>
      </c>
      <c r="L218" s="248"/>
    </row>
    <row r="219" spans="1:12">
      <c r="A219" s="250">
        <v>156</v>
      </c>
      <c r="B219" s="249">
        <f t="shared" si="17"/>
        <v>0</v>
      </c>
      <c r="C219" s="249">
        <f t="shared" si="18"/>
        <v>0</v>
      </c>
      <c r="D219" s="249">
        <f t="shared" si="19"/>
        <v>0</v>
      </c>
      <c r="E219" s="249">
        <f t="shared" si="20"/>
        <v>0</v>
      </c>
      <c r="F219" s="250">
        <v>13</v>
      </c>
      <c r="G219" s="250">
        <v>156</v>
      </c>
      <c r="H219" s="249">
        <f t="shared" si="21"/>
        <v>0</v>
      </c>
      <c r="I219" s="249">
        <f t="shared" si="22"/>
        <v>0</v>
      </c>
      <c r="J219" s="249">
        <f t="shared" si="23"/>
        <v>0</v>
      </c>
      <c r="K219" s="249">
        <f t="shared" si="24"/>
        <v>0</v>
      </c>
      <c r="L219" s="250">
        <v>13</v>
      </c>
    </row>
    <row r="220" spans="1:12">
      <c r="A220" s="248">
        <v>157</v>
      </c>
      <c r="B220" s="249">
        <f t="shared" si="17"/>
        <v>0</v>
      </c>
      <c r="C220" s="249">
        <f t="shared" si="18"/>
        <v>0</v>
      </c>
      <c r="D220" s="249">
        <f t="shared" si="19"/>
        <v>0</v>
      </c>
      <c r="E220" s="249">
        <f t="shared" si="20"/>
        <v>0</v>
      </c>
      <c r="F220" s="248"/>
      <c r="G220" s="248">
        <v>157</v>
      </c>
      <c r="H220" s="249">
        <f t="shared" si="21"/>
        <v>0</v>
      </c>
      <c r="I220" s="249">
        <f t="shared" si="22"/>
        <v>0</v>
      </c>
      <c r="J220" s="249">
        <f t="shared" si="23"/>
        <v>0</v>
      </c>
      <c r="K220" s="249">
        <f t="shared" si="24"/>
        <v>0</v>
      </c>
      <c r="L220" s="248"/>
    </row>
    <row r="221" spans="1:12" s="228" customFormat="1">
      <c r="A221" s="248">
        <v>158</v>
      </c>
      <c r="B221" s="249">
        <f t="shared" si="17"/>
        <v>0</v>
      </c>
      <c r="C221" s="249">
        <f t="shared" si="18"/>
        <v>0</v>
      </c>
      <c r="D221" s="249">
        <f t="shared" si="19"/>
        <v>0</v>
      </c>
      <c r="E221" s="249">
        <f t="shared" si="20"/>
        <v>0</v>
      </c>
      <c r="F221" s="248"/>
      <c r="G221" s="248">
        <v>158</v>
      </c>
      <c r="H221" s="249">
        <f t="shared" si="21"/>
        <v>0</v>
      </c>
      <c r="I221" s="249">
        <f t="shared" si="22"/>
        <v>0</v>
      </c>
      <c r="J221" s="249">
        <f t="shared" si="23"/>
        <v>0</v>
      </c>
      <c r="K221" s="249">
        <f t="shared" si="24"/>
        <v>0</v>
      </c>
      <c r="L221" s="248"/>
    </row>
    <row r="222" spans="1:12">
      <c r="A222" s="248">
        <v>159</v>
      </c>
      <c r="B222" s="249">
        <f t="shared" si="17"/>
        <v>0</v>
      </c>
      <c r="C222" s="249">
        <f t="shared" si="18"/>
        <v>0</v>
      </c>
      <c r="D222" s="249">
        <f t="shared" si="19"/>
        <v>0</v>
      </c>
      <c r="E222" s="249">
        <f t="shared" si="20"/>
        <v>0</v>
      </c>
      <c r="F222" s="248"/>
      <c r="G222" s="248">
        <v>159</v>
      </c>
      <c r="H222" s="249">
        <f t="shared" si="21"/>
        <v>0</v>
      </c>
      <c r="I222" s="249">
        <f t="shared" si="22"/>
        <v>0</v>
      </c>
      <c r="J222" s="249">
        <f t="shared" si="23"/>
        <v>0</v>
      </c>
      <c r="K222" s="249">
        <f t="shared" si="24"/>
        <v>0</v>
      </c>
      <c r="L222" s="248"/>
    </row>
    <row r="223" spans="1:12">
      <c r="A223" s="248">
        <v>160</v>
      </c>
      <c r="B223" s="249">
        <f t="shared" si="17"/>
        <v>0</v>
      </c>
      <c r="C223" s="249">
        <f t="shared" si="18"/>
        <v>0</v>
      </c>
      <c r="D223" s="249">
        <f t="shared" si="19"/>
        <v>0</v>
      </c>
      <c r="E223" s="249">
        <f t="shared" si="20"/>
        <v>0</v>
      </c>
      <c r="F223" s="248"/>
      <c r="G223" s="248">
        <v>160</v>
      </c>
      <c r="H223" s="249">
        <f t="shared" si="21"/>
        <v>0</v>
      </c>
      <c r="I223" s="249">
        <f t="shared" si="22"/>
        <v>0</v>
      </c>
      <c r="J223" s="249">
        <f t="shared" si="23"/>
        <v>0</v>
      </c>
      <c r="K223" s="249">
        <f t="shared" si="24"/>
        <v>0</v>
      </c>
      <c r="L223" s="248"/>
    </row>
    <row r="224" spans="1:12">
      <c r="A224" s="248">
        <v>161</v>
      </c>
      <c r="B224" s="249">
        <f t="shared" si="17"/>
        <v>0</v>
      </c>
      <c r="C224" s="249">
        <f t="shared" si="18"/>
        <v>0</v>
      </c>
      <c r="D224" s="249">
        <f t="shared" si="19"/>
        <v>0</v>
      </c>
      <c r="E224" s="249">
        <f t="shared" si="20"/>
        <v>0</v>
      </c>
      <c r="F224" s="248"/>
      <c r="G224" s="248">
        <v>161</v>
      </c>
      <c r="H224" s="249">
        <f t="shared" si="21"/>
        <v>0</v>
      </c>
      <c r="I224" s="249">
        <f t="shared" si="22"/>
        <v>0</v>
      </c>
      <c r="J224" s="249">
        <f t="shared" si="23"/>
        <v>0</v>
      </c>
      <c r="K224" s="249">
        <f t="shared" si="24"/>
        <v>0</v>
      </c>
      <c r="L224" s="248"/>
    </row>
    <row r="225" spans="1:12">
      <c r="A225" s="248">
        <v>162</v>
      </c>
      <c r="B225" s="249">
        <f t="shared" si="17"/>
        <v>0</v>
      </c>
      <c r="C225" s="249">
        <f t="shared" si="18"/>
        <v>0</v>
      </c>
      <c r="D225" s="249">
        <f t="shared" si="19"/>
        <v>0</v>
      </c>
      <c r="E225" s="249">
        <f t="shared" si="20"/>
        <v>0</v>
      </c>
      <c r="F225" s="248"/>
      <c r="G225" s="248">
        <v>162</v>
      </c>
      <c r="H225" s="249">
        <f t="shared" si="21"/>
        <v>0</v>
      </c>
      <c r="I225" s="249">
        <f t="shared" si="22"/>
        <v>0</v>
      </c>
      <c r="J225" s="249">
        <f t="shared" si="23"/>
        <v>0</v>
      </c>
      <c r="K225" s="249">
        <f t="shared" si="24"/>
        <v>0</v>
      </c>
      <c r="L225" s="248"/>
    </row>
    <row r="226" spans="1:12">
      <c r="A226" s="248">
        <v>163</v>
      </c>
      <c r="B226" s="249">
        <f t="shared" si="17"/>
        <v>0</v>
      </c>
      <c r="C226" s="249">
        <f t="shared" si="18"/>
        <v>0</v>
      </c>
      <c r="D226" s="249">
        <f t="shared" si="19"/>
        <v>0</v>
      </c>
      <c r="E226" s="249">
        <f t="shared" si="20"/>
        <v>0</v>
      </c>
      <c r="F226" s="248"/>
      <c r="G226" s="248">
        <v>163</v>
      </c>
      <c r="H226" s="249">
        <f t="shared" si="21"/>
        <v>0</v>
      </c>
      <c r="I226" s="249">
        <f t="shared" si="22"/>
        <v>0</v>
      </c>
      <c r="J226" s="249">
        <f t="shared" si="23"/>
        <v>0</v>
      </c>
      <c r="K226" s="249">
        <f t="shared" si="24"/>
        <v>0</v>
      </c>
      <c r="L226" s="248"/>
    </row>
    <row r="227" spans="1:12">
      <c r="A227" s="248">
        <v>164</v>
      </c>
      <c r="B227" s="249">
        <f t="shared" si="17"/>
        <v>0</v>
      </c>
      <c r="C227" s="249">
        <f t="shared" si="18"/>
        <v>0</v>
      </c>
      <c r="D227" s="249">
        <f t="shared" si="19"/>
        <v>0</v>
      </c>
      <c r="E227" s="249">
        <f t="shared" si="20"/>
        <v>0</v>
      </c>
      <c r="F227" s="248"/>
      <c r="G227" s="248">
        <v>164</v>
      </c>
      <c r="H227" s="249">
        <f t="shared" si="21"/>
        <v>0</v>
      </c>
      <c r="I227" s="249">
        <f t="shared" si="22"/>
        <v>0</v>
      </c>
      <c r="J227" s="249">
        <f t="shared" si="23"/>
        <v>0</v>
      </c>
      <c r="K227" s="249">
        <f t="shared" si="24"/>
        <v>0</v>
      </c>
      <c r="L227" s="248"/>
    </row>
    <row r="228" spans="1:12">
      <c r="A228" s="248">
        <v>165</v>
      </c>
      <c r="B228" s="249">
        <f t="shared" si="17"/>
        <v>0</v>
      </c>
      <c r="C228" s="249">
        <f t="shared" si="18"/>
        <v>0</v>
      </c>
      <c r="D228" s="249">
        <f t="shared" si="19"/>
        <v>0</v>
      </c>
      <c r="E228" s="249">
        <f t="shared" si="20"/>
        <v>0</v>
      </c>
      <c r="F228" s="248"/>
      <c r="G228" s="248">
        <v>165</v>
      </c>
      <c r="H228" s="249">
        <f t="shared" si="21"/>
        <v>0</v>
      </c>
      <c r="I228" s="249">
        <f t="shared" si="22"/>
        <v>0</v>
      </c>
      <c r="J228" s="249">
        <f t="shared" si="23"/>
        <v>0</v>
      </c>
      <c r="K228" s="249">
        <f t="shared" si="24"/>
        <v>0</v>
      </c>
      <c r="L228" s="248"/>
    </row>
    <row r="229" spans="1:12">
      <c r="A229" s="248">
        <v>166</v>
      </c>
      <c r="B229" s="249">
        <f t="shared" si="17"/>
        <v>0</v>
      </c>
      <c r="C229" s="249">
        <f t="shared" si="18"/>
        <v>0</v>
      </c>
      <c r="D229" s="249">
        <f t="shared" si="19"/>
        <v>0</v>
      </c>
      <c r="E229" s="249">
        <f t="shared" si="20"/>
        <v>0</v>
      </c>
      <c r="F229" s="248"/>
      <c r="G229" s="248">
        <v>166</v>
      </c>
      <c r="H229" s="249">
        <f t="shared" si="21"/>
        <v>0</v>
      </c>
      <c r="I229" s="249">
        <f t="shared" si="22"/>
        <v>0</v>
      </c>
      <c r="J229" s="249">
        <f t="shared" si="23"/>
        <v>0</v>
      </c>
      <c r="K229" s="249">
        <f t="shared" si="24"/>
        <v>0</v>
      </c>
      <c r="L229" s="248"/>
    </row>
    <row r="230" spans="1:12">
      <c r="A230" s="248">
        <v>167</v>
      </c>
      <c r="B230" s="249">
        <f t="shared" si="17"/>
        <v>0</v>
      </c>
      <c r="C230" s="249">
        <f t="shared" si="18"/>
        <v>0</v>
      </c>
      <c r="D230" s="249">
        <f t="shared" si="19"/>
        <v>0</v>
      </c>
      <c r="E230" s="249">
        <f t="shared" si="20"/>
        <v>0</v>
      </c>
      <c r="F230" s="248"/>
      <c r="G230" s="248">
        <v>167</v>
      </c>
      <c r="H230" s="249">
        <f t="shared" si="21"/>
        <v>0</v>
      </c>
      <c r="I230" s="249">
        <f t="shared" si="22"/>
        <v>0</v>
      </c>
      <c r="J230" s="249">
        <f t="shared" si="23"/>
        <v>0</v>
      </c>
      <c r="K230" s="249">
        <f t="shared" si="24"/>
        <v>0</v>
      </c>
      <c r="L230" s="248"/>
    </row>
    <row r="231" spans="1:12">
      <c r="A231" s="250">
        <v>168</v>
      </c>
      <c r="B231" s="249">
        <f t="shared" si="17"/>
        <v>0</v>
      </c>
      <c r="C231" s="249">
        <f t="shared" si="18"/>
        <v>0</v>
      </c>
      <c r="D231" s="249">
        <f t="shared" si="19"/>
        <v>0</v>
      </c>
      <c r="E231" s="249">
        <f t="shared" si="20"/>
        <v>0</v>
      </c>
      <c r="F231" s="250">
        <v>14</v>
      </c>
      <c r="G231" s="250">
        <v>168</v>
      </c>
      <c r="H231" s="249">
        <f t="shared" si="21"/>
        <v>0</v>
      </c>
      <c r="I231" s="249">
        <f t="shared" si="22"/>
        <v>0</v>
      </c>
      <c r="J231" s="249">
        <f t="shared" si="23"/>
        <v>0</v>
      </c>
      <c r="K231" s="249">
        <f t="shared" si="24"/>
        <v>0</v>
      </c>
      <c r="L231" s="250">
        <v>14</v>
      </c>
    </row>
    <row r="232" spans="1:12">
      <c r="A232" s="248">
        <v>169</v>
      </c>
      <c r="B232" s="249">
        <f t="shared" si="17"/>
        <v>0</v>
      </c>
      <c r="C232" s="249">
        <f t="shared" si="18"/>
        <v>0</v>
      </c>
      <c r="D232" s="249">
        <f t="shared" si="19"/>
        <v>0</v>
      </c>
      <c r="E232" s="249">
        <f t="shared" si="20"/>
        <v>0</v>
      </c>
      <c r="F232" s="248"/>
      <c r="G232" s="248">
        <v>169</v>
      </c>
      <c r="H232" s="249">
        <f t="shared" si="21"/>
        <v>0</v>
      </c>
      <c r="I232" s="249">
        <f t="shared" si="22"/>
        <v>0</v>
      </c>
      <c r="J232" s="249">
        <f t="shared" si="23"/>
        <v>0</v>
      </c>
      <c r="K232" s="249">
        <f t="shared" si="24"/>
        <v>0</v>
      </c>
      <c r="L232" s="248"/>
    </row>
    <row r="233" spans="1:12" s="228" customFormat="1">
      <c r="A233" s="248">
        <v>170</v>
      </c>
      <c r="B233" s="249">
        <f t="shared" si="17"/>
        <v>0</v>
      </c>
      <c r="C233" s="249">
        <f t="shared" si="18"/>
        <v>0</v>
      </c>
      <c r="D233" s="249">
        <f t="shared" si="19"/>
        <v>0</v>
      </c>
      <c r="E233" s="249">
        <f t="shared" si="20"/>
        <v>0</v>
      </c>
      <c r="F233" s="248"/>
      <c r="G233" s="248">
        <v>170</v>
      </c>
      <c r="H233" s="249">
        <f t="shared" si="21"/>
        <v>0</v>
      </c>
      <c r="I233" s="249">
        <f t="shared" si="22"/>
        <v>0</v>
      </c>
      <c r="J233" s="249">
        <f t="shared" si="23"/>
        <v>0</v>
      </c>
      <c r="K233" s="249">
        <f t="shared" si="24"/>
        <v>0</v>
      </c>
      <c r="L233" s="248"/>
    </row>
    <row r="234" spans="1:12">
      <c r="A234" s="248">
        <v>171</v>
      </c>
      <c r="B234" s="249">
        <f t="shared" si="17"/>
        <v>0</v>
      </c>
      <c r="C234" s="249">
        <f t="shared" si="18"/>
        <v>0</v>
      </c>
      <c r="D234" s="249">
        <f t="shared" si="19"/>
        <v>0</v>
      </c>
      <c r="E234" s="249">
        <f t="shared" si="20"/>
        <v>0</v>
      </c>
      <c r="F234" s="248"/>
      <c r="G234" s="248">
        <v>171</v>
      </c>
      <c r="H234" s="249">
        <f t="shared" si="21"/>
        <v>0</v>
      </c>
      <c r="I234" s="249">
        <f t="shared" si="22"/>
        <v>0</v>
      </c>
      <c r="J234" s="249">
        <f t="shared" si="23"/>
        <v>0</v>
      </c>
      <c r="K234" s="249">
        <f t="shared" si="24"/>
        <v>0</v>
      </c>
      <c r="L234" s="248"/>
    </row>
    <row r="235" spans="1:12">
      <c r="A235" s="248">
        <v>172</v>
      </c>
      <c r="B235" s="249">
        <f t="shared" si="17"/>
        <v>0</v>
      </c>
      <c r="C235" s="249">
        <f t="shared" si="18"/>
        <v>0</v>
      </c>
      <c r="D235" s="249">
        <f t="shared" si="19"/>
        <v>0</v>
      </c>
      <c r="E235" s="249">
        <f t="shared" si="20"/>
        <v>0</v>
      </c>
      <c r="F235" s="248"/>
      <c r="G235" s="248">
        <v>172</v>
      </c>
      <c r="H235" s="249">
        <f t="shared" si="21"/>
        <v>0</v>
      </c>
      <c r="I235" s="249">
        <f t="shared" si="22"/>
        <v>0</v>
      </c>
      <c r="J235" s="249">
        <f t="shared" si="23"/>
        <v>0</v>
      </c>
      <c r="K235" s="249">
        <f t="shared" si="24"/>
        <v>0</v>
      </c>
      <c r="L235" s="248"/>
    </row>
    <row r="236" spans="1:12">
      <c r="A236" s="248">
        <v>173</v>
      </c>
      <c r="B236" s="249">
        <f t="shared" si="17"/>
        <v>0</v>
      </c>
      <c r="C236" s="249">
        <f t="shared" si="18"/>
        <v>0</v>
      </c>
      <c r="D236" s="249">
        <f t="shared" si="19"/>
        <v>0</v>
      </c>
      <c r="E236" s="249">
        <f t="shared" si="20"/>
        <v>0</v>
      </c>
      <c r="F236" s="248"/>
      <c r="G236" s="248">
        <v>173</v>
      </c>
      <c r="H236" s="249">
        <f t="shared" si="21"/>
        <v>0</v>
      </c>
      <c r="I236" s="249">
        <f t="shared" si="22"/>
        <v>0</v>
      </c>
      <c r="J236" s="249">
        <f t="shared" si="23"/>
        <v>0</v>
      </c>
      <c r="K236" s="249">
        <f t="shared" si="24"/>
        <v>0</v>
      </c>
      <c r="L236" s="248"/>
    </row>
    <row r="237" spans="1:12">
      <c r="A237" s="248">
        <v>174</v>
      </c>
      <c r="B237" s="249">
        <f t="shared" si="17"/>
        <v>0</v>
      </c>
      <c r="C237" s="249">
        <f t="shared" si="18"/>
        <v>0</v>
      </c>
      <c r="D237" s="249">
        <f t="shared" si="19"/>
        <v>0</v>
      </c>
      <c r="E237" s="249">
        <f t="shared" si="20"/>
        <v>0</v>
      </c>
      <c r="F237" s="248"/>
      <c r="G237" s="248">
        <v>174</v>
      </c>
      <c r="H237" s="249">
        <f t="shared" si="21"/>
        <v>0</v>
      </c>
      <c r="I237" s="249">
        <f t="shared" si="22"/>
        <v>0</v>
      </c>
      <c r="J237" s="249">
        <f t="shared" si="23"/>
        <v>0</v>
      </c>
      <c r="K237" s="249">
        <f t="shared" si="24"/>
        <v>0</v>
      </c>
      <c r="L237" s="248"/>
    </row>
    <row r="238" spans="1:12">
      <c r="A238" s="248">
        <v>175</v>
      </c>
      <c r="B238" s="249">
        <f t="shared" si="17"/>
        <v>0</v>
      </c>
      <c r="C238" s="249">
        <f t="shared" si="18"/>
        <v>0</v>
      </c>
      <c r="D238" s="249">
        <f t="shared" si="19"/>
        <v>0</v>
      </c>
      <c r="E238" s="249">
        <f t="shared" si="20"/>
        <v>0</v>
      </c>
      <c r="F238" s="248"/>
      <c r="G238" s="248">
        <v>175</v>
      </c>
      <c r="H238" s="249">
        <f t="shared" si="21"/>
        <v>0</v>
      </c>
      <c r="I238" s="249">
        <f t="shared" si="22"/>
        <v>0</v>
      </c>
      <c r="J238" s="249">
        <f t="shared" si="23"/>
        <v>0</v>
      </c>
      <c r="K238" s="249">
        <f t="shared" si="24"/>
        <v>0</v>
      </c>
      <c r="L238" s="248"/>
    </row>
    <row r="239" spans="1:12">
      <c r="A239" s="248">
        <v>176</v>
      </c>
      <c r="B239" s="249">
        <f t="shared" si="17"/>
        <v>0</v>
      </c>
      <c r="C239" s="249">
        <f t="shared" si="18"/>
        <v>0</v>
      </c>
      <c r="D239" s="249">
        <f t="shared" si="19"/>
        <v>0</v>
      </c>
      <c r="E239" s="249">
        <f t="shared" si="20"/>
        <v>0</v>
      </c>
      <c r="F239" s="248"/>
      <c r="G239" s="248">
        <v>176</v>
      </c>
      <c r="H239" s="249">
        <f t="shared" si="21"/>
        <v>0</v>
      </c>
      <c r="I239" s="249">
        <f t="shared" si="22"/>
        <v>0</v>
      </c>
      <c r="J239" s="249">
        <f t="shared" si="23"/>
        <v>0</v>
      </c>
      <c r="K239" s="249">
        <f t="shared" si="24"/>
        <v>0</v>
      </c>
      <c r="L239" s="248"/>
    </row>
    <row r="240" spans="1:12">
      <c r="A240" s="248">
        <v>177</v>
      </c>
      <c r="B240" s="249">
        <f t="shared" si="17"/>
        <v>0</v>
      </c>
      <c r="C240" s="249">
        <f t="shared" si="18"/>
        <v>0</v>
      </c>
      <c r="D240" s="249">
        <f t="shared" si="19"/>
        <v>0</v>
      </c>
      <c r="E240" s="249">
        <f t="shared" si="20"/>
        <v>0</v>
      </c>
      <c r="F240" s="248"/>
      <c r="G240" s="248">
        <v>177</v>
      </c>
      <c r="H240" s="249">
        <f t="shared" si="21"/>
        <v>0</v>
      </c>
      <c r="I240" s="249">
        <f t="shared" si="22"/>
        <v>0</v>
      </c>
      <c r="J240" s="249">
        <f t="shared" si="23"/>
        <v>0</v>
      </c>
      <c r="K240" s="249">
        <f t="shared" si="24"/>
        <v>0</v>
      </c>
      <c r="L240" s="248"/>
    </row>
    <row r="241" spans="1:12">
      <c r="A241" s="248">
        <v>178</v>
      </c>
      <c r="B241" s="249">
        <f t="shared" si="17"/>
        <v>0</v>
      </c>
      <c r="C241" s="249">
        <f t="shared" si="18"/>
        <v>0</v>
      </c>
      <c r="D241" s="249">
        <f t="shared" si="19"/>
        <v>0</v>
      </c>
      <c r="E241" s="249">
        <f t="shared" si="20"/>
        <v>0</v>
      </c>
      <c r="F241" s="248"/>
      <c r="G241" s="248">
        <v>178</v>
      </c>
      <c r="H241" s="249">
        <f t="shared" si="21"/>
        <v>0</v>
      </c>
      <c r="I241" s="249">
        <f t="shared" si="22"/>
        <v>0</v>
      </c>
      <c r="J241" s="249">
        <f t="shared" si="23"/>
        <v>0</v>
      </c>
      <c r="K241" s="249">
        <f t="shared" si="24"/>
        <v>0</v>
      </c>
      <c r="L241" s="248"/>
    </row>
    <row r="242" spans="1:12">
      <c r="A242" s="248">
        <v>179</v>
      </c>
      <c r="B242" s="249">
        <f t="shared" si="17"/>
        <v>0</v>
      </c>
      <c r="C242" s="249">
        <f t="shared" si="18"/>
        <v>0</v>
      </c>
      <c r="D242" s="249">
        <f t="shared" si="19"/>
        <v>0</v>
      </c>
      <c r="E242" s="249">
        <f t="shared" si="20"/>
        <v>0</v>
      </c>
      <c r="F242" s="248"/>
      <c r="G242" s="248">
        <v>179</v>
      </c>
      <c r="H242" s="249">
        <f t="shared" si="21"/>
        <v>0</v>
      </c>
      <c r="I242" s="249">
        <f t="shared" si="22"/>
        <v>0</v>
      </c>
      <c r="J242" s="249">
        <f t="shared" si="23"/>
        <v>0</v>
      </c>
      <c r="K242" s="249">
        <f t="shared" si="24"/>
        <v>0</v>
      </c>
      <c r="L242" s="248"/>
    </row>
    <row r="243" spans="1:12">
      <c r="A243" s="250">
        <v>180</v>
      </c>
      <c r="B243" s="249">
        <f t="shared" si="17"/>
        <v>0</v>
      </c>
      <c r="C243" s="249">
        <f t="shared" si="18"/>
        <v>0</v>
      </c>
      <c r="D243" s="249">
        <f t="shared" si="19"/>
        <v>0</v>
      </c>
      <c r="E243" s="249">
        <f t="shared" si="20"/>
        <v>0</v>
      </c>
      <c r="F243" s="250">
        <v>15</v>
      </c>
      <c r="G243" s="250">
        <v>180</v>
      </c>
      <c r="H243" s="249">
        <f t="shared" si="21"/>
        <v>0</v>
      </c>
      <c r="I243" s="249">
        <f t="shared" si="22"/>
        <v>0</v>
      </c>
      <c r="J243" s="249">
        <f t="shared" si="23"/>
        <v>0</v>
      </c>
      <c r="K243" s="249">
        <f t="shared" si="24"/>
        <v>0</v>
      </c>
      <c r="L243" s="250">
        <v>15</v>
      </c>
    </row>
    <row r="244" spans="1:12">
      <c r="A244" s="248">
        <v>181</v>
      </c>
      <c r="B244" s="249">
        <f t="shared" si="17"/>
        <v>0</v>
      </c>
      <c r="C244" s="249">
        <f t="shared" si="18"/>
        <v>0</v>
      </c>
      <c r="D244" s="249">
        <f t="shared" si="19"/>
        <v>0</v>
      </c>
      <c r="E244" s="249">
        <f t="shared" si="20"/>
        <v>0</v>
      </c>
      <c r="F244" s="248"/>
      <c r="G244" s="248">
        <v>181</v>
      </c>
      <c r="H244" s="249">
        <f t="shared" si="21"/>
        <v>0</v>
      </c>
      <c r="I244" s="249">
        <f t="shared" si="22"/>
        <v>0</v>
      </c>
      <c r="J244" s="249">
        <f t="shared" si="23"/>
        <v>0</v>
      </c>
      <c r="K244" s="249">
        <f t="shared" si="24"/>
        <v>0</v>
      </c>
      <c r="L244" s="248"/>
    </row>
    <row r="245" spans="1:12" s="228" customFormat="1">
      <c r="A245" s="250">
        <v>182</v>
      </c>
      <c r="B245" s="249">
        <f t="shared" si="17"/>
        <v>0</v>
      </c>
      <c r="C245" s="249">
        <f t="shared" si="18"/>
        <v>0</v>
      </c>
      <c r="D245" s="249">
        <f t="shared" si="19"/>
        <v>0</v>
      </c>
      <c r="E245" s="249">
        <f t="shared" si="20"/>
        <v>0</v>
      </c>
      <c r="F245" s="248"/>
      <c r="G245" s="250">
        <v>182</v>
      </c>
      <c r="H245" s="249">
        <f t="shared" si="21"/>
        <v>0</v>
      </c>
      <c r="I245" s="249">
        <f t="shared" si="22"/>
        <v>0</v>
      </c>
      <c r="J245" s="249">
        <f t="shared" si="23"/>
        <v>0</v>
      </c>
      <c r="K245" s="249">
        <f t="shared" si="24"/>
        <v>0</v>
      </c>
      <c r="L245" s="248"/>
    </row>
    <row r="246" spans="1:12">
      <c r="A246" s="250">
        <v>183</v>
      </c>
      <c r="B246" s="249">
        <f t="shared" si="17"/>
        <v>0</v>
      </c>
      <c r="C246" s="249">
        <f t="shared" si="18"/>
        <v>0</v>
      </c>
      <c r="D246" s="249">
        <f t="shared" si="19"/>
        <v>0</v>
      </c>
      <c r="E246" s="249">
        <f t="shared" si="20"/>
        <v>0</v>
      </c>
      <c r="F246" s="248"/>
      <c r="G246" s="250">
        <v>183</v>
      </c>
      <c r="H246" s="249">
        <f t="shared" si="21"/>
        <v>0</v>
      </c>
      <c r="I246" s="249">
        <f t="shared" si="22"/>
        <v>0</v>
      </c>
      <c r="J246" s="249">
        <f t="shared" si="23"/>
        <v>0</v>
      </c>
      <c r="K246" s="249">
        <f t="shared" si="24"/>
        <v>0</v>
      </c>
      <c r="L246" s="248"/>
    </row>
    <row r="247" spans="1:12">
      <c r="A247" s="250">
        <v>184</v>
      </c>
      <c r="B247" s="249">
        <f t="shared" si="17"/>
        <v>0</v>
      </c>
      <c r="C247" s="249">
        <f t="shared" si="18"/>
        <v>0</v>
      </c>
      <c r="D247" s="249">
        <f t="shared" si="19"/>
        <v>0</v>
      </c>
      <c r="E247" s="249">
        <f t="shared" si="20"/>
        <v>0</v>
      </c>
      <c r="F247" s="248"/>
      <c r="G247" s="250">
        <v>184</v>
      </c>
      <c r="H247" s="249">
        <f t="shared" si="21"/>
        <v>0</v>
      </c>
      <c r="I247" s="249">
        <f t="shared" si="22"/>
        <v>0</v>
      </c>
      <c r="J247" s="249">
        <f t="shared" si="23"/>
        <v>0</v>
      </c>
      <c r="K247" s="249">
        <f t="shared" si="24"/>
        <v>0</v>
      </c>
      <c r="L247" s="248"/>
    </row>
    <row r="248" spans="1:12">
      <c r="A248" s="250">
        <v>185</v>
      </c>
      <c r="B248" s="249">
        <f t="shared" si="17"/>
        <v>0</v>
      </c>
      <c r="C248" s="249">
        <f t="shared" si="18"/>
        <v>0</v>
      </c>
      <c r="D248" s="249">
        <f t="shared" si="19"/>
        <v>0</v>
      </c>
      <c r="E248" s="249">
        <f t="shared" si="20"/>
        <v>0</v>
      </c>
      <c r="F248" s="248"/>
      <c r="G248" s="250">
        <v>185</v>
      </c>
      <c r="H248" s="249">
        <f t="shared" si="21"/>
        <v>0</v>
      </c>
      <c r="I248" s="249">
        <f t="shared" si="22"/>
        <v>0</v>
      </c>
      <c r="J248" s="249">
        <f t="shared" si="23"/>
        <v>0</v>
      </c>
      <c r="K248" s="249">
        <f t="shared" si="24"/>
        <v>0</v>
      </c>
      <c r="L248" s="248"/>
    </row>
    <row r="249" spans="1:12">
      <c r="A249" s="250">
        <v>186</v>
      </c>
      <c r="B249" s="249">
        <f t="shared" si="17"/>
        <v>0</v>
      </c>
      <c r="C249" s="249">
        <f t="shared" si="18"/>
        <v>0</v>
      </c>
      <c r="D249" s="249">
        <f t="shared" si="19"/>
        <v>0</v>
      </c>
      <c r="E249" s="249">
        <f t="shared" si="20"/>
        <v>0</v>
      </c>
      <c r="F249" s="248"/>
      <c r="G249" s="250">
        <v>186</v>
      </c>
      <c r="H249" s="249">
        <f t="shared" si="21"/>
        <v>0</v>
      </c>
      <c r="I249" s="249">
        <f t="shared" si="22"/>
        <v>0</v>
      </c>
      <c r="J249" s="249">
        <f t="shared" si="23"/>
        <v>0</v>
      </c>
      <c r="K249" s="249">
        <f t="shared" si="24"/>
        <v>0</v>
      </c>
      <c r="L249" s="248"/>
    </row>
    <row r="250" spans="1:12">
      <c r="A250" s="250">
        <v>187</v>
      </c>
      <c r="B250" s="249">
        <f t="shared" si="17"/>
        <v>0</v>
      </c>
      <c r="C250" s="249">
        <f t="shared" si="18"/>
        <v>0</v>
      </c>
      <c r="D250" s="249">
        <f t="shared" si="19"/>
        <v>0</v>
      </c>
      <c r="E250" s="249">
        <f t="shared" si="20"/>
        <v>0</v>
      </c>
      <c r="F250" s="248"/>
      <c r="G250" s="250">
        <v>187</v>
      </c>
      <c r="H250" s="249">
        <f t="shared" si="21"/>
        <v>0</v>
      </c>
      <c r="I250" s="249">
        <f t="shared" si="22"/>
        <v>0</v>
      </c>
      <c r="J250" s="249">
        <f t="shared" si="23"/>
        <v>0</v>
      </c>
      <c r="K250" s="249">
        <f t="shared" si="24"/>
        <v>0</v>
      </c>
      <c r="L250" s="248"/>
    </row>
    <row r="251" spans="1:12">
      <c r="A251" s="250">
        <v>188</v>
      </c>
      <c r="B251" s="249">
        <f t="shared" si="17"/>
        <v>0</v>
      </c>
      <c r="C251" s="249">
        <f t="shared" si="18"/>
        <v>0</v>
      </c>
      <c r="D251" s="249">
        <f t="shared" si="19"/>
        <v>0</v>
      </c>
      <c r="E251" s="249">
        <f t="shared" si="20"/>
        <v>0</v>
      </c>
      <c r="F251" s="248"/>
      <c r="G251" s="250">
        <v>188</v>
      </c>
      <c r="H251" s="249">
        <f t="shared" si="21"/>
        <v>0</v>
      </c>
      <c r="I251" s="249">
        <f t="shared" si="22"/>
        <v>0</v>
      </c>
      <c r="J251" s="249">
        <f t="shared" si="23"/>
        <v>0</v>
      </c>
      <c r="K251" s="249">
        <f t="shared" si="24"/>
        <v>0</v>
      </c>
      <c r="L251" s="248"/>
    </row>
    <row r="252" spans="1:12">
      <c r="A252" s="250">
        <v>189</v>
      </c>
      <c r="B252" s="249">
        <f t="shared" si="17"/>
        <v>0</v>
      </c>
      <c r="C252" s="249">
        <f t="shared" si="18"/>
        <v>0</v>
      </c>
      <c r="D252" s="249">
        <f t="shared" si="19"/>
        <v>0</v>
      </c>
      <c r="E252" s="249">
        <f t="shared" si="20"/>
        <v>0</v>
      </c>
      <c r="F252" s="248"/>
      <c r="G252" s="250">
        <v>189</v>
      </c>
      <c r="H252" s="249">
        <f t="shared" si="21"/>
        <v>0</v>
      </c>
      <c r="I252" s="249">
        <f t="shared" si="22"/>
        <v>0</v>
      </c>
      <c r="J252" s="249">
        <f t="shared" si="23"/>
        <v>0</v>
      </c>
      <c r="K252" s="249">
        <f t="shared" si="24"/>
        <v>0</v>
      </c>
      <c r="L252" s="248"/>
    </row>
    <row r="253" spans="1:12">
      <c r="A253" s="250">
        <v>190</v>
      </c>
      <c r="B253" s="249">
        <f t="shared" si="17"/>
        <v>0</v>
      </c>
      <c r="C253" s="249">
        <f t="shared" si="18"/>
        <v>0</v>
      </c>
      <c r="D253" s="249">
        <f t="shared" si="19"/>
        <v>0</v>
      </c>
      <c r="E253" s="249">
        <f t="shared" si="20"/>
        <v>0</v>
      </c>
      <c r="F253" s="248"/>
      <c r="G253" s="250">
        <v>190</v>
      </c>
      <c r="H253" s="249">
        <f t="shared" si="21"/>
        <v>0</v>
      </c>
      <c r="I253" s="249">
        <f t="shared" si="22"/>
        <v>0</v>
      </c>
      <c r="J253" s="249">
        <f t="shared" si="23"/>
        <v>0</v>
      </c>
      <c r="K253" s="249">
        <f t="shared" si="24"/>
        <v>0</v>
      </c>
      <c r="L253" s="248"/>
    </row>
    <row r="254" spans="1:12">
      <c r="A254" s="250">
        <v>191</v>
      </c>
      <c r="B254" s="249">
        <f t="shared" si="17"/>
        <v>0</v>
      </c>
      <c r="C254" s="249">
        <f t="shared" si="18"/>
        <v>0</v>
      </c>
      <c r="D254" s="249">
        <f t="shared" si="19"/>
        <v>0</v>
      </c>
      <c r="E254" s="249">
        <f t="shared" si="20"/>
        <v>0</v>
      </c>
      <c r="F254" s="248"/>
      <c r="G254" s="250">
        <v>191</v>
      </c>
      <c r="H254" s="249">
        <f t="shared" si="21"/>
        <v>0</v>
      </c>
      <c r="I254" s="249">
        <f t="shared" si="22"/>
        <v>0</v>
      </c>
      <c r="J254" s="249">
        <f t="shared" si="23"/>
        <v>0</v>
      </c>
      <c r="K254" s="249">
        <f t="shared" si="24"/>
        <v>0</v>
      </c>
      <c r="L254" s="248"/>
    </row>
    <row r="255" spans="1:12">
      <c r="A255" s="250">
        <v>192</v>
      </c>
      <c r="B255" s="249">
        <f t="shared" si="17"/>
        <v>0</v>
      </c>
      <c r="C255" s="249">
        <f t="shared" si="18"/>
        <v>0</v>
      </c>
      <c r="D255" s="249">
        <f t="shared" si="19"/>
        <v>0</v>
      </c>
      <c r="E255" s="249">
        <f t="shared" si="20"/>
        <v>0</v>
      </c>
      <c r="F255" s="248">
        <v>16</v>
      </c>
      <c r="G255" s="250">
        <v>192</v>
      </c>
      <c r="H255" s="249">
        <f t="shared" si="21"/>
        <v>0</v>
      </c>
      <c r="I255" s="249">
        <f t="shared" si="22"/>
        <v>0</v>
      </c>
      <c r="J255" s="249">
        <f t="shared" si="23"/>
        <v>0</v>
      </c>
      <c r="K255" s="249">
        <f t="shared" si="24"/>
        <v>0</v>
      </c>
      <c r="L255" s="248">
        <v>16</v>
      </c>
    </row>
    <row r="256" spans="1:12">
      <c r="A256" s="250">
        <v>193</v>
      </c>
      <c r="B256" s="249">
        <f t="shared" ref="B256:B319" si="25">IF(A256&gt;12*$C$9,0,IF($C$5&gt;1500000,$D$12,$C$12))</f>
        <v>0</v>
      </c>
      <c r="C256" s="249">
        <f t="shared" ref="C256:C319" si="26">IF(A256&gt;12*$C$9,0,E255*$C$7/12)</f>
        <v>0</v>
      </c>
      <c r="D256" s="249">
        <f t="shared" ref="D256:D319" si="27">IF(A256&gt;12*$C$9,0,B256-C256)</f>
        <v>0</v>
      </c>
      <c r="E256" s="249">
        <f t="shared" ref="E256:E319" si="28">IF(A256&gt;12*$C$9,0,E255-D256)</f>
        <v>0</v>
      </c>
      <c r="F256" s="248"/>
      <c r="G256" s="250">
        <v>193</v>
      </c>
      <c r="H256" s="249">
        <f t="shared" ref="H256:H319" si="29">IF(G256&gt;12*$C$9,0,IF($C$5&gt;1500000,$E$12,0))</f>
        <v>0</v>
      </c>
      <c r="I256" s="249">
        <f t="shared" ref="I256:I319" si="30">IF(G256&gt;12*$C$9,0,K255*$C$7/12)</f>
        <v>0</v>
      </c>
      <c r="J256" s="249">
        <f t="shared" ref="J256:J319" si="31">IF(G256&gt;12*$C$9,0,H256-I256)</f>
        <v>0</v>
      </c>
      <c r="K256" s="249">
        <f t="shared" ref="K256:K319" si="32">IF(G256&gt;12*$C$9,0,K255-J256)</f>
        <v>0</v>
      </c>
      <c r="L256" s="248"/>
    </row>
    <row r="257" spans="1:12">
      <c r="A257" s="250">
        <v>194</v>
      </c>
      <c r="B257" s="249">
        <f t="shared" si="25"/>
        <v>0</v>
      </c>
      <c r="C257" s="249">
        <f t="shared" si="26"/>
        <v>0</v>
      </c>
      <c r="D257" s="249">
        <f t="shared" si="27"/>
        <v>0</v>
      </c>
      <c r="E257" s="249">
        <f t="shared" si="28"/>
        <v>0</v>
      </c>
      <c r="F257" s="248"/>
      <c r="G257" s="250">
        <v>194</v>
      </c>
      <c r="H257" s="249">
        <f t="shared" si="29"/>
        <v>0</v>
      </c>
      <c r="I257" s="249">
        <f t="shared" si="30"/>
        <v>0</v>
      </c>
      <c r="J257" s="249">
        <f t="shared" si="31"/>
        <v>0</v>
      </c>
      <c r="K257" s="249">
        <f t="shared" si="32"/>
        <v>0</v>
      </c>
      <c r="L257" s="248"/>
    </row>
    <row r="258" spans="1:12">
      <c r="A258" s="250">
        <v>195</v>
      </c>
      <c r="B258" s="249">
        <f t="shared" si="25"/>
        <v>0</v>
      </c>
      <c r="C258" s="249">
        <f t="shared" si="26"/>
        <v>0</v>
      </c>
      <c r="D258" s="249">
        <f t="shared" si="27"/>
        <v>0</v>
      </c>
      <c r="E258" s="249">
        <f t="shared" si="28"/>
        <v>0</v>
      </c>
      <c r="F258" s="248"/>
      <c r="G258" s="250">
        <v>195</v>
      </c>
      <c r="H258" s="249">
        <f t="shared" si="29"/>
        <v>0</v>
      </c>
      <c r="I258" s="249">
        <f t="shared" si="30"/>
        <v>0</v>
      </c>
      <c r="J258" s="249">
        <f t="shared" si="31"/>
        <v>0</v>
      </c>
      <c r="K258" s="249">
        <f t="shared" si="32"/>
        <v>0</v>
      </c>
      <c r="L258" s="248"/>
    </row>
    <row r="259" spans="1:12">
      <c r="A259" s="250">
        <v>196</v>
      </c>
      <c r="B259" s="249">
        <f t="shared" si="25"/>
        <v>0</v>
      </c>
      <c r="C259" s="249">
        <f t="shared" si="26"/>
        <v>0</v>
      </c>
      <c r="D259" s="249">
        <f t="shared" si="27"/>
        <v>0</v>
      </c>
      <c r="E259" s="249">
        <f t="shared" si="28"/>
        <v>0</v>
      </c>
      <c r="F259" s="248"/>
      <c r="G259" s="250">
        <v>196</v>
      </c>
      <c r="H259" s="249">
        <f t="shared" si="29"/>
        <v>0</v>
      </c>
      <c r="I259" s="249">
        <f t="shared" si="30"/>
        <v>0</v>
      </c>
      <c r="J259" s="249">
        <f t="shared" si="31"/>
        <v>0</v>
      </c>
      <c r="K259" s="249">
        <f t="shared" si="32"/>
        <v>0</v>
      </c>
      <c r="L259" s="248"/>
    </row>
    <row r="260" spans="1:12">
      <c r="A260" s="250">
        <v>197</v>
      </c>
      <c r="B260" s="249">
        <f t="shared" si="25"/>
        <v>0</v>
      </c>
      <c r="C260" s="249">
        <f t="shared" si="26"/>
        <v>0</v>
      </c>
      <c r="D260" s="249">
        <f t="shared" si="27"/>
        <v>0</v>
      </c>
      <c r="E260" s="249">
        <f t="shared" si="28"/>
        <v>0</v>
      </c>
      <c r="F260" s="248"/>
      <c r="G260" s="250">
        <v>197</v>
      </c>
      <c r="H260" s="249">
        <f t="shared" si="29"/>
        <v>0</v>
      </c>
      <c r="I260" s="249">
        <f t="shared" si="30"/>
        <v>0</v>
      </c>
      <c r="J260" s="249">
        <f t="shared" si="31"/>
        <v>0</v>
      </c>
      <c r="K260" s="249">
        <f t="shared" si="32"/>
        <v>0</v>
      </c>
      <c r="L260" s="248"/>
    </row>
    <row r="261" spans="1:12">
      <c r="A261" s="250">
        <v>198</v>
      </c>
      <c r="B261" s="249">
        <f t="shared" si="25"/>
        <v>0</v>
      </c>
      <c r="C261" s="249">
        <f t="shared" si="26"/>
        <v>0</v>
      </c>
      <c r="D261" s="249">
        <f t="shared" si="27"/>
        <v>0</v>
      </c>
      <c r="E261" s="249">
        <f t="shared" si="28"/>
        <v>0</v>
      </c>
      <c r="F261" s="248"/>
      <c r="G261" s="250">
        <v>198</v>
      </c>
      <c r="H261" s="249">
        <f t="shared" si="29"/>
        <v>0</v>
      </c>
      <c r="I261" s="249">
        <f t="shared" si="30"/>
        <v>0</v>
      </c>
      <c r="J261" s="249">
        <f t="shared" si="31"/>
        <v>0</v>
      </c>
      <c r="K261" s="249">
        <f t="shared" si="32"/>
        <v>0</v>
      </c>
      <c r="L261" s="248"/>
    </row>
    <row r="262" spans="1:12">
      <c r="A262" s="250">
        <v>199</v>
      </c>
      <c r="B262" s="249">
        <f t="shared" si="25"/>
        <v>0</v>
      </c>
      <c r="C262" s="249">
        <f t="shared" si="26"/>
        <v>0</v>
      </c>
      <c r="D262" s="249">
        <f t="shared" si="27"/>
        <v>0</v>
      </c>
      <c r="E262" s="249">
        <f t="shared" si="28"/>
        <v>0</v>
      </c>
      <c r="F262" s="248"/>
      <c r="G262" s="250">
        <v>199</v>
      </c>
      <c r="H262" s="249">
        <f t="shared" si="29"/>
        <v>0</v>
      </c>
      <c r="I262" s="249">
        <f t="shared" si="30"/>
        <v>0</v>
      </c>
      <c r="J262" s="249">
        <f t="shared" si="31"/>
        <v>0</v>
      </c>
      <c r="K262" s="249">
        <f t="shared" si="32"/>
        <v>0</v>
      </c>
      <c r="L262" s="248"/>
    </row>
    <row r="263" spans="1:12">
      <c r="A263" s="250">
        <v>200</v>
      </c>
      <c r="B263" s="249">
        <f t="shared" si="25"/>
        <v>0</v>
      </c>
      <c r="C263" s="249">
        <f t="shared" si="26"/>
        <v>0</v>
      </c>
      <c r="D263" s="249">
        <f t="shared" si="27"/>
        <v>0</v>
      </c>
      <c r="E263" s="249">
        <f t="shared" si="28"/>
        <v>0</v>
      </c>
      <c r="F263" s="248"/>
      <c r="G263" s="250">
        <v>200</v>
      </c>
      <c r="H263" s="249">
        <f t="shared" si="29"/>
        <v>0</v>
      </c>
      <c r="I263" s="249">
        <f t="shared" si="30"/>
        <v>0</v>
      </c>
      <c r="J263" s="249">
        <f t="shared" si="31"/>
        <v>0</v>
      </c>
      <c r="K263" s="249">
        <f t="shared" si="32"/>
        <v>0</v>
      </c>
      <c r="L263" s="248"/>
    </row>
    <row r="264" spans="1:12">
      <c r="A264" s="250">
        <v>201</v>
      </c>
      <c r="B264" s="249">
        <f t="shared" si="25"/>
        <v>0</v>
      </c>
      <c r="C264" s="249">
        <f t="shared" si="26"/>
        <v>0</v>
      </c>
      <c r="D264" s="249">
        <f t="shared" si="27"/>
        <v>0</v>
      </c>
      <c r="E264" s="249">
        <f t="shared" si="28"/>
        <v>0</v>
      </c>
      <c r="F264" s="248"/>
      <c r="G264" s="250">
        <v>201</v>
      </c>
      <c r="H264" s="249">
        <f t="shared" si="29"/>
        <v>0</v>
      </c>
      <c r="I264" s="249">
        <f t="shared" si="30"/>
        <v>0</v>
      </c>
      <c r="J264" s="249">
        <f t="shared" si="31"/>
        <v>0</v>
      </c>
      <c r="K264" s="249">
        <f t="shared" si="32"/>
        <v>0</v>
      </c>
      <c r="L264" s="248"/>
    </row>
    <row r="265" spans="1:12">
      <c r="A265" s="250">
        <v>202</v>
      </c>
      <c r="B265" s="249">
        <f t="shared" si="25"/>
        <v>0</v>
      </c>
      <c r="C265" s="249">
        <f t="shared" si="26"/>
        <v>0</v>
      </c>
      <c r="D265" s="249">
        <f t="shared" si="27"/>
        <v>0</v>
      </c>
      <c r="E265" s="249">
        <f t="shared" si="28"/>
        <v>0</v>
      </c>
      <c r="F265" s="248"/>
      <c r="G265" s="250">
        <v>202</v>
      </c>
      <c r="H265" s="249">
        <f t="shared" si="29"/>
        <v>0</v>
      </c>
      <c r="I265" s="249">
        <f t="shared" si="30"/>
        <v>0</v>
      </c>
      <c r="J265" s="249">
        <f t="shared" si="31"/>
        <v>0</v>
      </c>
      <c r="K265" s="249">
        <f t="shared" si="32"/>
        <v>0</v>
      </c>
      <c r="L265" s="248"/>
    </row>
    <row r="266" spans="1:12">
      <c r="A266" s="250">
        <v>203</v>
      </c>
      <c r="B266" s="249">
        <f t="shared" si="25"/>
        <v>0</v>
      </c>
      <c r="C266" s="249">
        <f t="shared" si="26"/>
        <v>0</v>
      </c>
      <c r="D266" s="249">
        <f t="shared" si="27"/>
        <v>0</v>
      </c>
      <c r="E266" s="249">
        <f t="shared" si="28"/>
        <v>0</v>
      </c>
      <c r="F266" s="248"/>
      <c r="G266" s="250">
        <v>203</v>
      </c>
      <c r="H266" s="249">
        <f t="shared" si="29"/>
        <v>0</v>
      </c>
      <c r="I266" s="249">
        <f t="shared" si="30"/>
        <v>0</v>
      </c>
      <c r="J266" s="249">
        <f t="shared" si="31"/>
        <v>0</v>
      </c>
      <c r="K266" s="249">
        <f t="shared" si="32"/>
        <v>0</v>
      </c>
      <c r="L266" s="248"/>
    </row>
    <row r="267" spans="1:12">
      <c r="A267" s="250">
        <v>204</v>
      </c>
      <c r="B267" s="249">
        <f t="shared" si="25"/>
        <v>0</v>
      </c>
      <c r="C267" s="249">
        <f t="shared" si="26"/>
        <v>0</v>
      </c>
      <c r="D267" s="249">
        <f t="shared" si="27"/>
        <v>0</v>
      </c>
      <c r="E267" s="249">
        <f t="shared" si="28"/>
        <v>0</v>
      </c>
      <c r="F267" s="248">
        <v>17</v>
      </c>
      <c r="G267" s="250">
        <v>204</v>
      </c>
      <c r="H267" s="249">
        <f t="shared" si="29"/>
        <v>0</v>
      </c>
      <c r="I267" s="249">
        <f t="shared" si="30"/>
        <v>0</v>
      </c>
      <c r="J267" s="249">
        <f t="shared" si="31"/>
        <v>0</v>
      </c>
      <c r="K267" s="249">
        <f t="shared" si="32"/>
        <v>0</v>
      </c>
      <c r="L267" s="248">
        <v>17</v>
      </c>
    </row>
    <row r="268" spans="1:12">
      <c r="A268" s="250">
        <v>205</v>
      </c>
      <c r="B268" s="249">
        <f t="shared" si="25"/>
        <v>0</v>
      </c>
      <c r="C268" s="249">
        <f t="shared" si="26"/>
        <v>0</v>
      </c>
      <c r="D268" s="249">
        <f t="shared" si="27"/>
        <v>0</v>
      </c>
      <c r="E268" s="249">
        <f t="shared" si="28"/>
        <v>0</v>
      </c>
      <c r="F268" s="248"/>
      <c r="G268" s="250">
        <v>205</v>
      </c>
      <c r="H268" s="249">
        <f t="shared" si="29"/>
        <v>0</v>
      </c>
      <c r="I268" s="249">
        <f t="shared" si="30"/>
        <v>0</v>
      </c>
      <c r="J268" s="249">
        <f t="shared" si="31"/>
        <v>0</v>
      </c>
      <c r="K268" s="249">
        <f t="shared" si="32"/>
        <v>0</v>
      </c>
      <c r="L268" s="248"/>
    </row>
    <row r="269" spans="1:12">
      <c r="A269" s="250">
        <v>206</v>
      </c>
      <c r="B269" s="249">
        <f t="shared" si="25"/>
        <v>0</v>
      </c>
      <c r="C269" s="249">
        <f t="shared" si="26"/>
        <v>0</v>
      </c>
      <c r="D269" s="249">
        <f t="shared" si="27"/>
        <v>0</v>
      </c>
      <c r="E269" s="249">
        <f t="shared" si="28"/>
        <v>0</v>
      </c>
      <c r="F269" s="248"/>
      <c r="G269" s="250">
        <v>206</v>
      </c>
      <c r="H269" s="249">
        <f t="shared" si="29"/>
        <v>0</v>
      </c>
      <c r="I269" s="249">
        <f t="shared" si="30"/>
        <v>0</v>
      </c>
      <c r="J269" s="249">
        <f t="shared" si="31"/>
        <v>0</v>
      </c>
      <c r="K269" s="249">
        <f t="shared" si="32"/>
        <v>0</v>
      </c>
      <c r="L269" s="248"/>
    </row>
    <row r="270" spans="1:12">
      <c r="A270" s="250">
        <v>207</v>
      </c>
      <c r="B270" s="249">
        <f t="shared" si="25"/>
        <v>0</v>
      </c>
      <c r="C270" s="249">
        <f t="shared" si="26"/>
        <v>0</v>
      </c>
      <c r="D270" s="249">
        <f t="shared" si="27"/>
        <v>0</v>
      </c>
      <c r="E270" s="249">
        <f t="shared" si="28"/>
        <v>0</v>
      </c>
      <c r="F270" s="248"/>
      <c r="G270" s="250">
        <v>207</v>
      </c>
      <c r="H270" s="249">
        <f t="shared" si="29"/>
        <v>0</v>
      </c>
      <c r="I270" s="249">
        <f t="shared" si="30"/>
        <v>0</v>
      </c>
      <c r="J270" s="249">
        <f t="shared" si="31"/>
        <v>0</v>
      </c>
      <c r="K270" s="249">
        <f t="shared" si="32"/>
        <v>0</v>
      </c>
      <c r="L270" s="248"/>
    </row>
    <row r="271" spans="1:12">
      <c r="A271" s="250">
        <v>208</v>
      </c>
      <c r="B271" s="249">
        <f t="shared" si="25"/>
        <v>0</v>
      </c>
      <c r="C271" s="249">
        <f t="shared" si="26"/>
        <v>0</v>
      </c>
      <c r="D271" s="249">
        <f t="shared" si="27"/>
        <v>0</v>
      </c>
      <c r="E271" s="249">
        <f t="shared" si="28"/>
        <v>0</v>
      </c>
      <c r="F271" s="248"/>
      <c r="G271" s="250">
        <v>208</v>
      </c>
      <c r="H271" s="249">
        <f t="shared" si="29"/>
        <v>0</v>
      </c>
      <c r="I271" s="249">
        <f t="shared" si="30"/>
        <v>0</v>
      </c>
      <c r="J271" s="249">
        <f t="shared" si="31"/>
        <v>0</v>
      </c>
      <c r="K271" s="249">
        <f t="shared" si="32"/>
        <v>0</v>
      </c>
      <c r="L271" s="248"/>
    </row>
    <row r="272" spans="1:12">
      <c r="A272" s="250">
        <v>209</v>
      </c>
      <c r="B272" s="249">
        <f t="shared" si="25"/>
        <v>0</v>
      </c>
      <c r="C272" s="249">
        <f t="shared" si="26"/>
        <v>0</v>
      </c>
      <c r="D272" s="249">
        <f t="shared" si="27"/>
        <v>0</v>
      </c>
      <c r="E272" s="249">
        <f t="shared" si="28"/>
        <v>0</v>
      </c>
      <c r="F272" s="248"/>
      <c r="G272" s="250">
        <v>209</v>
      </c>
      <c r="H272" s="249">
        <f t="shared" si="29"/>
        <v>0</v>
      </c>
      <c r="I272" s="249">
        <f t="shared" si="30"/>
        <v>0</v>
      </c>
      <c r="J272" s="249">
        <f t="shared" si="31"/>
        <v>0</v>
      </c>
      <c r="K272" s="249">
        <f t="shared" si="32"/>
        <v>0</v>
      </c>
      <c r="L272" s="248"/>
    </row>
    <row r="273" spans="1:12">
      <c r="A273" s="250">
        <v>210</v>
      </c>
      <c r="B273" s="249">
        <f t="shared" si="25"/>
        <v>0</v>
      </c>
      <c r="C273" s="249">
        <f t="shared" si="26"/>
        <v>0</v>
      </c>
      <c r="D273" s="249">
        <f t="shared" si="27"/>
        <v>0</v>
      </c>
      <c r="E273" s="249">
        <f t="shared" si="28"/>
        <v>0</v>
      </c>
      <c r="F273" s="248"/>
      <c r="G273" s="250">
        <v>210</v>
      </c>
      <c r="H273" s="249">
        <f t="shared" si="29"/>
        <v>0</v>
      </c>
      <c r="I273" s="249">
        <f t="shared" si="30"/>
        <v>0</v>
      </c>
      <c r="J273" s="249">
        <f t="shared" si="31"/>
        <v>0</v>
      </c>
      <c r="K273" s="249">
        <f t="shared" si="32"/>
        <v>0</v>
      </c>
      <c r="L273" s="248"/>
    </row>
    <row r="274" spans="1:12">
      <c r="A274" s="250">
        <v>211</v>
      </c>
      <c r="B274" s="249">
        <f t="shared" si="25"/>
        <v>0</v>
      </c>
      <c r="C274" s="249">
        <f t="shared" si="26"/>
        <v>0</v>
      </c>
      <c r="D274" s="249">
        <f t="shared" si="27"/>
        <v>0</v>
      </c>
      <c r="E274" s="249">
        <f t="shared" si="28"/>
        <v>0</v>
      </c>
      <c r="F274" s="248"/>
      <c r="G274" s="250">
        <v>211</v>
      </c>
      <c r="H274" s="249">
        <f t="shared" si="29"/>
        <v>0</v>
      </c>
      <c r="I274" s="249">
        <f t="shared" si="30"/>
        <v>0</v>
      </c>
      <c r="J274" s="249">
        <f t="shared" si="31"/>
        <v>0</v>
      </c>
      <c r="K274" s="249">
        <f t="shared" si="32"/>
        <v>0</v>
      </c>
      <c r="L274" s="248"/>
    </row>
    <row r="275" spans="1:12">
      <c r="A275" s="250">
        <v>212</v>
      </c>
      <c r="B275" s="249">
        <f t="shared" si="25"/>
        <v>0</v>
      </c>
      <c r="C275" s="249">
        <f t="shared" si="26"/>
        <v>0</v>
      </c>
      <c r="D275" s="249">
        <f t="shared" si="27"/>
        <v>0</v>
      </c>
      <c r="E275" s="249">
        <f t="shared" si="28"/>
        <v>0</v>
      </c>
      <c r="F275" s="248"/>
      <c r="G275" s="250">
        <v>212</v>
      </c>
      <c r="H275" s="249">
        <f t="shared" si="29"/>
        <v>0</v>
      </c>
      <c r="I275" s="249">
        <f t="shared" si="30"/>
        <v>0</v>
      </c>
      <c r="J275" s="249">
        <f t="shared" si="31"/>
        <v>0</v>
      </c>
      <c r="K275" s="249">
        <f t="shared" si="32"/>
        <v>0</v>
      </c>
      <c r="L275" s="248"/>
    </row>
    <row r="276" spans="1:12">
      <c r="A276" s="250">
        <v>213</v>
      </c>
      <c r="B276" s="249">
        <f t="shared" si="25"/>
        <v>0</v>
      </c>
      <c r="C276" s="249">
        <f t="shared" si="26"/>
        <v>0</v>
      </c>
      <c r="D276" s="249">
        <f t="shared" si="27"/>
        <v>0</v>
      </c>
      <c r="E276" s="249">
        <f t="shared" si="28"/>
        <v>0</v>
      </c>
      <c r="F276" s="248"/>
      <c r="G276" s="250">
        <v>213</v>
      </c>
      <c r="H276" s="249">
        <f t="shared" si="29"/>
        <v>0</v>
      </c>
      <c r="I276" s="249">
        <f t="shared" si="30"/>
        <v>0</v>
      </c>
      <c r="J276" s="249">
        <f t="shared" si="31"/>
        <v>0</v>
      </c>
      <c r="K276" s="249">
        <f t="shared" si="32"/>
        <v>0</v>
      </c>
      <c r="L276" s="248"/>
    </row>
    <row r="277" spans="1:12">
      <c r="A277" s="250">
        <v>214</v>
      </c>
      <c r="B277" s="249">
        <f t="shared" si="25"/>
        <v>0</v>
      </c>
      <c r="C277" s="249">
        <f t="shared" si="26"/>
        <v>0</v>
      </c>
      <c r="D277" s="249">
        <f t="shared" si="27"/>
        <v>0</v>
      </c>
      <c r="E277" s="249">
        <f t="shared" si="28"/>
        <v>0</v>
      </c>
      <c r="F277" s="248"/>
      <c r="G277" s="250">
        <v>214</v>
      </c>
      <c r="H277" s="249">
        <f t="shared" si="29"/>
        <v>0</v>
      </c>
      <c r="I277" s="249">
        <f t="shared" si="30"/>
        <v>0</v>
      </c>
      <c r="J277" s="249">
        <f t="shared" si="31"/>
        <v>0</v>
      </c>
      <c r="K277" s="249">
        <f t="shared" si="32"/>
        <v>0</v>
      </c>
      <c r="L277" s="248"/>
    </row>
    <row r="278" spans="1:12">
      <c r="A278" s="250">
        <v>215</v>
      </c>
      <c r="B278" s="249">
        <f t="shared" si="25"/>
        <v>0</v>
      </c>
      <c r="C278" s="249">
        <f t="shared" si="26"/>
        <v>0</v>
      </c>
      <c r="D278" s="249">
        <f t="shared" si="27"/>
        <v>0</v>
      </c>
      <c r="E278" s="249">
        <f t="shared" si="28"/>
        <v>0</v>
      </c>
      <c r="F278" s="248"/>
      <c r="G278" s="250">
        <v>215</v>
      </c>
      <c r="H278" s="249">
        <f t="shared" si="29"/>
        <v>0</v>
      </c>
      <c r="I278" s="249">
        <f t="shared" si="30"/>
        <v>0</v>
      </c>
      <c r="J278" s="249">
        <f t="shared" si="31"/>
        <v>0</v>
      </c>
      <c r="K278" s="249">
        <f t="shared" si="32"/>
        <v>0</v>
      </c>
      <c r="L278" s="248"/>
    </row>
    <row r="279" spans="1:12">
      <c r="A279" s="250">
        <v>216</v>
      </c>
      <c r="B279" s="249">
        <f t="shared" si="25"/>
        <v>0</v>
      </c>
      <c r="C279" s="249">
        <f t="shared" si="26"/>
        <v>0</v>
      </c>
      <c r="D279" s="249">
        <f t="shared" si="27"/>
        <v>0</v>
      </c>
      <c r="E279" s="249">
        <f t="shared" si="28"/>
        <v>0</v>
      </c>
      <c r="F279" s="248">
        <v>18</v>
      </c>
      <c r="G279" s="250">
        <v>216</v>
      </c>
      <c r="H279" s="249">
        <f t="shared" si="29"/>
        <v>0</v>
      </c>
      <c r="I279" s="249">
        <f t="shared" si="30"/>
        <v>0</v>
      </c>
      <c r="J279" s="249">
        <f t="shared" si="31"/>
        <v>0</v>
      </c>
      <c r="K279" s="249">
        <f t="shared" si="32"/>
        <v>0</v>
      </c>
      <c r="L279" s="248">
        <v>18</v>
      </c>
    </row>
    <row r="280" spans="1:12">
      <c r="A280" s="250">
        <v>217</v>
      </c>
      <c r="B280" s="249">
        <f t="shared" si="25"/>
        <v>0</v>
      </c>
      <c r="C280" s="249">
        <f t="shared" si="26"/>
        <v>0</v>
      </c>
      <c r="D280" s="249">
        <f t="shared" si="27"/>
        <v>0</v>
      </c>
      <c r="E280" s="249">
        <f t="shared" si="28"/>
        <v>0</v>
      </c>
      <c r="F280" s="248"/>
      <c r="G280" s="250">
        <v>217</v>
      </c>
      <c r="H280" s="249">
        <f t="shared" si="29"/>
        <v>0</v>
      </c>
      <c r="I280" s="249">
        <f t="shared" si="30"/>
        <v>0</v>
      </c>
      <c r="J280" s="249">
        <f t="shared" si="31"/>
        <v>0</v>
      </c>
      <c r="K280" s="249">
        <f t="shared" si="32"/>
        <v>0</v>
      </c>
      <c r="L280" s="248"/>
    </row>
    <row r="281" spans="1:12">
      <c r="A281" s="250">
        <v>218</v>
      </c>
      <c r="B281" s="249">
        <f t="shared" si="25"/>
        <v>0</v>
      </c>
      <c r="C281" s="249">
        <f t="shared" si="26"/>
        <v>0</v>
      </c>
      <c r="D281" s="249">
        <f t="shared" si="27"/>
        <v>0</v>
      </c>
      <c r="E281" s="249">
        <f t="shared" si="28"/>
        <v>0</v>
      </c>
      <c r="F281" s="248"/>
      <c r="G281" s="250">
        <v>218</v>
      </c>
      <c r="H281" s="249">
        <f t="shared" si="29"/>
        <v>0</v>
      </c>
      <c r="I281" s="249">
        <f t="shared" si="30"/>
        <v>0</v>
      </c>
      <c r="J281" s="249">
        <f t="shared" si="31"/>
        <v>0</v>
      </c>
      <c r="K281" s="249">
        <f t="shared" si="32"/>
        <v>0</v>
      </c>
      <c r="L281" s="248"/>
    </row>
    <row r="282" spans="1:12">
      <c r="A282" s="250">
        <v>219</v>
      </c>
      <c r="B282" s="249">
        <f t="shared" si="25"/>
        <v>0</v>
      </c>
      <c r="C282" s="249">
        <f t="shared" si="26"/>
        <v>0</v>
      </c>
      <c r="D282" s="249">
        <f t="shared" si="27"/>
        <v>0</v>
      </c>
      <c r="E282" s="249">
        <f t="shared" si="28"/>
        <v>0</v>
      </c>
      <c r="F282" s="248"/>
      <c r="G282" s="250">
        <v>219</v>
      </c>
      <c r="H282" s="249">
        <f t="shared" si="29"/>
        <v>0</v>
      </c>
      <c r="I282" s="249">
        <f t="shared" si="30"/>
        <v>0</v>
      </c>
      <c r="J282" s="249">
        <f t="shared" si="31"/>
        <v>0</v>
      </c>
      <c r="K282" s="249">
        <f t="shared" si="32"/>
        <v>0</v>
      </c>
      <c r="L282" s="248"/>
    </row>
    <row r="283" spans="1:12">
      <c r="A283" s="250">
        <v>220</v>
      </c>
      <c r="B283" s="249">
        <f t="shared" si="25"/>
        <v>0</v>
      </c>
      <c r="C283" s="249">
        <f t="shared" si="26"/>
        <v>0</v>
      </c>
      <c r="D283" s="249">
        <f t="shared" si="27"/>
        <v>0</v>
      </c>
      <c r="E283" s="249">
        <f t="shared" si="28"/>
        <v>0</v>
      </c>
      <c r="F283" s="248"/>
      <c r="G283" s="250">
        <v>220</v>
      </c>
      <c r="H283" s="249">
        <f t="shared" si="29"/>
        <v>0</v>
      </c>
      <c r="I283" s="249">
        <f t="shared" si="30"/>
        <v>0</v>
      </c>
      <c r="J283" s="249">
        <f t="shared" si="31"/>
        <v>0</v>
      </c>
      <c r="K283" s="249">
        <f t="shared" si="32"/>
        <v>0</v>
      </c>
      <c r="L283" s="248"/>
    </row>
    <row r="284" spans="1:12">
      <c r="A284" s="250">
        <v>221</v>
      </c>
      <c r="B284" s="249">
        <f t="shared" si="25"/>
        <v>0</v>
      </c>
      <c r="C284" s="249">
        <f t="shared" si="26"/>
        <v>0</v>
      </c>
      <c r="D284" s="249">
        <f t="shared" si="27"/>
        <v>0</v>
      </c>
      <c r="E284" s="249">
        <f t="shared" si="28"/>
        <v>0</v>
      </c>
      <c r="F284" s="248"/>
      <c r="G284" s="250">
        <v>221</v>
      </c>
      <c r="H284" s="249">
        <f t="shared" si="29"/>
        <v>0</v>
      </c>
      <c r="I284" s="249">
        <f t="shared" si="30"/>
        <v>0</v>
      </c>
      <c r="J284" s="249">
        <f t="shared" si="31"/>
        <v>0</v>
      </c>
      <c r="K284" s="249">
        <f t="shared" si="32"/>
        <v>0</v>
      </c>
      <c r="L284" s="248"/>
    </row>
    <row r="285" spans="1:12">
      <c r="A285" s="250">
        <v>222</v>
      </c>
      <c r="B285" s="249">
        <f t="shared" si="25"/>
        <v>0</v>
      </c>
      <c r="C285" s="249">
        <f t="shared" si="26"/>
        <v>0</v>
      </c>
      <c r="D285" s="249">
        <f t="shared" si="27"/>
        <v>0</v>
      </c>
      <c r="E285" s="249">
        <f t="shared" si="28"/>
        <v>0</v>
      </c>
      <c r="F285" s="248"/>
      <c r="G285" s="250">
        <v>222</v>
      </c>
      <c r="H285" s="249">
        <f t="shared" si="29"/>
        <v>0</v>
      </c>
      <c r="I285" s="249">
        <f t="shared" si="30"/>
        <v>0</v>
      </c>
      <c r="J285" s="249">
        <f t="shared" si="31"/>
        <v>0</v>
      </c>
      <c r="K285" s="249">
        <f t="shared" si="32"/>
        <v>0</v>
      </c>
      <c r="L285" s="248"/>
    </row>
    <row r="286" spans="1:12">
      <c r="A286" s="250">
        <v>223</v>
      </c>
      <c r="B286" s="249">
        <f t="shared" si="25"/>
        <v>0</v>
      </c>
      <c r="C286" s="249">
        <f t="shared" si="26"/>
        <v>0</v>
      </c>
      <c r="D286" s="249">
        <f t="shared" si="27"/>
        <v>0</v>
      </c>
      <c r="E286" s="249">
        <f t="shared" si="28"/>
        <v>0</v>
      </c>
      <c r="F286" s="248"/>
      <c r="G286" s="250">
        <v>223</v>
      </c>
      <c r="H286" s="249">
        <f t="shared" si="29"/>
        <v>0</v>
      </c>
      <c r="I286" s="249">
        <f t="shared" si="30"/>
        <v>0</v>
      </c>
      <c r="J286" s="249">
        <f t="shared" si="31"/>
        <v>0</v>
      </c>
      <c r="K286" s="249">
        <f t="shared" si="32"/>
        <v>0</v>
      </c>
      <c r="L286" s="248"/>
    </row>
    <row r="287" spans="1:12">
      <c r="A287" s="250">
        <v>224</v>
      </c>
      <c r="B287" s="249">
        <f t="shared" si="25"/>
        <v>0</v>
      </c>
      <c r="C287" s="249">
        <f t="shared" si="26"/>
        <v>0</v>
      </c>
      <c r="D287" s="249">
        <f t="shared" si="27"/>
        <v>0</v>
      </c>
      <c r="E287" s="249">
        <f t="shared" si="28"/>
        <v>0</v>
      </c>
      <c r="F287" s="248"/>
      <c r="G287" s="250">
        <v>224</v>
      </c>
      <c r="H287" s="249">
        <f t="shared" si="29"/>
        <v>0</v>
      </c>
      <c r="I287" s="249">
        <f t="shared" si="30"/>
        <v>0</v>
      </c>
      <c r="J287" s="249">
        <f t="shared" si="31"/>
        <v>0</v>
      </c>
      <c r="K287" s="249">
        <f t="shared" si="32"/>
        <v>0</v>
      </c>
      <c r="L287" s="248"/>
    </row>
    <row r="288" spans="1:12">
      <c r="A288" s="250">
        <v>225</v>
      </c>
      <c r="B288" s="249">
        <f t="shared" si="25"/>
        <v>0</v>
      </c>
      <c r="C288" s="249">
        <f t="shared" si="26"/>
        <v>0</v>
      </c>
      <c r="D288" s="249">
        <f t="shared" si="27"/>
        <v>0</v>
      </c>
      <c r="E288" s="249">
        <f t="shared" si="28"/>
        <v>0</v>
      </c>
      <c r="F288" s="248"/>
      <c r="G288" s="250">
        <v>225</v>
      </c>
      <c r="H288" s="249">
        <f t="shared" si="29"/>
        <v>0</v>
      </c>
      <c r="I288" s="249">
        <f t="shared" si="30"/>
        <v>0</v>
      </c>
      <c r="J288" s="249">
        <f t="shared" si="31"/>
        <v>0</v>
      </c>
      <c r="K288" s="249">
        <f t="shared" si="32"/>
        <v>0</v>
      </c>
      <c r="L288" s="248"/>
    </row>
    <row r="289" spans="1:12">
      <c r="A289" s="250">
        <v>226</v>
      </c>
      <c r="B289" s="249">
        <f t="shared" si="25"/>
        <v>0</v>
      </c>
      <c r="C289" s="249">
        <f t="shared" si="26"/>
        <v>0</v>
      </c>
      <c r="D289" s="249">
        <f t="shared" si="27"/>
        <v>0</v>
      </c>
      <c r="E289" s="249">
        <f t="shared" si="28"/>
        <v>0</v>
      </c>
      <c r="F289" s="248"/>
      <c r="G289" s="250">
        <v>226</v>
      </c>
      <c r="H289" s="249">
        <f t="shared" si="29"/>
        <v>0</v>
      </c>
      <c r="I289" s="249">
        <f t="shared" si="30"/>
        <v>0</v>
      </c>
      <c r="J289" s="249">
        <f t="shared" si="31"/>
        <v>0</v>
      </c>
      <c r="K289" s="249">
        <f t="shared" si="32"/>
        <v>0</v>
      </c>
      <c r="L289" s="248"/>
    </row>
    <row r="290" spans="1:12">
      <c r="A290" s="250">
        <v>227</v>
      </c>
      <c r="B290" s="249">
        <f t="shared" si="25"/>
        <v>0</v>
      </c>
      <c r="C290" s="249">
        <f t="shared" si="26"/>
        <v>0</v>
      </c>
      <c r="D290" s="249">
        <f t="shared" si="27"/>
        <v>0</v>
      </c>
      <c r="E290" s="249">
        <f t="shared" si="28"/>
        <v>0</v>
      </c>
      <c r="F290" s="248"/>
      <c r="G290" s="250">
        <v>227</v>
      </c>
      <c r="H290" s="249">
        <f t="shared" si="29"/>
        <v>0</v>
      </c>
      <c r="I290" s="249">
        <f t="shared" si="30"/>
        <v>0</v>
      </c>
      <c r="J290" s="249">
        <f t="shared" si="31"/>
        <v>0</v>
      </c>
      <c r="K290" s="249">
        <f t="shared" si="32"/>
        <v>0</v>
      </c>
      <c r="L290" s="248"/>
    </row>
    <row r="291" spans="1:12">
      <c r="A291" s="250">
        <v>228</v>
      </c>
      <c r="B291" s="249">
        <f t="shared" si="25"/>
        <v>0</v>
      </c>
      <c r="C291" s="249">
        <f t="shared" si="26"/>
        <v>0</v>
      </c>
      <c r="D291" s="249">
        <f t="shared" si="27"/>
        <v>0</v>
      </c>
      <c r="E291" s="249">
        <f t="shared" si="28"/>
        <v>0</v>
      </c>
      <c r="F291" s="248">
        <v>19</v>
      </c>
      <c r="G291" s="250">
        <v>228</v>
      </c>
      <c r="H291" s="249">
        <f t="shared" si="29"/>
        <v>0</v>
      </c>
      <c r="I291" s="249">
        <f t="shared" si="30"/>
        <v>0</v>
      </c>
      <c r="J291" s="249">
        <f t="shared" si="31"/>
        <v>0</v>
      </c>
      <c r="K291" s="249">
        <f t="shared" si="32"/>
        <v>0</v>
      </c>
      <c r="L291" s="248">
        <v>19</v>
      </c>
    </row>
    <row r="292" spans="1:12">
      <c r="A292" s="250">
        <v>229</v>
      </c>
      <c r="B292" s="249">
        <f t="shared" si="25"/>
        <v>0</v>
      </c>
      <c r="C292" s="249">
        <f t="shared" si="26"/>
        <v>0</v>
      </c>
      <c r="D292" s="249">
        <f t="shared" si="27"/>
        <v>0</v>
      </c>
      <c r="E292" s="249">
        <f t="shared" si="28"/>
        <v>0</v>
      </c>
      <c r="F292" s="248"/>
      <c r="G292" s="250">
        <v>229</v>
      </c>
      <c r="H292" s="249">
        <f t="shared" si="29"/>
        <v>0</v>
      </c>
      <c r="I292" s="249">
        <f t="shared" si="30"/>
        <v>0</v>
      </c>
      <c r="J292" s="249">
        <f t="shared" si="31"/>
        <v>0</v>
      </c>
      <c r="K292" s="249">
        <f t="shared" si="32"/>
        <v>0</v>
      </c>
      <c r="L292" s="248"/>
    </row>
    <row r="293" spans="1:12">
      <c r="A293" s="250">
        <v>230</v>
      </c>
      <c r="B293" s="249">
        <f t="shared" si="25"/>
        <v>0</v>
      </c>
      <c r="C293" s="249">
        <f t="shared" si="26"/>
        <v>0</v>
      </c>
      <c r="D293" s="249">
        <f t="shared" si="27"/>
        <v>0</v>
      </c>
      <c r="E293" s="249">
        <f t="shared" si="28"/>
        <v>0</v>
      </c>
      <c r="F293" s="248"/>
      <c r="G293" s="250">
        <v>230</v>
      </c>
      <c r="H293" s="249">
        <f t="shared" si="29"/>
        <v>0</v>
      </c>
      <c r="I293" s="249">
        <f t="shared" si="30"/>
        <v>0</v>
      </c>
      <c r="J293" s="249">
        <f t="shared" si="31"/>
        <v>0</v>
      </c>
      <c r="K293" s="249">
        <f t="shared" si="32"/>
        <v>0</v>
      </c>
      <c r="L293" s="248"/>
    </row>
    <row r="294" spans="1:12">
      <c r="A294" s="250">
        <v>231</v>
      </c>
      <c r="B294" s="249">
        <f t="shared" si="25"/>
        <v>0</v>
      </c>
      <c r="C294" s="249">
        <f t="shared" si="26"/>
        <v>0</v>
      </c>
      <c r="D294" s="249">
        <f t="shared" si="27"/>
        <v>0</v>
      </c>
      <c r="E294" s="249">
        <f t="shared" si="28"/>
        <v>0</v>
      </c>
      <c r="F294" s="248"/>
      <c r="G294" s="250">
        <v>231</v>
      </c>
      <c r="H294" s="249">
        <f t="shared" si="29"/>
        <v>0</v>
      </c>
      <c r="I294" s="249">
        <f t="shared" si="30"/>
        <v>0</v>
      </c>
      <c r="J294" s="249">
        <f t="shared" si="31"/>
        <v>0</v>
      </c>
      <c r="K294" s="249">
        <f t="shared" si="32"/>
        <v>0</v>
      </c>
      <c r="L294" s="248"/>
    </row>
    <row r="295" spans="1:12">
      <c r="A295" s="250">
        <v>232</v>
      </c>
      <c r="B295" s="249">
        <f t="shared" si="25"/>
        <v>0</v>
      </c>
      <c r="C295" s="249">
        <f t="shared" si="26"/>
        <v>0</v>
      </c>
      <c r="D295" s="249">
        <f t="shared" si="27"/>
        <v>0</v>
      </c>
      <c r="E295" s="249">
        <f t="shared" si="28"/>
        <v>0</v>
      </c>
      <c r="F295" s="248"/>
      <c r="G295" s="250">
        <v>232</v>
      </c>
      <c r="H295" s="249">
        <f t="shared" si="29"/>
        <v>0</v>
      </c>
      <c r="I295" s="249">
        <f t="shared" si="30"/>
        <v>0</v>
      </c>
      <c r="J295" s="249">
        <f t="shared" si="31"/>
        <v>0</v>
      </c>
      <c r="K295" s="249">
        <f t="shared" si="32"/>
        <v>0</v>
      </c>
      <c r="L295" s="248"/>
    </row>
    <row r="296" spans="1:12">
      <c r="A296" s="250">
        <v>233</v>
      </c>
      <c r="B296" s="249">
        <f t="shared" si="25"/>
        <v>0</v>
      </c>
      <c r="C296" s="249">
        <f t="shared" si="26"/>
        <v>0</v>
      </c>
      <c r="D296" s="249">
        <f t="shared" si="27"/>
        <v>0</v>
      </c>
      <c r="E296" s="249">
        <f t="shared" si="28"/>
        <v>0</v>
      </c>
      <c r="F296" s="248"/>
      <c r="G296" s="250">
        <v>233</v>
      </c>
      <c r="H296" s="249">
        <f t="shared" si="29"/>
        <v>0</v>
      </c>
      <c r="I296" s="249">
        <f t="shared" si="30"/>
        <v>0</v>
      </c>
      <c r="J296" s="249">
        <f t="shared" si="31"/>
        <v>0</v>
      </c>
      <c r="K296" s="249">
        <f t="shared" si="32"/>
        <v>0</v>
      </c>
      <c r="L296" s="248"/>
    </row>
    <row r="297" spans="1:12">
      <c r="A297" s="250">
        <v>234</v>
      </c>
      <c r="B297" s="249">
        <f t="shared" si="25"/>
        <v>0</v>
      </c>
      <c r="C297" s="249">
        <f t="shared" si="26"/>
        <v>0</v>
      </c>
      <c r="D297" s="249">
        <f t="shared" si="27"/>
        <v>0</v>
      </c>
      <c r="E297" s="249">
        <f t="shared" si="28"/>
        <v>0</v>
      </c>
      <c r="F297" s="248"/>
      <c r="G297" s="250">
        <v>234</v>
      </c>
      <c r="H297" s="249">
        <f t="shared" si="29"/>
        <v>0</v>
      </c>
      <c r="I297" s="249">
        <f t="shared" si="30"/>
        <v>0</v>
      </c>
      <c r="J297" s="249">
        <f t="shared" si="31"/>
        <v>0</v>
      </c>
      <c r="K297" s="249">
        <f t="shared" si="32"/>
        <v>0</v>
      </c>
      <c r="L297" s="248"/>
    </row>
    <row r="298" spans="1:12">
      <c r="A298" s="250">
        <v>235</v>
      </c>
      <c r="B298" s="249">
        <f t="shared" si="25"/>
        <v>0</v>
      </c>
      <c r="C298" s="249">
        <f t="shared" si="26"/>
        <v>0</v>
      </c>
      <c r="D298" s="249">
        <f t="shared" si="27"/>
        <v>0</v>
      </c>
      <c r="E298" s="249">
        <f t="shared" si="28"/>
        <v>0</v>
      </c>
      <c r="F298" s="248"/>
      <c r="G298" s="250">
        <v>235</v>
      </c>
      <c r="H298" s="249">
        <f t="shared" si="29"/>
        <v>0</v>
      </c>
      <c r="I298" s="249">
        <f t="shared" si="30"/>
        <v>0</v>
      </c>
      <c r="J298" s="249">
        <f t="shared" si="31"/>
        <v>0</v>
      </c>
      <c r="K298" s="249">
        <f t="shared" si="32"/>
        <v>0</v>
      </c>
      <c r="L298" s="248"/>
    </row>
    <row r="299" spans="1:12">
      <c r="A299" s="250">
        <v>236</v>
      </c>
      <c r="B299" s="249">
        <f t="shared" si="25"/>
        <v>0</v>
      </c>
      <c r="C299" s="249">
        <f t="shared" si="26"/>
        <v>0</v>
      </c>
      <c r="D299" s="249">
        <f t="shared" si="27"/>
        <v>0</v>
      </c>
      <c r="E299" s="249">
        <f t="shared" si="28"/>
        <v>0</v>
      </c>
      <c r="F299" s="248"/>
      <c r="G299" s="250">
        <v>236</v>
      </c>
      <c r="H299" s="249">
        <f t="shared" si="29"/>
        <v>0</v>
      </c>
      <c r="I299" s="249">
        <f t="shared" si="30"/>
        <v>0</v>
      </c>
      <c r="J299" s="249">
        <f t="shared" si="31"/>
        <v>0</v>
      </c>
      <c r="K299" s="249">
        <f t="shared" si="32"/>
        <v>0</v>
      </c>
      <c r="L299" s="248"/>
    </row>
    <row r="300" spans="1:12">
      <c r="A300" s="250">
        <v>237</v>
      </c>
      <c r="B300" s="249">
        <f t="shared" si="25"/>
        <v>0</v>
      </c>
      <c r="C300" s="249">
        <f t="shared" si="26"/>
        <v>0</v>
      </c>
      <c r="D300" s="249">
        <f t="shared" si="27"/>
        <v>0</v>
      </c>
      <c r="E300" s="249">
        <f t="shared" si="28"/>
        <v>0</v>
      </c>
      <c r="F300" s="248"/>
      <c r="G300" s="250">
        <v>237</v>
      </c>
      <c r="H300" s="249">
        <f t="shared" si="29"/>
        <v>0</v>
      </c>
      <c r="I300" s="249">
        <f t="shared" si="30"/>
        <v>0</v>
      </c>
      <c r="J300" s="249">
        <f t="shared" si="31"/>
        <v>0</v>
      </c>
      <c r="K300" s="249">
        <f t="shared" si="32"/>
        <v>0</v>
      </c>
      <c r="L300" s="248"/>
    </row>
    <row r="301" spans="1:12">
      <c r="A301" s="250">
        <v>238</v>
      </c>
      <c r="B301" s="249">
        <f t="shared" si="25"/>
        <v>0</v>
      </c>
      <c r="C301" s="249">
        <f t="shared" si="26"/>
        <v>0</v>
      </c>
      <c r="D301" s="249">
        <f t="shared" si="27"/>
        <v>0</v>
      </c>
      <c r="E301" s="249">
        <f t="shared" si="28"/>
        <v>0</v>
      </c>
      <c r="F301" s="248"/>
      <c r="G301" s="250">
        <v>238</v>
      </c>
      <c r="H301" s="249">
        <f t="shared" si="29"/>
        <v>0</v>
      </c>
      <c r="I301" s="249">
        <f t="shared" si="30"/>
        <v>0</v>
      </c>
      <c r="J301" s="249">
        <f t="shared" si="31"/>
        <v>0</v>
      </c>
      <c r="K301" s="249">
        <f t="shared" si="32"/>
        <v>0</v>
      </c>
      <c r="L301" s="248"/>
    </row>
    <row r="302" spans="1:12">
      <c r="A302" s="250">
        <v>239</v>
      </c>
      <c r="B302" s="249">
        <f t="shared" si="25"/>
        <v>0</v>
      </c>
      <c r="C302" s="249">
        <f t="shared" si="26"/>
        <v>0</v>
      </c>
      <c r="D302" s="249">
        <f t="shared" si="27"/>
        <v>0</v>
      </c>
      <c r="E302" s="249">
        <f t="shared" si="28"/>
        <v>0</v>
      </c>
      <c r="F302" s="248"/>
      <c r="G302" s="250">
        <v>239</v>
      </c>
      <c r="H302" s="249">
        <f t="shared" si="29"/>
        <v>0</v>
      </c>
      <c r="I302" s="249">
        <f t="shared" si="30"/>
        <v>0</v>
      </c>
      <c r="J302" s="249">
        <f t="shared" si="31"/>
        <v>0</v>
      </c>
      <c r="K302" s="249">
        <f t="shared" si="32"/>
        <v>0</v>
      </c>
      <c r="L302" s="248"/>
    </row>
    <row r="303" spans="1:12">
      <c r="A303" s="250">
        <v>240</v>
      </c>
      <c r="B303" s="249">
        <f t="shared" si="25"/>
        <v>0</v>
      </c>
      <c r="C303" s="249">
        <f t="shared" si="26"/>
        <v>0</v>
      </c>
      <c r="D303" s="249">
        <f t="shared" si="27"/>
        <v>0</v>
      </c>
      <c r="E303" s="249">
        <f t="shared" si="28"/>
        <v>0</v>
      </c>
      <c r="F303" s="248">
        <v>20</v>
      </c>
      <c r="G303" s="250">
        <v>240</v>
      </c>
      <c r="H303" s="249">
        <f t="shared" si="29"/>
        <v>0</v>
      </c>
      <c r="I303" s="249">
        <f t="shared" si="30"/>
        <v>0</v>
      </c>
      <c r="J303" s="249">
        <f t="shared" si="31"/>
        <v>0</v>
      </c>
      <c r="K303" s="249">
        <f t="shared" si="32"/>
        <v>0</v>
      </c>
      <c r="L303" s="248">
        <v>20</v>
      </c>
    </row>
    <row r="304" spans="1:12">
      <c r="A304" s="250">
        <v>241</v>
      </c>
      <c r="B304" s="249">
        <f t="shared" si="25"/>
        <v>0</v>
      </c>
      <c r="C304" s="249">
        <f t="shared" si="26"/>
        <v>0</v>
      </c>
      <c r="D304" s="249">
        <f t="shared" si="27"/>
        <v>0</v>
      </c>
      <c r="E304" s="249">
        <f t="shared" si="28"/>
        <v>0</v>
      </c>
      <c r="F304" s="248"/>
      <c r="G304" s="250">
        <v>241</v>
      </c>
      <c r="H304" s="249">
        <f t="shared" si="29"/>
        <v>0</v>
      </c>
      <c r="I304" s="249">
        <f t="shared" si="30"/>
        <v>0</v>
      </c>
      <c r="J304" s="249">
        <f t="shared" si="31"/>
        <v>0</v>
      </c>
      <c r="K304" s="249">
        <f t="shared" si="32"/>
        <v>0</v>
      </c>
      <c r="L304" s="248"/>
    </row>
    <row r="305" spans="1:12">
      <c r="A305" s="250">
        <v>242</v>
      </c>
      <c r="B305" s="249">
        <f t="shared" si="25"/>
        <v>0</v>
      </c>
      <c r="C305" s="249">
        <f t="shared" si="26"/>
        <v>0</v>
      </c>
      <c r="D305" s="249">
        <f t="shared" si="27"/>
        <v>0</v>
      </c>
      <c r="E305" s="249">
        <f t="shared" si="28"/>
        <v>0</v>
      </c>
      <c r="F305" s="248"/>
      <c r="G305" s="250">
        <v>242</v>
      </c>
      <c r="H305" s="249">
        <f t="shared" si="29"/>
        <v>0</v>
      </c>
      <c r="I305" s="249">
        <f t="shared" si="30"/>
        <v>0</v>
      </c>
      <c r="J305" s="249">
        <f t="shared" si="31"/>
        <v>0</v>
      </c>
      <c r="K305" s="249">
        <f t="shared" si="32"/>
        <v>0</v>
      </c>
      <c r="L305" s="248"/>
    </row>
    <row r="306" spans="1:12">
      <c r="A306" s="250">
        <v>243</v>
      </c>
      <c r="B306" s="249">
        <f t="shared" si="25"/>
        <v>0</v>
      </c>
      <c r="C306" s="249">
        <f t="shared" si="26"/>
        <v>0</v>
      </c>
      <c r="D306" s="249">
        <f t="shared" si="27"/>
        <v>0</v>
      </c>
      <c r="E306" s="249">
        <f t="shared" si="28"/>
        <v>0</v>
      </c>
      <c r="F306" s="248"/>
      <c r="G306" s="250">
        <v>243</v>
      </c>
      <c r="H306" s="249">
        <f t="shared" si="29"/>
        <v>0</v>
      </c>
      <c r="I306" s="249">
        <f t="shared" si="30"/>
        <v>0</v>
      </c>
      <c r="J306" s="249">
        <f t="shared" si="31"/>
        <v>0</v>
      </c>
      <c r="K306" s="249">
        <f t="shared" si="32"/>
        <v>0</v>
      </c>
      <c r="L306" s="248"/>
    </row>
    <row r="307" spans="1:12">
      <c r="A307" s="250">
        <v>244</v>
      </c>
      <c r="B307" s="249">
        <f t="shared" si="25"/>
        <v>0</v>
      </c>
      <c r="C307" s="249">
        <f t="shared" si="26"/>
        <v>0</v>
      </c>
      <c r="D307" s="249">
        <f t="shared" si="27"/>
        <v>0</v>
      </c>
      <c r="E307" s="249">
        <f t="shared" si="28"/>
        <v>0</v>
      </c>
      <c r="F307" s="248"/>
      <c r="G307" s="250">
        <v>244</v>
      </c>
      <c r="H307" s="249">
        <f t="shared" si="29"/>
        <v>0</v>
      </c>
      <c r="I307" s="249">
        <f t="shared" si="30"/>
        <v>0</v>
      </c>
      <c r="J307" s="249">
        <f t="shared" si="31"/>
        <v>0</v>
      </c>
      <c r="K307" s="249">
        <f t="shared" si="32"/>
        <v>0</v>
      </c>
      <c r="L307" s="248"/>
    </row>
    <row r="308" spans="1:12">
      <c r="A308" s="250">
        <v>245</v>
      </c>
      <c r="B308" s="249">
        <f t="shared" si="25"/>
        <v>0</v>
      </c>
      <c r="C308" s="249">
        <f t="shared" si="26"/>
        <v>0</v>
      </c>
      <c r="D308" s="249">
        <f t="shared" si="27"/>
        <v>0</v>
      </c>
      <c r="E308" s="249">
        <f t="shared" si="28"/>
        <v>0</v>
      </c>
      <c r="F308" s="248"/>
      <c r="G308" s="250">
        <v>245</v>
      </c>
      <c r="H308" s="249">
        <f t="shared" si="29"/>
        <v>0</v>
      </c>
      <c r="I308" s="249">
        <f t="shared" si="30"/>
        <v>0</v>
      </c>
      <c r="J308" s="249">
        <f t="shared" si="31"/>
        <v>0</v>
      </c>
      <c r="K308" s="249">
        <f t="shared" si="32"/>
        <v>0</v>
      </c>
      <c r="L308" s="248"/>
    </row>
    <row r="309" spans="1:12">
      <c r="A309" s="250">
        <v>246</v>
      </c>
      <c r="B309" s="249">
        <f t="shared" si="25"/>
        <v>0</v>
      </c>
      <c r="C309" s="249">
        <f t="shared" si="26"/>
        <v>0</v>
      </c>
      <c r="D309" s="249">
        <f t="shared" si="27"/>
        <v>0</v>
      </c>
      <c r="E309" s="249">
        <f t="shared" si="28"/>
        <v>0</v>
      </c>
      <c r="F309" s="248"/>
      <c r="G309" s="250">
        <v>246</v>
      </c>
      <c r="H309" s="249">
        <f t="shared" si="29"/>
        <v>0</v>
      </c>
      <c r="I309" s="249">
        <f t="shared" si="30"/>
        <v>0</v>
      </c>
      <c r="J309" s="249">
        <f t="shared" si="31"/>
        <v>0</v>
      </c>
      <c r="K309" s="249">
        <f t="shared" si="32"/>
        <v>0</v>
      </c>
      <c r="L309" s="248"/>
    </row>
    <row r="310" spans="1:12">
      <c r="A310" s="250">
        <v>247</v>
      </c>
      <c r="B310" s="249">
        <f t="shared" si="25"/>
        <v>0</v>
      </c>
      <c r="C310" s="249">
        <f t="shared" si="26"/>
        <v>0</v>
      </c>
      <c r="D310" s="249">
        <f t="shared" si="27"/>
        <v>0</v>
      </c>
      <c r="E310" s="249">
        <f t="shared" si="28"/>
        <v>0</v>
      </c>
      <c r="F310" s="248"/>
      <c r="G310" s="250">
        <v>247</v>
      </c>
      <c r="H310" s="249">
        <f t="shared" si="29"/>
        <v>0</v>
      </c>
      <c r="I310" s="249">
        <f t="shared" si="30"/>
        <v>0</v>
      </c>
      <c r="J310" s="249">
        <f t="shared" si="31"/>
        <v>0</v>
      </c>
      <c r="K310" s="249">
        <f t="shared" si="32"/>
        <v>0</v>
      </c>
      <c r="L310" s="248"/>
    </row>
    <row r="311" spans="1:12">
      <c r="A311" s="250">
        <v>248</v>
      </c>
      <c r="B311" s="249">
        <f t="shared" si="25"/>
        <v>0</v>
      </c>
      <c r="C311" s="249">
        <f t="shared" si="26"/>
        <v>0</v>
      </c>
      <c r="D311" s="249">
        <f t="shared" si="27"/>
        <v>0</v>
      </c>
      <c r="E311" s="249">
        <f t="shared" si="28"/>
        <v>0</v>
      </c>
      <c r="F311" s="248"/>
      <c r="G311" s="250">
        <v>248</v>
      </c>
      <c r="H311" s="249">
        <f t="shared" si="29"/>
        <v>0</v>
      </c>
      <c r="I311" s="249">
        <f t="shared" si="30"/>
        <v>0</v>
      </c>
      <c r="J311" s="249">
        <f t="shared" si="31"/>
        <v>0</v>
      </c>
      <c r="K311" s="249">
        <f t="shared" si="32"/>
        <v>0</v>
      </c>
      <c r="L311" s="248"/>
    </row>
    <row r="312" spans="1:12">
      <c r="A312" s="250">
        <v>249</v>
      </c>
      <c r="B312" s="249">
        <f t="shared" si="25"/>
        <v>0</v>
      </c>
      <c r="C312" s="249">
        <f t="shared" si="26"/>
        <v>0</v>
      </c>
      <c r="D312" s="249">
        <f t="shared" si="27"/>
        <v>0</v>
      </c>
      <c r="E312" s="249">
        <f t="shared" si="28"/>
        <v>0</v>
      </c>
      <c r="F312" s="248"/>
      <c r="G312" s="250">
        <v>249</v>
      </c>
      <c r="H312" s="249">
        <f t="shared" si="29"/>
        <v>0</v>
      </c>
      <c r="I312" s="249">
        <f t="shared" si="30"/>
        <v>0</v>
      </c>
      <c r="J312" s="249">
        <f t="shared" si="31"/>
        <v>0</v>
      </c>
      <c r="K312" s="249">
        <f t="shared" si="32"/>
        <v>0</v>
      </c>
      <c r="L312" s="248"/>
    </row>
    <row r="313" spans="1:12">
      <c r="A313" s="250">
        <v>250</v>
      </c>
      <c r="B313" s="249">
        <f t="shared" si="25"/>
        <v>0</v>
      </c>
      <c r="C313" s="249">
        <f t="shared" si="26"/>
        <v>0</v>
      </c>
      <c r="D313" s="249">
        <f t="shared" si="27"/>
        <v>0</v>
      </c>
      <c r="E313" s="249">
        <f t="shared" si="28"/>
        <v>0</v>
      </c>
      <c r="F313" s="248"/>
      <c r="G313" s="250">
        <v>250</v>
      </c>
      <c r="H313" s="249">
        <f t="shared" si="29"/>
        <v>0</v>
      </c>
      <c r="I313" s="249">
        <f t="shared" si="30"/>
        <v>0</v>
      </c>
      <c r="J313" s="249">
        <f t="shared" si="31"/>
        <v>0</v>
      </c>
      <c r="K313" s="249">
        <f t="shared" si="32"/>
        <v>0</v>
      </c>
      <c r="L313" s="248"/>
    </row>
    <row r="314" spans="1:12">
      <c r="A314" s="250">
        <v>251</v>
      </c>
      <c r="B314" s="249">
        <f t="shared" si="25"/>
        <v>0</v>
      </c>
      <c r="C314" s="249">
        <f t="shared" si="26"/>
        <v>0</v>
      </c>
      <c r="D314" s="249">
        <f t="shared" si="27"/>
        <v>0</v>
      </c>
      <c r="E314" s="249">
        <f t="shared" si="28"/>
        <v>0</v>
      </c>
      <c r="F314" s="248"/>
      <c r="G314" s="250">
        <v>251</v>
      </c>
      <c r="H314" s="249">
        <f t="shared" si="29"/>
        <v>0</v>
      </c>
      <c r="I314" s="249">
        <f t="shared" si="30"/>
        <v>0</v>
      </c>
      <c r="J314" s="249">
        <f t="shared" si="31"/>
        <v>0</v>
      </c>
      <c r="K314" s="249">
        <f t="shared" si="32"/>
        <v>0</v>
      </c>
      <c r="L314" s="248"/>
    </row>
    <row r="315" spans="1:12">
      <c r="A315" s="250">
        <v>252</v>
      </c>
      <c r="B315" s="249">
        <f t="shared" si="25"/>
        <v>0</v>
      </c>
      <c r="C315" s="249">
        <f t="shared" si="26"/>
        <v>0</v>
      </c>
      <c r="D315" s="249">
        <f t="shared" si="27"/>
        <v>0</v>
      </c>
      <c r="E315" s="249">
        <f t="shared" si="28"/>
        <v>0</v>
      </c>
      <c r="F315" s="248">
        <v>21</v>
      </c>
      <c r="G315" s="250">
        <v>252</v>
      </c>
      <c r="H315" s="249">
        <f t="shared" si="29"/>
        <v>0</v>
      </c>
      <c r="I315" s="249">
        <f t="shared" si="30"/>
        <v>0</v>
      </c>
      <c r="J315" s="249">
        <f t="shared" si="31"/>
        <v>0</v>
      </c>
      <c r="K315" s="249">
        <f t="shared" si="32"/>
        <v>0</v>
      </c>
      <c r="L315" s="248">
        <v>21</v>
      </c>
    </row>
    <row r="316" spans="1:12">
      <c r="A316" s="250">
        <v>253</v>
      </c>
      <c r="B316" s="249">
        <f t="shared" si="25"/>
        <v>0</v>
      </c>
      <c r="C316" s="249">
        <f t="shared" si="26"/>
        <v>0</v>
      </c>
      <c r="D316" s="249">
        <f t="shared" si="27"/>
        <v>0</v>
      </c>
      <c r="E316" s="249">
        <f t="shared" si="28"/>
        <v>0</v>
      </c>
      <c r="F316" s="248"/>
      <c r="G316" s="250">
        <v>253</v>
      </c>
      <c r="H316" s="249">
        <f t="shared" si="29"/>
        <v>0</v>
      </c>
      <c r="I316" s="249">
        <f t="shared" si="30"/>
        <v>0</v>
      </c>
      <c r="J316" s="249">
        <f t="shared" si="31"/>
        <v>0</v>
      </c>
      <c r="K316" s="249">
        <f t="shared" si="32"/>
        <v>0</v>
      </c>
      <c r="L316" s="248"/>
    </row>
    <row r="317" spans="1:12">
      <c r="A317" s="250">
        <v>254</v>
      </c>
      <c r="B317" s="249">
        <f t="shared" si="25"/>
        <v>0</v>
      </c>
      <c r="C317" s="249">
        <f t="shared" si="26"/>
        <v>0</v>
      </c>
      <c r="D317" s="249">
        <f t="shared" si="27"/>
        <v>0</v>
      </c>
      <c r="E317" s="249">
        <f t="shared" si="28"/>
        <v>0</v>
      </c>
      <c r="F317" s="248"/>
      <c r="G317" s="250">
        <v>254</v>
      </c>
      <c r="H317" s="249">
        <f t="shared" si="29"/>
        <v>0</v>
      </c>
      <c r="I317" s="249">
        <f t="shared" si="30"/>
        <v>0</v>
      </c>
      <c r="J317" s="249">
        <f t="shared" si="31"/>
        <v>0</v>
      </c>
      <c r="K317" s="249">
        <f t="shared" si="32"/>
        <v>0</v>
      </c>
      <c r="L317" s="248"/>
    </row>
    <row r="318" spans="1:12">
      <c r="A318" s="250">
        <v>255</v>
      </c>
      <c r="B318" s="249">
        <f t="shared" si="25"/>
        <v>0</v>
      </c>
      <c r="C318" s="249">
        <f t="shared" si="26"/>
        <v>0</v>
      </c>
      <c r="D318" s="249">
        <f t="shared" si="27"/>
        <v>0</v>
      </c>
      <c r="E318" s="249">
        <f t="shared" si="28"/>
        <v>0</v>
      </c>
      <c r="F318" s="248"/>
      <c r="G318" s="250">
        <v>255</v>
      </c>
      <c r="H318" s="249">
        <f t="shared" si="29"/>
        <v>0</v>
      </c>
      <c r="I318" s="249">
        <f t="shared" si="30"/>
        <v>0</v>
      </c>
      <c r="J318" s="249">
        <f t="shared" si="31"/>
        <v>0</v>
      </c>
      <c r="K318" s="249">
        <f t="shared" si="32"/>
        <v>0</v>
      </c>
      <c r="L318" s="248"/>
    </row>
    <row r="319" spans="1:12">
      <c r="A319" s="250">
        <v>256</v>
      </c>
      <c r="B319" s="249">
        <f t="shared" si="25"/>
        <v>0</v>
      </c>
      <c r="C319" s="249">
        <f t="shared" si="26"/>
        <v>0</v>
      </c>
      <c r="D319" s="249">
        <f t="shared" si="27"/>
        <v>0</v>
      </c>
      <c r="E319" s="249">
        <f t="shared" si="28"/>
        <v>0</v>
      </c>
      <c r="F319" s="248"/>
      <c r="G319" s="250">
        <v>256</v>
      </c>
      <c r="H319" s="249">
        <f t="shared" si="29"/>
        <v>0</v>
      </c>
      <c r="I319" s="249">
        <f t="shared" si="30"/>
        <v>0</v>
      </c>
      <c r="J319" s="249">
        <f t="shared" si="31"/>
        <v>0</v>
      </c>
      <c r="K319" s="249">
        <f t="shared" si="32"/>
        <v>0</v>
      </c>
      <c r="L319" s="248"/>
    </row>
    <row r="320" spans="1:12">
      <c r="A320" s="250">
        <v>257</v>
      </c>
      <c r="B320" s="249">
        <f t="shared" ref="B320:B383" si="33">IF(A320&gt;12*$C$9,0,IF($C$5&gt;1500000,$D$12,$C$12))</f>
        <v>0</v>
      </c>
      <c r="C320" s="249">
        <f t="shared" ref="C320:C383" si="34">IF(A320&gt;12*$C$9,0,E319*$C$7/12)</f>
        <v>0</v>
      </c>
      <c r="D320" s="249">
        <f t="shared" ref="D320:D383" si="35">IF(A320&gt;12*$C$9,0,B320-C320)</f>
        <v>0</v>
      </c>
      <c r="E320" s="249">
        <f t="shared" ref="E320:E383" si="36">IF(A320&gt;12*$C$9,0,E319-D320)</f>
        <v>0</v>
      </c>
      <c r="F320" s="248"/>
      <c r="G320" s="250">
        <v>257</v>
      </c>
      <c r="H320" s="249">
        <f t="shared" ref="H320:H383" si="37">IF(G320&gt;12*$C$9,0,IF($C$5&gt;1500000,$E$12,0))</f>
        <v>0</v>
      </c>
      <c r="I320" s="249">
        <f t="shared" ref="I320:I383" si="38">IF(G320&gt;12*$C$9,0,K319*$C$7/12)</f>
        <v>0</v>
      </c>
      <c r="J320" s="249">
        <f t="shared" ref="J320:J383" si="39">IF(G320&gt;12*$C$9,0,H320-I320)</f>
        <v>0</v>
      </c>
      <c r="K320" s="249">
        <f t="shared" ref="K320:K383" si="40">IF(G320&gt;12*$C$9,0,K319-J320)</f>
        <v>0</v>
      </c>
      <c r="L320" s="248"/>
    </row>
    <row r="321" spans="1:12">
      <c r="A321" s="250">
        <v>258</v>
      </c>
      <c r="B321" s="249">
        <f t="shared" si="33"/>
        <v>0</v>
      </c>
      <c r="C321" s="249">
        <f t="shared" si="34"/>
        <v>0</v>
      </c>
      <c r="D321" s="249">
        <f t="shared" si="35"/>
        <v>0</v>
      </c>
      <c r="E321" s="249">
        <f t="shared" si="36"/>
        <v>0</v>
      </c>
      <c r="F321" s="248"/>
      <c r="G321" s="250">
        <v>258</v>
      </c>
      <c r="H321" s="249">
        <f t="shared" si="37"/>
        <v>0</v>
      </c>
      <c r="I321" s="249">
        <f t="shared" si="38"/>
        <v>0</v>
      </c>
      <c r="J321" s="249">
        <f t="shared" si="39"/>
        <v>0</v>
      </c>
      <c r="K321" s="249">
        <f t="shared" si="40"/>
        <v>0</v>
      </c>
      <c r="L321" s="248"/>
    </row>
    <row r="322" spans="1:12">
      <c r="A322" s="250">
        <v>259</v>
      </c>
      <c r="B322" s="249">
        <f t="shared" si="33"/>
        <v>0</v>
      </c>
      <c r="C322" s="249">
        <f t="shared" si="34"/>
        <v>0</v>
      </c>
      <c r="D322" s="249">
        <f t="shared" si="35"/>
        <v>0</v>
      </c>
      <c r="E322" s="249">
        <f t="shared" si="36"/>
        <v>0</v>
      </c>
      <c r="F322" s="248"/>
      <c r="G322" s="250">
        <v>259</v>
      </c>
      <c r="H322" s="249">
        <f t="shared" si="37"/>
        <v>0</v>
      </c>
      <c r="I322" s="249">
        <f t="shared" si="38"/>
        <v>0</v>
      </c>
      <c r="J322" s="249">
        <f t="shared" si="39"/>
        <v>0</v>
      </c>
      <c r="K322" s="249">
        <f t="shared" si="40"/>
        <v>0</v>
      </c>
      <c r="L322" s="248"/>
    </row>
    <row r="323" spans="1:12">
      <c r="A323" s="250">
        <v>260</v>
      </c>
      <c r="B323" s="249">
        <f t="shared" si="33"/>
        <v>0</v>
      </c>
      <c r="C323" s="249">
        <f t="shared" si="34"/>
        <v>0</v>
      </c>
      <c r="D323" s="249">
        <f t="shared" si="35"/>
        <v>0</v>
      </c>
      <c r="E323" s="249">
        <f t="shared" si="36"/>
        <v>0</v>
      </c>
      <c r="F323" s="248"/>
      <c r="G323" s="250">
        <v>260</v>
      </c>
      <c r="H323" s="249">
        <f t="shared" si="37"/>
        <v>0</v>
      </c>
      <c r="I323" s="249">
        <f t="shared" si="38"/>
        <v>0</v>
      </c>
      <c r="J323" s="249">
        <f t="shared" si="39"/>
        <v>0</v>
      </c>
      <c r="K323" s="249">
        <f t="shared" si="40"/>
        <v>0</v>
      </c>
      <c r="L323" s="248"/>
    </row>
    <row r="324" spans="1:12">
      <c r="A324" s="250">
        <v>261</v>
      </c>
      <c r="B324" s="249">
        <f t="shared" si="33"/>
        <v>0</v>
      </c>
      <c r="C324" s="249">
        <f t="shared" si="34"/>
        <v>0</v>
      </c>
      <c r="D324" s="249">
        <f t="shared" si="35"/>
        <v>0</v>
      </c>
      <c r="E324" s="249">
        <f t="shared" si="36"/>
        <v>0</v>
      </c>
      <c r="F324" s="248"/>
      <c r="G324" s="250">
        <v>261</v>
      </c>
      <c r="H324" s="249">
        <f t="shared" si="37"/>
        <v>0</v>
      </c>
      <c r="I324" s="249">
        <f t="shared" si="38"/>
        <v>0</v>
      </c>
      <c r="J324" s="249">
        <f t="shared" si="39"/>
        <v>0</v>
      </c>
      <c r="K324" s="249">
        <f t="shared" si="40"/>
        <v>0</v>
      </c>
      <c r="L324" s="248"/>
    </row>
    <row r="325" spans="1:12">
      <c r="A325" s="250">
        <v>262</v>
      </c>
      <c r="B325" s="249">
        <f t="shared" si="33"/>
        <v>0</v>
      </c>
      <c r="C325" s="249">
        <f t="shared" si="34"/>
        <v>0</v>
      </c>
      <c r="D325" s="249">
        <f t="shared" si="35"/>
        <v>0</v>
      </c>
      <c r="E325" s="249">
        <f t="shared" si="36"/>
        <v>0</v>
      </c>
      <c r="F325" s="248"/>
      <c r="G325" s="250">
        <v>262</v>
      </c>
      <c r="H325" s="249">
        <f t="shared" si="37"/>
        <v>0</v>
      </c>
      <c r="I325" s="249">
        <f t="shared" si="38"/>
        <v>0</v>
      </c>
      <c r="J325" s="249">
        <f t="shared" si="39"/>
        <v>0</v>
      </c>
      <c r="K325" s="249">
        <f t="shared" si="40"/>
        <v>0</v>
      </c>
      <c r="L325" s="248"/>
    </row>
    <row r="326" spans="1:12">
      <c r="A326" s="250">
        <v>263</v>
      </c>
      <c r="B326" s="249">
        <f t="shared" si="33"/>
        <v>0</v>
      </c>
      <c r="C326" s="249">
        <f t="shared" si="34"/>
        <v>0</v>
      </c>
      <c r="D326" s="249">
        <f t="shared" si="35"/>
        <v>0</v>
      </c>
      <c r="E326" s="249">
        <f t="shared" si="36"/>
        <v>0</v>
      </c>
      <c r="F326" s="248"/>
      <c r="G326" s="250">
        <v>263</v>
      </c>
      <c r="H326" s="249">
        <f t="shared" si="37"/>
        <v>0</v>
      </c>
      <c r="I326" s="249">
        <f t="shared" si="38"/>
        <v>0</v>
      </c>
      <c r="J326" s="249">
        <f t="shared" si="39"/>
        <v>0</v>
      </c>
      <c r="K326" s="249">
        <f t="shared" si="40"/>
        <v>0</v>
      </c>
      <c r="L326" s="248"/>
    </row>
    <row r="327" spans="1:12">
      <c r="A327" s="250">
        <v>264</v>
      </c>
      <c r="B327" s="249">
        <f t="shared" si="33"/>
        <v>0</v>
      </c>
      <c r="C327" s="249">
        <f t="shared" si="34"/>
        <v>0</v>
      </c>
      <c r="D327" s="249">
        <f t="shared" si="35"/>
        <v>0</v>
      </c>
      <c r="E327" s="249">
        <f t="shared" si="36"/>
        <v>0</v>
      </c>
      <c r="F327" s="248">
        <v>22</v>
      </c>
      <c r="G327" s="250">
        <v>264</v>
      </c>
      <c r="H327" s="249">
        <f t="shared" si="37"/>
        <v>0</v>
      </c>
      <c r="I327" s="249">
        <f t="shared" si="38"/>
        <v>0</v>
      </c>
      <c r="J327" s="249">
        <f t="shared" si="39"/>
        <v>0</v>
      </c>
      <c r="K327" s="249">
        <f t="shared" si="40"/>
        <v>0</v>
      </c>
      <c r="L327" s="248">
        <v>22</v>
      </c>
    </row>
    <row r="328" spans="1:12">
      <c r="A328" s="250">
        <v>265</v>
      </c>
      <c r="B328" s="249">
        <f t="shared" si="33"/>
        <v>0</v>
      </c>
      <c r="C328" s="249">
        <f t="shared" si="34"/>
        <v>0</v>
      </c>
      <c r="D328" s="249">
        <f t="shared" si="35"/>
        <v>0</v>
      </c>
      <c r="E328" s="249">
        <f t="shared" si="36"/>
        <v>0</v>
      </c>
      <c r="F328" s="248"/>
      <c r="G328" s="250">
        <v>265</v>
      </c>
      <c r="H328" s="249">
        <f t="shared" si="37"/>
        <v>0</v>
      </c>
      <c r="I328" s="249">
        <f t="shared" si="38"/>
        <v>0</v>
      </c>
      <c r="J328" s="249">
        <f t="shared" si="39"/>
        <v>0</v>
      </c>
      <c r="K328" s="249">
        <f t="shared" si="40"/>
        <v>0</v>
      </c>
      <c r="L328" s="248"/>
    </row>
    <row r="329" spans="1:12">
      <c r="A329" s="250">
        <v>266</v>
      </c>
      <c r="B329" s="249">
        <f t="shared" si="33"/>
        <v>0</v>
      </c>
      <c r="C329" s="249">
        <f t="shared" si="34"/>
        <v>0</v>
      </c>
      <c r="D329" s="249">
        <f t="shared" si="35"/>
        <v>0</v>
      </c>
      <c r="E329" s="249">
        <f t="shared" si="36"/>
        <v>0</v>
      </c>
      <c r="F329" s="248"/>
      <c r="G329" s="250">
        <v>266</v>
      </c>
      <c r="H329" s="249">
        <f t="shared" si="37"/>
        <v>0</v>
      </c>
      <c r="I329" s="249">
        <f t="shared" si="38"/>
        <v>0</v>
      </c>
      <c r="J329" s="249">
        <f t="shared" si="39"/>
        <v>0</v>
      </c>
      <c r="K329" s="249">
        <f t="shared" si="40"/>
        <v>0</v>
      </c>
      <c r="L329" s="248"/>
    </row>
    <row r="330" spans="1:12">
      <c r="A330" s="250">
        <v>267</v>
      </c>
      <c r="B330" s="249">
        <f t="shared" si="33"/>
        <v>0</v>
      </c>
      <c r="C330" s="249">
        <f t="shared" si="34"/>
        <v>0</v>
      </c>
      <c r="D330" s="249">
        <f t="shared" si="35"/>
        <v>0</v>
      </c>
      <c r="E330" s="249">
        <f t="shared" si="36"/>
        <v>0</v>
      </c>
      <c r="F330" s="248"/>
      <c r="G330" s="250">
        <v>267</v>
      </c>
      <c r="H330" s="249">
        <f t="shared" si="37"/>
        <v>0</v>
      </c>
      <c r="I330" s="249">
        <f t="shared" si="38"/>
        <v>0</v>
      </c>
      <c r="J330" s="249">
        <f t="shared" si="39"/>
        <v>0</v>
      </c>
      <c r="K330" s="249">
        <f t="shared" si="40"/>
        <v>0</v>
      </c>
      <c r="L330" s="248"/>
    </row>
    <row r="331" spans="1:12">
      <c r="A331" s="250">
        <v>268</v>
      </c>
      <c r="B331" s="249">
        <f t="shared" si="33"/>
        <v>0</v>
      </c>
      <c r="C331" s="249">
        <f t="shared" si="34"/>
        <v>0</v>
      </c>
      <c r="D331" s="249">
        <f t="shared" si="35"/>
        <v>0</v>
      </c>
      <c r="E331" s="249">
        <f t="shared" si="36"/>
        <v>0</v>
      </c>
      <c r="F331" s="248"/>
      <c r="G331" s="250">
        <v>268</v>
      </c>
      <c r="H331" s="249">
        <f t="shared" si="37"/>
        <v>0</v>
      </c>
      <c r="I331" s="249">
        <f t="shared" si="38"/>
        <v>0</v>
      </c>
      <c r="J331" s="249">
        <f t="shared" si="39"/>
        <v>0</v>
      </c>
      <c r="K331" s="249">
        <f t="shared" si="40"/>
        <v>0</v>
      </c>
      <c r="L331" s="248"/>
    </row>
    <row r="332" spans="1:12">
      <c r="A332" s="250">
        <v>269</v>
      </c>
      <c r="B332" s="249">
        <f t="shared" si="33"/>
        <v>0</v>
      </c>
      <c r="C332" s="249">
        <f t="shared" si="34"/>
        <v>0</v>
      </c>
      <c r="D332" s="249">
        <f t="shared" si="35"/>
        <v>0</v>
      </c>
      <c r="E332" s="249">
        <f t="shared" si="36"/>
        <v>0</v>
      </c>
      <c r="F332" s="248"/>
      <c r="G332" s="250">
        <v>269</v>
      </c>
      <c r="H332" s="249">
        <f t="shared" si="37"/>
        <v>0</v>
      </c>
      <c r="I332" s="249">
        <f t="shared" si="38"/>
        <v>0</v>
      </c>
      <c r="J332" s="249">
        <f t="shared" si="39"/>
        <v>0</v>
      </c>
      <c r="K332" s="249">
        <f t="shared" si="40"/>
        <v>0</v>
      </c>
      <c r="L332" s="248"/>
    </row>
    <row r="333" spans="1:12">
      <c r="A333" s="250">
        <v>270</v>
      </c>
      <c r="B333" s="249">
        <f t="shared" si="33"/>
        <v>0</v>
      </c>
      <c r="C333" s="249">
        <f t="shared" si="34"/>
        <v>0</v>
      </c>
      <c r="D333" s="249">
        <f t="shared" si="35"/>
        <v>0</v>
      </c>
      <c r="E333" s="249">
        <f t="shared" si="36"/>
        <v>0</v>
      </c>
      <c r="F333" s="248"/>
      <c r="G333" s="250">
        <v>270</v>
      </c>
      <c r="H333" s="249">
        <f t="shared" si="37"/>
        <v>0</v>
      </c>
      <c r="I333" s="249">
        <f t="shared" si="38"/>
        <v>0</v>
      </c>
      <c r="J333" s="249">
        <f t="shared" si="39"/>
        <v>0</v>
      </c>
      <c r="K333" s="249">
        <f t="shared" si="40"/>
        <v>0</v>
      </c>
      <c r="L333" s="248"/>
    </row>
    <row r="334" spans="1:12">
      <c r="A334" s="250">
        <v>271</v>
      </c>
      <c r="B334" s="249">
        <f t="shared" si="33"/>
        <v>0</v>
      </c>
      <c r="C334" s="249">
        <f t="shared" si="34"/>
        <v>0</v>
      </c>
      <c r="D334" s="249">
        <f t="shared" si="35"/>
        <v>0</v>
      </c>
      <c r="E334" s="249">
        <f t="shared" si="36"/>
        <v>0</v>
      </c>
      <c r="F334" s="248"/>
      <c r="G334" s="250">
        <v>271</v>
      </c>
      <c r="H334" s="249">
        <f t="shared" si="37"/>
        <v>0</v>
      </c>
      <c r="I334" s="249">
        <f t="shared" si="38"/>
        <v>0</v>
      </c>
      <c r="J334" s="249">
        <f t="shared" si="39"/>
        <v>0</v>
      </c>
      <c r="K334" s="249">
        <f t="shared" si="40"/>
        <v>0</v>
      </c>
      <c r="L334" s="248"/>
    </row>
    <row r="335" spans="1:12">
      <c r="A335" s="250">
        <v>272</v>
      </c>
      <c r="B335" s="249">
        <f t="shared" si="33"/>
        <v>0</v>
      </c>
      <c r="C335" s="249">
        <f t="shared" si="34"/>
        <v>0</v>
      </c>
      <c r="D335" s="249">
        <f t="shared" si="35"/>
        <v>0</v>
      </c>
      <c r="E335" s="249">
        <f t="shared" si="36"/>
        <v>0</v>
      </c>
      <c r="F335" s="248"/>
      <c r="G335" s="250">
        <v>272</v>
      </c>
      <c r="H335" s="249">
        <f t="shared" si="37"/>
        <v>0</v>
      </c>
      <c r="I335" s="249">
        <f t="shared" si="38"/>
        <v>0</v>
      </c>
      <c r="J335" s="249">
        <f t="shared" si="39"/>
        <v>0</v>
      </c>
      <c r="K335" s="249">
        <f t="shared" si="40"/>
        <v>0</v>
      </c>
      <c r="L335" s="248"/>
    </row>
    <row r="336" spans="1:12">
      <c r="A336" s="250">
        <v>273</v>
      </c>
      <c r="B336" s="249">
        <f t="shared" si="33"/>
        <v>0</v>
      </c>
      <c r="C336" s="249">
        <f t="shared" si="34"/>
        <v>0</v>
      </c>
      <c r="D336" s="249">
        <f t="shared" si="35"/>
        <v>0</v>
      </c>
      <c r="E336" s="249">
        <f t="shared" si="36"/>
        <v>0</v>
      </c>
      <c r="F336" s="248"/>
      <c r="G336" s="250">
        <v>273</v>
      </c>
      <c r="H336" s="249">
        <f t="shared" si="37"/>
        <v>0</v>
      </c>
      <c r="I336" s="249">
        <f t="shared" si="38"/>
        <v>0</v>
      </c>
      <c r="J336" s="249">
        <f t="shared" si="39"/>
        <v>0</v>
      </c>
      <c r="K336" s="249">
        <f t="shared" si="40"/>
        <v>0</v>
      </c>
      <c r="L336" s="248"/>
    </row>
    <row r="337" spans="1:12">
      <c r="A337" s="250">
        <v>274</v>
      </c>
      <c r="B337" s="249">
        <f t="shared" si="33"/>
        <v>0</v>
      </c>
      <c r="C337" s="249">
        <f t="shared" si="34"/>
        <v>0</v>
      </c>
      <c r="D337" s="249">
        <f t="shared" si="35"/>
        <v>0</v>
      </c>
      <c r="E337" s="249">
        <f t="shared" si="36"/>
        <v>0</v>
      </c>
      <c r="F337" s="248"/>
      <c r="G337" s="250">
        <v>274</v>
      </c>
      <c r="H337" s="249">
        <f t="shared" si="37"/>
        <v>0</v>
      </c>
      <c r="I337" s="249">
        <f t="shared" si="38"/>
        <v>0</v>
      </c>
      <c r="J337" s="249">
        <f t="shared" si="39"/>
        <v>0</v>
      </c>
      <c r="K337" s="249">
        <f t="shared" si="40"/>
        <v>0</v>
      </c>
      <c r="L337" s="248"/>
    </row>
    <row r="338" spans="1:12">
      <c r="A338" s="250">
        <v>275</v>
      </c>
      <c r="B338" s="249">
        <f t="shared" si="33"/>
        <v>0</v>
      </c>
      <c r="C338" s="249">
        <f t="shared" si="34"/>
        <v>0</v>
      </c>
      <c r="D338" s="249">
        <f t="shared" si="35"/>
        <v>0</v>
      </c>
      <c r="E338" s="249">
        <f t="shared" si="36"/>
        <v>0</v>
      </c>
      <c r="F338" s="248"/>
      <c r="G338" s="250">
        <v>275</v>
      </c>
      <c r="H338" s="249">
        <f t="shared" si="37"/>
        <v>0</v>
      </c>
      <c r="I338" s="249">
        <f t="shared" si="38"/>
        <v>0</v>
      </c>
      <c r="J338" s="249">
        <f t="shared" si="39"/>
        <v>0</v>
      </c>
      <c r="K338" s="249">
        <f t="shared" si="40"/>
        <v>0</v>
      </c>
      <c r="L338" s="248"/>
    </row>
    <row r="339" spans="1:12">
      <c r="A339" s="250">
        <v>276</v>
      </c>
      <c r="B339" s="249">
        <f t="shared" si="33"/>
        <v>0</v>
      </c>
      <c r="C339" s="249">
        <f t="shared" si="34"/>
        <v>0</v>
      </c>
      <c r="D339" s="249">
        <f t="shared" si="35"/>
        <v>0</v>
      </c>
      <c r="E339" s="249">
        <f t="shared" si="36"/>
        <v>0</v>
      </c>
      <c r="F339" s="248">
        <v>23</v>
      </c>
      <c r="G339" s="250">
        <v>276</v>
      </c>
      <c r="H339" s="249">
        <f t="shared" si="37"/>
        <v>0</v>
      </c>
      <c r="I339" s="249">
        <f t="shared" si="38"/>
        <v>0</v>
      </c>
      <c r="J339" s="249">
        <f t="shared" si="39"/>
        <v>0</v>
      </c>
      <c r="K339" s="249">
        <f t="shared" si="40"/>
        <v>0</v>
      </c>
      <c r="L339" s="248">
        <v>23</v>
      </c>
    </row>
    <row r="340" spans="1:12">
      <c r="A340" s="250">
        <v>277</v>
      </c>
      <c r="B340" s="249">
        <f t="shared" si="33"/>
        <v>0</v>
      </c>
      <c r="C340" s="249">
        <f t="shared" si="34"/>
        <v>0</v>
      </c>
      <c r="D340" s="249">
        <f t="shared" si="35"/>
        <v>0</v>
      </c>
      <c r="E340" s="249">
        <f t="shared" si="36"/>
        <v>0</v>
      </c>
      <c r="F340" s="248"/>
      <c r="G340" s="250">
        <v>277</v>
      </c>
      <c r="H340" s="249">
        <f t="shared" si="37"/>
        <v>0</v>
      </c>
      <c r="I340" s="249">
        <f t="shared" si="38"/>
        <v>0</v>
      </c>
      <c r="J340" s="249">
        <f t="shared" si="39"/>
        <v>0</v>
      </c>
      <c r="K340" s="249">
        <f t="shared" si="40"/>
        <v>0</v>
      </c>
      <c r="L340" s="248"/>
    </row>
    <row r="341" spans="1:12">
      <c r="A341" s="250">
        <v>278</v>
      </c>
      <c r="B341" s="249">
        <f t="shared" si="33"/>
        <v>0</v>
      </c>
      <c r="C341" s="249">
        <f t="shared" si="34"/>
        <v>0</v>
      </c>
      <c r="D341" s="249">
        <f t="shared" si="35"/>
        <v>0</v>
      </c>
      <c r="E341" s="249">
        <f t="shared" si="36"/>
        <v>0</v>
      </c>
      <c r="F341" s="248"/>
      <c r="G341" s="250">
        <v>278</v>
      </c>
      <c r="H341" s="249">
        <f t="shared" si="37"/>
        <v>0</v>
      </c>
      <c r="I341" s="249">
        <f t="shared" si="38"/>
        <v>0</v>
      </c>
      <c r="J341" s="249">
        <f t="shared" si="39"/>
        <v>0</v>
      </c>
      <c r="K341" s="249">
        <f t="shared" si="40"/>
        <v>0</v>
      </c>
      <c r="L341" s="248"/>
    </row>
    <row r="342" spans="1:12">
      <c r="A342" s="250">
        <v>279</v>
      </c>
      <c r="B342" s="249">
        <f t="shared" si="33"/>
        <v>0</v>
      </c>
      <c r="C342" s="249">
        <f t="shared" si="34"/>
        <v>0</v>
      </c>
      <c r="D342" s="249">
        <f t="shared" si="35"/>
        <v>0</v>
      </c>
      <c r="E342" s="249">
        <f t="shared" si="36"/>
        <v>0</v>
      </c>
      <c r="F342" s="248"/>
      <c r="G342" s="250">
        <v>279</v>
      </c>
      <c r="H342" s="249">
        <f t="shared" si="37"/>
        <v>0</v>
      </c>
      <c r="I342" s="249">
        <f t="shared" si="38"/>
        <v>0</v>
      </c>
      <c r="J342" s="249">
        <f t="shared" si="39"/>
        <v>0</v>
      </c>
      <c r="K342" s="249">
        <f t="shared" si="40"/>
        <v>0</v>
      </c>
      <c r="L342" s="248"/>
    </row>
    <row r="343" spans="1:12">
      <c r="A343" s="250">
        <v>280</v>
      </c>
      <c r="B343" s="249">
        <f t="shared" si="33"/>
        <v>0</v>
      </c>
      <c r="C343" s="249">
        <f t="shared" si="34"/>
        <v>0</v>
      </c>
      <c r="D343" s="249">
        <f t="shared" si="35"/>
        <v>0</v>
      </c>
      <c r="E343" s="249">
        <f t="shared" si="36"/>
        <v>0</v>
      </c>
      <c r="F343" s="248"/>
      <c r="G343" s="250">
        <v>280</v>
      </c>
      <c r="H343" s="249">
        <f t="shared" si="37"/>
        <v>0</v>
      </c>
      <c r="I343" s="249">
        <f t="shared" si="38"/>
        <v>0</v>
      </c>
      <c r="J343" s="249">
        <f t="shared" si="39"/>
        <v>0</v>
      </c>
      <c r="K343" s="249">
        <f t="shared" si="40"/>
        <v>0</v>
      </c>
      <c r="L343" s="248"/>
    </row>
    <row r="344" spans="1:12">
      <c r="A344" s="250">
        <v>281</v>
      </c>
      <c r="B344" s="249">
        <f t="shared" si="33"/>
        <v>0</v>
      </c>
      <c r="C344" s="249">
        <f t="shared" si="34"/>
        <v>0</v>
      </c>
      <c r="D344" s="249">
        <f t="shared" si="35"/>
        <v>0</v>
      </c>
      <c r="E344" s="249">
        <f t="shared" si="36"/>
        <v>0</v>
      </c>
      <c r="F344" s="248"/>
      <c r="G344" s="250">
        <v>281</v>
      </c>
      <c r="H344" s="249">
        <f t="shared" si="37"/>
        <v>0</v>
      </c>
      <c r="I344" s="249">
        <f t="shared" si="38"/>
        <v>0</v>
      </c>
      <c r="J344" s="249">
        <f t="shared" si="39"/>
        <v>0</v>
      </c>
      <c r="K344" s="249">
        <f t="shared" si="40"/>
        <v>0</v>
      </c>
      <c r="L344" s="248"/>
    </row>
    <row r="345" spans="1:12">
      <c r="A345" s="250">
        <v>282</v>
      </c>
      <c r="B345" s="249">
        <f t="shared" si="33"/>
        <v>0</v>
      </c>
      <c r="C345" s="249">
        <f t="shared" si="34"/>
        <v>0</v>
      </c>
      <c r="D345" s="249">
        <f t="shared" si="35"/>
        <v>0</v>
      </c>
      <c r="E345" s="249">
        <f t="shared" si="36"/>
        <v>0</v>
      </c>
      <c r="F345" s="248"/>
      <c r="G345" s="250">
        <v>282</v>
      </c>
      <c r="H345" s="249">
        <f t="shared" si="37"/>
        <v>0</v>
      </c>
      <c r="I345" s="249">
        <f t="shared" si="38"/>
        <v>0</v>
      </c>
      <c r="J345" s="249">
        <f t="shared" si="39"/>
        <v>0</v>
      </c>
      <c r="K345" s="249">
        <f t="shared" si="40"/>
        <v>0</v>
      </c>
      <c r="L345" s="248"/>
    </row>
    <row r="346" spans="1:12">
      <c r="A346" s="250">
        <v>283</v>
      </c>
      <c r="B346" s="249">
        <f t="shared" si="33"/>
        <v>0</v>
      </c>
      <c r="C346" s="249">
        <f t="shared" si="34"/>
        <v>0</v>
      </c>
      <c r="D346" s="249">
        <f t="shared" si="35"/>
        <v>0</v>
      </c>
      <c r="E346" s="249">
        <f t="shared" si="36"/>
        <v>0</v>
      </c>
      <c r="F346" s="248"/>
      <c r="G346" s="250">
        <v>283</v>
      </c>
      <c r="H346" s="249">
        <f t="shared" si="37"/>
        <v>0</v>
      </c>
      <c r="I346" s="249">
        <f t="shared" si="38"/>
        <v>0</v>
      </c>
      <c r="J346" s="249">
        <f t="shared" si="39"/>
        <v>0</v>
      </c>
      <c r="K346" s="249">
        <f t="shared" si="40"/>
        <v>0</v>
      </c>
      <c r="L346" s="248"/>
    </row>
    <row r="347" spans="1:12">
      <c r="A347" s="250">
        <v>284</v>
      </c>
      <c r="B347" s="249">
        <f t="shared" si="33"/>
        <v>0</v>
      </c>
      <c r="C347" s="249">
        <f t="shared" si="34"/>
        <v>0</v>
      </c>
      <c r="D347" s="249">
        <f t="shared" si="35"/>
        <v>0</v>
      </c>
      <c r="E347" s="249">
        <f t="shared" si="36"/>
        <v>0</v>
      </c>
      <c r="F347" s="248"/>
      <c r="G347" s="250">
        <v>284</v>
      </c>
      <c r="H347" s="249">
        <f t="shared" si="37"/>
        <v>0</v>
      </c>
      <c r="I347" s="249">
        <f t="shared" si="38"/>
        <v>0</v>
      </c>
      <c r="J347" s="249">
        <f t="shared" si="39"/>
        <v>0</v>
      </c>
      <c r="K347" s="249">
        <f t="shared" si="40"/>
        <v>0</v>
      </c>
      <c r="L347" s="248"/>
    </row>
    <row r="348" spans="1:12">
      <c r="A348" s="250">
        <v>285</v>
      </c>
      <c r="B348" s="249">
        <f t="shared" si="33"/>
        <v>0</v>
      </c>
      <c r="C348" s="249">
        <f t="shared" si="34"/>
        <v>0</v>
      </c>
      <c r="D348" s="249">
        <f t="shared" si="35"/>
        <v>0</v>
      </c>
      <c r="E348" s="249">
        <f t="shared" si="36"/>
        <v>0</v>
      </c>
      <c r="F348" s="248"/>
      <c r="G348" s="250">
        <v>285</v>
      </c>
      <c r="H348" s="249">
        <f t="shared" si="37"/>
        <v>0</v>
      </c>
      <c r="I348" s="249">
        <f t="shared" si="38"/>
        <v>0</v>
      </c>
      <c r="J348" s="249">
        <f t="shared" si="39"/>
        <v>0</v>
      </c>
      <c r="K348" s="249">
        <f t="shared" si="40"/>
        <v>0</v>
      </c>
      <c r="L348" s="248"/>
    </row>
    <row r="349" spans="1:12">
      <c r="A349" s="250">
        <v>286</v>
      </c>
      <c r="B349" s="249">
        <f t="shared" si="33"/>
        <v>0</v>
      </c>
      <c r="C349" s="249">
        <f t="shared" si="34"/>
        <v>0</v>
      </c>
      <c r="D349" s="249">
        <f t="shared" si="35"/>
        <v>0</v>
      </c>
      <c r="E349" s="249">
        <f t="shared" si="36"/>
        <v>0</v>
      </c>
      <c r="F349" s="248"/>
      <c r="G349" s="250">
        <v>286</v>
      </c>
      <c r="H349" s="249">
        <f t="shared" si="37"/>
        <v>0</v>
      </c>
      <c r="I349" s="249">
        <f t="shared" si="38"/>
        <v>0</v>
      </c>
      <c r="J349" s="249">
        <f t="shared" si="39"/>
        <v>0</v>
      </c>
      <c r="K349" s="249">
        <f t="shared" si="40"/>
        <v>0</v>
      </c>
      <c r="L349" s="248"/>
    </row>
    <row r="350" spans="1:12">
      <c r="A350" s="250">
        <v>287</v>
      </c>
      <c r="B350" s="249">
        <f t="shared" si="33"/>
        <v>0</v>
      </c>
      <c r="C350" s="249">
        <f t="shared" si="34"/>
        <v>0</v>
      </c>
      <c r="D350" s="249">
        <f t="shared" si="35"/>
        <v>0</v>
      </c>
      <c r="E350" s="249">
        <f t="shared" si="36"/>
        <v>0</v>
      </c>
      <c r="F350" s="248"/>
      <c r="G350" s="250">
        <v>287</v>
      </c>
      <c r="H350" s="249">
        <f t="shared" si="37"/>
        <v>0</v>
      </c>
      <c r="I350" s="249">
        <f t="shared" si="38"/>
        <v>0</v>
      </c>
      <c r="J350" s="249">
        <f t="shared" si="39"/>
        <v>0</v>
      </c>
      <c r="K350" s="249">
        <f t="shared" si="40"/>
        <v>0</v>
      </c>
      <c r="L350" s="248"/>
    </row>
    <row r="351" spans="1:12">
      <c r="A351" s="250">
        <v>288</v>
      </c>
      <c r="B351" s="249">
        <f t="shared" si="33"/>
        <v>0</v>
      </c>
      <c r="C351" s="249">
        <f t="shared" si="34"/>
        <v>0</v>
      </c>
      <c r="D351" s="249">
        <f t="shared" si="35"/>
        <v>0</v>
      </c>
      <c r="E351" s="249">
        <f t="shared" si="36"/>
        <v>0</v>
      </c>
      <c r="F351" s="248">
        <v>24</v>
      </c>
      <c r="G351" s="250">
        <v>288</v>
      </c>
      <c r="H351" s="249">
        <f t="shared" si="37"/>
        <v>0</v>
      </c>
      <c r="I351" s="249">
        <f t="shared" si="38"/>
        <v>0</v>
      </c>
      <c r="J351" s="249">
        <f t="shared" si="39"/>
        <v>0</v>
      </c>
      <c r="K351" s="249">
        <f t="shared" si="40"/>
        <v>0</v>
      </c>
      <c r="L351" s="248">
        <v>24</v>
      </c>
    </row>
    <row r="352" spans="1:12">
      <c r="A352" s="250">
        <v>289</v>
      </c>
      <c r="B352" s="249">
        <f t="shared" si="33"/>
        <v>0</v>
      </c>
      <c r="C352" s="249">
        <f t="shared" si="34"/>
        <v>0</v>
      </c>
      <c r="D352" s="249">
        <f t="shared" si="35"/>
        <v>0</v>
      </c>
      <c r="E352" s="249">
        <f t="shared" si="36"/>
        <v>0</v>
      </c>
      <c r="F352" s="248"/>
      <c r="G352" s="250">
        <v>289</v>
      </c>
      <c r="H352" s="249">
        <f t="shared" si="37"/>
        <v>0</v>
      </c>
      <c r="I352" s="249">
        <f t="shared" si="38"/>
        <v>0</v>
      </c>
      <c r="J352" s="249">
        <f t="shared" si="39"/>
        <v>0</v>
      </c>
      <c r="K352" s="249">
        <f t="shared" si="40"/>
        <v>0</v>
      </c>
      <c r="L352" s="248"/>
    </row>
    <row r="353" spans="1:12">
      <c r="A353" s="250">
        <v>290</v>
      </c>
      <c r="B353" s="249">
        <f t="shared" si="33"/>
        <v>0</v>
      </c>
      <c r="C353" s="249">
        <f t="shared" si="34"/>
        <v>0</v>
      </c>
      <c r="D353" s="249">
        <f t="shared" si="35"/>
        <v>0</v>
      </c>
      <c r="E353" s="249">
        <f t="shared" si="36"/>
        <v>0</v>
      </c>
      <c r="F353" s="248"/>
      <c r="G353" s="250">
        <v>290</v>
      </c>
      <c r="H353" s="249">
        <f t="shared" si="37"/>
        <v>0</v>
      </c>
      <c r="I353" s="249">
        <f t="shared" si="38"/>
        <v>0</v>
      </c>
      <c r="J353" s="249">
        <f t="shared" si="39"/>
        <v>0</v>
      </c>
      <c r="K353" s="249">
        <f t="shared" si="40"/>
        <v>0</v>
      </c>
      <c r="L353" s="248"/>
    </row>
    <row r="354" spans="1:12">
      <c r="A354" s="250">
        <v>291</v>
      </c>
      <c r="B354" s="249">
        <f t="shared" si="33"/>
        <v>0</v>
      </c>
      <c r="C354" s="249">
        <f t="shared" si="34"/>
        <v>0</v>
      </c>
      <c r="D354" s="249">
        <f t="shared" si="35"/>
        <v>0</v>
      </c>
      <c r="E354" s="249">
        <f t="shared" si="36"/>
        <v>0</v>
      </c>
      <c r="F354" s="248"/>
      <c r="G354" s="250">
        <v>291</v>
      </c>
      <c r="H354" s="249">
        <f t="shared" si="37"/>
        <v>0</v>
      </c>
      <c r="I354" s="249">
        <f t="shared" si="38"/>
        <v>0</v>
      </c>
      <c r="J354" s="249">
        <f t="shared" si="39"/>
        <v>0</v>
      </c>
      <c r="K354" s="249">
        <f t="shared" si="40"/>
        <v>0</v>
      </c>
      <c r="L354" s="248"/>
    </row>
    <row r="355" spans="1:12">
      <c r="A355" s="250">
        <v>292</v>
      </c>
      <c r="B355" s="249">
        <f t="shared" si="33"/>
        <v>0</v>
      </c>
      <c r="C355" s="249">
        <f t="shared" si="34"/>
        <v>0</v>
      </c>
      <c r="D355" s="249">
        <f t="shared" si="35"/>
        <v>0</v>
      </c>
      <c r="E355" s="249">
        <f t="shared" si="36"/>
        <v>0</v>
      </c>
      <c r="F355" s="248"/>
      <c r="G355" s="250">
        <v>292</v>
      </c>
      <c r="H355" s="249">
        <f t="shared" si="37"/>
        <v>0</v>
      </c>
      <c r="I355" s="249">
        <f t="shared" si="38"/>
        <v>0</v>
      </c>
      <c r="J355" s="249">
        <f t="shared" si="39"/>
        <v>0</v>
      </c>
      <c r="K355" s="249">
        <f t="shared" si="40"/>
        <v>0</v>
      </c>
      <c r="L355" s="248"/>
    </row>
    <row r="356" spans="1:12">
      <c r="A356" s="250">
        <v>293</v>
      </c>
      <c r="B356" s="249">
        <f t="shared" si="33"/>
        <v>0</v>
      </c>
      <c r="C356" s="249">
        <f t="shared" si="34"/>
        <v>0</v>
      </c>
      <c r="D356" s="249">
        <f t="shared" si="35"/>
        <v>0</v>
      </c>
      <c r="E356" s="249">
        <f t="shared" si="36"/>
        <v>0</v>
      </c>
      <c r="F356" s="248"/>
      <c r="G356" s="250">
        <v>293</v>
      </c>
      <c r="H356" s="249">
        <f t="shared" si="37"/>
        <v>0</v>
      </c>
      <c r="I356" s="249">
        <f t="shared" si="38"/>
        <v>0</v>
      </c>
      <c r="J356" s="249">
        <f t="shared" si="39"/>
        <v>0</v>
      </c>
      <c r="K356" s="249">
        <f t="shared" si="40"/>
        <v>0</v>
      </c>
      <c r="L356" s="248"/>
    </row>
    <row r="357" spans="1:12">
      <c r="A357" s="250">
        <v>294</v>
      </c>
      <c r="B357" s="249">
        <f t="shared" si="33"/>
        <v>0</v>
      </c>
      <c r="C357" s="249">
        <f t="shared" si="34"/>
        <v>0</v>
      </c>
      <c r="D357" s="249">
        <f t="shared" si="35"/>
        <v>0</v>
      </c>
      <c r="E357" s="249">
        <f t="shared" si="36"/>
        <v>0</v>
      </c>
      <c r="F357" s="248"/>
      <c r="G357" s="250">
        <v>294</v>
      </c>
      <c r="H357" s="249">
        <f t="shared" si="37"/>
        <v>0</v>
      </c>
      <c r="I357" s="249">
        <f t="shared" si="38"/>
        <v>0</v>
      </c>
      <c r="J357" s="249">
        <f t="shared" si="39"/>
        <v>0</v>
      </c>
      <c r="K357" s="249">
        <f t="shared" si="40"/>
        <v>0</v>
      </c>
      <c r="L357" s="248"/>
    </row>
    <row r="358" spans="1:12">
      <c r="A358" s="250">
        <v>295</v>
      </c>
      <c r="B358" s="249">
        <f t="shared" si="33"/>
        <v>0</v>
      </c>
      <c r="C358" s="249">
        <f t="shared" si="34"/>
        <v>0</v>
      </c>
      <c r="D358" s="249">
        <f t="shared" si="35"/>
        <v>0</v>
      </c>
      <c r="E358" s="249">
        <f t="shared" si="36"/>
        <v>0</v>
      </c>
      <c r="F358" s="248"/>
      <c r="G358" s="250">
        <v>295</v>
      </c>
      <c r="H358" s="249">
        <f t="shared" si="37"/>
        <v>0</v>
      </c>
      <c r="I358" s="249">
        <f t="shared" si="38"/>
        <v>0</v>
      </c>
      <c r="J358" s="249">
        <f t="shared" si="39"/>
        <v>0</v>
      </c>
      <c r="K358" s="249">
        <f t="shared" si="40"/>
        <v>0</v>
      </c>
      <c r="L358" s="248"/>
    </row>
    <row r="359" spans="1:12">
      <c r="A359" s="250">
        <v>296</v>
      </c>
      <c r="B359" s="249">
        <f t="shared" si="33"/>
        <v>0</v>
      </c>
      <c r="C359" s="249">
        <f t="shared" si="34"/>
        <v>0</v>
      </c>
      <c r="D359" s="249">
        <f t="shared" si="35"/>
        <v>0</v>
      </c>
      <c r="E359" s="249">
        <f t="shared" si="36"/>
        <v>0</v>
      </c>
      <c r="F359" s="248"/>
      <c r="G359" s="250">
        <v>296</v>
      </c>
      <c r="H359" s="249">
        <f t="shared" si="37"/>
        <v>0</v>
      </c>
      <c r="I359" s="249">
        <f t="shared" si="38"/>
        <v>0</v>
      </c>
      <c r="J359" s="249">
        <f t="shared" si="39"/>
        <v>0</v>
      </c>
      <c r="K359" s="249">
        <f t="shared" si="40"/>
        <v>0</v>
      </c>
      <c r="L359" s="248"/>
    </row>
    <row r="360" spans="1:12">
      <c r="A360" s="250">
        <v>297</v>
      </c>
      <c r="B360" s="249">
        <f t="shared" si="33"/>
        <v>0</v>
      </c>
      <c r="C360" s="249">
        <f t="shared" si="34"/>
        <v>0</v>
      </c>
      <c r="D360" s="249">
        <f t="shared" si="35"/>
        <v>0</v>
      </c>
      <c r="E360" s="249">
        <f t="shared" si="36"/>
        <v>0</v>
      </c>
      <c r="F360" s="248"/>
      <c r="G360" s="250">
        <v>297</v>
      </c>
      <c r="H360" s="249">
        <f t="shared" si="37"/>
        <v>0</v>
      </c>
      <c r="I360" s="249">
        <f t="shared" si="38"/>
        <v>0</v>
      </c>
      <c r="J360" s="249">
        <f t="shared" si="39"/>
        <v>0</v>
      </c>
      <c r="K360" s="249">
        <f t="shared" si="40"/>
        <v>0</v>
      </c>
      <c r="L360" s="248"/>
    </row>
    <row r="361" spans="1:12">
      <c r="A361" s="250">
        <v>298</v>
      </c>
      <c r="B361" s="249">
        <f t="shared" si="33"/>
        <v>0</v>
      </c>
      <c r="C361" s="249">
        <f t="shared" si="34"/>
        <v>0</v>
      </c>
      <c r="D361" s="249">
        <f t="shared" si="35"/>
        <v>0</v>
      </c>
      <c r="E361" s="249">
        <f t="shared" si="36"/>
        <v>0</v>
      </c>
      <c r="F361" s="248"/>
      <c r="G361" s="250">
        <v>298</v>
      </c>
      <c r="H361" s="249">
        <f t="shared" si="37"/>
        <v>0</v>
      </c>
      <c r="I361" s="249">
        <f t="shared" si="38"/>
        <v>0</v>
      </c>
      <c r="J361" s="249">
        <f t="shared" si="39"/>
        <v>0</v>
      </c>
      <c r="K361" s="249">
        <f t="shared" si="40"/>
        <v>0</v>
      </c>
      <c r="L361" s="248"/>
    </row>
    <row r="362" spans="1:12">
      <c r="A362" s="250">
        <v>299</v>
      </c>
      <c r="B362" s="249">
        <f t="shared" si="33"/>
        <v>0</v>
      </c>
      <c r="C362" s="249">
        <f t="shared" si="34"/>
        <v>0</v>
      </c>
      <c r="D362" s="249">
        <f t="shared" si="35"/>
        <v>0</v>
      </c>
      <c r="E362" s="249">
        <f t="shared" si="36"/>
        <v>0</v>
      </c>
      <c r="F362" s="248"/>
      <c r="G362" s="250">
        <v>299</v>
      </c>
      <c r="H362" s="249">
        <f t="shared" si="37"/>
        <v>0</v>
      </c>
      <c r="I362" s="249">
        <f t="shared" si="38"/>
        <v>0</v>
      </c>
      <c r="J362" s="249">
        <f t="shared" si="39"/>
        <v>0</v>
      </c>
      <c r="K362" s="249">
        <f t="shared" si="40"/>
        <v>0</v>
      </c>
      <c r="L362" s="248"/>
    </row>
    <row r="363" spans="1:12">
      <c r="A363" s="250">
        <v>300</v>
      </c>
      <c r="B363" s="249">
        <f t="shared" si="33"/>
        <v>0</v>
      </c>
      <c r="C363" s="249">
        <f t="shared" si="34"/>
        <v>0</v>
      </c>
      <c r="D363" s="249">
        <f t="shared" si="35"/>
        <v>0</v>
      </c>
      <c r="E363" s="249">
        <f t="shared" si="36"/>
        <v>0</v>
      </c>
      <c r="F363" s="248">
        <v>25</v>
      </c>
      <c r="G363" s="250">
        <v>300</v>
      </c>
      <c r="H363" s="249">
        <f t="shared" si="37"/>
        <v>0</v>
      </c>
      <c r="I363" s="249">
        <f t="shared" si="38"/>
        <v>0</v>
      </c>
      <c r="J363" s="249">
        <f t="shared" si="39"/>
        <v>0</v>
      </c>
      <c r="K363" s="249">
        <f t="shared" si="40"/>
        <v>0</v>
      </c>
      <c r="L363" s="248">
        <v>25</v>
      </c>
    </row>
    <row r="364" spans="1:12">
      <c r="A364" s="250">
        <v>301</v>
      </c>
      <c r="B364" s="249">
        <f t="shared" si="33"/>
        <v>0</v>
      </c>
      <c r="C364" s="249">
        <f t="shared" si="34"/>
        <v>0</v>
      </c>
      <c r="D364" s="249">
        <f t="shared" si="35"/>
        <v>0</v>
      </c>
      <c r="E364" s="249">
        <f t="shared" si="36"/>
        <v>0</v>
      </c>
      <c r="F364" s="248"/>
      <c r="G364" s="250">
        <v>301</v>
      </c>
      <c r="H364" s="249">
        <f t="shared" si="37"/>
        <v>0</v>
      </c>
      <c r="I364" s="249">
        <f t="shared" si="38"/>
        <v>0</v>
      </c>
      <c r="J364" s="249">
        <f t="shared" si="39"/>
        <v>0</v>
      </c>
      <c r="K364" s="249">
        <f t="shared" si="40"/>
        <v>0</v>
      </c>
      <c r="L364" s="248"/>
    </row>
    <row r="365" spans="1:12">
      <c r="A365" s="250">
        <v>302</v>
      </c>
      <c r="B365" s="249">
        <f t="shared" si="33"/>
        <v>0</v>
      </c>
      <c r="C365" s="249">
        <f t="shared" si="34"/>
        <v>0</v>
      </c>
      <c r="D365" s="249">
        <f t="shared" si="35"/>
        <v>0</v>
      </c>
      <c r="E365" s="249">
        <f t="shared" si="36"/>
        <v>0</v>
      </c>
      <c r="F365" s="248"/>
      <c r="G365" s="250">
        <v>302</v>
      </c>
      <c r="H365" s="249">
        <f t="shared" si="37"/>
        <v>0</v>
      </c>
      <c r="I365" s="249">
        <f t="shared" si="38"/>
        <v>0</v>
      </c>
      <c r="J365" s="249">
        <f t="shared" si="39"/>
        <v>0</v>
      </c>
      <c r="K365" s="249">
        <f t="shared" si="40"/>
        <v>0</v>
      </c>
      <c r="L365" s="248"/>
    </row>
    <row r="366" spans="1:12">
      <c r="A366" s="250">
        <v>303</v>
      </c>
      <c r="B366" s="249">
        <f t="shared" si="33"/>
        <v>0</v>
      </c>
      <c r="C366" s="249">
        <f t="shared" si="34"/>
        <v>0</v>
      </c>
      <c r="D366" s="249">
        <f t="shared" si="35"/>
        <v>0</v>
      </c>
      <c r="E366" s="249">
        <f t="shared" si="36"/>
        <v>0</v>
      </c>
      <c r="F366" s="248"/>
      <c r="G366" s="250">
        <v>303</v>
      </c>
      <c r="H366" s="249">
        <f t="shared" si="37"/>
        <v>0</v>
      </c>
      <c r="I366" s="249">
        <f t="shared" si="38"/>
        <v>0</v>
      </c>
      <c r="J366" s="249">
        <f t="shared" si="39"/>
        <v>0</v>
      </c>
      <c r="K366" s="249">
        <f t="shared" si="40"/>
        <v>0</v>
      </c>
      <c r="L366" s="248"/>
    </row>
    <row r="367" spans="1:12">
      <c r="A367" s="250">
        <v>304</v>
      </c>
      <c r="B367" s="249">
        <f t="shared" si="33"/>
        <v>0</v>
      </c>
      <c r="C367" s="249">
        <f t="shared" si="34"/>
        <v>0</v>
      </c>
      <c r="D367" s="249">
        <f t="shared" si="35"/>
        <v>0</v>
      </c>
      <c r="E367" s="249">
        <f t="shared" si="36"/>
        <v>0</v>
      </c>
      <c r="F367" s="248"/>
      <c r="G367" s="250">
        <v>304</v>
      </c>
      <c r="H367" s="249">
        <f t="shared" si="37"/>
        <v>0</v>
      </c>
      <c r="I367" s="249">
        <f t="shared" si="38"/>
        <v>0</v>
      </c>
      <c r="J367" s="249">
        <f t="shared" si="39"/>
        <v>0</v>
      </c>
      <c r="K367" s="249">
        <f t="shared" si="40"/>
        <v>0</v>
      </c>
      <c r="L367" s="248"/>
    </row>
    <row r="368" spans="1:12">
      <c r="A368" s="250">
        <v>305</v>
      </c>
      <c r="B368" s="249">
        <f t="shared" si="33"/>
        <v>0</v>
      </c>
      <c r="C368" s="249">
        <f t="shared" si="34"/>
        <v>0</v>
      </c>
      <c r="D368" s="249">
        <f t="shared" si="35"/>
        <v>0</v>
      </c>
      <c r="E368" s="249">
        <f t="shared" si="36"/>
        <v>0</v>
      </c>
      <c r="F368" s="248"/>
      <c r="G368" s="250">
        <v>305</v>
      </c>
      <c r="H368" s="249">
        <f t="shared" si="37"/>
        <v>0</v>
      </c>
      <c r="I368" s="249">
        <f t="shared" si="38"/>
        <v>0</v>
      </c>
      <c r="J368" s="249">
        <f t="shared" si="39"/>
        <v>0</v>
      </c>
      <c r="K368" s="249">
        <f t="shared" si="40"/>
        <v>0</v>
      </c>
      <c r="L368" s="248"/>
    </row>
    <row r="369" spans="1:12">
      <c r="A369" s="250">
        <v>306</v>
      </c>
      <c r="B369" s="249">
        <f t="shared" si="33"/>
        <v>0</v>
      </c>
      <c r="C369" s="249">
        <f t="shared" si="34"/>
        <v>0</v>
      </c>
      <c r="D369" s="249">
        <f t="shared" si="35"/>
        <v>0</v>
      </c>
      <c r="E369" s="249">
        <f t="shared" si="36"/>
        <v>0</v>
      </c>
      <c r="F369" s="248"/>
      <c r="G369" s="250">
        <v>306</v>
      </c>
      <c r="H369" s="249">
        <f t="shared" si="37"/>
        <v>0</v>
      </c>
      <c r="I369" s="249">
        <f t="shared" si="38"/>
        <v>0</v>
      </c>
      <c r="J369" s="249">
        <f t="shared" si="39"/>
        <v>0</v>
      </c>
      <c r="K369" s="249">
        <f t="shared" si="40"/>
        <v>0</v>
      </c>
      <c r="L369" s="248"/>
    </row>
    <row r="370" spans="1:12">
      <c r="A370" s="250">
        <v>307</v>
      </c>
      <c r="B370" s="249">
        <f t="shared" si="33"/>
        <v>0</v>
      </c>
      <c r="C370" s="249">
        <f t="shared" si="34"/>
        <v>0</v>
      </c>
      <c r="D370" s="249">
        <f t="shared" si="35"/>
        <v>0</v>
      </c>
      <c r="E370" s="249">
        <f t="shared" si="36"/>
        <v>0</v>
      </c>
      <c r="F370" s="248"/>
      <c r="G370" s="250">
        <v>307</v>
      </c>
      <c r="H370" s="249">
        <f t="shared" si="37"/>
        <v>0</v>
      </c>
      <c r="I370" s="249">
        <f t="shared" si="38"/>
        <v>0</v>
      </c>
      <c r="J370" s="249">
        <f t="shared" si="39"/>
        <v>0</v>
      </c>
      <c r="K370" s="249">
        <f t="shared" si="40"/>
        <v>0</v>
      </c>
      <c r="L370" s="248"/>
    </row>
    <row r="371" spans="1:12">
      <c r="A371" s="250">
        <v>308</v>
      </c>
      <c r="B371" s="249">
        <f t="shared" si="33"/>
        <v>0</v>
      </c>
      <c r="C371" s="249">
        <f t="shared" si="34"/>
        <v>0</v>
      </c>
      <c r="D371" s="249">
        <f t="shared" si="35"/>
        <v>0</v>
      </c>
      <c r="E371" s="249">
        <f t="shared" si="36"/>
        <v>0</v>
      </c>
      <c r="F371" s="248"/>
      <c r="G371" s="250">
        <v>308</v>
      </c>
      <c r="H371" s="249">
        <f t="shared" si="37"/>
        <v>0</v>
      </c>
      <c r="I371" s="249">
        <f t="shared" si="38"/>
        <v>0</v>
      </c>
      <c r="J371" s="249">
        <f t="shared" si="39"/>
        <v>0</v>
      </c>
      <c r="K371" s="249">
        <f t="shared" si="40"/>
        <v>0</v>
      </c>
      <c r="L371" s="248"/>
    </row>
    <row r="372" spans="1:12">
      <c r="A372" s="250">
        <v>309</v>
      </c>
      <c r="B372" s="249">
        <f t="shared" si="33"/>
        <v>0</v>
      </c>
      <c r="C372" s="249">
        <f t="shared" si="34"/>
        <v>0</v>
      </c>
      <c r="D372" s="249">
        <f t="shared" si="35"/>
        <v>0</v>
      </c>
      <c r="E372" s="249">
        <f t="shared" si="36"/>
        <v>0</v>
      </c>
      <c r="F372" s="248"/>
      <c r="G372" s="250">
        <v>309</v>
      </c>
      <c r="H372" s="249">
        <f t="shared" si="37"/>
        <v>0</v>
      </c>
      <c r="I372" s="249">
        <f t="shared" si="38"/>
        <v>0</v>
      </c>
      <c r="J372" s="249">
        <f t="shared" si="39"/>
        <v>0</v>
      </c>
      <c r="K372" s="249">
        <f t="shared" si="40"/>
        <v>0</v>
      </c>
      <c r="L372" s="248"/>
    </row>
    <row r="373" spans="1:12">
      <c r="A373" s="250">
        <v>310</v>
      </c>
      <c r="B373" s="249">
        <f t="shared" si="33"/>
        <v>0</v>
      </c>
      <c r="C373" s="249">
        <f t="shared" si="34"/>
        <v>0</v>
      </c>
      <c r="D373" s="249">
        <f t="shared" si="35"/>
        <v>0</v>
      </c>
      <c r="E373" s="249">
        <f t="shared" si="36"/>
        <v>0</v>
      </c>
      <c r="F373" s="248"/>
      <c r="G373" s="250">
        <v>310</v>
      </c>
      <c r="H373" s="249">
        <f t="shared" si="37"/>
        <v>0</v>
      </c>
      <c r="I373" s="249">
        <f t="shared" si="38"/>
        <v>0</v>
      </c>
      <c r="J373" s="249">
        <f t="shared" si="39"/>
        <v>0</v>
      </c>
      <c r="K373" s="249">
        <f t="shared" si="40"/>
        <v>0</v>
      </c>
      <c r="L373" s="248"/>
    </row>
    <row r="374" spans="1:12">
      <c r="A374" s="250">
        <v>311</v>
      </c>
      <c r="B374" s="249">
        <f t="shared" si="33"/>
        <v>0</v>
      </c>
      <c r="C374" s="249">
        <f t="shared" si="34"/>
        <v>0</v>
      </c>
      <c r="D374" s="249">
        <f t="shared" si="35"/>
        <v>0</v>
      </c>
      <c r="E374" s="249">
        <f t="shared" si="36"/>
        <v>0</v>
      </c>
      <c r="F374" s="248"/>
      <c r="G374" s="250">
        <v>311</v>
      </c>
      <c r="H374" s="249">
        <f t="shared" si="37"/>
        <v>0</v>
      </c>
      <c r="I374" s="249">
        <f t="shared" si="38"/>
        <v>0</v>
      </c>
      <c r="J374" s="249">
        <f t="shared" si="39"/>
        <v>0</v>
      </c>
      <c r="K374" s="249">
        <f t="shared" si="40"/>
        <v>0</v>
      </c>
      <c r="L374" s="248"/>
    </row>
    <row r="375" spans="1:12">
      <c r="A375" s="250">
        <v>312</v>
      </c>
      <c r="B375" s="249">
        <f t="shared" si="33"/>
        <v>0</v>
      </c>
      <c r="C375" s="249">
        <f t="shared" si="34"/>
        <v>0</v>
      </c>
      <c r="D375" s="249">
        <f t="shared" si="35"/>
        <v>0</v>
      </c>
      <c r="E375" s="249">
        <f t="shared" si="36"/>
        <v>0</v>
      </c>
      <c r="F375" s="248">
        <v>26</v>
      </c>
      <c r="G375" s="250">
        <v>312</v>
      </c>
      <c r="H375" s="249">
        <f t="shared" si="37"/>
        <v>0</v>
      </c>
      <c r="I375" s="249">
        <f t="shared" si="38"/>
        <v>0</v>
      </c>
      <c r="J375" s="249">
        <f t="shared" si="39"/>
        <v>0</v>
      </c>
      <c r="K375" s="249">
        <f t="shared" si="40"/>
        <v>0</v>
      </c>
      <c r="L375" s="248">
        <v>26</v>
      </c>
    </row>
    <row r="376" spans="1:12">
      <c r="A376" s="250">
        <v>313</v>
      </c>
      <c r="B376" s="249">
        <f t="shared" si="33"/>
        <v>0</v>
      </c>
      <c r="C376" s="249">
        <f t="shared" si="34"/>
        <v>0</v>
      </c>
      <c r="D376" s="249">
        <f t="shared" si="35"/>
        <v>0</v>
      </c>
      <c r="E376" s="249">
        <f t="shared" si="36"/>
        <v>0</v>
      </c>
      <c r="F376" s="248"/>
      <c r="G376" s="250">
        <v>313</v>
      </c>
      <c r="H376" s="249">
        <f t="shared" si="37"/>
        <v>0</v>
      </c>
      <c r="I376" s="249">
        <f t="shared" si="38"/>
        <v>0</v>
      </c>
      <c r="J376" s="249">
        <f t="shared" si="39"/>
        <v>0</v>
      </c>
      <c r="K376" s="249">
        <f t="shared" si="40"/>
        <v>0</v>
      </c>
      <c r="L376" s="248"/>
    </row>
    <row r="377" spans="1:12">
      <c r="A377" s="250">
        <v>314</v>
      </c>
      <c r="B377" s="249">
        <f t="shared" si="33"/>
        <v>0</v>
      </c>
      <c r="C377" s="249">
        <f t="shared" si="34"/>
        <v>0</v>
      </c>
      <c r="D377" s="249">
        <f t="shared" si="35"/>
        <v>0</v>
      </c>
      <c r="E377" s="249">
        <f t="shared" si="36"/>
        <v>0</v>
      </c>
      <c r="F377" s="248"/>
      <c r="G377" s="250">
        <v>314</v>
      </c>
      <c r="H377" s="249">
        <f t="shared" si="37"/>
        <v>0</v>
      </c>
      <c r="I377" s="249">
        <f t="shared" si="38"/>
        <v>0</v>
      </c>
      <c r="J377" s="249">
        <f t="shared" si="39"/>
        <v>0</v>
      </c>
      <c r="K377" s="249">
        <f t="shared" si="40"/>
        <v>0</v>
      </c>
      <c r="L377" s="248"/>
    </row>
    <row r="378" spans="1:12">
      <c r="A378" s="250">
        <v>315</v>
      </c>
      <c r="B378" s="249">
        <f t="shared" si="33"/>
        <v>0</v>
      </c>
      <c r="C378" s="249">
        <f t="shared" si="34"/>
        <v>0</v>
      </c>
      <c r="D378" s="249">
        <f t="shared" si="35"/>
        <v>0</v>
      </c>
      <c r="E378" s="249">
        <f t="shared" si="36"/>
        <v>0</v>
      </c>
      <c r="F378" s="248"/>
      <c r="G378" s="250">
        <v>315</v>
      </c>
      <c r="H378" s="249">
        <f t="shared" si="37"/>
        <v>0</v>
      </c>
      <c r="I378" s="249">
        <f t="shared" si="38"/>
        <v>0</v>
      </c>
      <c r="J378" s="249">
        <f t="shared" si="39"/>
        <v>0</v>
      </c>
      <c r="K378" s="249">
        <f t="shared" si="40"/>
        <v>0</v>
      </c>
      <c r="L378" s="248"/>
    </row>
    <row r="379" spans="1:12">
      <c r="A379" s="250">
        <v>316</v>
      </c>
      <c r="B379" s="249">
        <f t="shared" si="33"/>
        <v>0</v>
      </c>
      <c r="C379" s="249">
        <f t="shared" si="34"/>
        <v>0</v>
      </c>
      <c r="D379" s="249">
        <f t="shared" si="35"/>
        <v>0</v>
      </c>
      <c r="E379" s="249">
        <f t="shared" si="36"/>
        <v>0</v>
      </c>
      <c r="F379" s="248"/>
      <c r="G379" s="250">
        <v>316</v>
      </c>
      <c r="H379" s="249">
        <f t="shared" si="37"/>
        <v>0</v>
      </c>
      <c r="I379" s="249">
        <f t="shared" si="38"/>
        <v>0</v>
      </c>
      <c r="J379" s="249">
        <f t="shared" si="39"/>
        <v>0</v>
      </c>
      <c r="K379" s="249">
        <f t="shared" si="40"/>
        <v>0</v>
      </c>
      <c r="L379" s="248"/>
    </row>
    <row r="380" spans="1:12">
      <c r="A380" s="250">
        <v>317</v>
      </c>
      <c r="B380" s="249">
        <f t="shared" si="33"/>
        <v>0</v>
      </c>
      <c r="C380" s="249">
        <f t="shared" si="34"/>
        <v>0</v>
      </c>
      <c r="D380" s="249">
        <f t="shared" si="35"/>
        <v>0</v>
      </c>
      <c r="E380" s="249">
        <f t="shared" si="36"/>
        <v>0</v>
      </c>
      <c r="F380" s="248"/>
      <c r="G380" s="250">
        <v>317</v>
      </c>
      <c r="H380" s="249">
        <f t="shared" si="37"/>
        <v>0</v>
      </c>
      <c r="I380" s="249">
        <f t="shared" si="38"/>
        <v>0</v>
      </c>
      <c r="J380" s="249">
        <f t="shared" si="39"/>
        <v>0</v>
      </c>
      <c r="K380" s="249">
        <f t="shared" si="40"/>
        <v>0</v>
      </c>
      <c r="L380" s="248"/>
    </row>
    <row r="381" spans="1:12">
      <c r="A381" s="250">
        <v>318</v>
      </c>
      <c r="B381" s="249">
        <f t="shared" si="33"/>
        <v>0</v>
      </c>
      <c r="C381" s="249">
        <f t="shared" si="34"/>
        <v>0</v>
      </c>
      <c r="D381" s="249">
        <f t="shared" si="35"/>
        <v>0</v>
      </c>
      <c r="E381" s="249">
        <f t="shared" si="36"/>
        <v>0</v>
      </c>
      <c r="F381" s="248"/>
      <c r="G381" s="250">
        <v>318</v>
      </c>
      <c r="H381" s="249">
        <f t="shared" si="37"/>
        <v>0</v>
      </c>
      <c r="I381" s="249">
        <f t="shared" si="38"/>
        <v>0</v>
      </c>
      <c r="J381" s="249">
        <f t="shared" si="39"/>
        <v>0</v>
      </c>
      <c r="K381" s="249">
        <f t="shared" si="40"/>
        <v>0</v>
      </c>
      <c r="L381" s="248"/>
    </row>
    <row r="382" spans="1:12">
      <c r="A382" s="250">
        <v>319</v>
      </c>
      <c r="B382" s="249">
        <f t="shared" si="33"/>
        <v>0</v>
      </c>
      <c r="C382" s="249">
        <f t="shared" si="34"/>
        <v>0</v>
      </c>
      <c r="D382" s="249">
        <f t="shared" si="35"/>
        <v>0</v>
      </c>
      <c r="E382" s="249">
        <f t="shared" si="36"/>
        <v>0</v>
      </c>
      <c r="F382" s="248"/>
      <c r="G382" s="250">
        <v>319</v>
      </c>
      <c r="H382" s="249">
        <f t="shared" si="37"/>
        <v>0</v>
      </c>
      <c r="I382" s="249">
        <f t="shared" si="38"/>
        <v>0</v>
      </c>
      <c r="J382" s="249">
        <f t="shared" si="39"/>
        <v>0</v>
      </c>
      <c r="K382" s="249">
        <f t="shared" si="40"/>
        <v>0</v>
      </c>
      <c r="L382" s="248"/>
    </row>
    <row r="383" spans="1:12">
      <c r="A383" s="250">
        <v>320</v>
      </c>
      <c r="B383" s="249">
        <f t="shared" si="33"/>
        <v>0</v>
      </c>
      <c r="C383" s="249">
        <f t="shared" si="34"/>
        <v>0</v>
      </c>
      <c r="D383" s="249">
        <f t="shared" si="35"/>
        <v>0</v>
      </c>
      <c r="E383" s="249">
        <f t="shared" si="36"/>
        <v>0</v>
      </c>
      <c r="F383" s="248"/>
      <c r="G383" s="250">
        <v>320</v>
      </c>
      <c r="H383" s="249">
        <f t="shared" si="37"/>
        <v>0</v>
      </c>
      <c r="I383" s="249">
        <f t="shared" si="38"/>
        <v>0</v>
      </c>
      <c r="J383" s="249">
        <f t="shared" si="39"/>
        <v>0</v>
      </c>
      <c r="K383" s="249">
        <f t="shared" si="40"/>
        <v>0</v>
      </c>
      <c r="L383" s="248"/>
    </row>
    <row r="384" spans="1:12">
      <c r="A384" s="250">
        <v>321</v>
      </c>
      <c r="B384" s="249">
        <f t="shared" ref="B384:B447" si="41">IF(A384&gt;12*$C$9,0,IF($C$5&gt;1500000,$D$12,$C$12))</f>
        <v>0</v>
      </c>
      <c r="C384" s="249">
        <f t="shared" ref="C384:C447" si="42">IF(A384&gt;12*$C$9,0,E383*$C$7/12)</f>
        <v>0</v>
      </c>
      <c r="D384" s="249">
        <f t="shared" ref="D384:D447" si="43">IF(A384&gt;12*$C$9,0,B384-C384)</f>
        <v>0</v>
      </c>
      <c r="E384" s="249">
        <f t="shared" ref="E384:E447" si="44">IF(A384&gt;12*$C$9,0,E383-D384)</f>
        <v>0</v>
      </c>
      <c r="F384" s="248"/>
      <c r="G384" s="250">
        <v>321</v>
      </c>
      <c r="H384" s="249">
        <f t="shared" ref="H384:H447" si="45">IF(G384&gt;12*$C$9,0,IF($C$5&gt;1500000,$E$12,0))</f>
        <v>0</v>
      </c>
      <c r="I384" s="249">
        <f t="shared" ref="I384:I447" si="46">IF(G384&gt;12*$C$9,0,K383*$C$7/12)</f>
        <v>0</v>
      </c>
      <c r="J384" s="249">
        <f t="shared" ref="J384:J447" si="47">IF(G384&gt;12*$C$9,0,H384-I384)</f>
        <v>0</v>
      </c>
      <c r="K384" s="249">
        <f t="shared" ref="K384:K447" si="48">IF(G384&gt;12*$C$9,0,K383-J384)</f>
        <v>0</v>
      </c>
      <c r="L384" s="248"/>
    </row>
    <row r="385" spans="1:12">
      <c r="A385" s="250">
        <v>322</v>
      </c>
      <c r="B385" s="249">
        <f t="shared" si="41"/>
        <v>0</v>
      </c>
      <c r="C385" s="249">
        <f t="shared" si="42"/>
        <v>0</v>
      </c>
      <c r="D385" s="249">
        <f t="shared" si="43"/>
        <v>0</v>
      </c>
      <c r="E385" s="249">
        <f t="shared" si="44"/>
        <v>0</v>
      </c>
      <c r="F385" s="248"/>
      <c r="G385" s="250">
        <v>322</v>
      </c>
      <c r="H385" s="249">
        <f t="shared" si="45"/>
        <v>0</v>
      </c>
      <c r="I385" s="249">
        <f t="shared" si="46"/>
        <v>0</v>
      </c>
      <c r="J385" s="249">
        <f t="shared" si="47"/>
        <v>0</v>
      </c>
      <c r="K385" s="249">
        <f t="shared" si="48"/>
        <v>0</v>
      </c>
      <c r="L385" s="248"/>
    </row>
    <row r="386" spans="1:12">
      <c r="A386" s="250">
        <v>323</v>
      </c>
      <c r="B386" s="249">
        <f t="shared" si="41"/>
        <v>0</v>
      </c>
      <c r="C386" s="249">
        <f t="shared" si="42"/>
        <v>0</v>
      </c>
      <c r="D386" s="249">
        <f t="shared" si="43"/>
        <v>0</v>
      </c>
      <c r="E386" s="249">
        <f t="shared" si="44"/>
        <v>0</v>
      </c>
      <c r="F386" s="248"/>
      <c r="G386" s="250">
        <v>323</v>
      </c>
      <c r="H386" s="249">
        <f t="shared" si="45"/>
        <v>0</v>
      </c>
      <c r="I386" s="249">
        <f t="shared" si="46"/>
        <v>0</v>
      </c>
      <c r="J386" s="249">
        <f t="shared" si="47"/>
        <v>0</v>
      </c>
      <c r="K386" s="249">
        <f t="shared" si="48"/>
        <v>0</v>
      </c>
      <c r="L386" s="248"/>
    </row>
    <row r="387" spans="1:12">
      <c r="A387" s="250">
        <v>324</v>
      </c>
      <c r="B387" s="249">
        <f t="shared" si="41"/>
        <v>0</v>
      </c>
      <c r="C387" s="249">
        <f t="shared" si="42"/>
        <v>0</v>
      </c>
      <c r="D387" s="249">
        <f t="shared" si="43"/>
        <v>0</v>
      </c>
      <c r="E387" s="249">
        <f t="shared" si="44"/>
        <v>0</v>
      </c>
      <c r="F387" s="248">
        <v>27</v>
      </c>
      <c r="G387" s="250">
        <v>324</v>
      </c>
      <c r="H387" s="249">
        <f t="shared" si="45"/>
        <v>0</v>
      </c>
      <c r="I387" s="249">
        <f t="shared" si="46"/>
        <v>0</v>
      </c>
      <c r="J387" s="249">
        <f t="shared" si="47"/>
        <v>0</v>
      </c>
      <c r="K387" s="249">
        <f t="shared" si="48"/>
        <v>0</v>
      </c>
      <c r="L387" s="248">
        <v>27</v>
      </c>
    </row>
    <row r="388" spans="1:12">
      <c r="A388" s="250">
        <v>325</v>
      </c>
      <c r="B388" s="249">
        <f t="shared" si="41"/>
        <v>0</v>
      </c>
      <c r="C388" s="249">
        <f t="shared" si="42"/>
        <v>0</v>
      </c>
      <c r="D388" s="249">
        <f t="shared" si="43"/>
        <v>0</v>
      </c>
      <c r="E388" s="249">
        <f t="shared" si="44"/>
        <v>0</v>
      </c>
      <c r="F388" s="248"/>
      <c r="G388" s="250">
        <v>325</v>
      </c>
      <c r="H388" s="249">
        <f t="shared" si="45"/>
        <v>0</v>
      </c>
      <c r="I388" s="249">
        <f t="shared" si="46"/>
        <v>0</v>
      </c>
      <c r="J388" s="249">
        <f t="shared" si="47"/>
        <v>0</v>
      </c>
      <c r="K388" s="249">
        <f t="shared" si="48"/>
        <v>0</v>
      </c>
      <c r="L388" s="248"/>
    </row>
    <row r="389" spans="1:12">
      <c r="A389" s="250">
        <v>326</v>
      </c>
      <c r="B389" s="249">
        <f t="shared" si="41"/>
        <v>0</v>
      </c>
      <c r="C389" s="249">
        <f t="shared" si="42"/>
        <v>0</v>
      </c>
      <c r="D389" s="249">
        <f t="shared" si="43"/>
        <v>0</v>
      </c>
      <c r="E389" s="249">
        <f t="shared" si="44"/>
        <v>0</v>
      </c>
      <c r="F389" s="248"/>
      <c r="G389" s="250">
        <v>326</v>
      </c>
      <c r="H389" s="249">
        <f t="shared" si="45"/>
        <v>0</v>
      </c>
      <c r="I389" s="249">
        <f t="shared" si="46"/>
        <v>0</v>
      </c>
      <c r="J389" s="249">
        <f t="shared" si="47"/>
        <v>0</v>
      </c>
      <c r="K389" s="249">
        <f t="shared" si="48"/>
        <v>0</v>
      </c>
      <c r="L389" s="248"/>
    </row>
    <row r="390" spans="1:12">
      <c r="A390" s="250">
        <v>327</v>
      </c>
      <c r="B390" s="249">
        <f t="shared" si="41"/>
        <v>0</v>
      </c>
      <c r="C390" s="249">
        <f t="shared" si="42"/>
        <v>0</v>
      </c>
      <c r="D390" s="249">
        <f t="shared" si="43"/>
        <v>0</v>
      </c>
      <c r="E390" s="249">
        <f t="shared" si="44"/>
        <v>0</v>
      </c>
      <c r="F390" s="248"/>
      <c r="G390" s="250">
        <v>327</v>
      </c>
      <c r="H390" s="249">
        <f t="shared" si="45"/>
        <v>0</v>
      </c>
      <c r="I390" s="249">
        <f t="shared" si="46"/>
        <v>0</v>
      </c>
      <c r="J390" s="249">
        <f t="shared" si="47"/>
        <v>0</v>
      </c>
      <c r="K390" s="249">
        <f t="shared" si="48"/>
        <v>0</v>
      </c>
      <c r="L390" s="248"/>
    </row>
    <row r="391" spans="1:12">
      <c r="A391" s="250">
        <v>328</v>
      </c>
      <c r="B391" s="249">
        <f t="shared" si="41"/>
        <v>0</v>
      </c>
      <c r="C391" s="249">
        <f t="shared" si="42"/>
        <v>0</v>
      </c>
      <c r="D391" s="249">
        <f t="shared" si="43"/>
        <v>0</v>
      </c>
      <c r="E391" s="249">
        <f t="shared" si="44"/>
        <v>0</v>
      </c>
      <c r="F391" s="248"/>
      <c r="G391" s="250">
        <v>328</v>
      </c>
      <c r="H391" s="249">
        <f t="shared" si="45"/>
        <v>0</v>
      </c>
      <c r="I391" s="249">
        <f t="shared" si="46"/>
        <v>0</v>
      </c>
      <c r="J391" s="249">
        <f t="shared" si="47"/>
        <v>0</v>
      </c>
      <c r="K391" s="249">
        <f t="shared" si="48"/>
        <v>0</v>
      </c>
      <c r="L391" s="248"/>
    </row>
    <row r="392" spans="1:12">
      <c r="A392" s="250">
        <v>329</v>
      </c>
      <c r="B392" s="249">
        <f t="shared" si="41"/>
        <v>0</v>
      </c>
      <c r="C392" s="249">
        <f t="shared" si="42"/>
        <v>0</v>
      </c>
      <c r="D392" s="249">
        <f t="shared" si="43"/>
        <v>0</v>
      </c>
      <c r="E392" s="249">
        <f t="shared" si="44"/>
        <v>0</v>
      </c>
      <c r="F392" s="248"/>
      <c r="G392" s="250">
        <v>329</v>
      </c>
      <c r="H392" s="249">
        <f t="shared" si="45"/>
        <v>0</v>
      </c>
      <c r="I392" s="249">
        <f t="shared" si="46"/>
        <v>0</v>
      </c>
      <c r="J392" s="249">
        <f t="shared" si="47"/>
        <v>0</v>
      </c>
      <c r="K392" s="249">
        <f t="shared" si="48"/>
        <v>0</v>
      </c>
      <c r="L392" s="248"/>
    </row>
    <row r="393" spans="1:12">
      <c r="A393" s="250">
        <v>330</v>
      </c>
      <c r="B393" s="249">
        <f t="shared" si="41"/>
        <v>0</v>
      </c>
      <c r="C393" s="249">
        <f t="shared" si="42"/>
        <v>0</v>
      </c>
      <c r="D393" s="249">
        <f t="shared" si="43"/>
        <v>0</v>
      </c>
      <c r="E393" s="249">
        <f t="shared" si="44"/>
        <v>0</v>
      </c>
      <c r="F393" s="248"/>
      <c r="G393" s="250">
        <v>330</v>
      </c>
      <c r="H393" s="249">
        <f t="shared" si="45"/>
        <v>0</v>
      </c>
      <c r="I393" s="249">
        <f t="shared" si="46"/>
        <v>0</v>
      </c>
      <c r="J393" s="249">
        <f t="shared" si="47"/>
        <v>0</v>
      </c>
      <c r="K393" s="249">
        <f t="shared" si="48"/>
        <v>0</v>
      </c>
      <c r="L393" s="248"/>
    </row>
    <row r="394" spans="1:12">
      <c r="A394" s="250">
        <v>331</v>
      </c>
      <c r="B394" s="249">
        <f t="shared" si="41"/>
        <v>0</v>
      </c>
      <c r="C394" s="249">
        <f t="shared" si="42"/>
        <v>0</v>
      </c>
      <c r="D394" s="249">
        <f t="shared" si="43"/>
        <v>0</v>
      </c>
      <c r="E394" s="249">
        <f t="shared" si="44"/>
        <v>0</v>
      </c>
      <c r="F394" s="248"/>
      <c r="G394" s="250">
        <v>331</v>
      </c>
      <c r="H394" s="249">
        <f t="shared" si="45"/>
        <v>0</v>
      </c>
      <c r="I394" s="249">
        <f t="shared" si="46"/>
        <v>0</v>
      </c>
      <c r="J394" s="249">
        <f t="shared" si="47"/>
        <v>0</v>
      </c>
      <c r="K394" s="249">
        <f t="shared" si="48"/>
        <v>0</v>
      </c>
      <c r="L394" s="248"/>
    </row>
    <row r="395" spans="1:12">
      <c r="A395" s="250">
        <v>332</v>
      </c>
      <c r="B395" s="249">
        <f t="shared" si="41"/>
        <v>0</v>
      </c>
      <c r="C395" s="249">
        <f t="shared" si="42"/>
        <v>0</v>
      </c>
      <c r="D395" s="249">
        <f t="shared" si="43"/>
        <v>0</v>
      </c>
      <c r="E395" s="249">
        <f t="shared" si="44"/>
        <v>0</v>
      </c>
      <c r="F395" s="248"/>
      <c r="G395" s="250">
        <v>332</v>
      </c>
      <c r="H395" s="249">
        <f t="shared" si="45"/>
        <v>0</v>
      </c>
      <c r="I395" s="249">
        <f t="shared" si="46"/>
        <v>0</v>
      </c>
      <c r="J395" s="249">
        <f t="shared" si="47"/>
        <v>0</v>
      </c>
      <c r="K395" s="249">
        <f t="shared" si="48"/>
        <v>0</v>
      </c>
      <c r="L395" s="248"/>
    </row>
    <row r="396" spans="1:12">
      <c r="A396" s="250">
        <v>333</v>
      </c>
      <c r="B396" s="249">
        <f t="shared" si="41"/>
        <v>0</v>
      </c>
      <c r="C396" s="249">
        <f t="shared" si="42"/>
        <v>0</v>
      </c>
      <c r="D396" s="249">
        <f t="shared" si="43"/>
        <v>0</v>
      </c>
      <c r="E396" s="249">
        <f t="shared" si="44"/>
        <v>0</v>
      </c>
      <c r="F396" s="248"/>
      <c r="G396" s="250">
        <v>333</v>
      </c>
      <c r="H396" s="249">
        <f t="shared" si="45"/>
        <v>0</v>
      </c>
      <c r="I396" s="249">
        <f t="shared" si="46"/>
        <v>0</v>
      </c>
      <c r="J396" s="249">
        <f t="shared" si="47"/>
        <v>0</v>
      </c>
      <c r="K396" s="249">
        <f t="shared" si="48"/>
        <v>0</v>
      </c>
      <c r="L396" s="248"/>
    </row>
    <row r="397" spans="1:12">
      <c r="A397" s="250">
        <v>334</v>
      </c>
      <c r="B397" s="249">
        <f t="shared" si="41"/>
        <v>0</v>
      </c>
      <c r="C397" s="249">
        <f t="shared" si="42"/>
        <v>0</v>
      </c>
      <c r="D397" s="249">
        <f t="shared" si="43"/>
        <v>0</v>
      </c>
      <c r="E397" s="249">
        <f t="shared" si="44"/>
        <v>0</v>
      </c>
      <c r="F397" s="248"/>
      <c r="G397" s="250">
        <v>334</v>
      </c>
      <c r="H397" s="249">
        <f t="shared" si="45"/>
        <v>0</v>
      </c>
      <c r="I397" s="249">
        <f t="shared" si="46"/>
        <v>0</v>
      </c>
      <c r="J397" s="249">
        <f t="shared" si="47"/>
        <v>0</v>
      </c>
      <c r="K397" s="249">
        <f t="shared" si="48"/>
        <v>0</v>
      </c>
      <c r="L397" s="248"/>
    </row>
    <row r="398" spans="1:12">
      <c r="A398" s="250">
        <v>335</v>
      </c>
      <c r="B398" s="249">
        <f t="shared" si="41"/>
        <v>0</v>
      </c>
      <c r="C398" s="249">
        <f t="shared" si="42"/>
        <v>0</v>
      </c>
      <c r="D398" s="249">
        <f t="shared" si="43"/>
        <v>0</v>
      </c>
      <c r="E398" s="249">
        <f t="shared" si="44"/>
        <v>0</v>
      </c>
      <c r="F398" s="248"/>
      <c r="G398" s="250">
        <v>335</v>
      </c>
      <c r="H398" s="249">
        <f t="shared" si="45"/>
        <v>0</v>
      </c>
      <c r="I398" s="249">
        <f t="shared" si="46"/>
        <v>0</v>
      </c>
      <c r="J398" s="249">
        <f t="shared" si="47"/>
        <v>0</v>
      </c>
      <c r="K398" s="249">
        <f t="shared" si="48"/>
        <v>0</v>
      </c>
      <c r="L398" s="248"/>
    </row>
    <row r="399" spans="1:12">
      <c r="A399" s="250">
        <v>336</v>
      </c>
      <c r="B399" s="249">
        <f t="shared" si="41"/>
        <v>0</v>
      </c>
      <c r="C399" s="249">
        <f t="shared" si="42"/>
        <v>0</v>
      </c>
      <c r="D399" s="249">
        <f t="shared" si="43"/>
        <v>0</v>
      </c>
      <c r="E399" s="249">
        <f t="shared" si="44"/>
        <v>0</v>
      </c>
      <c r="F399" s="248">
        <v>28</v>
      </c>
      <c r="G399" s="250">
        <v>336</v>
      </c>
      <c r="H399" s="249">
        <f t="shared" si="45"/>
        <v>0</v>
      </c>
      <c r="I399" s="249">
        <f t="shared" si="46"/>
        <v>0</v>
      </c>
      <c r="J399" s="249">
        <f t="shared" si="47"/>
        <v>0</v>
      </c>
      <c r="K399" s="249">
        <f t="shared" si="48"/>
        <v>0</v>
      </c>
      <c r="L399" s="248">
        <v>28</v>
      </c>
    </row>
    <row r="400" spans="1:12">
      <c r="A400" s="250">
        <v>337</v>
      </c>
      <c r="B400" s="249">
        <f t="shared" si="41"/>
        <v>0</v>
      </c>
      <c r="C400" s="249">
        <f t="shared" si="42"/>
        <v>0</v>
      </c>
      <c r="D400" s="249">
        <f t="shared" si="43"/>
        <v>0</v>
      </c>
      <c r="E400" s="249">
        <f t="shared" si="44"/>
        <v>0</v>
      </c>
      <c r="F400" s="248"/>
      <c r="G400" s="250">
        <v>337</v>
      </c>
      <c r="H400" s="249">
        <f t="shared" si="45"/>
        <v>0</v>
      </c>
      <c r="I400" s="249">
        <f t="shared" si="46"/>
        <v>0</v>
      </c>
      <c r="J400" s="249">
        <f t="shared" si="47"/>
        <v>0</v>
      </c>
      <c r="K400" s="249">
        <f t="shared" si="48"/>
        <v>0</v>
      </c>
      <c r="L400" s="248"/>
    </row>
    <row r="401" spans="1:12">
      <c r="A401" s="250">
        <v>338</v>
      </c>
      <c r="B401" s="249">
        <f t="shared" si="41"/>
        <v>0</v>
      </c>
      <c r="C401" s="249">
        <f t="shared" si="42"/>
        <v>0</v>
      </c>
      <c r="D401" s="249">
        <f t="shared" si="43"/>
        <v>0</v>
      </c>
      <c r="E401" s="249">
        <f t="shared" si="44"/>
        <v>0</v>
      </c>
      <c r="F401" s="248"/>
      <c r="G401" s="250">
        <v>338</v>
      </c>
      <c r="H401" s="249">
        <f t="shared" si="45"/>
        <v>0</v>
      </c>
      <c r="I401" s="249">
        <f t="shared" si="46"/>
        <v>0</v>
      </c>
      <c r="J401" s="249">
        <f t="shared" si="47"/>
        <v>0</v>
      </c>
      <c r="K401" s="249">
        <f t="shared" si="48"/>
        <v>0</v>
      </c>
      <c r="L401" s="248"/>
    </row>
    <row r="402" spans="1:12">
      <c r="A402" s="250">
        <v>339</v>
      </c>
      <c r="B402" s="249">
        <f t="shared" si="41"/>
        <v>0</v>
      </c>
      <c r="C402" s="249">
        <f t="shared" si="42"/>
        <v>0</v>
      </c>
      <c r="D402" s="249">
        <f t="shared" si="43"/>
        <v>0</v>
      </c>
      <c r="E402" s="249">
        <f t="shared" si="44"/>
        <v>0</v>
      </c>
      <c r="F402" s="248"/>
      <c r="G402" s="250">
        <v>339</v>
      </c>
      <c r="H402" s="249">
        <f t="shared" si="45"/>
        <v>0</v>
      </c>
      <c r="I402" s="249">
        <f t="shared" si="46"/>
        <v>0</v>
      </c>
      <c r="J402" s="249">
        <f t="shared" si="47"/>
        <v>0</v>
      </c>
      <c r="K402" s="249">
        <f t="shared" si="48"/>
        <v>0</v>
      </c>
      <c r="L402" s="248"/>
    </row>
    <row r="403" spans="1:12">
      <c r="A403" s="250">
        <v>340</v>
      </c>
      <c r="B403" s="249">
        <f t="shared" si="41"/>
        <v>0</v>
      </c>
      <c r="C403" s="249">
        <f t="shared" si="42"/>
        <v>0</v>
      </c>
      <c r="D403" s="249">
        <f t="shared" si="43"/>
        <v>0</v>
      </c>
      <c r="E403" s="249">
        <f t="shared" si="44"/>
        <v>0</v>
      </c>
      <c r="F403" s="248"/>
      <c r="G403" s="250">
        <v>340</v>
      </c>
      <c r="H403" s="249">
        <f t="shared" si="45"/>
        <v>0</v>
      </c>
      <c r="I403" s="249">
        <f t="shared" si="46"/>
        <v>0</v>
      </c>
      <c r="J403" s="249">
        <f t="shared" si="47"/>
        <v>0</v>
      </c>
      <c r="K403" s="249">
        <f t="shared" si="48"/>
        <v>0</v>
      </c>
      <c r="L403" s="248"/>
    </row>
    <row r="404" spans="1:12">
      <c r="A404" s="250">
        <v>341</v>
      </c>
      <c r="B404" s="249">
        <f t="shared" si="41"/>
        <v>0</v>
      </c>
      <c r="C404" s="249">
        <f t="shared" si="42"/>
        <v>0</v>
      </c>
      <c r="D404" s="249">
        <f t="shared" si="43"/>
        <v>0</v>
      </c>
      <c r="E404" s="249">
        <f t="shared" si="44"/>
        <v>0</v>
      </c>
      <c r="F404" s="248"/>
      <c r="G404" s="250">
        <v>341</v>
      </c>
      <c r="H404" s="249">
        <f t="shared" si="45"/>
        <v>0</v>
      </c>
      <c r="I404" s="249">
        <f t="shared" si="46"/>
        <v>0</v>
      </c>
      <c r="J404" s="249">
        <f t="shared" si="47"/>
        <v>0</v>
      </c>
      <c r="K404" s="249">
        <f t="shared" si="48"/>
        <v>0</v>
      </c>
      <c r="L404" s="248"/>
    </row>
    <row r="405" spans="1:12">
      <c r="A405" s="250">
        <v>342</v>
      </c>
      <c r="B405" s="249">
        <f t="shared" si="41"/>
        <v>0</v>
      </c>
      <c r="C405" s="249">
        <f t="shared" si="42"/>
        <v>0</v>
      </c>
      <c r="D405" s="249">
        <f t="shared" si="43"/>
        <v>0</v>
      </c>
      <c r="E405" s="249">
        <f t="shared" si="44"/>
        <v>0</v>
      </c>
      <c r="F405" s="248"/>
      <c r="G405" s="250">
        <v>342</v>
      </c>
      <c r="H405" s="249">
        <f t="shared" si="45"/>
        <v>0</v>
      </c>
      <c r="I405" s="249">
        <f t="shared" si="46"/>
        <v>0</v>
      </c>
      <c r="J405" s="249">
        <f t="shared" si="47"/>
        <v>0</v>
      </c>
      <c r="K405" s="249">
        <f t="shared" si="48"/>
        <v>0</v>
      </c>
      <c r="L405" s="248"/>
    </row>
    <row r="406" spans="1:12">
      <c r="A406" s="250">
        <v>343</v>
      </c>
      <c r="B406" s="249">
        <f t="shared" si="41"/>
        <v>0</v>
      </c>
      <c r="C406" s="249">
        <f t="shared" si="42"/>
        <v>0</v>
      </c>
      <c r="D406" s="249">
        <f t="shared" si="43"/>
        <v>0</v>
      </c>
      <c r="E406" s="249">
        <f t="shared" si="44"/>
        <v>0</v>
      </c>
      <c r="F406" s="248"/>
      <c r="G406" s="250">
        <v>343</v>
      </c>
      <c r="H406" s="249">
        <f t="shared" si="45"/>
        <v>0</v>
      </c>
      <c r="I406" s="249">
        <f t="shared" si="46"/>
        <v>0</v>
      </c>
      <c r="J406" s="249">
        <f t="shared" si="47"/>
        <v>0</v>
      </c>
      <c r="K406" s="249">
        <f t="shared" si="48"/>
        <v>0</v>
      </c>
      <c r="L406" s="248"/>
    </row>
    <row r="407" spans="1:12">
      <c r="A407" s="250">
        <v>344</v>
      </c>
      <c r="B407" s="249">
        <f t="shared" si="41"/>
        <v>0</v>
      </c>
      <c r="C407" s="249">
        <f t="shared" si="42"/>
        <v>0</v>
      </c>
      <c r="D407" s="249">
        <f t="shared" si="43"/>
        <v>0</v>
      </c>
      <c r="E407" s="249">
        <f t="shared" si="44"/>
        <v>0</v>
      </c>
      <c r="F407" s="248"/>
      <c r="G407" s="250">
        <v>344</v>
      </c>
      <c r="H407" s="249">
        <f t="shared" si="45"/>
        <v>0</v>
      </c>
      <c r="I407" s="249">
        <f t="shared" si="46"/>
        <v>0</v>
      </c>
      <c r="J407" s="249">
        <f t="shared" si="47"/>
        <v>0</v>
      </c>
      <c r="K407" s="249">
        <f t="shared" si="48"/>
        <v>0</v>
      </c>
      <c r="L407" s="248"/>
    </row>
    <row r="408" spans="1:12">
      <c r="A408" s="250">
        <v>345</v>
      </c>
      <c r="B408" s="249">
        <f t="shared" si="41"/>
        <v>0</v>
      </c>
      <c r="C408" s="249">
        <f t="shared" si="42"/>
        <v>0</v>
      </c>
      <c r="D408" s="249">
        <f t="shared" si="43"/>
        <v>0</v>
      </c>
      <c r="E408" s="249">
        <f t="shared" si="44"/>
        <v>0</v>
      </c>
      <c r="F408" s="248"/>
      <c r="G408" s="250">
        <v>345</v>
      </c>
      <c r="H408" s="249">
        <f t="shared" si="45"/>
        <v>0</v>
      </c>
      <c r="I408" s="249">
        <f t="shared" si="46"/>
        <v>0</v>
      </c>
      <c r="J408" s="249">
        <f t="shared" si="47"/>
        <v>0</v>
      </c>
      <c r="K408" s="249">
        <f t="shared" si="48"/>
        <v>0</v>
      </c>
      <c r="L408" s="248"/>
    </row>
    <row r="409" spans="1:12">
      <c r="A409" s="250">
        <v>346</v>
      </c>
      <c r="B409" s="249">
        <f t="shared" si="41"/>
        <v>0</v>
      </c>
      <c r="C409" s="249">
        <f t="shared" si="42"/>
        <v>0</v>
      </c>
      <c r="D409" s="249">
        <f t="shared" si="43"/>
        <v>0</v>
      </c>
      <c r="E409" s="249">
        <f t="shared" si="44"/>
        <v>0</v>
      </c>
      <c r="F409" s="248"/>
      <c r="G409" s="250">
        <v>346</v>
      </c>
      <c r="H409" s="249">
        <f t="shared" si="45"/>
        <v>0</v>
      </c>
      <c r="I409" s="249">
        <f t="shared" si="46"/>
        <v>0</v>
      </c>
      <c r="J409" s="249">
        <f t="shared" si="47"/>
        <v>0</v>
      </c>
      <c r="K409" s="249">
        <f t="shared" si="48"/>
        <v>0</v>
      </c>
      <c r="L409" s="248"/>
    </row>
    <row r="410" spans="1:12">
      <c r="A410" s="250">
        <v>347</v>
      </c>
      <c r="B410" s="249">
        <f t="shared" si="41"/>
        <v>0</v>
      </c>
      <c r="C410" s="249">
        <f t="shared" si="42"/>
        <v>0</v>
      </c>
      <c r="D410" s="249">
        <f t="shared" si="43"/>
        <v>0</v>
      </c>
      <c r="E410" s="249">
        <f t="shared" si="44"/>
        <v>0</v>
      </c>
      <c r="F410" s="248"/>
      <c r="G410" s="250">
        <v>347</v>
      </c>
      <c r="H410" s="249">
        <f t="shared" si="45"/>
        <v>0</v>
      </c>
      <c r="I410" s="249">
        <f t="shared" si="46"/>
        <v>0</v>
      </c>
      <c r="J410" s="249">
        <f t="shared" si="47"/>
        <v>0</v>
      </c>
      <c r="K410" s="249">
        <f t="shared" si="48"/>
        <v>0</v>
      </c>
      <c r="L410" s="248"/>
    </row>
    <row r="411" spans="1:12">
      <c r="A411" s="250">
        <v>348</v>
      </c>
      <c r="B411" s="249">
        <f t="shared" si="41"/>
        <v>0</v>
      </c>
      <c r="C411" s="249">
        <f t="shared" si="42"/>
        <v>0</v>
      </c>
      <c r="D411" s="249">
        <f t="shared" si="43"/>
        <v>0</v>
      </c>
      <c r="E411" s="249">
        <f t="shared" si="44"/>
        <v>0</v>
      </c>
      <c r="F411" s="248">
        <v>29</v>
      </c>
      <c r="G411" s="250">
        <v>348</v>
      </c>
      <c r="H411" s="249">
        <f t="shared" si="45"/>
        <v>0</v>
      </c>
      <c r="I411" s="249">
        <f t="shared" si="46"/>
        <v>0</v>
      </c>
      <c r="J411" s="249">
        <f t="shared" si="47"/>
        <v>0</v>
      </c>
      <c r="K411" s="249">
        <f t="shared" si="48"/>
        <v>0</v>
      </c>
      <c r="L411" s="248">
        <v>29</v>
      </c>
    </row>
    <row r="412" spans="1:12">
      <c r="A412" s="250">
        <v>349</v>
      </c>
      <c r="B412" s="249">
        <f t="shared" si="41"/>
        <v>0</v>
      </c>
      <c r="C412" s="249">
        <f t="shared" si="42"/>
        <v>0</v>
      </c>
      <c r="D412" s="249">
        <f t="shared" si="43"/>
        <v>0</v>
      </c>
      <c r="E412" s="249">
        <f t="shared" si="44"/>
        <v>0</v>
      </c>
      <c r="F412" s="248"/>
      <c r="G412" s="250">
        <v>349</v>
      </c>
      <c r="H412" s="249">
        <f t="shared" si="45"/>
        <v>0</v>
      </c>
      <c r="I412" s="249">
        <f t="shared" si="46"/>
        <v>0</v>
      </c>
      <c r="J412" s="249">
        <f t="shared" si="47"/>
        <v>0</v>
      </c>
      <c r="K412" s="249">
        <f t="shared" si="48"/>
        <v>0</v>
      </c>
      <c r="L412" s="248"/>
    </row>
    <row r="413" spans="1:12">
      <c r="A413" s="250">
        <v>350</v>
      </c>
      <c r="B413" s="249">
        <f t="shared" si="41"/>
        <v>0</v>
      </c>
      <c r="C413" s="249">
        <f t="shared" si="42"/>
        <v>0</v>
      </c>
      <c r="D413" s="249">
        <f t="shared" si="43"/>
        <v>0</v>
      </c>
      <c r="E413" s="249">
        <f t="shared" si="44"/>
        <v>0</v>
      </c>
      <c r="F413" s="248"/>
      <c r="G413" s="250">
        <v>350</v>
      </c>
      <c r="H413" s="249">
        <f t="shared" si="45"/>
        <v>0</v>
      </c>
      <c r="I413" s="249">
        <f t="shared" si="46"/>
        <v>0</v>
      </c>
      <c r="J413" s="249">
        <f t="shared" si="47"/>
        <v>0</v>
      </c>
      <c r="K413" s="249">
        <f t="shared" si="48"/>
        <v>0</v>
      </c>
      <c r="L413" s="248"/>
    </row>
    <row r="414" spans="1:12">
      <c r="A414" s="250">
        <v>351</v>
      </c>
      <c r="B414" s="249">
        <f t="shared" si="41"/>
        <v>0</v>
      </c>
      <c r="C414" s="249">
        <f t="shared" si="42"/>
        <v>0</v>
      </c>
      <c r="D414" s="249">
        <f t="shared" si="43"/>
        <v>0</v>
      </c>
      <c r="E414" s="249">
        <f t="shared" si="44"/>
        <v>0</v>
      </c>
      <c r="F414" s="248"/>
      <c r="G414" s="250">
        <v>351</v>
      </c>
      <c r="H414" s="249">
        <f t="shared" si="45"/>
        <v>0</v>
      </c>
      <c r="I414" s="249">
        <f t="shared" si="46"/>
        <v>0</v>
      </c>
      <c r="J414" s="249">
        <f t="shared" si="47"/>
        <v>0</v>
      </c>
      <c r="K414" s="249">
        <f t="shared" si="48"/>
        <v>0</v>
      </c>
      <c r="L414" s="248"/>
    </row>
    <row r="415" spans="1:12">
      <c r="A415" s="250">
        <v>352</v>
      </c>
      <c r="B415" s="249">
        <f t="shared" si="41"/>
        <v>0</v>
      </c>
      <c r="C415" s="249">
        <f t="shared" si="42"/>
        <v>0</v>
      </c>
      <c r="D415" s="249">
        <f t="shared" si="43"/>
        <v>0</v>
      </c>
      <c r="E415" s="249">
        <f t="shared" si="44"/>
        <v>0</v>
      </c>
      <c r="F415" s="248"/>
      <c r="G415" s="250">
        <v>352</v>
      </c>
      <c r="H415" s="249">
        <f t="shared" si="45"/>
        <v>0</v>
      </c>
      <c r="I415" s="249">
        <f t="shared" si="46"/>
        <v>0</v>
      </c>
      <c r="J415" s="249">
        <f t="shared" si="47"/>
        <v>0</v>
      </c>
      <c r="K415" s="249">
        <f t="shared" si="48"/>
        <v>0</v>
      </c>
      <c r="L415" s="248"/>
    </row>
    <row r="416" spans="1:12">
      <c r="A416" s="250">
        <v>353</v>
      </c>
      <c r="B416" s="249">
        <f t="shared" si="41"/>
        <v>0</v>
      </c>
      <c r="C416" s="249">
        <f t="shared" si="42"/>
        <v>0</v>
      </c>
      <c r="D416" s="249">
        <f t="shared" si="43"/>
        <v>0</v>
      </c>
      <c r="E416" s="249">
        <f t="shared" si="44"/>
        <v>0</v>
      </c>
      <c r="F416" s="248"/>
      <c r="G416" s="250">
        <v>353</v>
      </c>
      <c r="H416" s="249">
        <f t="shared" si="45"/>
        <v>0</v>
      </c>
      <c r="I416" s="249">
        <f t="shared" si="46"/>
        <v>0</v>
      </c>
      <c r="J416" s="249">
        <f t="shared" si="47"/>
        <v>0</v>
      </c>
      <c r="K416" s="249">
        <f t="shared" si="48"/>
        <v>0</v>
      </c>
      <c r="L416" s="248"/>
    </row>
    <row r="417" spans="1:12">
      <c r="A417" s="250">
        <v>354</v>
      </c>
      <c r="B417" s="249">
        <f t="shared" si="41"/>
        <v>0</v>
      </c>
      <c r="C417" s="249">
        <f t="shared" si="42"/>
        <v>0</v>
      </c>
      <c r="D417" s="249">
        <f t="shared" si="43"/>
        <v>0</v>
      </c>
      <c r="E417" s="249">
        <f t="shared" si="44"/>
        <v>0</v>
      </c>
      <c r="F417" s="248"/>
      <c r="G417" s="250">
        <v>354</v>
      </c>
      <c r="H417" s="249">
        <f t="shared" si="45"/>
        <v>0</v>
      </c>
      <c r="I417" s="249">
        <f t="shared" si="46"/>
        <v>0</v>
      </c>
      <c r="J417" s="249">
        <f t="shared" si="47"/>
        <v>0</v>
      </c>
      <c r="K417" s="249">
        <f t="shared" si="48"/>
        <v>0</v>
      </c>
      <c r="L417" s="248"/>
    </row>
    <row r="418" spans="1:12">
      <c r="A418" s="250">
        <v>355</v>
      </c>
      <c r="B418" s="249">
        <f t="shared" si="41"/>
        <v>0</v>
      </c>
      <c r="C418" s="249">
        <f t="shared" si="42"/>
        <v>0</v>
      </c>
      <c r="D418" s="249">
        <f t="shared" si="43"/>
        <v>0</v>
      </c>
      <c r="E418" s="249">
        <f t="shared" si="44"/>
        <v>0</v>
      </c>
      <c r="F418" s="248"/>
      <c r="G418" s="250">
        <v>355</v>
      </c>
      <c r="H418" s="249">
        <f t="shared" si="45"/>
        <v>0</v>
      </c>
      <c r="I418" s="249">
        <f t="shared" si="46"/>
        <v>0</v>
      </c>
      <c r="J418" s="249">
        <f t="shared" si="47"/>
        <v>0</v>
      </c>
      <c r="K418" s="249">
        <f t="shared" si="48"/>
        <v>0</v>
      </c>
      <c r="L418" s="248"/>
    </row>
    <row r="419" spans="1:12">
      <c r="A419" s="250">
        <v>356</v>
      </c>
      <c r="B419" s="249">
        <f t="shared" si="41"/>
        <v>0</v>
      </c>
      <c r="C419" s="249">
        <f t="shared" si="42"/>
        <v>0</v>
      </c>
      <c r="D419" s="249">
        <f t="shared" si="43"/>
        <v>0</v>
      </c>
      <c r="E419" s="249">
        <f t="shared" si="44"/>
        <v>0</v>
      </c>
      <c r="F419" s="248"/>
      <c r="G419" s="250">
        <v>356</v>
      </c>
      <c r="H419" s="249">
        <f t="shared" si="45"/>
        <v>0</v>
      </c>
      <c r="I419" s="249">
        <f t="shared" si="46"/>
        <v>0</v>
      </c>
      <c r="J419" s="249">
        <f t="shared" si="47"/>
        <v>0</v>
      </c>
      <c r="K419" s="249">
        <f t="shared" si="48"/>
        <v>0</v>
      </c>
      <c r="L419" s="248"/>
    </row>
    <row r="420" spans="1:12">
      <c r="A420" s="250">
        <v>357</v>
      </c>
      <c r="B420" s="249">
        <f t="shared" si="41"/>
        <v>0</v>
      </c>
      <c r="C420" s="249">
        <f t="shared" si="42"/>
        <v>0</v>
      </c>
      <c r="D420" s="249">
        <f t="shared" si="43"/>
        <v>0</v>
      </c>
      <c r="E420" s="249">
        <f t="shared" si="44"/>
        <v>0</v>
      </c>
      <c r="F420" s="248"/>
      <c r="G420" s="250">
        <v>357</v>
      </c>
      <c r="H420" s="249">
        <f t="shared" si="45"/>
        <v>0</v>
      </c>
      <c r="I420" s="249">
        <f t="shared" si="46"/>
        <v>0</v>
      </c>
      <c r="J420" s="249">
        <f t="shared" si="47"/>
        <v>0</v>
      </c>
      <c r="K420" s="249">
        <f t="shared" si="48"/>
        <v>0</v>
      </c>
      <c r="L420" s="248"/>
    </row>
    <row r="421" spans="1:12">
      <c r="A421" s="250">
        <v>358</v>
      </c>
      <c r="B421" s="249">
        <f t="shared" si="41"/>
        <v>0</v>
      </c>
      <c r="C421" s="249">
        <f t="shared" si="42"/>
        <v>0</v>
      </c>
      <c r="D421" s="249">
        <f t="shared" si="43"/>
        <v>0</v>
      </c>
      <c r="E421" s="249">
        <f t="shared" si="44"/>
        <v>0</v>
      </c>
      <c r="F421" s="248"/>
      <c r="G421" s="250">
        <v>358</v>
      </c>
      <c r="H421" s="249">
        <f t="shared" si="45"/>
        <v>0</v>
      </c>
      <c r="I421" s="249">
        <f t="shared" si="46"/>
        <v>0</v>
      </c>
      <c r="J421" s="249">
        <f t="shared" si="47"/>
        <v>0</v>
      </c>
      <c r="K421" s="249">
        <f t="shared" si="48"/>
        <v>0</v>
      </c>
      <c r="L421" s="248"/>
    </row>
    <row r="422" spans="1:12">
      <c r="A422" s="250">
        <v>359</v>
      </c>
      <c r="B422" s="249">
        <f t="shared" si="41"/>
        <v>0</v>
      </c>
      <c r="C422" s="249">
        <f t="shared" si="42"/>
        <v>0</v>
      </c>
      <c r="D422" s="249">
        <f t="shared" si="43"/>
        <v>0</v>
      </c>
      <c r="E422" s="249">
        <f t="shared" si="44"/>
        <v>0</v>
      </c>
      <c r="F422" s="248"/>
      <c r="G422" s="250">
        <v>359</v>
      </c>
      <c r="H422" s="249">
        <f t="shared" si="45"/>
        <v>0</v>
      </c>
      <c r="I422" s="249">
        <f t="shared" si="46"/>
        <v>0</v>
      </c>
      <c r="J422" s="249">
        <f t="shared" si="47"/>
        <v>0</v>
      </c>
      <c r="K422" s="249">
        <f t="shared" si="48"/>
        <v>0</v>
      </c>
      <c r="L422" s="248"/>
    </row>
    <row r="423" spans="1:12">
      <c r="A423" s="250">
        <v>360</v>
      </c>
      <c r="B423" s="249">
        <f t="shared" si="41"/>
        <v>0</v>
      </c>
      <c r="C423" s="249">
        <f t="shared" si="42"/>
        <v>0</v>
      </c>
      <c r="D423" s="249">
        <f t="shared" si="43"/>
        <v>0</v>
      </c>
      <c r="E423" s="249">
        <f t="shared" si="44"/>
        <v>0</v>
      </c>
      <c r="F423" s="248">
        <v>30</v>
      </c>
      <c r="G423" s="250">
        <v>360</v>
      </c>
      <c r="H423" s="249">
        <f t="shared" si="45"/>
        <v>0</v>
      </c>
      <c r="I423" s="249">
        <f t="shared" si="46"/>
        <v>0</v>
      </c>
      <c r="J423" s="249">
        <f t="shared" si="47"/>
        <v>0</v>
      </c>
      <c r="K423" s="249">
        <f t="shared" si="48"/>
        <v>0</v>
      </c>
      <c r="L423" s="248">
        <v>30</v>
      </c>
    </row>
    <row r="424" spans="1:12">
      <c r="A424" s="250">
        <v>361</v>
      </c>
      <c r="B424" s="249">
        <f t="shared" si="41"/>
        <v>0</v>
      </c>
      <c r="C424" s="249">
        <f t="shared" si="42"/>
        <v>0</v>
      </c>
      <c r="D424" s="249">
        <f t="shared" si="43"/>
        <v>0</v>
      </c>
      <c r="E424" s="249">
        <f t="shared" si="44"/>
        <v>0</v>
      </c>
      <c r="F424" s="248"/>
      <c r="G424" s="250">
        <v>361</v>
      </c>
      <c r="H424" s="249">
        <f t="shared" si="45"/>
        <v>0</v>
      </c>
      <c r="I424" s="249">
        <f t="shared" si="46"/>
        <v>0</v>
      </c>
      <c r="J424" s="249">
        <f t="shared" si="47"/>
        <v>0</v>
      </c>
      <c r="K424" s="249">
        <f t="shared" si="48"/>
        <v>0</v>
      </c>
      <c r="L424" s="248"/>
    </row>
    <row r="425" spans="1:12">
      <c r="A425" s="250">
        <v>362</v>
      </c>
      <c r="B425" s="249">
        <f t="shared" si="41"/>
        <v>0</v>
      </c>
      <c r="C425" s="249">
        <f t="shared" si="42"/>
        <v>0</v>
      </c>
      <c r="D425" s="249">
        <f t="shared" si="43"/>
        <v>0</v>
      </c>
      <c r="E425" s="249">
        <f t="shared" si="44"/>
        <v>0</v>
      </c>
      <c r="F425" s="248"/>
      <c r="G425" s="250">
        <v>362</v>
      </c>
      <c r="H425" s="249">
        <f t="shared" si="45"/>
        <v>0</v>
      </c>
      <c r="I425" s="249">
        <f t="shared" si="46"/>
        <v>0</v>
      </c>
      <c r="J425" s="249">
        <f t="shared" si="47"/>
        <v>0</v>
      </c>
      <c r="K425" s="249">
        <f t="shared" si="48"/>
        <v>0</v>
      </c>
      <c r="L425" s="248"/>
    </row>
    <row r="426" spans="1:12">
      <c r="A426" s="250">
        <v>363</v>
      </c>
      <c r="B426" s="249">
        <f t="shared" si="41"/>
        <v>0</v>
      </c>
      <c r="C426" s="249">
        <f t="shared" si="42"/>
        <v>0</v>
      </c>
      <c r="D426" s="249">
        <f t="shared" si="43"/>
        <v>0</v>
      </c>
      <c r="E426" s="249">
        <f t="shared" si="44"/>
        <v>0</v>
      </c>
      <c r="F426" s="248"/>
      <c r="G426" s="250">
        <v>363</v>
      </c>
      <c r="H426" s="249">
        <f t="shared" si="45"/>
        <v>0</v>
      </c>
      <c r="I426" s="249">
        <f t="shared" si="46"/>
        <v>0</v>
      </c>
      <c r="J426" s="249">
        <f t="shared" si="47"/>
        <v>0</v>
      </c>
      <c r="K426" s="249">
        <f t="shared" si="48"/>
        <v>0</v>
      </c>
      <c r="L426" s="248"/>
    </row>
    <row r="427" spans="1:12">
      <c r="A427" s="250">
        <v>364</v>
      </c>
      <c r="B427" s="249">
        <f t="shared" si="41"/>
        <v>0</v>
      </c>
      <c r="C427" s="249">
        <f t="shared" si="42"/>
        <v>0</v>
      </c>
      <c r="D427" s="249">
        <f t="shared" si="43"/>
        <v>0</v>
      </c>
      <c r="E427" s="249">
        <f t="shared" si="44"/>
        <v>0</v>
      </c>
      <c r="F427" s="248"/>
      <c r="G427" s="250">
        <v>364</v>
      </c>
      <c r="H427" s="249">
        <f t="shared" si="45"/>
        <v>0</v>
      </c>
      <c r="I427" s="249">
        <f t="shared" si="46"/>
        <v>0</v>
      </c>
      <c r="J427" s="249">
        <f t="shared" si="47"/>
        <v>0</v>
      </c>
      <c r="K427" s="249">
        <f t="shared" si="48"/>
        <v>0</v>
      </c>
      <c r="L427" s="248"/>
    </row>
    <row r="428" spans="1:12">
      <c r="A428" s="250">
        <v>365</v>
      </c>
      <c r="B428" s="249">
        <f t="shared" si="41"/>
        <v>0</v>
      </c>
      <c r="C428" s="249">
        <f t="shared" si="42"/>
        <v>0</v>
      </c>
      <c r="D428" s="249">
        <f t="shared" si="43"/>
        <v>0</v>
      </c>
      <c r="E428" s="249">
        <f t="shared" si="44"/>
        <v>0</v>
      </c>
      <c r="F428" s="248"/>
      <c r="G428" s="250">
        <v>365</v>
      </c>
      <c r="H428" s="249">
        <f t="shared" si="45"/>
        <v>0</v>
      </c>
      <c r="I428" s="249">
        <f t="shared" si="46"/>
        <v>0</v>
      </c>
      <c r="J428" s="249">
        <f t="shared" si="47"/>
        <v>0</v>
      </c>
      <c r="K428" s="249">
        <f t="shared" si="48"/>
        <v>0</v>
      </c>
      <c r="L428" s="248"/>
    </row>
    <row r="429" spans="1:12">
      <c r="A429" s="250">
        <v>366</v>
      </c>
      <c r="B429" s="249">
        <f t="shared" si="41"/>
        <v>0</v>
      </c>
      <c r="C429" s="249">
        <f t="shared" si="42"/>
        <v>0</v>
      </c>
      <c r="D429" s="249">
        <f t="shared" si="43"/>
        <v>0</v>
      </c>
      <c r="E429" s="249">
        <f t="shared" si="44"/>
        <v>0</v>
      </c>
      <c r="F429" s="248"/>
      <c r="G429" s="250">
        <v>366</v>
      </c>
      <c r="H429" s="249">
        <f t="shared" si="45"/>
        <v>0</v>
      </c>
      <c r="I429" s="249">
        <f t="shared" si="46"/>
        <v>0</v>
      </c>
      <c r="J429" s="249">
        <f t="shared" si="47"/>
        <v>0</v>
      </c>
      <c r="K429" s="249">
        <f t="shared" si="48"/>
        <v>0</v>
      </c>
      <c r="L429" s="248"/>
    </row>
    <row r="430" spans="1:12">
      <c r="A430" s="250">
        <v>367</v>
      </c>
      <c r="B430" s="249">
        <f t="shared" si="41"/>
        <v>0</v>
      </c>
      <c r="C430" s="249">
        <f t="shared" si="42"/>
        <v>0</v>
      </c>
      <c r="D430" s="249">
        <f t="shared" si="43"/>
        <v>0</v>
      </c>
      <c r="E430" s="249">
        <f t="shared" si="44"/>
        <v>0</v>
      </c>
      <c r="F430" s="248"/>
      <c r="G430" s="250">
        <v>367</v>
      </c>
      <c r="H430" s="249">
        <f t="shared" si="45"/>
        <v>0</v>
      </c>
      <c r="I430" s="249">
        <f t="shared" si="46"/>
        <v>0</v>
      </c>
      <c r="J430" s="249">
        <f t="shared" si="47"/>
        <v>0</v>
      </c>
      <c r="K430" s="249">
        <f t="shared" si="48"/>
        <v>0</v>
      </c>
      <c r="L430" s="248"/>
    </row>
    <row r="431" spans="1:12">
      <c r="A431" s="250">
        <v>368</v>
      </c>
      <c r="B431" s="249">
        <f t="shared" si="41"/>
        <v>0</v>
      </c>
      <c r="C431" s="249">
        <f t="shared" si="42"/>
        <v>0</v>
      </c>
      <c r="D431" s="249">
        <f t="shared" si="43"/>
        <v>0</v>
      </c>
      <c r="E431" s="249">
        <f t="shared" si="44"/>
        <v>0</v>
      </c>
      <c r="F431" s="248"/>
      <c r="G431" s="250">
        <v>368</v>
      </c>
      <c r="H431" s="249">
        <f t="shared" si="45"/>
        <v>0</v>
      </c>
      <c r="I431" s="249">
        <f t="shared" si="46"/>
        <v>0</v>
      </c>
      <c r="J431" s="249">
        <f t="shared" si="47"/>
        <v>0</v>
      </c>
      <c r="K431" s="249">
        <f t="shared" si="48"/>
        <v>0</v>
      </c>
      <c r="L431" s="248"/>
    </row>
    <row r="432" spans="1:12">
      <c r="A432" s="250">
        <v>369</v>
      </c>
      <c r="B432" s="249">
        <f t="shared" si="41"/>
        <v>0</v>
      </c>
      <c r="C432" s="249">
        <f t="shared" si="42"/>
        <v>0</v>
      </c>
      <c r="D432" s="249">
        <f t="shared" si="43"/>
        <v>0</v>
      </c>
      <c r="E432" s="249">
        <f t="shared" si="44"/>
        <v>0</v>
      </c>
      <c r="F432" s="248"/>
      <c r="G432" s="250">
        <v>369</v>
      </c>
      <c r="H432" s="249">
        <f t="shared" si="45"/>
        <v>0</v>
      </c>
      <c r="I432" s="249">
        <f t="shared" si="46"/>
        <v>0</v>
      </c>
      <c r="J432" s="249">
        <f t="shared" si="47"/>
        <v>0</v>
      </c>
      <c r="K432" s="249">
        <f t="shared" si="48"/>
        <v>0</v>
      </c>
      <c r="L432" s="248"/>
    </row>
    <row r="433" spans="1:12">
      <c r="A433" s="250">
        <v>370</v>
      </c>
      <c r="B433" s="249">
        <f t="shared" si="41"/>
        <v>0</v>
      </c>
      <c r="C433" s="249">
        <f t="shared" si="42"/>
        <v>0</v>
      </c>
      <c r="D433" s="249">
        <f t="shared" si="43"/>
        <v>0</v>
      </c>
      <c r="E433" s="249">
        <f t="shared" si="44"/>
        <v>0</v>
      </c>
      <c r="F433" s="248"/>
      <c r="G433" s="250">
        <v>370</v>
      </c>
      <c r="H433" s="249">
        <f t="shared" si="45"/>
        <v>0</v>
      </c>
      <c r="I433" s="249">
        <f t="shared" si="46"/>
        <v>0</v>
      </c>
      <c r="J433" s="249">
        <f t="shared" si="47"/>
        <v>0</v>
      </c>
      <c r="K433" s="249">
        <f t="shared" si="48"/>
        <v>0</v>
      </c>
      <c r="L433" s="248"/>
    </row>
    <row r="434" spans="1:12">
      <c r="A434" s="250">
        <v>371</v>
      </c>
      <c r="B434" s="249">
        <f t="shared" si="41"/>
        <v>0</v>
      </c>
      <c r="C434" s="249">
        <f t="shared" si="42"/>
        <v>0</v>
      </c>
      <c r="D434" s="249">
        <f t="shared" si="43"/>
        <v>0</v>
      </c>
      <c r="E434" s="249">
        <f t="shared" si="44"/>
        <v>0</v>
      </c>
      <c r="F434" s="248"/>
      <c r="G434" s="250">
        <v>371</v>
      </c>
      <c r="H434" s="249">
        <f t="shared" si="45"/>
        <v>0</v>
      </c>
      <c r="I434" s="249">
        <f t="shared" si="46"/>
        <v>0</v>
      </c>
      <c r="J434" s="249">
        <f t="shared" si="47"/>
        <v>0</v>
      </c>
      <c r="K434" s="249">
        <f t="shared" si="48"/>
        <v>0</v>
      </c>
      <c r="L434" s="248"/>
    </row>
    <row r="435" spans="1:12">
      <c r="A435" s="250">
        <v>372</v>
      </c>
      <c r="B435" s="249">
        <f t="shared" si="41"/>
        <v>0</v>
      </c>
      <c r="C435" s="249">
        <f t="shared" si="42"/>
        <v>0</v>
      </c>
      <c r="D435" s="249">
        <f t="shared" si="43"/>
        <v>0</v>
      </c>
      <c r="E435" s="249">
        <f t="shared" si="44"/>
        <v>0</v>
      </c>
      <c r="F435" s="248">
        <v>31</v>
      </c>
      <c r="G435" s="250">
        <v>372</v>
      </c>
      <c r="H435" s="249">
        <f t="shared" si="45"/>
        <v>0</v>
      </c>
      <c r="I435" s="249">
        <f t="shared" si="46"/>
        <v>0</v>
      </c>
      <c r="J435" s="249">
        <f t="shared" si="47"/>
        <v>0</v>
      </c>
      <c r="K435" s="249">
        <f t="shared" si="48"/>
        <v>0</v>
      </c>
      <c r="L435" s="248">
        <v>31</v>
      </c>
    </row>
    <row r="436" spans="1:12">
      <c r="A436" s="250">
        <v>373</v>
      </c>
      <c r="B436" s="249">
        <f t="shared" si="41"/>
        <v>0</v>
      </c>
      <c r="C436" s="249">
        <f t="shared" si="42"/>
        <v>0</v>
      </c>
      <c r="D436" s="249">
        <f t="shared" si="43"/>
        <v>0</v>
      </c>
      <c r="E436" s="249">
        <f t="shared" si="44"/>
        <v>0</v>
      </c>
      <c r="F436" s="248"/>
      <c r="G436" s="250">
        <v>373</v>
      </c>
      <c r="H436" s="249">
        <f t="shared" si="45"/>
        <v>0</v>
      </c>
      <c r="I436" s="249">
        <f t="shared" si="46"/>
        <v>0</v>
      </c>
      <c r="J436" s="249">
        <f t="shared" si="47"/>
        <v>0</v>
      </c>
      <c r="K436" s="249">
        <f t="shared" si="48"/>
        <v>0</v>
      </c>
      <c r="L436" s="248"/>
    </row>
    <row r="437" spans="1:12">
      <c r="A437" s="250">
        <v>374</v>
      </c>
      <c r="B437" s="249">
        <f t="shared" si="41"/>
        <v>0</v>
      </c>
      <c r="C437" s="249">
        <f t="shared" si="42"/>
        <v>0</v>
      </c>
      <c r="D437" s="249">
        <f t="shared" si="43"/>
        <v>0</v>
      </c>
      <c r="E437" s="249">
        <f t="shared" si="44"/>
        <v>0</v>
      </c>
      <c r="F437" s="248"/>
      <c r="G437" s="250">
        <v>374</v>
      </c>
      <c r="H437" s="249">
        <f t="shared" si="45"/>
        <v>0</v>
      </c>
      <c r="I437" s="249">
        <f t="shared" si="46"/>
        <v>0</v>
      </c>
      <c r="J437" s="249">
        <f t="shared" si="47"/>
        <v>0</v>
      </c>
      <c r="K437" s="249">
        <f t="shared" si="48"/>
        <v>0</v>
      </c>
      <c r="L437" s="248"/>
    </row>
    <row r="438" spans="1:12">
      <c r="A438" s="250">
        <v>375</v>
      </c>
      <c r="B438" s="249">
        <f t="shared" si="41"/>
        <v>0</v>
      </c>
      <c r="C438" s="249">
        <f t="shared" si="42"/>
        <v>0</v>
      </c>
      <c r="D438" s="249">
        <f t="shared" si="43"/>
        <v>0</v>
      </c>
      <c r="E438" s="249">
        <f t="shared" si="44"/>
        <v>0</v>
      </c>
      <c r="F438" s="248"/>
      <c r="G438" s="250">
        <v>375</v>
      </c>
      <c r="H438" s="249">
        <f t="shared" si="45"/>
        <v>0</v>
      </c>
      <c r="I438" s="249">
        <f t="shared" si="46"/>
        <v>0</v>
      </c>
      <c r="J438" s="249">
        <f t="shared" si="47"/>
        <v>0</v>
      </c>
      <c r="K438" s="249">
        <f t="shared" si="48"/>
        <v>0</v>
      </c>
      <c r="L438" s="248"/>
    </row>
    <row r="439" spans="1:12">
      <c r="A439" s="250">
        <v>376</v>
      </c>
      <c r="B439" s="249">
        <f t="shared" si="41"/>
        <v>0</v>
      </c>
      <c r="C439" s="249">
        <f t="shared" si="42"/>
        <v>0</v>
      </c>
      <c r="D439" s="249">
        <f t="shared" si="43"/>
        <v>0</v>
      </c>
      <c r="E439" s="249">
        <f t="shared" si="44"/>
        <v>0</v>
      </c>
      <c r="F439" s="248"/>
      <c r="G439" s="250">
        <v>376</v>
      </c>
      <c r="H439" s="249">
        <f t="shared" si="45"/>
        <v>0</v>
      </c>
      <c r="I439" s="249">
        <f t="shared" si="46"/>
        <v>0</v>
      </c>
      <c r="J439" s="249">
        <f t="shared" si="47"/>
        <v>0</v>
      </c>
      <c r="K439" s="249">
        <f t="shared" si="48"/>
        <v>0</v>
      </c>
      <c r="L439" s="248"/>
    </row>
    <row r="440" spans="1:12">
      <c r="A440" s="250">
        <v>377</v>
      </c>
      <c r="B440" s="249">
        <f t="shared" si="41"/>
        <v>0</v>
      </c>
      <c r="C440" s="249">
        <f t="shared" si="42"/>
        <v>0</v>
      </c>
      <c r="D440" s="249">
        <f t="shared" si="43"/>
        <v>0</v>
      </c>
      <c r="E440" s="249">
        <f t="shared" si="44"/>
        <v>0</v>
      </c>
      <c r="F440" s="248"/>
      <c r="G440" s="250">
        <v>377</v>
      </c>
      <c r="H440" s="249">
        <f t="shared" si="45"/>
        <v>0</v>
      </c>
      <c r="I440" s="249">
        <f t="shared" si="46"/>
        <v>0</v>
      </c>
      <c r="J440" s="249">
        <f t="shared" si="47"/>
        <v>0</v>
      </c>
      <c r="K440" s="249">
        <f t="shared" si="48"/>
        <v>0</v>
      </c>
      <c r="L440" s="248"/>
    </row>
    <row r="441" spans="1:12">
      <c r="A441" s="250">
        <v>378</v>
      </c>
      <c r="B441" s="249">
        <f t="shared" si="41"/>
        <v>0</v>
      </c>
      <c r="C441" s="249">
        <f t="shared" si="42"/>
        <v>0</v>
      </c>
      <c r="D441" s="249">
        <f t="shared" si="43"/>
        <v>0</v>
      </c>
      <c r="E441" s="249">
        <f t="shared" si="44"/>
        <v>0</v>
      </c>
      <c r="F441" s="248"/>
      <c r="G441" s="250">
        <v>378</v>
      </c>
      <c r="H441" s="249">
        <f t="shared" si="45"/>
        <v>0</v>
      </c>
      <c r="I441" s="249">
        <f t="shared" si="46"/>
        <v>0</v>
      </c>
      <c r="J441" s="249">
        <f t="shared" si="47"/>
        <v>0</v>
      </c>
      <c r="K441" s="249">
        <f t="shared" si="48"/>
        <v>0</v>
      </c>
      <c r="L441" s="248"/>
    </row>
    <row r="442" spans="1:12">
      <c r="A442" s="250">
        <v>379</v>
      </c>
      <c r="B442" s="249">
        <f t="shared" si="41"/>
        <v>0</v>
      </c>
      <c r="C442" s="249">
        <f t="shared" si="42"/>
        <v>0</v>
      </c>
      <c r="D442" s="249">
        <f t="shared" si="43"/>
        <v>0</v>
      </c>
      <c r="E442" s="249">
        <f t="shared" si="44"/>
        <v>0</v>
      </c>
      <c r="F442" s="248"/>
      <c r="G442" s="250">
        <v>379</v>
      </c>
      <c r="H442" s="249">
        <f t="shared" si="45"/>
        <v>0</v>
      </c>
      <c r="I442" s="249">
        <f t="shared" si="46"/>
        <v>0</v>
      </c>
      <c r="J442" s="249">
        <f t="shared" si="47"/>
        <v>0</v>
      </c>
      <c r="K442" s="249">
        <f t="shared" si="48"/>
        <v>0</v>
      </c>
      <c r="L442" s="248"/>
    </row>
    <row r="443" spans="1:12">
      <c r="A443" s="250">
        <v>380</v>
      </c>
      <c r="B443" s="249">
        <f t="shared" si="41"/>
        <v>0</v>
      </c>
      <c r="C443" s="249">
        <f t="shared" si="42"/>
        <v>0</v>
      </c>
      <c r="D443" s="249">
        <f t="shared" si="43"/>
        <v>0</v>
      </c>
      <c r="E443" s="249">
        <f t="shared" si="44"/>
        <v>0</v>
      </c>
      <c r="F443" s="248"/>
      <c r="G443" s="250">
        <v>380</v>
      </c>
      <c r="H443" s="249">
        <f t="shared" si="45"/>
        <v>0</v>
      </c>
      <c r="I443" s="249">
        <f t="shared" si="46"/>
        <v>0</v>
      </c>
      <c r="J443" s="249">
        <f t="shared" si="47"/>
        <v>0</v>
      </c>
      <c r="K443" s="249">
        <f t="shared" si="48"/>
        <v>0</v>
      </c>
      <c r="L443" s="248"/>
    </row>
    <row r="444" spans="1:12">
      <c r="A444" s="250">
        <v>381</v>
      </c>
      <c r="B444" s="249">
        <f t="shared" si="41"/>
        <v>0</v>
      </c>
      <c r="C444" s="249">
        <f t="shared" si="42"/>
        <v>0</v>
      </c>
      <c r="D444" s="249">
        <f t="shared" si="43"/>
        <v>0</v>
      </c>
      <c r="E444" s="249">
        <f t="shared" si="44"/>
        <v>0</v>
      </c>
      <c r="F444" s="248"/>
      <c r="G444" s="250">
        <v>381</v>
      </c>
      <c r="H444" s="249">
        <f t="shared" si="45"/>
        <v>0</v>
      </c>
      <c r="I444" s="249">
        <f t="shared" si="46"/>
        <v>0</v>
      </c>
      <c r="J444" s="249">
        <f t="shared" si="47"/>
        <v>0</v>
      </c>
      <c r="K444" s="249">
        <f t="shared" si="48"/>
        <v>0</v>
      </c>
      <c r="L444" s="248"/>
    </row>
    <row r="445" spans="1:12">
      <c r="A445" s="250">
        <v>382</v>
      </c>
      <c r="B445" s="249">
        <f t="shared" si="41"/>
        <v>0</v>
      </c>
      <c r="C445" s="249">
        <f t="shared" si="42"/>
        <v>0</v>
      </c>
      <c r="D445" s="249">
        <f t="shared" si="43"/>
        <v>0</v>
      </c>
      <c r="E445" s="249">
        <f t="shared" si="44"/>
        <v>0</v>
      </c>
      <c r="F445" s="248"/>
      <c r="G445" s="250">
        <v>382</v>
      </c>
      <c r="H445" s="249">
        <f t="shared" si="45"/>
        <v>0</v>
      </c>
      <c r="I445" s="249">
        <f t="shared" si="46"/>
        <v>0</v>
      </c>
      <c r="J445" s="249">
        <f t="shared" si="47"/>
        <v>0</v>
      </c>
      <c r="K445" s="249">
        <f t="shared" si="48"/>
        <v>0</v>
      </c>
      <c r="L445" s="248"/>
    </row>
    <row r="446" spans="1:12">
      <c r="A446" s="250">
        <v>383</v>
      </c>
      <c r="B446" s="249">
        <f t="shared" si="41"/>
        <v>0</v>
      </c>
      <c r="C446" s="249">
        <f t="shared" si="42"/>
        <v>0</v>
      </c>
      <c r="D446" s="249">
        <f t="shared" si="43"/>
        <v>0</v>
      </c>
      <c r="E446" s="249">
        <f t="shared" si="44"/>
        <v>0</v>
      </c>
      <c r="F446" s="248"/>
      <c r="G446" s="250">
        <v>383</v>
      </c>
      <c r="H446" s="249">
        <f t="shared" si="45"/>
        <v>0</v>
      </c>
      <c r="I446" s="249">
        <f t="shared" si="46"/>
        <v>0</v>
      </c>
      <c r="J446" s="249">
        <f t="shared" si="47"/>
        <v>0</v>
      </c>
      <c r="K446" s="249">
        <f t="shared" si="48"/>
        <v>0</v>
      </c>
      <c r="L446" s="248"/>
    </row>
    <row r="447" spans="1:12">
      <c r="A447" s="250">
        <v>384</v>
      </c>
      <c r="B447" s="249">
        <f t="shared" si="41"/>
        <v>0</v>
      </c>
      <c r="C447" s="249">
        <f t="shared" si="42"/>
        <v>0</v>
      </c>
      <c r="D447" s="249">
        <f t="shared" si="43"/>
        <v>0</v>
      </c>
      <c r="E447" s="249">
        <f t="shared" si="44"/>
        <v>0</v>
      </c>
      <c r="F447" s="248">
        <v>32</v>
      </c>
      <c r="G447" s="250">
        <v>384</v>
      </c>
      <c r="H447" s="249">
        <f t="shared" si="45"/>
        <v>0</v>
      </c>
      <c r="I447" s="249">
        <f t="shared" si="46"/>
        <v>0</v>
      </c>
      <c r="J447" s="249">
        <f t="shared" si="47"/>
        <v>0</v>
      </c>
      <c r="K447" s="249">
        <f t="shared" si="48"/>
        <v>0</v>
      </c>
      <c r="L447" s="248">
        <v>32</v>
      </c>
    </row>
    <row r="448" spans="1:12">
      <c r="A448" s="250">
        <v>385</v>
      </c>
      <c r="B448" s="249">
        <f t="shared" ref="B448:B511" si="49">IF(A448&gt;12*$C$9,0,IF($C$5&gt;1500000,$D$12,$C$12))</f>
        <v>0</v>
      </c>
      <c r="C448" s="249">
        <f t="shared" ref="C448:C511" si="50">IF(A448&gt;12*$C$9,0,E447*$C$7/12)</f>
        <v>0</v>
      </c>
      <c r="D448" s="249">
        <f t="shared" ref="D448:D511" si="51">IF(A448&gt;12*$C$9,0,B448-C448)</f>
        <v>0</v>
      </c>
      <c r="E448" s="249">
        <f t="shared" ref="E448:E511" si="52">IF(A448&gt;12*$C$9,0,E447-D448)</f>
        <v>0</v>
      </c>
      <c r="F448" s="248"/>
      <c r="G448" s="250">
        <v>385</v>
      </c>
      <c r="H448" s="249">
        <f t="shared" ref="H448:H511" si="53">IF(G448&gt;12*$C$9,0,IF($C$5&gt;1500000,$E$12,0))</f>
        <v>0</v>
      </c>
      <c r="I448" s="249">
        <f t="shared" ref="I448:I511" si="54">IF(G448&gt;12*$C$9,0,K447*$C$7/12)</f>
        <v>0</v>
      </c>
      <c r="J448" s="249">
        <f t="shared" ref="J448:J511" si="55">IF(G448&gt;12*$C$9,0,H448-I448)</f>
        <v>0</v>
      </c>
      <c r="K448" s="249">
        <f t="shared" ref="K448:K511" si="56">IF(G448&gt;12*$C$9,0,K447-J448)</f>
        <v>0</v>
      </c>
      <c r="L448" s="248"/>
    </row>
    <row r="449" spans="1:12">
      <c r="A449" s="250">
        <v>386</v>
      </c>
      <c r="B449" s="249">
        <f t="shared" si="49"/>
        <v>0</v>
      </c>
      <c r="C449" s="249">
        <f t="shared" si="50"/>
        <v>0</v>
      </c>
      <c r="D449" s="249">
        <f t="shared" si="51"/>
        <v>0</v>
      </c>
      <c r="E449" s="249">
        <f t="shared" si="52"/>
        <v>0</v>
      </c>
      <c r="F449" s="248"/>
      <c r="G449" s="250">
        <v>386</v>
      </c>
      <c r="H449" s="249">
        <f t="shared" si="53"/>
        <v>0</v>
      </c>
      <c r="I449" s="249">
        <f t="shared" si="54"/>
        <v>0</v>
      </c>
      <c r="J449" s="249">
        <f t="shared" si="55"/>
        <v>0</v>
      </c>
      <c r="K449" s="249">
        <f t="shared" si="56"/>
        <v>0</v>
      </c>
      <c r="L449" s="248"/>
    </row>
    <row r="450" spans="1:12">
      <c r="A450" s="250">
        <v>387</v>
      </c>
      <c r="B450" s="249">
        <f t="shared" si="49"/>
        <v>0</v>
      </c>
      <c r="C450" s="249">
        <f t="shared" si="50"/>
        <v>0</v>
      </c>
      <c r="D450" s="249">
        <f t="shared" si="51"/>
        <v>0</v>
      </c>
      <c r="E450" s="249">
        <f t="shared" si="52"/>
        <v>0</v>
      </c>
      <c r="F450" s="248"/>
      <c r="G450" s="250">
        <v>387</v>
      </c>
      <c r="H450" s="249">
        <f t="shared" si="53"/>
        <v>0</v>
      </c>
      <c r="I450" s="249">
        <f t="shared" si="54"/>
        <v>0</v>
      </c>
      <c r="J450" s="249">
        <f t="shared" si="55"/>
        <v>0</v>
      </c>
      <c r="K450" s="249">
        <f t="shared" si="56"/>
        <v>0</v>
      </c>
      <c r="L450" s="248"/>
    </row>
    <row r="451" spans="1:12">
      <c r="A451" s="250">
        <v>388</v>
      </c>
      <c r="B451" s="249">
        <f t="shared" si="49"/>
        <v>0</v>
      </c>
      <c r="C451" s="249">
        <f t="shared" si="50"/>
        <v>0</v>
      </c>
      <c r="D451" s="249">
        <f t="shared" si="51"/>
        <v>0</v>
      </c>
      <c r="E451" s="249">
        <f t="shared" si="52"/>
        <v>0</v>
      </c>
      <c r="F451" s="248"/>
      <c r="G451" s="250">
        <v>388</v>
      </c>
      <c r="H451" s="249">
        <f t="shared" si="53"/>
        <v>0</v>
      </c>
      <c r="I451" s="249">
        <f t="shared" si="54"/>
        <v>0</v>
      </c>
      <c r="J451" s="249">
        <f t="shared" si="55"/>
        <v>0</v>
      </c>
      <c r="K451" s="249">
        <f t="shared" si="56"/>
        <v>0</v>
      </c>
      <c r="L451" s="248"/>
    </row>
    <row r="452" spans="1:12">
      <c r="A452" s="250">
        <v>389</v>
      </c>
      <c r="B452" s="249">
        <f t="shared" si="49"/>
        <v>0</v>
      </c>
      <c r="C452" s="249">
        <f t="shared" si="50"/>
        <v>0</v>
      </c>
      <c r="D452" s="249">
        <f t="shared" si="51"/>
        <v>0</v>
      </c>
      <c r="E452" s="249">
        <f t="shared" si="52"/>
        <v>0</v>
      </c>
      <c r="F452" s="248"/>
      <c r="G452" s="250">
        <v>389</v>
      </c>
      <c r="H452" s="249">
        <f t="shared" si="53"/>
        <v>0</v>
      </c>
      <c r="I452" s="249">
        <f t="shared" si="54"/>
        <v>0</v>
      </c>
      <c r="J452" s="249">
        <f t="shared" si="55"/>
        <v>0</v>
      </c>
      <c r="K452" s="249">
        <f t="shared" si="56"/>
        <v>0</v>
      </c>
      <c r="L452" s="248"/>
    </row>
    <row r="453" spans="1:12">
      <c r="A453" s="250">
        <v>390</v>
      </c>
      <c r="B453" s="249">
        <f t="shared" si="49"/>
        <v>0</v>
      </c>
      <c r="C453" s="249">
        <f t="shared" si="50"/>
        <v>0</v>
      </c>
      <c r="D453" s="249">
        <f t="shared" si="51"/>
        <v>0</v>
      </c>
      <c r="E453" s="249">
        <f t="shared" si="52"/>
        <v>0</v>
      </c>
      <c r="F453" s="248"/>
      <c r="G453" s="250">
        <v>390</v>
      </c>
      <c r="H453" s="249">
        <f t="shared" si="53"/>
        <v>0</v>
      </c>
      <c r="I453" s="249">
        <f t="shared" si="54"/>
        <v>0</v>
      </c>
      <c r="J453" s="249">
        <f t="shared" si="55"/>
        <v>0</v>
      </c>
      <c r="K453" s="249">
        <f t="shared" si="56"/>
        <v>0</v>
      </c>
      <c r="L453" s="248"/>
    </row>
    <row r="454" spans="1:12">
      <c r="A454" s="250">
        <v>391</v>
      </c>
      <c r="B454" s="249">
        <f t="shared" si="49"/>
        <v>0</v>
      </c>
      <c r="C454" s="249">
        <f t="shared" si="50"/>
        <v>0</v>
      </c>
      <c r="D454" s="249">
        <f t="shared" si="51"/>
        <v>0</v>
      </c>
      <c r="E454" s="249">
        <f t="shared" si="52"/>
        <v>0</v>
      </c>
      <c r="F454" s="248"/>
      <c r="G454" s="250">
        <v>391</v>
      </c>
      <c r="H454" s="249">
        <f t="shared" si="53"/>
        <v>0</v>
      </c>
      <c r="I454" s="249">
        <f t="shared" si="54"/>
        <v>0</v>
      </c>
      <c r="J454" s="249">
        <f t="shared" si="55"/>
        <v>0</v>
      </c>
      <c r="K454" s="249">
        <f t="shared" si="56"/>
        <v>0</v>
      </c>
      <c r="L454" s="248"/>
    </row>
    <row r="455" spans="1:12">
      <c r="A455" s="250">
        <v>392</v>
      </c>
      <c r="B455" s="249">
        <f t="shared" si="49"/>
        <v>0</v>
      </c>
      <c r="C455" s="249">
        <f t="shared" si="50"/>
        <v>0</v>
      </c>
      <c r="D455" s="249">
        <f t="shared" si="51"/>
        <v>0</v>
      </c>
      <c r="E455" s="249">
        <f t="shared" si="52"/>
        <v>0</v>
      </c>
      <c r="F455" s="248"/>
      <c r="G455" s="250">
        <v>392</v>
      </c>
      <c r="H455" s="249">
        <f t="shared" si="53"/>
        <v>0</v>
      </c>
      <c r="I455" s="249">
        <f t="shared" si="54"/>
        <v>0</v>
      </c>
      <c r="J455" s="249">
        <f t="shared" si="55"/>
        <v>0</v>
      </c>
      <c r="K455" s="249">
        <f t="shared" si="56"/>
        <v>0</v>
      </c>
      <c r="L455" s="248"/>
    </row>
    <row r="456" spans="1:12">
      <c r="A456" s="250">
        <v>393</v>
      </c>
      <c r="B456" s="249">
        <f t="shared" si="49"/>
        <v>0</v>
      </c>
      <c r="C456" s="249">
        <f t="shared" si="50"/>
        <v>0</v>
      </c>
      <c r="D456" s="249">
        <f t="shared" si="51"/>
        <v>0</v>
      </c>
      <c r="E456" s="249">
        <f t="shared" si="52"/>
        <v>0</v>
      </c>
      <c r="F456" s="248"/>
      <c r="G456" s="250">
        <v>393</v>
      </c>
      <c r="H456" s="249">
        <f t="shared" si="53"/>
        <v>0</v>
      </c>
      <c r="I456" s="249">
        <f t="shared" si="54"/>
        <v>0</v>
      </c>
      <c r="J456" s="249">
        <f t="shared" si="55"/>
        <v>0</v>
      </c>
      <c r="K456" s="249">
        <f t="shared" si="56"/>
        <v>0</v>
      </c>
      <c r="L456" s="248"/>
    </row>
    <row r="457" spans="1:12">
      <c r="A457" s="250">
        <v>394</v>
      </c>
      <c r="B457" s="249">
        <f t="shared" si="49"/>
        <v>0</v>
      </c>
      <c r="C457" s="249">
        <f t="shared" si="50"/>
        <v>0</v>
      </c>
      <c r="D457" s="249">
        <f t="shared" si="51"/>
        <v>0</v>
      </c>
      <c r="E457" s="249">
        <f t="shared" si="52"/>
        <v>0</v>
      </c>
      <c r="F457" s="248"/>
      <c r="G457" s="250">
        <v>394</v>
      </c>
      <c r="H457" s="249">
        <f t="shared" si="53"/>
        <v>0</v>
      </c>
      <c r="I457" s="249">
        <f t="shared" si="54"/>
        <v>0</v>
      </c>
      <c r="J457" s="249">
        <f t="shared" si="55"/>
        <v>0</v>
      </c>
      <c r="K457" s="249">
        <f t="shared" si="56"/>
        <v>0</v>
      </c>
      <c r="L457" s="248"/>
    </row>
    <row r="458" spans="1:12">
      <c r="A458" s="250">
        <v>395</v>
      </c>
      <c r="B458" s="249">
        <f t="shared" si="49"/>
        <v>0</v>
      </c>
      <c r="C458" s="249">
        <f t="shared" si="50"/>
        <v>0</v>
      </c>
      <c r="D458" s="249">
        <f t="shared" si="51"/>
        <v>0</v>
      </c>
      <c r="E458" s="249">
        <f t="shared" si="52"/>
        <v>0</v>
      </c>
      <c r="F458" s="248"/>
      <c r="G458" s="250">
        <v>395</v>
      </c>
      <c r="H458" s="249">
        <f t="shared" si="53"/>
        <v>0</v>
      </c>
      <c r="I458" s="249">
        <f t="shared" si="54"/>
        <v>0</v>
      </c>
      <c r="J458" s="249">
        <f t="shared" si="55"/>
        <v>0</v>
      </c>
      <c r="K458" s="249">
        <f t="shared" si="56"/>
        <v>0</v>
      </c>
      <c r="L458" s="248"/>
    </row>
    <row r="459" spans="1:12">
      <c r="A459" s="250">
        <v>396</v>
      </c>
      <c r="B459" s="249">
        <f t="shared" si="49"/>
        <v>0</v>
      </c>
      <c r="C459" s="249">
        <f t="shared" si="50"/>
        <v>0</v>
      </c>
      <c r="D459" s="249">
        <f t="shared" si="51"/>
        <v>0</v>
      </c>
      <c r="E459" s="249">
        <f t="shared" si="52"/>
        <v>0</v>
      </c>
      <c r="F459" s="248">
        <v>33</v>
      </c>
      <c r="G459" s="250">
        <v>396</v>
      </c>
      <c r="H459" s="249">
        <f t="shared" si="53"/>
        <v>0</v>
      </c>
      <c r="I459" s="249">
        <f t="shared" si="54"/>
        <v>0</v>
      </c>
      <c r="J459" s="249">
        <f t="shared" si="55"/>
        <v>0</v>
      </c>
      <c r="K459" s="249">
        <f t="shared" si="56"/>
        <v>0</v>
      </c>
      <c r="L459" s="248">
        <v>33</v>
      </c>
    </row>
    <row r="460" spans="1:12">
      <c r="A460" s="250">
        <v>397</v>
      </c>
      <c r="B460" s="249">
        <f t="shared" si="49"/>
        <v>0</v>
      </c>
      <c r="C460" s="249">
        <f t="shared" si="50"/>
        <v>0</v>
      </c>
      <c r="D460" s="249">
        <f t="shared" si="51"/>
        <v>0</v>
      </c>
      <c r="E460" s="249">
        <f t="shared" si="52"/>
        <v>0</v>
      </c>
      <c r="F460" s="248"/>
      <c r="G460" s="250">
        <v>397</v>
      </c>
      <c r="H460" s="249">
        <f t="shared" si="53"/>
        <v>0</v>
      </c>
      <c r="I460" s="249">
        <f t="shared" si="54"/>
        <v>0</v>
      </c>
      <c r="J460" s="249">
        <f t="shared" si="55"/>
        <v>0</v>
      </c>
      <c r="K460" s="249">
        <f t="shared" si="56"/>
        <v>0</v>
      </c>
      <c r="L460" s="248"/>
    </row>
    <row r="461" spans="1:12">
      <c r="A461" s="250">
        <v>398</v>
      </c>
      <c r="B461" s="249">
        <f t="shared" si="49"/>
        <v>0</v>
      </c>
      <c r="C461" s="249">
        <f t="shared" si="50"/>
        <v>0</v>
      </c>
      <c r="D461" s="249">
        <f t="shared" si="51"/>
        <v>0</v>
      </c>
      <c r="E461" s="249">
        <f t="shared" si="52"/>
        <v>0</v>
      </c>
      <c r="F461" s="248"/>
      <c r="G461" s="250">
        <v>398</v>
      </c>
      <c r="H461" s="249">
        <f t="shared" si="53"/>
        <v>0</v>
      </c>
      <c r="I461" s="249">
        <f t="shared" si="54"/>
        <v>0</v>
      </c>
      <c r="J461" s="249">
        <f t="shared" si="55"/>
        <v>0</v>
      </c>
      <c r="K461" s="249">
        <f t="shared" si="56"/>
        <v>0</v>
      </c>
      <c r="L461" s="248"/>
    </row>
    <row r="462" spans="1:12">
      <c r="A462" s="250">
        <v>399</v>
      </c>
      <c r="B462" s="249">
        <f t="shared" si="49"/>
        <v>0</v>
      </c>
      <c r="C462" s="249">
        <f t="shared" si="50"/>
        <v>0</v>
      </c>
      <c r="D462" s="249">
        <f t="shared" si="51"/>
        <v>0</v>
      </c>
      <c r="E462" s="249">
        <f t="shared" si="52"/>
        <v>0</v>
      </c>
      <c r="F462" s="248"/>
      <c r="G462" s="250">
        <v>399</v>
      </c>
      <c r="H462" s="249">
        <f t="shared" si="53"/>
        <v>0</v>
      </c>
      <c r="I462" s="249">
        <f t="shared" si="54"/>
        <v>0</v>
      </c>
      <c r="J462" s="249">
        <f t="shared" si="55"/>
        <v>0</v>
      </c>
      <c r="K462" s="249">
        <f t="shared" si="56"/>
        <v>0</v>
      </c>
      <c r="L462" s="248"/>
    </row>
    <row r="463" spans="1:12">
      <c r="A463" s="250">
        <v>400</v>
      </c>
      <c r="B463" s="249">
        <f t="shared" si="49"/>
        <v>0</v>
      </c>
      <c r="C463" s="249">
        <f t="shared" si="50"/>
        <v>0</v>
      </c>
      <c r="D463" s="249">
        <f t="shared" si="51"/>
        <v>0</v>
      </c>
      <c r="E463" s="249">
        <f t="shared" si="52"/>
        <v>0</v>
      </c>
      <c r="F463" s="248"/>
      <c r="G463" s="250">
        <v>400</v>
      </c>
      <c r="H463" s="249">
        <f t="shared" si="53"/>
        <v>0</v>
      </c>
      <c r="I463" s="249">
        <f t="shared" si="54"/>
        <v>0</v>
      </c>
      <c r="J463" s="249">
        <f t="shared" si="55"/>
        <v>0</v>
      </c>
      <c r="K463" s="249">
        <f t="shared" si="56"/>
        <v>0</v>
      </c>
      <c r="L463" s="248"/>
    </row>
    <row r="464" spans="1:12">
      <c r="A464" s="250">
        <v>401</v>
      </c>
      <c r="B464" s="249">
        <f t="shared" si="49"/>
        <v>0</v>
      </c>
      <c r="C464" s="249">
        <f t="shared" si="50"/>
        <v>0</v>
      </c>
      <c r="D464" s="249">
        <f t="shared" si="51"/>
        <v>0</v>
      </c>
      <c r="E464" s="249">
        <f t="shared" si="52"/>
        <v>0</v>
      </c>
      <c r="F464" s="248"/>
      <c r="G464" s="250">
        <v>401</v>
      </c>
      <c r="H464" s="249">
        <f t="shared" si="53"/>
        <v>0</v>
      </c>
      <c r="I464" s="249">
        <f t="shared" si="54"/>
        <v>0</v>
      </c>
      <c r="J464" s="249">
        <f t="shared" si="55"/>
        <v>0</v>
      </c>
      <c r="K464" s="249">
        <f t="shared" si="56"/>
        <v>0</v>
      </c>
      <c r="L464" s="248"/>
    </row>
    <row r="465" spans="1:12">
      <c r="A465" s="250">
        <v>402</v>
      </c>
      <c r="B465" s="249">
        <f t="shared" si="49"/>
        <v>0</v>
      </c>
      <c r="C465" s="249">
        <f t="shared" si="50"/>
        <v>0</v>
      </c>
      <c r="D465" s="249">
        <f t="shared" si="51"/>
        <v>0</v>
      </c>
      <c r="E465" s="249">
        <f t="shared" si="52"/>
        <v>0</v>
      </c>
      <c r="F465" s="248"/>
      <c r="G465" s="250">
        <v>402</v>
      </c>
      <c r="H465" s="249">
        <f t="shared" si="53"/>
        <v>0</v>
      </c>
      <c r="I465" s="249">
        <f t="shared" si="54"/>
        <v>0</v>
      </c>
      <c r="J465" s="249">
        <f t="shared" si="55"/>
        <v>0</v>
      </c>
      <c r="K465" s="249">
        <f t="shared" si="56"/>
        <v>0</v>
      </c>
      <c r="L465" s="248"/>
    </row>
    <row r="466" spans="1:12">
      <c r="A466" s="250">
        <v>403</v>
      </c>
      <c r="B466" s="249">
        <f t="shared" si="49"/>
        <v>0</v>
      </c>
      <c r="C466" s="249">
        <f t="shared" si="50"/>
        <v>0</v>
      </c>
      <c r="D466" s="249">
        <f t="shared" si="51"/>
        <v>0</v>
      </c>
      <c r="E466" s="249">
        <f t="shared" si="52"/>
        <v>0</v>
      </c>
      <c r="F466" s="248"/>
      <c r="G466" s="250">
        <v>403</v>
      </c>
      <c r="H466" s="249">
        <f t="shared" si="53"/>
        <v>0</v>
      </c>
      <c r="I466" s="249">
        <f t="shared" si="54"/>
        <v>0</v>
      </c>
      <c r="J466" s="249">
        <f t="shared" si="55"/>
        <v>0</v>
      </c>
      <c r="K466" s="249">
        <f t="shared" si="56"/>
        <v>0</v>
      </c>
      <c r="L466" s="248"/>
    </row>
    <row r="467" spans="1:12">
      <c r="A467" s="250">
        <v>404</v>
      </c>
      <c r="B467" s="249">
        <f t="shared" si="49"/>
        <v>0</v>
      </c>
      <c r="C467" s="249">
        <f t="shared" si="50"/>
        <v>0</v>
      </c>
      <c r="D467" s="249">
        <f t="shared" si="51"/>
        <v>0</v>
      </c>
      <c r="E467" s="249">
        <f t="shared" si="52"/>
        <v>0</v>
      </c>
      <c r="F467" s="248"/>
      <c r="G467" s="250">
        <v>404</v>
      </c>
      <c r="H467" s="249">
        <f t="shared" si="53"/>
        <v>0</v>
      </c>
      <c r="I467" s="249">
        <f t="shared" si="54"/>
        <v>0</v>
      </c>
      <c r="J467" s="249">
        <f t="shared" si="55"/>
        <v>0</v>
      </c>
      <c r="K467" s="249">
        <f t="shared" si="56"/>
        <v>0</v>
      </c>
      <c r="L467" s="248"/>
    </row>
    <row r="468" spans="1:12">
      <c r="A468" s="250">
        <v>405</v>
      </c>
      <c r="B468" s="249">
        <f t="shared" si="49"/>
        <v>0</v>
      </c>
      <c r="C468" s="249">
        <f t="shared" si="50"/>
        <v>0</v>
      </c>
      <c r="D468" s="249">
        <f t="shared" si="51"/>
        <v>0</v>
      </c>
      <c r="E468" s="249">
        <f t="shared" si="52"/>
        <v>0</v>
      </c>
      <c r="F468" s="248"/>
      <c r="G468" s="250">
        <v>405</v>
      </c>
      <c r="H468" s="249">
        <f t="shared" si="53"/>
        <v>0</v>
      </c>
      <c r="I468" s="249">
        <f t="shared" si="54"/>
        <v>0</v>
      </c>
      <c r="J468" s="249">
        <f t="shared" si="55"/>
        <v>0</v>
      </c>
      <c r="K468" s="249">
        <f t="shared" si="56"/>
        <v>0</v>
      </c>
      <c r="L468" s="248"/>
    </row>
    <row r="469" spans="1:12">
      <c r="A469" s="250">
        <v>406</v>
      </c>
      <c r="B469" s="249">
        <f t="shared" si="49"/>
        <v>0</v>
      </c>
      <c r="C469" s="249">
        <f t="shared" si="50"/>
        <v>0</v>
      </c>
      <c r="D469" s="249">
        <f t="shared" si="51"/>
        <v>0</v>
      </c>
      <c r="E469" s="249">
        <f t="shared" si="52"/>
        <v>0</v>
      </c>
      <c r="F469" s="248"/>
      <c r="G469" s="250">
        <v>406</v>
      </c>
      <c r="H469" s="249">
        <f t="shared" si="53"/>
        <v>0</v>
      </c>
      <c r="I469" s="249">
        <f t="shared" si="54"/>
        <v>0</v>
      </c>
      <c r="J469" s="249">
        <f t="shared" si="55"/>
        <v>0</v>
      </c>
      <c r="K469" s="249">
        <f t="shared" si="56"/>
        <v>0</v>
      </c>
      <c r="L469" s="248"/>
    </row>
    <row r="470" spans="1:12">
      <c r="A470" s="250">
        <v>407</v>
      </c>
      <c r="B470" s="249">
        <f t="shared" si="49"/>
        <v>0</v>
      </c>
      <c r="C470" s="249">
        <f t="shared" si="50"/>
        <v>0</v>
      </c>
      <c r="D470" s="249">
        <f t="shared" si="51"/>
        <v>0</v>
      </c>
      <c r="E470" s="249">
        <f t="shared" si="52"/>
        <v>0</v>
      </c>
      <c r="F470" s="248"/>
      <c r="G470" s="250">
        <v>407</v>
      </c>
      <c r="H470" s="249">
        <f t="shared" si="53"/>
        <v>0</v>
      </c>
      <c r="I470" s="249">
        <f t="shared" si="54"/>
        <v>0</v>
      </c>
      <c r="J470" s="249">
        <f t="shared" si="55"/>
        <v>0</v>
      </c>
      <c r="K470" s="249">
        <f t="shared" si="56"/>
        <v>0</v>
      </c>
      <c r="L470" s="248"/>
    </row>
    <row r="471" spans="1:12">
      <c r="A471" s="250">
        <v>408</v>
      </c>
      <c r="B471" s="249">
        <f t="shared" si="49"/>
        <v>0</v>
      </c>
      <c r="C471" s="249">
        <f t="shared" si="50"/>
        <v>0</v>
      </c>
      <c r="D471" s="249">
        <f t="shared" si="51"/>
        <v>0</v>
      </c>
      <c r="E471" s="249">
        <f t="shared" si="52"/>
        <v>0</v>
      </c>
      <c r="F471" s="248">
        <v>34</v>
      </c>
      <c r="G471" s="250">
        <v>408</v>
      </c>
      <c r="H471" s="249">
        <f t="shared" si="53"/>
        <v>0</v>
      </c>
      <c r="I471" s="249">
        <f t="shared" si="54"/>
        <v>0</v>
      </c>
      <c r="J471" s="249">
        <f t="shared" si="55"/>
        <v>0</v>
      </c>
      <c r="K471" s="249">
        <f t="shared" si="56"/>
        <v>0</v>
      </c>
      <c r="L471" s="248">
        <v>34</v>
      </c>
    </row>
    <row r="472" spans="1:12">
      <c r="A472" s="250">
        <v>409</v>
      </c>
      <c r="B472" s="249">
        <f t="shared" si="49"/>
        <v>0</v>
      </c>
      <c r="C472" s="249">
        <f t="shared" si="50"/>
        <v>0</v>
      </c>
      <c r="D472" s="249">
        <f t="shared" si="51"/>
        <v>0</v>
      </c>
      <c r="E472" s="249">
        <f t="shared" si="52"/>
        <v>0</v>
      </c>
      <c r="F472" s="248"/>
      <c r="G472" s="250">
        <v>409</v>
      </c>
      <c r="H472" s="249">
        <f t="shared" si="53"/>
        <v>0</v>
      </c>
      <c r="I472" s="249">
        <f t="shared" si="54"/>
        <v>0</v>
      </c>
      <c r="J472" s="249">
        <f t="shared" si="55"/>
        <v>0</v>
      </c>
      <c r="K472" s="249">
        <f t="shared" si="56"/>
        <v>0</v>
      </c>
      <c r="L472" s="248"/>
    </row>
    <row r="473" spans="1:12">
      <c r="A473" s="250">
        <v>410</v>
      </c>
      <c r="B473" s="249">
        <f t="shared" si="49"/>
        <v>0</v>
      </c>
      <c r="C473" s="249">
        <f t="shared" si="50"/>
        <v>0</v>
      </c>
      <c r="D473" s="249">
        <f t="shared" si="51"/>
        <v>0</v>
      </c>
      <c r="E473" s="249">
        <f t="shared" si="52"/>
        <v>0</v>
      </c>
      <c r="F473" s="248"/>
      <c r="G473" s="250">
        <v>410</v>
      </c>
      <c r="H473" s="249">
        <f t="shared" si="53"/>
        <v>0</v>
      </c>
      <c r="I473" s="249">
        <f t="shared" si="54"/>
        <v>0</v>
      </c>
      <c r="J473" s="249">
        <f t="shared" si="55"/>
        <v>0</v>
      </c>
      <c r="K473" s="249">
        <f t="shared" si="56"/>
        <v>0</v>
      </c>
      <c r="L473" s="248"/>
    </row>
    <row r="474" spans="1:12">
      <c r="A474" s="250">
        <v>411</v>
      </c>
      <c r="B474" s="249">
        <f t="shared" si="49"/>
        <v>0</v>
      </c>
      <c r="C474" s="249">
        <f t="shared" si="50"/>
        <v>0</v>
      </c>
      <c r="D474" s="249">
        <f t="shared" si="51"/>
        <v>0</v>
      </c>
      <c r="E474" s="249">
        <f t="shared" si="52"/>
        <v>0</v>
      </c>
      <c r="F474" s="248"/>
      <c r="G474" s="250">
        <v>411</v>
      </c>
      <c r="H474" s="249">
        <f t="shared" si="53"/>
        <v>0</v>
      </c>
      <c r="I474" s="249">
        <f t="shared" si="54"/>
        <v>0</v>
      </c>
      <c r="J474" s="249">
        <f t="shared" si="55"/>
        <v>0</v>
      </c>
      <c r="K474" s="249">
        <f t="shared" si="56"/>
        <v>0</v>
      </c>
      <c r="L474" s="248"/>
    </row>
    <row r="475" spans="1:12">
      <c r="A475" s="250">
        <v>412</v>
      </c>
      <c r="B475" s="249">
        <f t="shared" si="49"/>
        <v>0</v>
      </c>
      <c r="C475" s="249">
        <f t="shared" si="50"/>
        <v>0</v>
      </c>
      <c r="D475" s="249">
        <f t="shared" si="51"/>
        <v>0</v>
      </c>
      <c r="E475" s="249">
        <f t="shared" si="52"/>
        <v>0</v>
      </c>
      <c r="F475" s="248"/>
      <c r="G475" s="250">
        <v>412</v>
      </c>
      <c r="H475" s="249">
        <f t="shared" si="53"/>
        <v>0</v>
      </c>
      <c r="I475" s="249">
        <f t="shared" si="54"/>
        <v>0</v>
      </c>
      <c r="J475" s="249">
        <f t="shared" si="55"/>
        <v>0</v>
      </c>
      <c r="K475" s="249">
        <f t="shared" si="56"/>
        <v>0</v>
      </c>
      <c r="L475" s="248"/>
    </row>
    <row r="476" spans="1:12">
      <c r="A476" s="250">
        <v>413</v>
      </c>
      <c r="B476" s="249">
        <f t="shared" si="49"/>
        <v>0</v>
      </c>
      <c r="C476" s="249">
        <f t="shared" si="50"/>
        <v>0</v>
      </c>
      <c r="D476" s="249">
        <f t="shared" si="51"/>
        <v>0</v>
      </c>
      <c r="E476" s="249">
        <f t="shared" si="52"/>
        <v>0</v>
      </c>
      <c r="F476" s="248"/>
      <c r="G476" s="250">
        <v>413</v>
      </c>
      <c r="H476" s="249">
        <f t="shared" si="53"/>
        <v>0</v>
      </c>
      <c r="I476" s="249">
        <f t="shared" si="54"/>
        <v>0</v>
      </c>
      <c r="J476" s="249">
        <f t="shared" si="55"/>
        <v>0</v>
      </c>
      <c r="K476" s="249">
        <f t="shared" si="56"/>
        <v>0</v>
      </c>
      <c r="L476" s="248"/>
    </row>
    <row r="477" spans="1:12">
      <c r="A477" s="250">
        <v>414</v>
      </c>
      <c r="B477" s="249">
        <f t="shared" si="49"/>
        <v>0</v>
      </c>
      <c r="C477" s="249">
        <f t="shared" si="50"/>
        <v>0</v>
      </c>
      <c r="D477" s="249">
        <f t="shared" si="51"/>
        <v>0</v>
      </c>
      <c r="E477" s="249">
        <f t="shared" si="52"/>
        <v>0</v>
      </c>
      <c r="F477" s="248"/>
      <c r="G477" s="250">
        <v>414</v>
      </c>
      <c r="H477" s="249">
        <f t="shared" si="53"/>
        <v>0</v>
      </c>
      <c r="I477" s="249">
        <f t="shared" si="54"/>
        <v>0</v>
      </c>
      <c r="J477" s="249">
        <f t="shared" si="55"/>
        <v>0</v>
      </c>
      <c r="K477" s="249">
        <f t="shared" si="56"/>
        <v>0</v>
      </c>
      <c r="L477" s="248"/>
    </row>
    <row r="478" spans="1:12">
      <c r="A478" s="250">
        <v>415</v>
      </c>
      <c r="B478" s="249">
        <f t="shared" si="49"/>
        <v>0</v>
      </c>
      <c r="C478" s="249">
        <f t="shared" si="50"/>
        <v>0</v>
      </c>
      <c r="D478" s="249">
        <f t="shared" si="51"/>
        <v>0</v>
      </c>
      <c r="E478" s="249">
        <f t="shared" si="52"/>
        <v>0</v>
      </c>
      <c r="F478" s="248"/>
      <c r="G478" s="250">
        <v>415</v>
      </c>
      <c r="H478" s="249">
        <f t="shared" si="53"/>
        <v>0</v>
      </c>
      <c r="I478" s="249">
        <f t="shared" si="54"/>
        <v>0</v>
      </c>
      <c r="J478" s="249">
        <f t="shared" si="55"/>
        <v>0</v>
      </c>
      <c r="K478" s="249">
        <f t="shared" si="56"/>
        <v>0</v>
      </c>
      <c r="L478" s="248"/>
    </row>
    <row r="479" spans="1:12">
      <c r="A479" s="250">
        <v>416</v>
      </c>
      <c r="B479" s="249">
        <f t="shared" si="49"/>
        <v>0</v>
      </c>
      <c r="C479" s="249">
        <f t="shared" si="50"/>
        <v>0</v>
      </c>
      <c r="D479" s="249">
        <f t="shared" si="51"/>
        <v>0</v>
      </c>
      <c r="E479" s="249">
        <f t="shared" si="52"/>
        <v>0</v>
      </c>
      <c r="F479" s="248"/>
      <c r="G479" s="250">
        <v>416</v>
      </c>
      <c r="H479" s="249">
        <f t="shared" si="53"/>
        <v>0</v>
      </c>
      <c r="I479" s="249">
        <f t="shared" si="54"/>
        <v>0</v>
      </c>
      <c r="J479" s="249">
        <f t="shared" si="55"/>
        <v>0</v>
      </c>
      <c r="K479" s="249">
        <f t="shared" si="56"/>
        <v>0</v>
      </c>
      <c r="L479" s="248"/>
    </row>
    <row r="480" spans="1:12">
      <c r="A480" s="250">
        <v>417</v>
      </c>
      <c r="B480" s="249">
        <f t="shared" si="49"/>
        <v>0</v>
      </c>
      <c r="C480" s="249">
        <f t="shared" si="50"/>
        <v>0</v>
      </c>
      <c r="D480" s="249">
        <f t="shared" si="51"/>
        <v>0</v>
      </c>
      <c r="E480" s="249">
        <f t="shared" si="52"/>
        <v>0</v>
      </c>
      <c r="F480" s="248"/>
      <c r="G480" s="250">
        <v>417</v>
      </c>
      <c r="H480" s="249">
        <f t="shared" si="53"/>
        <v>0</v>
      </c>
      <c r="I480" s="249">
        <f t="shared" si="54"/>
        <v>0</v>
      </c>
      <c r="J480" s="249">
        <f t="shared" si="55"/>
        <v>0</v>
      </c>
      <c r="K480" s="249">
        <f t="shared" si="56"/>
        <v>0</v>
      </c>
      <c r="L480" s="248"/>
    </row>
    <row r="481" spans="1:12">
      <c r="A481" s="250">
        <v>418</v>
      </c>
      <c r="B481" s="249">
        <f t="shared" si="49"/>
        <v>0</v>
      </c>
      <c r="C481" s="249">
        <f t="shared" si="50"/>
        <v>0</v>
      </c>
      <c r="D481" s="249">
        <f t="shared" si="51"/>
        <v>0</v>
      </c>
      <c r="E481" s="249">
        <f t="shared" si="52"/>
        <v>0</v>
      </c>
      <c r="F481" s="248"/>
      <c r="G481" s="250">
        <v>418</v>
      </c>
      <c r="H481" s="249">
        <f t="shared" si="53"/>
        <v>0</v>
      </c>
      <c r="I481" s="249">
        <f t="shared" si="54"/>
        <v>0</v>
      </c>
      <c r="J481" s="249">
        <f t="shared" si="55"/>
        <v>0</v>
      </c>
      <c r="K481" s="249">
        <f t="shared" si="56"/>
        <v>0</v>
      </c>
      <c r="L481" s="248"/>
    </row>
    <row r="482" spans="1:12">
      <c r="A482" s="250">
        <v>419</v>
      </c>
      <c r="B482" s="249">
        <f t="shared" si="49"/>
        <v>0</v>
      </c>
      <c r="C482" s="249">
        <f t="shared" si="50"/>
        <v>0</v>
      </c>
      <c r="D482" s="249">
        <f t="shared" si="51"/>
        <v>0</v>
      </c>
      <c r="E482" s="249">
        <f t="shared" si="52"/>
        <v>0</v>
      </c>
      <c r="F482" s="248"/>
      <c r="G482" s="250">
        <v>419</v>
      </c>
      <c r="H482" s="249">
        <f t="shared" si="53"/>
        <v>0</v>
      </c>
      <c r="I482" s="249">
        <f t="shared" si="54"/>
        <v>0</v>
      </c>
      <c r="J482" s="249">
        <f t="shared" si="55"/>
        <v>0</v>
      </c>
      <c r="K482" s="249">
        <f t="shared" si="56"/>
        <v>0</v>
      </c>
      <c r="L482" s="248"/>
    </row>
    <row r="483" spans="1:12">
      <c r="A483" s="250">
        <v>420</v>
      </c>
      <c r="B483" s="249">
        <f t="shared" si="49"/>
        <v>0</v>
      </c>
      <c r="C483" s="249">
        <f t="shared" si="50"/>
        <v>0</v>
      </c>
      <c r="D483" s="249">
        <f t="shared" si="51"/>
        <v>0</v>
      </c>
      <c r="E483" s="249">
        <f t="shared" si="52"/>
        <v>0</v>
      </c>
      <c r="F483" s="248">
        <v>35</v>
      </c>
      <c r="G483" s="250">
        <v>420</v>
      </c>
      <c r="H483" s="249">
        <f t="shared" si="53"/>
        <v>0</v>
      </c>
      <c r="I483" s="249">
        <f t="shared" si="54"/>
        <v>0</v>
      </c>
      <c r="J483" s="249">
        <f t="shared" si="55"/>
        <v>0</v>
      </c>
      <c r="K483" s="249">
        <f t="shared" si="56"/>
        <v>0</v>
      </c>
      <c r="L483" s="248">
        <v>35</v>
      </c>
    </row>
    <row r="484" spans="1:12">
      <c r="A484" s="250">
        <v>421</v>
      </c>
      <c r="B484" s="249">
        <f t="shared" si="49"/>
        <v>0</v>
      </c>
      <c r="C484" s="249">
        <f t="shared" si="50"/>
        <v>0</v>
      </c>
      <c r="D484" s="249">
        <f t="shared" si="51"/>
        <v>0</v>
      </c>
      <c r="E484" s="249">
        <f t="shared" si="52"/>
        <v>0</v>
      </c>
      <c r="F484" s="248"/>
      <c r="G484" s="250">
        <v>421</v>
      </c>
      <c r="H484" s="249">
        <f t="shared" si="53"/>
        <v>0</v>
      </c>
      <c r="I484" s="249">
        <f t="shared" si="54"/>
        <v>0</v>
      </c>
      <c r="J484" s="249">
        <f t="shared" si="55"/>
        <v>0</v>
      </c>
      <c r="K484" s="249">
        <f t="shared" si="56"/>
        <v>0</v>
      </c>
      <c r="L484" s="248"/>
    </row>
    <row r="485" spans="1:12">
      <c r="A485" s="250">
        <v>422</v>
      </c>
      <c r="B485" s="249">
        <f t="shared" si="49"/>
        <v>0</v>
      </c>
      <c r="C485" s="249">
        <f t="shared" si="50"/>
        <v>0</v>
      </c>
      <c r="D485" s="249">
        <f t="shared" si="51"/>
        <v>0</v>
      </c>
      <c r="E485" s="249">
        <f t="shared" si="52"/>
        <v>0</v>
      </c>
      <c r="F485" s="248"/>
      <c r="G485" s="250">
        <v>422</v>
      </c>
      <c r="H485" s="249">
        <f t="shared" si="53"/>
        <v>0</v>
      </c>
      <c r="I485" s="249">
        <f t="shared" si="54"/>
        <v>0</v>
      </c>
      <c r="J485" s="249">
        <f t="shared" si="55"/>
        <v>0</v>
      </c>
      <c r="K485" s="249">
        <f t="shared" si="56"/>
        <v>0</v>
      </c>
      <c r="L485" s="248"/>
    </row>
    <row r="486" spans="1:12">
      <c r="A486" s="250">
        <v>423</v>
      </c>
      <c r="B486" s="249">
        <f t="shared" si="49"/>
        <v>0</v>
      </c>
      <c r="C486" s="249">
        <f t="shared" si="50"/>
        <v>0</v>
      </c>
      <c r="D486" s="249">
        <f t="shared" si="51"/>
        <v>0</v>
      </c>
      <c r="E486" s="249">
        <f t="shared" si="52"/>
        <v>0</v>
      </c>
      <c r="F486" s="248"/>
      <c r="G486" s="250">
        <v>423</v>
      </c>
      <c r="H486" s="249">
        <f t="shared" si="53"/>
        <v>0</v>
      </c>
      <c r="I486" s="249">
        <f t="shared" si="54"/>
        <v>0</v>
      </c>
      <c r="J486" s="249">
        <f t="shared" si="55"/>
        <v>0</v>
      </c>
      <c r="K486" s="249">
        <f t="shared" si="56"/>
        <v>0</v>
      </c>
      <c r="L486" s="248"/>
    </row>
    <row r="487" spans="1:12">
      <c r="A487" s="250">
        <v>424</v>
      </c>
      <c r="B487" s="249">
        <f t="shared" si="49"/>
        <v>0</v>
      </c>
      <c r="C487" s="249">
        <f t="shared" si="50"/>
        <v>0</v>
      </c>
      <c r="D487" s="249">
        <f t="shared" si="51"/>
        <v>0</v>
      </c>
      <c r="E487" s="249">
        <f t="shared" si="52"/>
        <v>0</v>
      </c>
      <c r="F487" s="248"/>
      <c r="G487" s="250">
        <v>424</v>
      </c>
      <c r="H487" s="249">
        <f t="shared" si="53"/>
        <v>0</v>
      </c>
      <c r="I487" s="249">
        <f t="shared" si="54"/>
        <v>0</v>
      </c>
      <c r="J487" s="249">
        <f t="shared" si="55"/>
        <v>0</v>
      </c>
      <c r="K487" s="249">
        <f t="shared" si="56"/>
        <v>0</v>
      </c>
      <c r="L487" s="248"/>
    </row>
    <row r="488" spans="1:12">
      <c r="A488" s="250">
        <v>425</v>
      </c>
      <c r="B488" s="249">
        <f t="shared" si="49"/>
        <v>0</v>
      </c>
      <c r="C488" s="249">
        <f t="shared" si="50"/>
        <v>0</v>
      </c>
      <c r="D488" s="249">
        <f t="shared" si="51"/>
        <v>0</v>
      </c>
      <c r="E488" s="249">
        <f t="shared" si="52"/>
        <v>0</v>
      </c>
      <c r="F488" s="248"/>
      <c r="G488" s="250">
        <v>425</v>
      </c>
      <c r="H488" s="249">
        <f t="shared" si="53"/>
        <v>0</v>
      </c>
      <c r="I488" s="249">
        <f t="shared" si="54"/>
        <v>0</v>
      </c>
      <c r="J488" s="249">
        <f t="shared" si="55"/>
        <v>0</v>
      </c>
      <c r="K488" s="249">
        <f t="shared" si="56"/>
        <v>0</v>
      </c>
      <c r="L488" s="248"/>
    </row>
    <row r="489" spans="1:12">
      <c r="A489" s="250">
        <v>426</v>
      </c>
      <c r="B489" s="249">
        <f t="shared" si="49"/>
        <v>0</v>
      </c>
      <c r="C489" s="249">
        <f t="shared" si="50"/>
        <v>0</v>
      </c>
      <c r="D489" s="249">
        <f t="shared" si="51"/>
        <v>0</v>
      </c>
      <c r="E489" s="249">
        <f t="shared" si="52"/>
        <v>0</v>
      </c>
      <c r="F489" s="248"/>
      <c r="G489" s="250">
        <v>426</v>
      </c>
      <c r="H489" s="249">
        <f t="shared" si="53"/>
        <v>0</v>
      </c>
      <c r="I489" s="249">
        <f t="shared" si="54"/>
        <v>0</v>
      </c>
      <c r="J489" s="249">
        <f t="shared" si="55"/>
        <v>0</v>
      </c>
      <c r="K489" s="249">
        <f t="shared" si="56"/>
        <v>0</v>
      </c>
      <c r="L489" s="248"/>
    </row>
    <row r="490" spans="1:12">
      <c r="A490" s="250">
        <v>427</v>
      </c>
      <c r="B490" s="249">
        <f t="shared" si="49"/>
        <v>0</v>
      </c>
      <c r="C490" s="249">
        <f t="shared" si="50"/>
        <v>0</v>
      </c>
      <c r="D490" s="249">
        <f t="shared" si="51"/>
        <v>0</v>
      </c>
      <c r="E490" s="249">
        <f t="shared" si="52"/>
        <v>0</v>
      </c>
      <c r="F490" s="248"/>
      <c r="G490" s="250">
        <v>427</v>
      </c>
      <c r="H490" s="249">
        <f t="shared" si="53"/>
        <v>0</v>
      </c>
      <c r="I490" s="249">
        <f t="shared" si="54"/>
        <v>0</v>
      </c>
      <c r="J490" s="249">
        <f t="shared" si="55"/>
        <v>0</v>
      </c>
      <c r="K490" s="249">
        <f t="shared" si="56"/>
        <v>0</v>
      </c>
      <c r="L490" s="248"/>
    </row>
    <row r="491" spans="1:12">
      <c r="A491" s="250">
        <v>428</v>
      </c>
      <c r="B491" s="249">
        <f t="shared" si="49"/>
        <v>0</v>
      </c>
      <c r="C491" s="249">
        <f t="shared" si="50"/>
        <v>0</v>
      </c>
      <c r="D491" s="249">
        <f t="shared" si="51"/>
        <v>0</v>
      </c>
      <c r="E491" s="249">
        <f t="shared" si="52"/>
        <v>0</v>
      </c>
      <c r="F491" s="248"/>
      <c r="G491" s="250">
        <v>428</v>
      </c>
      <c r="H491" s="249">
        <f t="shared" si="53"/>
        <v>0</v>
      </c>
      <c r="I491" s="249">
        <f t="shared" si="54"/>
        <v>0</v>
      </c>
      <c r="J491" s="249">
        <f t="shared" si="55"/>
        <v>0</v>
      </c>
      <c r="K491" s="249">
        <f t="shared" si="56"/>
        <v>0</v>
      </c>
      <c r="L491" s="248"/>
    </row>
    <row r="492" spans="1:12">
      <c r="A492" s="250">
        <v>429</v>
      </c>
      <c r="B492" s="249">
        <f t="shared" si="49"/>
        <v>0</v>
      </c>
      <c r="C492" s="249">
        <f t="shared" si="50"/>
        <v>0</v>
      </c>
      <c r="D492" s="249">
        <f t="shared" si="51"/>
        <v>0</v>
      </c>
      <c r="E492" s="249">
        <f t="shared" si="52"/>
        <v>0</v>
      </c>
      <c r="F492" s="248"/>
      <c r="G492" s="250">
        <v>429</v>
      </c>
      <c r="H492" s="249">
        <f t="shared" si="53"/>
        <v>0</v>
      </c>
      <c r="I492" s="249">
        <f t="shared" si="54"/>
        <v>0</v>
      </c>
      <c r="J492" s="249">
        <f t="shared" si="55"/>
        <v>0</v>
      </c>
      <c r="K492" s="249">
        <f t="shared" si="56"/>
        <v>0</v>
      </c>
      <c r="L492" s="248"/>
    </row>
    <row r="493" spans="1:12">
      <c r="A493" s="250">
        <v>430</v>
      </c>
      <c r="B493" s="249">
        <f t="shared" si="49"/>
        <v>0</v>
      </c>
      <c r="C493" s="249">
        <f t="shared" si="50"/>
        <v>0</v>
      </c>
      <c r="D493" s="249">
        <f t="shared" si="51"/>
        <v>0</v>
      </c>
      <c r="E493" s="249">
        <f t="shared" si="52"/>
        <v>0</v>
      </c>
      <c r="F493" s="248"/>
      <c r="G493" s="250">
        <v>430</v>
      </c>
      <c r="H493" s="249">
        <f t="shared" si="53"/>
        <v>0</v>
      </c>
      <c r="I493" s="249">
        <f t="shared" si="54"/>
        <v>0</v>
      </c>
      <c r="J493" s="249">
        <f t="shared" si="55"/>
        <v>0</v>
      </c>
      <c r="K493" s="249">
        <f t="shared" si="56"/>
        <v>0</v>
      </c>
      <c r="L493" s="248"/>
    </row>
    <row r="494" spans="1:12">
      <c r="A494" s="250">
        <v>431</v>
      </c>
      <c r="B494" s="249">
        <f t="shared" si="49"/>
        <v>0</v>
      </c>
      <c r="C494" s="249">
        <f t="shared" si="50"/>
        <v>0</v>
      </c>
      <c r="D494" s="249">
        <f t="shared" si="51"/>
        <v>0</v>
      </c>
      <c r="E494" s="249">
        <f t="shared" si="52"/>
        <v>0</v>
      </c>
      <c r="F494" s="248"/>
      <c r="G494" s="250">
        <v>431</v>
      </c>
      <c r="H494" s="249">
        <f t="shared" si="53"/>
        <v>0</v>
      </c>
      <c r="I494" s="249">
        <f t="shared" si="54"/>
        <v>0</v>
      </c>
      <c r="J494" s="249">
        <f t="shared" si="55"/>
        <v>0</v>
      </c>
      <c r="K494" s="249">
        <f t="shared" si="56"/>
        <v>0</v>
      </c>
      <c r="L494" s="248"/>
    </row>
    <row r="495" spans="1:12">
      <c r="A495" s="250">
        <v>432</v>
      </c>
      <c r="B495" s="249">
        <f t="shared" si="49"/>
        <v>0</v>
      </c>
      <c r="C495" s="249">
        <f t="shared" si="50"/>
        <v>0</v>
      </c>
      <c r="D495" s="249">
        <f t="shared" si="51"/>
        <v>0</v>
      </c>
      <c r="E495" s="249">
        <f t="shared" si="52"/>
        <v>0</v>
      </c>
      <c r="F495" s="248">
        <v>36</v>
      </c>
      <c r="G495" s="250">
        <v>432</v>
      </c>
      <c r="H495" s="249">
        <f t="shared" si="53"/>
        <v>0</v>
      </c>
      <c r="I495" s="249">
        <f t="shared" si="54"/>
        <v>0</v>
      </c>
      <c r="J495" s="249">
        <f t="shared" si="55"/>
        <v>0</v>
      </c>
      <c r="K495" s="249">
        <f t="shared" si="56"/>
        <v>0</v>
      </c>
      <c r="L495" s="248">
        <v>36</v>
      </c>
    </row>
    <row r="496" spans="1:12">
      <c r="A496" s="250">
        <v>433</v>
      </c>
      <c r="B496" s="249">
        <f t="shared" si="49"/>
        <v>0</v>
      </c>
      <c r="C496" s="249">
        <f t="shared" si="50"/>
        <v>0</v>
      </c>
      <c r="D496" s="249">
        <f t="shared" si="51"/>
        <v>0</v>
      </c>
      <c r="E496" s="249">
        <f t="shared" si="52"/>
        <v>0</v>
      </c>
      <c r="F496" s="248"/>
      <c r="G496" s="250">
        <v>433</v>
      </c>
      <c r="H496" s="249">
        <f t="shared" si="53"/>
        <v>0</v>
      </c>
      <c r="I496" s="249">
        <f t="shared" si="54"/>
        <v>0</v>
      </c>
      <c r="J496" s="249">
        <f t="shared" si="55"/>
        <v>0</v>
      </c>
      <c r="K496" s="249">
        <f t="shared" si="56"/>
        <v>0</v>
      </c>
      <c r="L496" s="248"/>
    </row>
    <row r="497" spans="1:12">
      <c r="A497" s="250">
        <v>434</v>
      </c>
      <c r="B497" s="249">
        <f t="shared" si="49"/>
        <v>0</v>
      </c>
      <c r="C497" s="249">
        <f t="shared" si="50"/>
        <v>0</v>
      </c>
      <c r="D497" s="249">
        <f t="shared" si="51"/>
        <v>0</v>
      </c>
      <c r="E497" s="249">
        <f t="shared" si="52"/>
        <v>0</v>
      </c>
      <c r="F497" s="248"/>
      <c r="G497" s="250">
        <v>434</v>
      </c>
      <c r="H497" s="249">
        <f t="shared" si="53"/>
        <v>0</v>
      </c>
      <c r="I497" s="249">
        <f t="shared" si="54"/>
        <v>0</v>
      </c>
      <c r="J497" s="249">
        <f t="shared" si="55"/>
        <v>0</v>
      </c>
      <c r="K497" s="249">
        <f t="shared" si="56"/>
        <v>0</v>
      </c>
      <c r="L497" s="248"/>
    </row>
    <row r="498" spans="1:12">
      <c r="A498" s="250">
        <v>435</v>
      </c>
      <c r="B498" s="249">
        <f t="shared" si="49"/>
        <v>0</v>
      </c>
      <c r="C498" s="249">
        <f t="shared" si="50"/>
        <v>0</v>
      </c>
      <c r="D498" s="249">
        <f t="shared" si="51"/>
        <v>0</v>
      </c>
      <c r="E498" s="249">
        <f t="shared" si="52"/>
        <v>0</v>
      </c>
      <c r="F498" s="248"/>
      <c r="G498" s="250">
        <v>435</v>
      </c>
      <c r="H498" s="249">
        <f t="shared" si="53"/>
        <v>0</v>
      </c>
      <c r="I498" s="249">
        <f t="shared" si="54"/>
        <v>0</v>
      </c>
      <c r="J498" s="249">
        <f t="shared" si="55"/>
        <v>0</v>
      </c>
      <c r="K498" s="249">
        <f t="shared" si="56"/>
        <v>0</v>
      </c>
      <c r="L498" s="248"/>
    </row>
    <row r="499" spans="1:12">
      <c r="A499" s="250">
        <v>436</v>
      </c>
      <c r="B499" s="249">
        <f t="shared" si="49"/>
        <v>0</v>
      </c>
      <c r="C499" s="249">
        <f t="shared" si="50"/>
        <v>0</v>
      </c>
      <c r="D499" s="249">
        <f t="shared" si="51"/>
        <v>0</v>
      </c>
      <c r="E499" s="249">
        <f t="shared" si="52"/>
        <v>0</v>
      </c>
      <c r="F499" s="248"/>
      <c r="G499" s="250">
        <v>436</v>
      </c>
      <c r="H499" s="249">
        <f t="shared" si="53"/>
        <v>0</v>
      </c>
      <c r="I499" s="249">
        <f t="shared" si="54"/>
        <v>0</v>
      </c>
      <c r="J499" s="249">
        <f t="shared" si="55"/>
        <v>0</v>
      </c>
      <c r="K499" s="249">
        <f t="shared" si="56"/>
        <v>0</v>
      </c>
      <c r="L499" s="248"/>
    </row>
    <row r="500" spans="1:12">
      <c r="A500" s="250">
        <v>437</v>
      </c>
      <c r="B500" s="249">
        <f t="shared" si="49"/>
        <v>0</v>
      </c>
      <c r="C500" s="249">
        <f t="shared" si="50"/>
        <v>0</v>
      </c>
      <c r="D500" s="249">
        <f t="shared" si="51"/>
        <v>0</v>
      </c>
      <c r="E500" s="249">
        <f t="shared" si="52"/>
        <v>0</v>
      </c>
      <c r="F500" s="248"/>
      <c r="G500" s="250">
        <v>437</v>
      </c>
      <c r="H500" s="249">
        <f t="shared" si="53"/>
        <v>0</v>
      </c>
      <c r="I500" s="249">
        <f t="shared" si="54"/>
        <v>0</v>
      </c>
      <c r="J500" s="249">
        <f t="shared" si="55"/>
        <v>0</v>
      </c>
      <c r="K500" s="249">
        <f t="shared" si="56"/>
        <v>0</v>
      </c>
      <c r="L500" s="248"/>
    </row>
    <row r="501" spans="1:12">
      <c r="A501" s="250">
        <v>438</v>
      </c>
      <c r="B501" s="249">
        <f t="shared" si="49"/>
        <v>0</v>
      </c>
      <c r="C501" s="249">
        <f t="shared" si="50"/>
        <v>0</v>
      </c>
      <c r="D501" s="249">
        <f t="shared" si="51"/>
        <v>0</v>
      </c>
      <c r="E501" s="249">
        <f t="shared" si="52"/>
        <v>0</v>
      </c>
      <c r="F501" s="248"/>
      <c r="G501" s="250">
        <v>438</v>
      </c>
      <c r="H501" s="249">
        <f t="shared" si="53"/>
        <v>0</v>
      </c>
      <c r="I501" s="249">
        <f t="shared" si="54"/>
        <v>0</v>
      </c>
      <c r="J501" s="249">
        <f t="shared" si="55"/>
        <v>0</v>
      </c>
      <c r="K501" s="249">
        <f t="shared" si="56"/>
        <v>0</v>
      </c>
      <c r="L501" s="248"/>
    </row>
    <row r="502" spans="1:12">
      <c r="A502" s="250">
        <v>439</v>
      </c>
      <c r="B502" s="249">
        <f t="shared" si="49"/>
        <v>0</v>
      </c>
      <c r="C502" s="249">
        <f t="shared" si="50"/>
        <v>0</v>
      </c>
      <c r="D502" s="249">
        <f t="shared" si="51"/>
        <v>0</v>
      </c>
      <c r="E502" s="249">
        <f t="shared" si="52"/>
        <v>0</v>
      </c>
      <c r="F502" s="248"/>
      <c r="G502" s="250">
        <v>439</v>
      </c>
      <c r="H502" s="249">
        <f t="shared" si="53"/>
        <v>0</v>
      </c>
      <c r="I502" s="249">
        <f t="shared" si="54"/>
        <v>0</v>
      </c>
      <c r="J502" s="249">
        <f t="shared" si="55"/>
        <v>0</v>
      </c>
      <c r="K502" s="249">
        <f t="shared" si="56"/>
        <v>0</v>
      </c>
      <c r="L502" s="248"/>
    </row>
    <row r="503" spans="1:12">
      <c r="A503" s="250">
        <v>440</v>
      </c>
      <c r="B503" s="249">
        <f t="shared" si="49"/>
        <v>0</v>
      </c>
      <c r="C503" s="249">
        <f t="shared" si="50"/>
        <v>0</v>
      </c>
      <c r="D503" s="249">
        <f t="shared" si="51"/>
        <v>0</v>
      </c>
      <c r="E503" s="249">
        <f t="shared" si="52"/>
        <v>0</v>
      </c>
      <c r="F503" s="248"/>
      <c r="G503" s="250">
        <v>440</v>
      </c>
      <c r="H503" s="249">
        <f t="shared" si="53"/>
        <v>0</v>
      </c>
      <c r="I503" s="249">
        <f t="shared" si="54"/>
        <v>0</v>
      </c>
      <c r="J503" s="249">
        <f t="shared" si="55"/>
        <v>0</v>
      </c>
      <c r="K503" s="249">
        <f t="shared" si="56"/>
        <v>0</v>
      </c>
      <c r="L503" s="248"/>
    </row>
    <row r="504" spans="1:12">
      <c r="A504" s="250">
        <v>441</v>
      </c>
      <c r="B504" s="249">
        <f t="shared" si="49"/>
        <v>0</v>
      </c>
      <c r="C504" s="249">
        <f t="shared" si="50"/>
        <v>0</v>
      </c>
      <c r="D504" s="249">
        <f t="shared" si="51"/>
        <v>0</v>
      </c>
      <c r="E504" s="249">
        <f t="shared" si="52"/>
        <v>0</v>
      </c>
      <c r="F504" s="248"/>
      <c r="G504" s="250">
        <v>441</v>
      </c>
      <c r="H504" s="249">
        <f t="shared" si="53"/>
        <v>0</v>
      </c>
      <c r="I504" s="249">
        <f t="shared" si="54"/>
        <v>0</v>
      </c>
      <c r="J504" s="249">
        <f t="shared" si="55"/>
        <v>0</v>
      </c>
      <c r="K504" s="249">
        <f t="shared" si="56"/>
        <v>0</v>
      </c>
      <c r="L504" s="248"/>
    </row>
    <row r="505" spans="1:12">
      <c r="A505" s="250">
        <v>442</v>
      </c>
      <c r="B505" s="249">
        <f t="shared" si="49"/>
        <v>0</v>
      </c>
      <c r="C505" s="249">
        <f t="shared" si="50"/>
        <v>0</v>
      </c>
      <c r="D505" s="249">
        <f t="shared" si="51"/>
        <v>0</v>
      </c>
      <c r="E505" s="249">
        <f t="shared" si="52"/>
        <v>0</v>
      </c>
      <c r="F505" s="248"/>
      <c r="G505" s="250">
        <v>442</v>
      </c>
      <c r="H505" s="249">
        <f t="shared" si="53"/>
        <v>0</v>
      </c>
      <c r="I505" s="249">
        <f t="shared" si="54"/>
        <v>0</v>
      </c>
      <c r="J505" s="249">
        <f t="shared" si="55"/>
        <v>0</v>
      </c>
      <c r="K505" s="249">
        <f t="shared" si="56"/>
        <v>0</v>
      </c>
      <c r="L505" s="248"/>
    </row>
    <row r="506" spans="1:12">
      <c r="A506" s="250">
        <v>443</v>
      </c>
      <c r="B506" s="249">
        <f t="shared" si="49"/>
        <v>0</v>
      </c>
      <c r="C506" s="249">
        <f t="shared" si="50"/>
        <v>0</v>
      </c>
      <c r="D506" s="249">
        <f t="shared" si="51"/>
        <v>0</v>
      </c>
      <c r="E506" s="249">
        <f t="shared" si="52"/>
        <v>0</v>
      </c>
      <c r="F506" s="248"/>
      <c r="G506" s="250">
        <v>443</v>
      </c>
      <c r="H506" s="249">
        <f t="shared" si="53"/>
        <v>0</v>
      </c>
      <c r="I506" s="249">
        <f t="shared" si="54"/>
        <v>0</v>
      </c>
      <c r="J506" s="249">
        <f t="shared" si="55"/>
        <v>0</v>
      </c>
      <c r="K506" s="249">
        <f t="shared" si="56"/>
        <v>0</v>
      </c>
      <c r="L506" s="248"/>
    </row>
    <row r="507" spans="1:12">
      <c r="A507" s="250">
        <v>444</v>
      </c>
      <c r="B507" s="249">
        <f t="shared" si="49"/>
        <v>0</v>
      </c>
      <c r="C507" s="249">
        <f t="shared" si="50"/>
        <v>0</v>
      </c>
      <c r="D507" s="249">
        <f t="shared" si="51"/>
        <v>0</v>
      </c>
      <c r="E507" s="249">
        <f t="shared" si="52"/>
        <v>0</v>
      </c>
      <c r="F507" s="248">
        <v>37</v>
      </c>
      <c r="G507" s="250">
        <v>444</v>
      </c>
      <c r="H507" s="249">
        <f t="shared" si="53"/>
        <v>0</v>
      </c>
      <c r="I507" s="249">
        <f t="shared" si="54"/>
        <v>0</v>
      </c>
      <c r="J507" s="249">
        <f t="shared" si="55"/>
        <v>0</v>
      </c>
      <c r="K507" s="249">
        <f t="shared" si="56"/>
        <v>0</v>
      </c>
      <c r="L507" s="248">
        <v>37</v>
      </c>
    </row>
    <row r="508" spans="1:12">
      <c r="A508" s="250">
        <v>445</v>
      </c>
      <c r="B508" s="249">
        <f t="shared" si="49"/>
        <v>0</v>
      </c>
      <c r="C508" s="249">
        <f t="shared" si="50"/>
        <v>0</v>
      </c>
      <c r="D508" s="249">
        <f t="shared" si="51"/>
        <v>0</v>
      </c>
      <c r="E508" s="249">
        <f t="shared" si="52"/>
        <v>0</v>
      </c>
      <c r="F508" s="248"/>
      <c r="G508" s="250">
        <v>445</v>
      </c>
      <c r="H508" s="249">
        <f t="shared" si="53"/>
        <v>0</v>
      </c>
      <c r="I508" s="249">
        <f t="shared" si="54"/>
        <v>0</v>
      </c>
      <c r="J508" s="249">
        <f t="shared" si="55"/>
        <v>0</v>
      </c>
      <c r="K508" s="249">
        <f t="shared" si="56"/>
        <v>0</v>
      </c>
      <c r="L508" s="248"/>
    </row>
    <row r="509" spans="1:12">
      <c r="A509" s="250">
        <v>446</v>
      </c>
      <c r="B509" s="249">
        <f t="shared" si="49"/>
        <v>0</v>
      </c>
      <c r="C509" s="249">
        <f t="shared" si="50"/>
        <v>0</v>
      </c>
      <c r="D509" s="249">
        <f t="shared" si="51"/>
        <v>0</v>
      </c>
      <c r="E509" s="249">
        <f t="shared" si="52"/>
        <v>0</v>
      </c>
      <c r="F509" s="248"/>
      <c r="G509" s="250">
        <v>446</v>
      </c>
      <c r="H509" s="249">
        <f t="shared" si="53"/>
        <v>0</v>
      </c>
      <c r="I509" s="249">
        <f t="shared" si="54"/>
        <v>0</v>
      </c>
      <c r="J509" s="249">
        <f t="shared" si="55"/>
        <v>0</v>
      </c>
      <c r="K509" s="249">
        <f t="shared" si="56"/>
        <v>0</v>
      </c>
      <c r="L509" s="248"/>
    </row>
    <row r="510" spans="1:12">
      <c r="A510" s="250">
        <v>447</v>
      </c>
      <c r="B510" s="249">
        <f t="shared" si="49"/>
        <v>0</v>
      </c>
      <c r="C510" s="249">
        <f t="shared" si="50"/>
        <v>0</v>
      </c>
      <c r="D510" s="249">
        <f t="shared" si="51"/>
        <v>0</v>
      </c>
      <c r="E510" s="249">
        <f t="shared" si="52"/>
        <v>0</v>
      </c>
      <c r="F510" s="248"/>
      <c r="G510" s="250">
        <v>447</v>
      </c>
      <c r="H510" s="249">
        <f t="shared" si="53"/>
        <v>0</v>
      </c>
      <c r="I510" s="249">
        <f t="shared" si="54"/>
        <v>0</v>
      </c>
      <c r="J510" s="249">
        <f t="shared" si="55"/>
        <v>0</v>
      </c>
      <c r="K510" s="249">
        <f t="shared" si="56"/>
        <v>0</v>
      </c>
      <c r="L510" s="248"/>
    </row>
    <row r="511" spans="1:12">
      <c r="A511" s="250">
        <v>448</v>
      </c>
      <c r="B511" s="249">
        <f t="shared" si="49"/>
        <v>0</v>
      </c>
      <c r="C511" s="249">
        <f t="shared" si="50"/>
        <v>0</v>
      </c>
      <c r="D511" s="249">
        <f t="shared" si="51"/>
        <v>0</v>
      </c>
      <c r="E511" s="249">
        <f t="shared" si="52"/>
        <v>0</v>
      </c>
      <c r="F511" s="248"/>
      <c r="G511" s="250">
        <v>448</v>
      </c>
      <c r="H511" s="249">
        <f t="shared" si="53"/>
        <v>0</v>
      </c>
      <c r="I511" s="249">
        <f t="shared" si="54"/>
        <v>0</v>
      </c>
      <c r="J511" s="249">
        <f t="shared" si="55"/>
        <v>0</v>
      </c>
      <c r="K511" s="249">
        <f t="shared" si="56"/>
        <v>0</v>
      </c>
      <c r="L511" s="248"/>
    </row>
    <row r="512" spans="1:12">
      <c r="A512" s="250">
        <v>449</v>
      </c>
      <c r="B512" s="249">
        <f t="shared" ref="B512:B543" si="57">IF(A512&gt;12*$C$9,0,IF($C$5&gt;1500000,$D$12,$C$12))</f>
        <v>0</v>
      </c>
      <c r="C512" s="249">
        <f t="shared" ref="C512:C543" si="58">IF(A512&gt;12*$C$9,0,E511*$C$7/12)</f>
        <v>0</v>
      </c>
      <c r="D512" s="249">
        <f t="shared" ref="D512:D543" si="59">IF(A512&gt;12*$C$9,0,B512-C512)</f>
        <v>0</v>
      </c>
      <c r="E512" s="249">
        <f t="shared" ref="E512:E543" si="60">IF(A512&gt;12*$C$9,0,E511-D512)</f>
        <v>0</v>
      </c>
      <c r="F512" s="248"/>
      <c r="G512" s="250">
        <v>449</v>
      </c>
      <c r="H512" s="249">
        <f t="shared" ref="H512:H543" si="61">IF(G512&gt;12*$C$9,0,IF($C$5&gt;1500000,$E$12,0))</f>
        <v>0</v>
      </c>
      <c r="I512" s="249">
        <f t="shared" ref="I512:I543" si="62">IF(G512&gt;12*$C$9,0,K511*$C$7/12)</f>
        <v>0</v>
      </c>
      <c r="J512" s="249">
        <f t="shared" ref="J512:J543" si="63">IF(G512&gt;12*$C$9,0,H512-I512)</f>
        <v>0</v>
      </c>
      <c r="K512" s="249">
        <f t="shared" ref="K512:K543" si="64">IF(G512&gt;12*$C$9,0,K511-J512)</f>
        <v>0</v>
      </c>
      <c r="L512" s="248"/>
    </row>
    <row r="513" spans="1:12">
      <c r="A513" s="250">
        <v>450</v>
      </c>
      <c r="B513" s="249">
        <f t="shared" si="57"/>
        <v>0</v>
      </c>
      <c r="C513" s="249">
        <f t="shared" si="58"/>
        <v>0</v>
      </c>
      <c r="D513" s="249">
        <f t="shared" si="59"/>
        <v>0</v>
      </c>
      <c r="E513" s="249">
        <f t="shared" si="60"/>
        <v>0</v>
      </c>
      <c r="F513" s="248"/>
      <c r="G513" s="250">
        <v>450</v>
      </c>
      <c r="H513" s="249">
        <f t="shared" si="61"/>
        <v>0</v>
      </c>
      <c r="I513" s="249">
        <f t="shared" si="62"/>
        <v>0</v>
      </c>
      <c r="J513" s="249">
        <f t="shared" si="63"/>
        <v>0</v>
      </c>
      <c r="K513" s="249">
        <f t="shared" si="64"/>
        <v>0</v>
      </c>
      <c r="L513" s="248"/>
    </row>
    <row r="514" spans="1:12">
      <c r="A514" s="250">
        <v>451</v>
      </c>
      <c r="B514" s="249">
        <f t="shared" si="57"/>
        <v>0</v>
      </c>
      <c r="C514" s="249">
        <f t="shared" si="58"/>
        <v>0</v>
      </c>
      <c r="D514" s="249">
        <f t="shared" si="59"/>
        <v>0</v>
      </c>
      <c r="E514" s="249">
        <f t="shared" si="60"/>
        <v>0</v>
      </c>
      <c r="F514" s="248"/>
      <c r="G514" s="250">
        <v>451</v>
      </c>
      <c r="H514" s="249">
        <f t="shared" si="61"/>
        <v>0</v>
      </c>
      <c r="I514" s="249">
        <f t="shared" si="62"/>
        <v>0</v>
      </c>
      <c r="J514" s="249">
        <f t="shared" si="63"/>
        <v>0</v>
      </c>
      <c r="K514" s="249">
        <f t="shared" si="64"/>
        <v>0</v>
      </c>
      <c r="L514" s="248"/>
    </row>
    <row r="515" spans="1:12">
      <c r="A515" s="250">
        <v>452</v>
      </c>
      <c r="B515" s="249">
        <f t="shared" si="57"/>
        <v>0</v>
      </c>
      <c r="C515" s="249">
        <f t="shared" si="58"/>
        <v>0</v>
      </c>
      <c r="D515" s="249">
        <f t="shared" si="59"/>
        <v>0</v>
      </c>
      <c r="E515" s="249">
        <f t="shared" si="60"/>
        <v>0</v>
      </c>
      <c r="F515" s="248"/>
      <c r="G515" s="250">
        <v>452</v>
      </c>
      <c r="H515" s="249">
        <f t="shared" si="61"/>
        <v>0</v>
      </c>
      <c r="I515" s="249">
        <f t="shared" si="62"/>
        <v>0</v>
      </c>
      <c r="J515" s="249">
        <f t="shared" si="63"/>
        <v>0</v>
      </c>
      <c r="K515" s="249">
        <f t="shared" si="64"/>
        <v>0</v>
      </c>
      <c r="L515" s="248"/>
    </row>
    <row r="516" spans="1:12">
      <c r="A516" s="250">
        <v>453</v>
      </c>
      <c r="B516" s="249">
        <f t="shared" si="57"/>
        <v>0</v>
      </c>
      <c r="C516" s="249">
        <f t="shared" si="58"/>
        <v>0</v>
      </c>
      <c r="D516" s="249">
        <f t="shared" si="59"/>
        <v>0</v>
      </c>
      <c r="E516" s="249">
        <f t="shared" si="60"/>
        <v>0</v>
      </c>
      <c r="F516" s="248"/>
      <c r="G516" s="250">
        <v>453</v>
      </c>
      <c r="H516" s="249">
        <f t="shared" si="61"/>
        <v>0</v>
      </c>
      <c r="I516" s="249">
        <f t="shared" si="62"/>
        <v>0</v>
      </c>
      <c r="J516" s="249">
        <f t="shared" si="63"/>
        <v>0</v>
      </c>
      <c r="K516" s="249">
        <f t="shared" si="64"/>
        <v>0</v>
      </c>
      <c r="L516" s="248"/>
    </row>
    <row r="517" spans="1:12">
      <c r="A517" s="250">
        <v>454</v>
      </c>
      <c r="B517" s="249">
        <f t="shared" si="57"/>
        <v>0</v>
      </c>
      <c r="C517" s="249">
        <f t="shared" si="58"/>
        <v>0</v>
      </c>
      <c r="D517" s="249">
        <f t="shared" si="59"/>
        <v>0</v>
      </c>
      <c r="E517" s="249">
        <f t="shared" si="60"/>
        <v>0</v>
      </c>
      <c r="F517" s="248"/>
      <c r="G517" s="250">
        <v>454</v>
      </c>
      <c r="H517" s="249">
        <f t="shared" si="61"/>
        <v>0</v>
      </c>
      <c r="I517" s="249">
        <f t="shared" si="62"/>
        <v>0</v>
      </c>
      <c r="J517" s="249">
        <f t="shared" si="63"/>
        <v>0</v>
      </c>
      <c r="K517" s="249">
        <f t="shared" si="64"/>
        <v>0</v>
      </c>
      <c r="L517" s="248"/>
    </row>
    <row r="518" spans="1:12">
      <c r="A518" s="250">
        <v>455</v>
      </c>
      <c r="B518" s="249">
        <f t="shared" si="57"/>
        <v>0</v>
      </c>
      <c r="C518" s="249">
        <f t="shared" si="58"/>
        <v>0</v>
      </c>
      <c r="D518" s="249">
        <f t="shared" si="59"/>
        <v>0</v>
      </c>
      <c r="E518" s="249">
        <f t="shared" si="60"/>
        <v>0</v>
      </c>
      <c r="F518" s="248"/>
      <c r="G518" s="250">
        <v>455</v>
      </c>
      <c r="H518" s="249">
        <f t="shared" si="61"/>
        <v>0</v>
      </c>
      <c r="I518" s="249">
        <f t="shared" si="62"/>
        <v>0</v>
      </c>
      <c r="J518" s="249">
        <f t="shared" si="63"/>
        <v>0</v>
      </c>
      <c r="K518" s="249">
        <f t="shared" si="64"/>
        <v>0</v>
      </c>
      <c r="L518" s="248"/>
    </row>
    <row r="519" spans="1:12">
      <c r="A519" s="250">
        <v>456</v>
      </c>
      <c r="B519" s="249">
        <f t="shared" si="57"/>
        <v>0</v>
      </c>
      <c r="C519" s="249">
        <f t="shared" si="58"/>
        <v>0</v>
      </c>
      <c r="D519" s="249">
        <f t="shared" si="59"/>
        <v>0</v>
      </c>
      <c r="E519" s="249">
        <f t="shared" si="60"/>
        <v>0</v>
      </c>
      <c r="F519" s="250">
        <v>38</v>
      </c>
      <c r="G519" s="250">
        <v>456</v>
      </c>
      <c r="H519" s="249">
        <f t="shared" si="61"/>
        <v>0</v>
      </c>
      <c r="I519" s="249">
        <f t="shared" si="62"/>
        <v>0</v>
      </c>
      <c r="J519" s="249">
        <f t="shared" si="63"/>
        <v>0</v>
      </c>
      <c r="K519" s="249">
        <f t="shared" si="64"/>
        <v>0</v>
      </c>
      <c r="L519" s="250">
        <v>38</v>
      </c>
    </row>
    <row r="520" spans="1:12">
      <c r="A520" s="250">
        <v>457</v>
      </c>
      <c r="B520" s="249">
        <f t="shared" si="57"/>
        <v>0</v>
      </c>
      <c r="C520" s="249">
        <f t="shared" si="58"/>
        <v>0</v>
      </c>
      <c r="D520" s="249">
        <f t="shared" si="59"/>
        <v>0</v>
      </c>
      <c r="E520" s="249">
        <f t="shared" si="60"/>
        <v>0</v>
      </c>
      <c r="F520" s="248"/>
      <c r="G520" s="250">
        <v>457</v>
      </c>
      <c r="H520" s="249">
        <f t="shared" si="61"/>
        <v>0</v>
      </c>
      <c r="I520" s="249">
        <f t="shared" si="62"/>
        <v>0</v>
      </c>
      <c r="J520" s="249">
        <f t="shared" si="63"/>
        <v>0</v>
      </c>
      <c r="K520" s="249">
        <f t="shared" si="64"/>
        <v>0</v>
      </c>
      <c r="L520" s="248"/>
    </row>
    <row r="521" spans="1:12" s="228" customFormat="1">
      <c r="A521" s="250">
        <v>458</v>
      </c>
      <c r="B521" s="249">
        <f t="shared" si="57"/>
        <v>0</v>
      </c>
      <c r="C521" s="249">
        <f t="shared" si="58"/>
        <v>0</v>
      </c>
      <c r="D521" s="249">
        <f t="shared" si="59"/>
        <v>0</v>
      </c>
      <c r="E521" s="249">
        <f t="shared" si="60"/>
        <v>0</v>
      </c>
      <c r="F521" s="248"/>
      <c r="G521" s="250">
        <v>458</v>
      </c>
      <c r="H521" s="249">
        <f t="shared" si="61"/>
        <v>0</v>
      </c>
      <c r="I521" s="249">
        <f t="shared" si="62"/>
        <v>0</v>
      </c>
      <c r="J521" s="249">
        <f t="shared" si="63"/>
        <v>0</v>
      </c>
      <c r="K521" s="249">
        <f t="shared" si="64"/>
        <v>0</v>
      </c>
      <c r="L521" s="248"/>
    </row>
    <row r="522" spans="1:12">
      <c r="A522" s="250">
        <v>459</v>
      </c>
      <c r="B522" s="249">
        <f t="shared" si="57"/>
        <v>0</v>
      </c>
      <c r="C522" s="249">
        <f t="shared" si="58"/>
        <v>0</v>
      </c>
      <c r="D522" s="249">
        <f t="shared" si="59"/>
        <v>0</v>
      </c>
      <c r="E522" s="249">
        <f t="shared" si="60"/>
        <v>0</v>
      </c>
      <c r="F522" s="248"/>
      <c r="G522" s="250">
        <v>459</v>
      </c>
      <c r="H522" s="249">
        <f t="shared" si="61"/>
        <v>0</v>
      </c>
      <c r="I522" s="249">
        <f t="shared" si="62"/>
        <v>0</v>
      </c>
      <c r="J522" s="249">
        <f t="shared" si="63"/>
        <v>0</v>
      </c>
      <c r="K522" s="249">
        <f t="shared" si="64"/>
        <v>0</v>
      </c>
      <c r="L522" s="248"/>
    </row>
    <row r="523" spans="1:12">
      <c r="A523" s="250">
        <v>460</v>
      </c>
      <c r="B523" s="249">
        <f t="shared" si="57"/>
        <v>0</v>
      </c>
      <c r="C523" s="249">
        <f t="shared" si="58"/>
        <v>0</v>
      </c>
      <c r="D523" s="249">
        <f t="shared" si="59"/>
        <v>0</v>
      </c>
      <c r="E523" s="249">
        <f t="shared" si="60"/>
        <v>0</v>
      </c>
      <c r="F523" s="248"/>
      <c r="G523" s="250">
        <v>460</v>
      </c>
      <c r="H523" s="249">
        <f t="shared" si="61"/>
        <v>0</v>
      </c>
      <c r="I523" s="249">
        <f t="shared" si="62"/>
        <v>0</v>
      </c>
      <c r="J523" s="249">
        <f t="shared" si="63"/>
        <v>0</v>
      </c>
      <c r="K523" s="249">
        <f t="shared" si="64"/>
        <v>0</v>
      </c>
      <c r="L523" s="248"/>
    </row>
    <row r="524" spans="1:12">
      <c r="A524" s="250">
        <v>461</v>
      </c>
      <c r="B524" s="249">
        <f t="shared" si="57"/>
        <v>0</v>
      </c>
      <c r="C524" s="249">
        <f t="shared" si="58"/>
        <v>0</v>
      </c>
      <c r="D524" s="249">
        <f t="shared" si="59"/>
        <v>0</v>
      </c>
      <c r="E524" s="249">
        <f t="shared" si="60"/>
        <v>0</v>
      </c>
      <c r="F524" s="248"/>
      <c r="G524" s="250">
        <v>461</v>
      </c>
      <c r="H524" s="249">
        <f t="shared" si="61"/>
        <v>0</v>
      </c>
      <c r="I524" s="249">
        <f t="shared" si="62"/>
        <v>0</v>
      </c>
      <c r="J524" s="249">
        <f t="shared" si="63"/>
        <v>0</v>
      </c>
      <c r="K524" s="249">
        <f t="shared" si="64"/>
        <v>0</v>
      </c>
      <c r="L524" s="248"/>
    </row>
    <row r="525" spans="1:12">
      <c r="A525" s="250">
        <v>462</v>
      </c>
      <c r="B525" s="249">
        <f t="shared" si="57"/>
        <v>0</v>
      </c>
      <c r="C525" s="249">
        <f t="shared" si="58"/>
        <v>0</v>
      </c>
      <c r="D525" s="249">
        <f t="shared" si="59"/>
        <v>0</v>
      </c>
      <c r="E525" s="249">
        <f t="shared" si="60"/>
        <v>0</v>
      </c>
      <c r="F525" s="248"/>
      <c r="G525" s="250">
        <v>462</v>
      </c>
      <c r="H525" s="249">
        <f t="shared" si="61"/>
        <v>0</v>
      </c>
      <c r="I525" s="249">
        <f t="shared" si="62"/>
        <v>0</v>
      </c>
      <c r="J525" s="249">
        <f t="shared" si="63"/>
        <v>0</v>
      </c>
      <c r="K525" s="249">
        <f t="shared" si="64"/>
        <v>0</v>
      </c>
      <c r="L525" s="248"/>
    </row>
    <row r="526" spans="1:12">
      <c r="A526" s="250">
        <v>463</v>
      </c>
      <c r="B526" s="249">
        <f t="shared" si="57"/>
        <v>0</v>
      </c>
      <c r="C526" s="249">
        <f t="shared" si="58"/>
        <v>0</v>
      </c>
      <c r="D526" s="249">
        <f t="shared" si="59"/>
        <v>0</v>
      </c>
      <c r="E526" s="249">
        <f t="shared" si="60"/>
        <v>0</v>
      </c>
      <c r="F526" s="248"/>
      <c r="G526" s="250">
        <v>463</v>
      </c>
      <c r="H526" s="249">
        <f t="shared" si="61"/>
        <v>0</v>
      </c>
      <c r="I526" s="249">
        <f t="shared" si="62"/>
        <v>0</v>
      </c>
      <c r="J526" s="249">
        <f t="shared" si="63"/>
        <v>0</v>
      </c>
      <c r="K526" s="249">
        <f t="shared" si="64"/>
        <v>0</v>
      </c>
      <c r="L526" s="248"/>
    </row>
    <row r="527" spans="1:12">
      <c r="A527" s="250">
        <v>464</v>
      </c>
      <c r="B527" s="249">
        <f t="shared" si="57"/>
        <v>0</v>
      </c>
      <c r="C527" s="249">
        <f t="shared" si="58"/>
        <v>0</v>
      </c>
      <c r="D527" s="249">
        <f t="shared" si="59"/>
        <v>0</v>
      </c>
      <c r="E527" s="249">
        <f t="shared" si="60"/>
        <v>0</v>
      </c>
      <c r="F527" s="248"/>
      <c r="G527" s="250">
        <v>464</v>
      </c>
      <c r="H527" s="249">
        <f t="shared" si="61"/>
        <v>0</v>
      </c>
      <c r="I527" s="249">
        <f t="shared" si="62"/>
        <v>0</v>
      </c>
      <c r="J527" s="249">
        <f t="shared" si="63"/>
        <v>0</v>
      </c>
      <c r="K527" s="249">
        <f t="shared" si="64"/>
        <v>0</v>
      </c>
      <c r="L527" s="248"/>
    </row>
    <row r="528" spans="1:12">
      <c r="A528" s="250">
        <v>465</v>
      </c>
      <c r="B528" s="249">
        <f t="shared" si="57"/>
        <v>0</v>
      </c>
      <c r="C528" s="249">
        <f t="shared" si="58"/>
        <v>0</v>
      </c>
      <c r="D528" s="249">
        <f t="shared" si="59"/>
        <v>0</v>
      </c>
      <c r="E528" s="249">
        <f t="shared" si="60"/>
        <v>0</v>
      </c>
      <c r="F528" s="248"/>
      <c r="G528" s="250">
        <v>465</v>
      </c>
      <c r="H528" s="249">
        <f t="shared" si="61"/>
        <v>0</v>
      </c>
      <c r="I528" s="249">
        <f t="shared" si="62"/>
        <v>0</v>
      </c>
      <c r="J528" s="249">
        <f t="shared" si="63"/>
        <v>0</v>
      </c>
      <c r="K528" s="249">
        <f t="shared" si="64"/>
        <v>0</v>
      </c>
      <c r="L528" s="248"/>
    </row>
    <row r="529" spans="1:12">
      <c r="A529" s="250">
        <v>466</v>
      </c>
      <c r="B529" s="249">
        <f t="shared" si="57"/>
        <v>0</v>
      </c>
      <c r="C529" s="249">
        <f t="shared" si="58"/>
        <v>0</v>
      </c>
      <c r="D529" s="249">
        <f t="shared" si="59"/>
        <v>0</v>
      </c>
      <c r="E529" s="249">
        <f t="shared" si="60"/>
        <v>0</v>
      </c>
      <c r="F529" s="248"/>
      <c r="G529" s="250">
        <v>466</v>
      </c>
      <c r="H529" s="249">
        <f t="shared" si="61"/>
        <v>0</v>
      </c>
      <c r="I529" s="249">
        <f t="shared" si="62"/>
        <v>0</v>
      </c>
      <c r="J529" s="249">
        <f t="shared" si="63"/>
        <v>0</v>
      </c>
      <c r="K529" s="249">
        <f t="shared" si="64"/>
        <v>0</v>
      </c>
      <c r="L529" s="248"/>
    </row>
    <row r="530" spans="1:12">
      <c r="A530" s="250">
        <v>467</v>
      </c>
      <c r="B530" s="249">
        <f t="shared" si="57"/>
        <v>0</v>
      </c>
      <c r="C530" s="249">
        <f t="shared" si="58"/>
        <v>0</v>
      </c>
      <c r="D530" s="249">
        <f t="shared" si="59"/>
        <v>0</v>
      </c>
      <c r="E530" s="249">
        <f t="shared" si="60"/>
        <v>0</v>
      </c>
      <c r="F530" s="248"/>
      <c r="G530" s="250">
        <v>467</v>
      </c>
      <c r="H530" s="249">
        <f t="shared" si="61"/>
        <v>0</v>
      </c>
      <c r="I530" s="249">
        <f t="shared" si="62"/>
        <v>0</v>
      </c>
      <c r="J530" s="249">
        <f t="shared" si="63"/>
        <v>0</v>
      </c>
      <c r="K530" s="249">
        <f t="shared" si="64"/>
        <v>0</v>
      </c>
      <c r="L530" s="248"/>
    </row>
    <row r="531" spans="1:12">
      <c r="A531" s="250">
        <v>468</v>
      </c>
      <c r="B531" s="249">
        <f t="shared" si="57"/>
        <v>0</v>
      </c>
      <c r="C531" s="249">
        <f t="shared" si="58"/>
        <v>0</v>
      </c>
      <c r="D531" s="249">
        <f t="shared" si="59"/>
        <v>0</v>
      </c>
      <c r="E531" s="249">
        <f t="shared" si="60"/>
        <v>0</v>
      </c>
      <c r="F531" s="248">
        <v>39</v>
      </c>
      <c r="G531" s="250">
        <v>468</v>
      </c>
      <c r="H531" s="249">
        <f t="shared" si="61"/>
        <v>0</v>
      </c>
      <c r="I531" s="249">
        <f t="shared" si="62"/>
        <v>0</v>
      </c>
      <c r="J531" s="249">
        <f t="shared" si="63"/>
        <v>0</v>
      </c>
      <c r="K531" s="249">
        <f t="shared" si="64"/>
        <v>0</v>
      </c>
      <c r="L531" s="248">
        <v>39</v>
      </c>
    </row>
    <row r="532" spans="1:12">
      <c r="A532" s="250">
        <v>469</v>
      </c>
      <c r="B532" s="249">
        <f t="shared" si="57"/>
        <v>0</v>
      </c>
      <c r="C532" s="249">
        <f t="shared" si="58"/>
        <v>0</v>
      </c>
      <c r="D532" s="249">
        <f t="shared" si="59"/>
        <v>0</v>
      </c>
      <c r="E532" s="249">
        <f t="shared" si="60"/>
        <v>0</v>
      </c>
      <c r="F532" s="248"/>
      <c r="G532" s="250">
        <v>469</v>
      </c>
      <c r="H532" s="249">
        <f t="shared" si="61"/>
        <v>0</v>
      </c>
      <c r="I532" s="249">
        <f t="shared" si="62"/>
        <v>0</v>
      </c>
      <c r="J532" s="249">
        <f t="shared" si="63"/>
        <v>0</v>
      </c>
      <c r="K532" s="249">
        <f t="shared" si="64"/>
        <v>0</v>
      </c>
      <c r="L532" s="248"/>
    </row>
    <row r="533" spans="1:12">
      <c r="A533" s="250">
        <v>470</v>
      </c>
      <c r="B533" s="249">
        <f t="shared" si="57"/>
        <v>0</v>
      </c>
      <c r="C533" s="249">
        <f t="shared" si="58"/>
        <v>0</v>
      </c>
      <c r="D533" s="249">
        <f t="shared" si="59"/>
        <v>0</v>
      </c>
      <c r="E533" s="249">
        <f t="shared" si="60"/>
        <v>0</v>
      </c>
      <c r="F533" s="248"/>
      <c r="G533" s="250">
        <v>470</v>
      </c>
      <c r="H533" s="249">
        <f t="shared" si="61"/>
        <v>0</v>
      </c>
      <c r="I533" s="249">
        <f t="shared" si="62"/>
        <v>0</v>
      </c>
      <c r="J533" s="249">
        <f t="shared" si="63"/>
        <v>0</v>
      </c>
      <c r="K533" s="249">
        <f t="shared" si="64"/>
        <v>0</v>
      </c>
      <c r="L533" s="248"/>
    </row>
    <row r="534" spans="1:12">
      <c r="A534" s="250">
        <v>471</v>
      </c>
      <c r="B534" s="249">
        <f t="shared" si="57"/>
        <v>0</v>
      </c>
      <c r="C534" s="249">
        <f t="shared" si="58"/>
        <v>0</v>
      </c>
      <c r="D534" s="249">
        <f t="shared" si="59"/>
        <v>0</v>
      </c>
      <c r="E534" s="249">
        <f t="shared" si="60"/>
        <v>0</v>
      </c>
      <c r="F534" s="248"/>
      <c r="G534" s="250">
        <v>471</v>
      </c>
      <c r="H534" s="249">
        <f t="shared" si="61"/>
        <v>0</v>
      </c>
      <c r="I534" s="249">
        <f t="shared" si="62"/>
        <v>0</v>
      </c>
      <c r="J534" s="249">
        <f t="shared" si="63"/>
        <v>0</v>
      </c>
      <c r="K534" s="249">
        <f t="shared" si="64"/>
        <v>0</v>
      </c>
      <c r="L534" s="248"/>
    </row>
    <row r="535" spans="1:12">
      <c r="A535" s="250">
        <v>472</v>
      </c>
      <c r="B535" s="249">
        <f t="shared" si="57"/>
        <v>0</v>
      </c>
      <c r="C535" s="249">
        <f t="shared" si="58"/>
        <v>0</v>
      </c>
      <c r="D535" s="249">
        <f t="shared" si="59"/>
        <v>0</v>
      </c>
      <c r="E535" s="249">
        <f t="shared" si="60"/>
        <v>0</v>
      </c>
      <c r="F535" s="248"/>
      <c r="G535" s="250">
        <v>472</v>
      </c>
      <c r="H535" s="249">
        <f t="shared" si="61"/>
        <v>0</v>
      </c>
      <c r="I535" s="249">
        <f t="shared" si="62"/>
        <v>0</v>
      </c>
      <c r="J535" s="249">
        <f t="shared" si="63"/>
        <v>0</v>
      </c>
      <c r="K535" s="249">
        <f t="shared" si="64"/>
        <v>0</v>
      </c>
      <c r="L535" s="248"/>
    </row>
    <row r="536" spans="1:12">
      <c r="A536" s="250">
        <v>473</v>
      </c>
      <c r="B536" s="249">
        <f t="shared" si="57"/>
        <v>0</v>
      </c>
      <c r="C536" s="249">
        <f t="shared" si="58"/>
        <v>0</v>
      </c>
      <c r="D536" s="249">
        <f t="shared" si="59"/>
        <v>0</v>
      </c>
      <c r="E536" s="249">
        <f t="shared" si="60"/>
        <v>0</v>
      </c>
      <c r="F536" s="248"/>
      <c r="G536" s="250">
        <v>473</v>
      </c>
      <c r="H536" s="249">
        <f t="shared" si="61"/>
        <v>0</v>
      </c>
      <c r="I536" s="249">
        <f t="shared" si="62"/>
        <v>0</v>
      </c>
      <c r="J536" s="249">
        <f t="shared" si="63"/>
        <v>0</v>
      </c>
      <c r="K536" s="249">
        <f t="shared" si="64"/>
        <v>0</v>
      </c>
      <c r="L536" s="248"/>
    </row>
    <row r="537" spans="1:12">
      <c r="A537" s="250">
        <v>474</v>
      </c>
      <c r="B537" s="249">
        <f t="shared" si="57"/>
        <v>0</v>
      </c>
      <c r="C537" s="249">
        <f t="shared" si="58"/>
        <v>0</v>
      </c>
      <c r="D537" s="249">
        <f t="shared" si="59"/>
        <v>0</v>
      </c>
      <c r="E537" s="249">
        <f t="shared" si="60"/>
        <v>0</v>
      </c>
      <c r="F537" s="248"/>
      <c r="G537" s="250">
        <v>474</v>
      </c>
      <c r="H537" s="249">
        <f t="shared" si="61"/>
        <v>0</v>
      </c>
      <c r="I537" s="249">
        <f t="shared" si="62"/>
        <v>0</v>
      </c>
      <c r="J537" s="249">
        <f t="shared" si="63"/>
        <v>0</v>
      </c>
      <c r="K537" s="249">
        <f t="shared" si="64"/>
        <v>0</v>
      </c>
      <c r="L537" s="248"/>
    </row>
    <row r="538" spans="1:12">
      <c r="A538" s="250">
        <v>475</v>
      </c>
      <c r="B538" s="249">
        <f t="shared" si="57"/>
        <v>0</v>
      </c>
      <c r="C538" s="249">
        <f t="shared" si="58"/>
        <v>0</v>
      </c>
      <c r="D538" s="249">
        <f t="shared" si="59"/>
        <v>0</v>
      </c>
      <c r="E538" s="249">
        <f t="shared" si="60"/>
        <v>0</v>
      </c>
      <c r="F538" s="248"/>
      <c r="G538" s="250">
        <v>475</v>
      </c>
      <c r="H538" s="249">
        <f t="shared" si="61"/>
        <v>0</v>
      </c>
      <c r="I538" s="249">
        <f t="shared" si="62"/>
        <v>0</v>
      </c>
      <c r="J538" s="249">
        <f t="shared" si="63"/>
        <v>0</v>
      </c>
      <c r="K538" s="249">
        <f t="shared" si="64"/>
        <v>0</v>
      </c>
      <c r="L538" s="248"/>
    </row>
    <row r="539" spans="1:12">
      <c r="A539" s="250">
        <v>476</v>
      </c>
      <c r="B539" s="249">
        <f t="shared" si="57"/>
        <v>0</v>
      </c>
      <c r="C539" s="249">
        <f t="shared" si="58"/>
        <v>0</v>
      </c>
      <c r="D539" s="249">
        <f t="shared" si="59"/>
        <v>0</v>
      </c>
      <c r="E539" s="249">
        <f t="shared" si="60"/>
        <v>0</v>
      </c>
      <c r="F539" s="248"/>
      <c r="G539" s="250">
        <v>476</v>
      </c>
      <c r="H539" s="249">
        <f t="shared" si="61"/>
        <v>0</v>
      </c>
      <c r="I539" s="249">
        <f t="shared" si="62"/>
        <v>0</v>
      </c>
      <c r="J539" s="249">
        <f t="shared" si="63"/>
        <v>0</v>
      </c>
      <c r="K539" s="249">
        <f t="shared" si="64"/>
        <v>0</v>
      </c>
      <c r="L539" s="248"/>
    </row>
    <row r="540" spans="1:12">
      <c r="A540" s="250">
        <v>477</v>
      </c>
      <c r="B540" s="249">
        <f t="shared" si="57"/>
        <v>0</v>
      </c>
      <c r="C540" s="249">
        <f t="shared" si="58"/>
        <v>0</v>
      </c>
      <c r="D540" s="249">
        <f t="shared" si="59"/>
        <v>0</v>
      </c>
      <c r="E540" s="249">
        <f t="shared" si="60"/>
        <v>0</v>
      </c>
      <c r="F540" s="248"/>
      <c r="G540" s="250">
        <v>477</v>
      </c>
      <c r="H540" s="249">
        <f t="shared" si="61"/>
        <v>0</v>
      </c>
      <c r="I540" s="249">
        <f t="shared" si="62"/>
        <v>0</v>
      </c>
      <c r="J540" s="249">
        <f t="shared" si="63"/>
        <v>0</v>
      </c>
      <c r="K540" s="249">
        <f t="shared" si="64"/>
        <v>0</v>
      </c>
      <c r="L540" s="248"/>
    </row>
    <row r="541" spans="1:12">
      <c r="A541" s="250">
        <v>478</v>
      </c>
      <c r="B541" s="249">
        <f t="shared" si="57"/>
        <v>0</v>
      </c>
      <c r="C541" s="249">
        <f t="shared" si="58"/>
        <v>0</v>
      </c>
      <c r="D541" s="249">
        <f t="shared" si="59"/>
        <v>0</v>
      </c>
      <c r="E541" s="249">
        <f t="shared" si="60"/>
        <v>0</v>
      </c>
      <c r="F541" s="248"/>
      <c r="G541" s="250">
        <v>478</v>
      </c>
      <c r="H541" s="249">
        <f t="shared" si="61"/>
        <v>0</v>
      </c>
      <c r="I541" s="249">
        <f t="shared" si="62"/>
        <v>0</v>
      </c>
      <c r="J541" s="249">
        <f t="shared" si="63"/>
        <v>0</v>
      </c>
      <c r="K541" s="249">
        <f t="shared" si="64"/>
        <v>0</v>
      </c>
      <c r="L541" s="248"/>
    </row>
    <row r="542" spans="1:12">
      <c r="A542" s="250">
        <v>479</v>
      </c>
      <c r="B542" s="249">
        <f t="shared" si="57"/>
        <v>0</v>
      </c>
      <c r="C542" s="249">
        <f t="shared" si="58"/>
        <v>0</v>
      </c>
      <c r="D542" s="249">
        <f t="shared" si="59"/>
        <v>0</v>
      </c>
      <c r="E542" s="249">
        <f t="shared" si="60"/>
        <v>0</v>
      </c>
      <c r="F542" s="248"/>
      <c r="G542" s="250">
        <v>479</v>
      </c>
      <c r="H542" s="249">
        <f t="shared" si="61"/>
        <v>0</v>
      </c>
      <c r="I542" s="249">
        <f t="shared" si="62"/>
        <v>0</v>
      </c>
      <c r="J542" s="249">
        <f t="shared" si="63"/>
        <v>0</v>
      </c>
      <c r="K542" s="249">
        <f t="shared" si="64"/>
        <v>0</v>
      </c>
      <c r="L542" s="248"/>
    </row>
    <row r="543" spans="1:12">
      <c r="A543" s="250">
        <v>480</v>
      </c>
      <c r="B543" s="249">
        <f t="shared" si="57"/>
        <v>0</v>
      </c>
      <c r="C543" s="249">
        <f t="shared" si="58"/>
        <v>0</v>
      </c>
      <c r="D543" s="249">
        <f t="shared" si="59"/>
        <v>0</v>
      </c>
      <c r="E543" s="249">
        <f t="shared" si="60"/>
        <v>0</v>
      </c>
      <c r="F543" s="248">
        <v>40</v>
      </c>
      <c r="G543" s="250">
        <v>480</v>
      </c>
      <c r="H543" s="249">
        <f t="shared" si="61"/>
        <v>0</v>
      </c>
      <c r="I543" s="249">
        <f t="shared" si="62"/>
        <v>0</v>
      </c>
      <c r="J543" s="249">
        <f t="shared" si="63"/>
        <v>0</v>
      </c>
      <c r="K543" s="249">
        <f t="shared" si="64"/>
        <v>0</v>
      </c>
      <c r="L543" s="248">
        <v>40</v>
      </c>
    </row>
    <row r="544" spans="1:12">
      <c r="A544" s="228"/>
      <c r="G544" s="243"/>
      <c r="H544" s="243"/>
      <c r="I544" s="243"/>
      <c r="J544" s="243"/>
      <c r="K544" s="243"/>
    </row>
    <row r="545" spans="1:11">
      <c r="A545" s="228"/>
      <c r="G545" s="243"/>
      <c r="H545" s="243"/>
      <c r="I545" s="243"/>
      <c r="J545" s="243"/>
      <c r="K545" s="243"/>
    </row>
    <row r="546" spans="1:11">
      <c r="A546" s="228"/>
      <c r="G546" s="243"/>
      <c r="H546" s="243"/>
      <c r="I546" s="243"/>
      <c r="J546" s="243"/>
      <c r="K546" s="243"/>
    </row>
    <row r="547" spans="1:11">
      <c r="A547" s="228"/>
      <c r="G547" s="243"/>
      <c r="H547" s="243"/>
      <c r="I547" s="243"/>
      <c r="J547" s="243"/>
      <c r="K547" s="243"/>
    </row>
    <row r="548" spans="1:11">
      <c r="A548" s="228"/>
      <c r="G548" s="243"/>
      <c r="H548" s="243"/>
      <c r="I548" s="243"/>
      <c r="J548" s="243"/>
      <c r="K548" s="243"/>
    </row>
    <row r="549" spans="1:11">
      <c r="A549" s="228"/>
      <c r="G549" s="243"/>
      <c r="H549" s="243"/>
      <c r="I549" s="243"/>
      <c r="J549" s="243"/>
      <c r="K549" s="243"/>
    </row>
    <row r="550" spans="1:11">
      <c r="A550" s="228"/>
      <c r="G550" s="243"/>
      <c r="H550" s="243"/>
      <c r="I550" s="243"/>
      <c r="J550" s="243"/>
      <c r="K550" s="243"/>
    </row>
    <row r="551" spans="1:11">
      <c r="G551" s="243"/>
      <c r="H551" s="243"/>
      <c r="I551" s="243"/>
      <c r="J551" s="243"/>
      <c r="K551" s="243"/>
    </row>
    <row r="552" spans="1:11">
      <c r="G552" s="243"/>
      <c r="H552" s="243"/>
      <c r="I552" s="243"/>
      <c r="J552" s="243"/>
      <c r="K552" s="243"/>
    </row>
    <row r="553" spans="1:11">
      <c r="G553" s="243"/>
      <c r="H553" s="243"/>
      <c r="I553" s="243"/>
      <c r="J553" s="243"/>
      <c r="K553" s="243"/>
    </row>
    <row r="554" spans="1:11">
      <c r="G554" s="243"/>
      <c r="H554" s="243"/>
      <c r="I554" s="243"/>
      <c r="J554" s="243"/>
      <c r="K554" s="243"/>
    </row>
    <row r="555" spans="1:11">
      <c r="G555" s="243"/>
      <c r="H555" s="243"/>
      <c r="I555" s="243"/>
      <c r="J555" s="243"/>
      <c r="K555" s="243"/>
    </row>
    <row r="556" spans="1:11">
      <c r="G556" s="243"/>
      <c r="H556" s="243"/>
      <c r="I556" s="243"/>
      <c r="J556" s="243"/>
      <c r="K556" s="243"/>
    </row>
    <row r="557" spans="1:11">
      <c r="G557" s="243"/>
      <c r="H557" s="243"/>
      <c r="I557" s="243"/>
      <c r="J557" s="243"/>
      <c r="K557" s="243"/>
    </row>
    <row r="558" spans="1:11">
      <c r="G558" s="243"/>
      <c r="H558" s="243"/>
      <c r="I558" s="243"/>
      <c r="J558" s="243"/>
      <c r="K558" s="243"/>
    </row>
    <row r="559" spans="1:11">
      <c r="G559" s="243"/>
      <c r="H559" s="243"/>
      <c r="I559" s="243"/>
      <c r="J559" s="243"/>
      <c r="K559" s="243"/>
    </row>
    <row r="560" spans="1:11">
      <c r="G560" s="243"/>
      <c r="H560" s="243"/>
      <c r="I560" s="243"/>
      <c r="J560" s="243"/>
      <c r="K560" s="243"/>
    </row>
    <row r="561" spans="7:11">
      <c r="G561" s="243"/>
      <c r="H561" s="243"/>
      <c r="I561" s="243"/>
      <c r="J561" s="243"/>
      <c r="K561" s="243"/>
    </row>
    <row r="562" spans="7:11">
      <c r="G562" s="243"/>
      <c r="H562" s="243"/>
      <c r="I562" s="243"/>
      <c r="J562" s="243"/>
      <c r="K562" s="243"/>
    </row>
    <row r="563" spans="7:11">
      <c r="G563" s="243"/>
      <c r="H563" s="243"/>
      <c r="I563" s="243"/>
      <c r="J563" s="243"/>
      <c r="K563" s="243"/>
    </row>
    <row r="564" spans="7:11">
      <c r="G564" s="243"/>
      <c r="H564" s="243"/>
      <c r="I564" s="243"/>
      <c r="J564" s="243"/>
      <c r="K564" s="243"/>
    </row>
    <row r="565" spans="7:11">
      <c r="G565" s="243"/>
      <c r="H565" s="243"/>
      <c r="I565" s="243"/>
      <c r="J565" s="243"/>
      <c r="K565" s="243"/>
    </row>
    <row r="566" spans="7:11">
      <c r="G566" s="243"/>
      <c r="H566" s="243"/>
      <c r="I566" s="243"/>
      <c r="J566" s="243"/>
      <c r="K566" s="243"/>
    </row>
    <row r="567" spans="7:11">
      <c r="G567" s="243"/>
      <c r="H567" s="243"/>
      <c r="I567" s="243"/>
      <c r="J567" s="243"/>
      <c r="K567" s="243"/>
    </row>
    <row r="568" spans="7:11">
      <c r="G568" s="243"/>
      <c r="H568" s="243"/>
      <c r="I568" s="243"/>
      <c r="J568" s="243"/>
      <c r="K568" s="243"/>
    </row>
    <row r="569" spans="7:11">
      <c r="G569" s="243"/>
      <c r="H569" s="243"/>
      <c r="I569" s="243"/>
      <c r="J569" s="243"/>
      <c r="K569" s="243"/>
    </row>
    <row r="570" spans="7:11">
      <c r="G570" s="243"/>
      <c r="H570" s="243"/>
      <c r="I570" s="243"/>
      <c r="J570" s="243"/>
      <c r="K570" s="243"/>
    </row>
    <row r="571" spans="7:11">
      <c r="G571" s="243"/>
      <c r="H571" s="243"/>
      <c r="I571" s="243"/>
      <c r="J571" s="243"/>
      <c r="K571" s="243"/>
    </row>
    <row r="572" spans="7:11">
      <c r="G572" s="243"/>
      <c r="H572" s="243"/>
      <c r="I572" s="243"/>
      <c r="J572" s="243"/>
      <c r="K572" s="243"/>
    </row>
    <row r="573" spans="7:11">
      <c r="G573" s="243"/>
      <c r="H573" s="243"/>
      <c r="I573" s="243"/>
      <c r="J573" s="243"/>
      <c r="K573" s="243"/>
    </row>
    <row r="574" spans="7:11">
      <c r="G574" s="243"/>
      <c r="H574" s="243"/>
      <c r="I574" s="243"/>
      <c r="J574" s="243"/>
      <c r="K574" s="243"/>
    </row>
    <row r="575" spans="7:11">
      <c r="G575" s="243"/>
      <c r="H575" s="243"/>
      <c r="I575" s="243"/>
      <c r="J575" s="243"/>
      <c r="K575" s="243"/>
    </row>
    <row r="576" spans="7:11">
      <c r="G576" s="243"/>
      <c r="H576" s="243"/>
      <c r="I576" s="243"/>
      <c r="J576" s="243"/>
      <c r="K576" s="243"/>
    </row>
    <row r="577" spans="7:11">
      <c r="G577" s="243"/>
      <c r="H577" s="243"/>
      <c r="I577" s="243"/>
      <c r="J577" s="243"/>
      <c r="K577" s="243"/>
    </row>
    <row r="578" spans="7:11">
      <c r="G578" s="243"/>
      <c r="H578" s="243"/>
      <c r="I578" s="243"/>
      <c r="J578" s="243"/>
      <c r="K578" s="243"/>
    </row>
    <row r="579" spans="7:11">
      <c r="G579" s="243"/>
      <c r="H579" s="243"/>
      <c r="I579" s="243"/>
      <c r="J579" s="243"/>
      <c r="K579" s="243"/>
    </row>
    <row r="580" spans="7:11">
      <c r="G580" s="243"/>
      <c r="H580" s="243"/>
      <c r="I580" s="243"/>
      <c r="J580" s="243"/>
      <c r="K580" s="243"/>
    </row>
    <row r="581" spans="7:11">
      <c r="G581" s="243"/>
      <c r="H581" s="243"/>
      <c r="I581" s="243"/>
      <c r="J581" s="243"/>
      <c r="K581" s="243"/>
    </row>
    <row r="582" spans="7:11">
      <c r="G582" s="243"/>
      <c r="H582" s="243"/>
      <c r="I582" s="243"/>
      <c r="J582" s="243"/>
      <c r="K582" s="243"/>
    </row>
    <row r="583" spans="7:11">
      <c r="G583" s="243"/>
      <c r="H583" s="243"/>
      <c r="I583" s="243"/>
      <c r="J583" s="243"/>
      <c r="K583" s="243"/>
    </row>
    <row r="584" spans="7:11">
      <c r="G584" s="243"/>
      <c r="H584" s="243"/>
      <c r="I584" s="243"/>
      <c r="J584" s="243"/>
      <c r="K584" s="243"/>
    </row>
    <row r="585" spans="7:11">
      <c r="G585" s="243"/>
      <c r="H585" s="243"/>
      <c r="I585" s="243"/>
      <c r="J585" s="243"/>
      <c r="K585" s="243"/>
    </row>
    <row r="586" spans="7:11">
      <c r="G586" s="243"/>
      <c r="H586" s="243"/>
      <c r="I586" s="243"/>
      <c r="J586" s="243"/>
      <c r="K586" s="243"/>
    </row>
    <row r="587" spans="7:11">
      <c r="G587" s="243"/>
      <c r="H587" s="243"/>
      <c r="I587" s="243"/>
      <c r="J587" s="243"/>
      <c r="K587" s="243"/>
    </row>
    <row r="588" spans="7:11">
      <c r="G588" s="243"/>
      <c r="H588" s="243"/>
      <c r="I588" s="243"/>
      <c r="J588" s="243"/>
      <c r="K588" s="243"/>
    </row>
    <row r="589" spans="7:11">
      <c r="G589" s="243"/>
      <c r="H589" s="243"/>
      <c r="I589" s="243"/>
      <c r="J589" s="243"/>
      <c r="K589" s="243"/>
    </row>
    <row r="590" spans="7:11">
      <c r="G590" s="243"/>
      <c r="H590" s="243"/>
      <c r="I590" s="243"/>
      <c r="J590" s="243"/>
      <c r="K590" s="243"/>
    </row>
    <row r="591" spans="7:11">
      <c r="G591" s="243"/>
      <c r="H591" s="243"/>
      <c r="I591" s="243"/>
      <c r="J591" s="243"/>
      <c r="K591" s="243"/>
    </row>
    <row r="592" spans="7:11">
      <c r="G592" s="243"/>
      <c r="H592" s="243"/>
      <c r="I592" s="243"/>
      <c r="J592" s="243"/>
      <c r="K592" s="243"/>
    </row>
    <row r="593" spans="7:11">
      <c r="G593" s="243"/>
      <c r="H593" s="243"/>
      <c r="I593" s="243"/>
      <c r="J593" s="243"/>
      <c r="K593" s="243"/>
    </row>
    <row r="594" spans="7:11">
      <c r="G594" s="243"/>
      <c r="H594" s="243"/>
      <c r="I594" s="243"/>
      <c r="J594" s="243"/>
      <c r="K594" s="243"/>
    </row>
    <row r="595" spans="7:11">
      <c r="G595" s="243"/>
      <c r="H595" s="243"/>
      <c r="I595" s="243"/>
      <c r="J595" s="243"/>
      <c r="K595" s="243"/>
    </row>
    <row r="596" spans="7:11">
      <c r="G596" s="243"/>
      <c r="H596" s="243"/>
      <c r="I596" s="243"/>
      <c r="J596" s="243"/>
      <c r="K596" s="243"/>
    </row>
    <row r="597" spans="7:11">
      <c r="G597" s="243"/>
      <c r="H597" s="243"/>
      <c r="I597" s="243"/>
      <c r="J597" s="243"/>
      <c r="K597" s="243"/>
    </row>
    <row r="598" spans="7:11">
      <c r="G598" s="243"/>
      <c r="H598" s="243"/>
      <c r="I598" s="243"/>
      <c r="J598" s="243"/>
      <c r="K598" s="243"/>
    </row>
    <row r="599" spans="7:11">
      <c r="G599" s="243"/>
      <c r="H599" s="243"/>
      <c r="I599" s="243"/>
      <c r="J599" s="243"/>
      <c r="K599" s="243"/>
    </row>
    <row r="600" spans="7:11">
      <c r="G600" s="243"/>
      <c r="H600" s="243"/>
      <c r="I600" s="243"/>
      <c r="J600" s="243"/>
      <c r="K600" s="243"/>
    </row>
    <row r="601" spans="7:11">
      <c r="G601" s="243"/>
      <c r="H601" s="243"/>
      <c r="I601" s="243"/>
      <c r="J601" s="243"/>
      <c r="K601" s="243"/>
    </row>
    <row r="602" spans="7:11">
      <c r="G602" s="243"/>
      <c r="H602" s="243"/>
      <c r="I602" s="243"/>
      <c r="J602" s="243"/>
      <c r="K602" s="243"/>
    </row>
    <row r="603" spans="7:11">
      <c r="G603" s="243"/>
      <c r="H603" s="243"/>
      <c r="I603" s="243"/>
      <c r="J603" s="243"/>
      <c r="K603" s="243"/>
    </row>
    <row r="604" spans="7:11">
      <c r="G604" s="243"/>
      <c r="H604" s="243"/>
      <c r="I604" s="243"/>
      <c r="J604" s="243"/>
      <c r="K604" s="243"/>
    </row>
    <row r="605" spans="7:11">
      <c r="G605" s="243"/>
      <c r="H605" s="243"/>
      <c r="I605" s="243"/>
      <c r="J605" s="243"/>
      <c r="K605" s="243"/>
    </row>
    <row r="606" spans="7:11">
      <c r="G606" s="243"/>
      <c r="H606" s="243"/>
      <c r="I606" s="243"/>
      <c r="J606" s="243"/>
      <c r="K606" s="243"/>
    </row>
    <row r="607" spans="7:11">
      <c r="G607" s="243"/>
      <c r="H607" s="243"/>
      <c r="I607" s="243"/>
      <c r="J607" s="243"/>
      <c r="K607" s="243"/>
    </row>
    <row r="608" spans="7:11">
      <c r="G608" s="243"/>
      <c r="H608" s="243"/>
      <c r="I608" s="243"/>
      <c r="J608" s="243"/>
      <c r="K608" s="243"/>
    </row>
    <row r="609" spans="7:11">
      <c r="G609" s="243"/>
      <c r="H609" s="243"/>
      <c r="I609" s="243"/>
      <c r="J609" s="243"/>
      <c r="K609" s="243"/>
    </row>
    <row r="610" spans="7:11">
      <c r="G610" s="243"/>
      <c r="H610" s="243"/>
      <c r="I610" s="243"/>
      <c r="J610" s="243"/>
      <c r="K610" s="243"/>
    </row>
    <row r="611" spans="7:11">
      <c r="G611" s="243"/>
      <c r="H611" s="243"/>
      <c r="I611" s="243"/>
      <c r="J611" s="243"/>
      <c r="K611" s="243"/>
    </row>
    <row r="612" spans="7:11">
      <c r="G612" s="243"/>
      <c r="H612" s="243"/>
      <c r="I612" s="243"/>
      <c r="J612" s="243"/>
      <c r="K612" s="243"/>
    </row>
    <row r="613" spans="7:11">
      <c r="G613" s="243"/>
      <c r="H613" s="243"/>
      <c r="I613" s="243"/>
      <c r="J613" s="243"/>
      <c r="K613" s="243"/>
    </row>
    <row r="614" spans="7:11">
      <c r="G614" s="243"/>
      <c r="H614" s="243"/>
      <c r="I614" s="243"/>
      <c r="J614" s="243"/>
      <c r="K614" s="243"/>
    </row>
    <row r="615" spans="7:11">
      <c r="G615" s="243"/>
      <c r="H615" s="243"/>
      <c r="I615" s="243"/>
      <c r="J615" s="243"/>
      <c r="K615" s="243"/>
    </row>
    <row r="616" spans="7:11">
      <c r="G616" s="243"/>
      <c r="H616" s="243"/>
      <c r="I616" s="243"/>
      <c r="J616" s="243"/>
      <c r="K616" s="243"/>
    </row>
    <row r="617" spans="7:11">
      <c r="G617" s="243"/>
      <c r="H617" s="243"/>
      <c r="I617" s="243"/>
      <c r="J617" s="243"/>
      <c r="K617" s="243"/>
    </row>
    <row r="618" spans="7:11">
      <c r="G618" s="243"/>
      <c r="H618" s="243"/>
      <c r="I618" s="243"/>
      <c r="J618" s="243"/>
      <c r="K618" s="243"/>
    </row>
    <row r="619" spans="7:11">
      <c r="G619" s="243"/>
      <c r="H619" s="243"/>
      <c r="I619" s="243"/>
      <c r="J619" s="243"/>
      <c r="K619" s="243"/>
    </row>
    <row r="620" spans="7:11">
      <c r="G620" s="243"/>
      <c r="H620" s="243"/>
      <c r="I620" s="243"/>
      <c r="J620" s="243"/>
      <c r="K620" s="243"/>
    </row>
    <row r="621" spans="7:11">
      <c r="G621" s="243"/>
      <c r="H621" s="243"/>
      <c r="I621" s="243"/>
      <c r="J621" s="243"/>
      <c r="K621" s="243"/>
    </row>
    <row r="622" spans="7:11">
      <c r="G622" s="243"/>
      <c r="H622" s="243"/>
      <c r="I622" s="243"/>
      <c r="J622" s="243"/>
      <c r="K622" s="243"/>
    </row>
    <row r="623" spans="7:11">
      <c r="G623" s="243"/>
      <c r="H623" s="243"/>
      <c r="I623" s="243"/>
      <c r="J623" s="243"/>
      <c r="K623" s="243"/>
    </row>
    <row r="624" spans="7:11">
      <c r="G624" s="243"/>
      <c r="H624" s="243"/>
      <c r="I624" s="243"/>
      <c r="J624" s="243"/>
      <c r="K624" s="243"/>
    </row>
    <row r="625" spans="7:11">
      <c r="G625" s="243"/>
      <c r="H625" s="243"/>
      <c r="I625" s="243"/>
      <c r="J625" s="243"/>
      <c r="K625" s="243"/>
    </row>
    <row r="626" spans="7:11">
      <c r="G626" s="243"/>
      <c r="H626" s="243"/>
      <c r="I626" s="243"/>
      <c r="J626" s="243"/>
      <c r="K626" s="243"/>
    </row>
    <row r="627" spans="7:11">
      <c r="G627" s="243"/>
      <c r="H627" s="243"/>
      <c r="I627" s="243"/>
      <c r="J627" s="243"/>
      <c r="K627" s="243"/>
    </row>
    <row r="628" spans="7:11">
      <c r="G628" s="243"/>
      <c r="H628" s="243"/>
      <c r="I628" s="243"/>
      <c r="J628" s="243"/>
      <c r="K628" s="243"/>
    </row>
    <row r="629" spans="7:11">
      <c r="G629" s="243"/>
      <c r="H629" s="243"/>
      <c r="I629" s="243"/>
      <c r="J629" s="243"/>
      <c r="K629" s="243"/>
    </row>
    <row r="630" spans="7:11">
      <c r="G630" s="243"/>
      <c r="H630" s="243"/>
      <c r="I630" s="243"/>
      <c r="J630" s="243"/>
      <c r="K630" s="243"/>
    </row>
    <row r="631" spans="7:11">
      <c r="G631" s="243"/>
      <c r="H631" s="243"/>
      <c r="I631" s="243"/>
      <c r="J631" s="243"/>
      <c r="K631" s="243"/>
    </row>
    <row r="632" spans="7:11">
      <c r="G632" s="243"/>
      <c r="H632" s="243"/>
      <c r="I632" s="243"/>
      <c r="J632" s="243"/>
      <c r="K632" s="243"/>
    </row>
    <row r="633" spans="7:11">
      <c r="G633" s="243"/>
      <c r="H633" s="243"/>
      <c r="I633" s="243"/>
      <c r="J633" s="243"/>
      <c r="K633" s="243"/>
    </row>
    <row r="634" spans="7:11">
      <c r="G634" s="243"/>
      <c r="H634" s="243"/>
      <c r="I634" s="243"/>
      <c r="J634" s="243"/>
      <c r="K634" s="243"/>
    </row>
    <row r="635" spans="7:11">
      <c r="G635" s="243"/>
      <c r="H635" s="243"/>
      <c r="I635" s="243"/>
      <c r="J635" s="243"/>
      <c r="K635" s="243"/>
    </row>
    <row r="636" spans="7:11">
      <c r="G636" s="243"/>
      <c r="H636" s="243"/>
      <c r="I636" s="243"/>
      <c r="J636" s="243"/>
      <c r="K636" s="243"/>
    </row>
    <row r="637" spans="7:11">
      <c r="G637" s="243"/>
      <c r="H637" s="243"/>
      <c r="I637" s="243"/>
      <c r="J637" s="243"/>
      <c r="K637" s="243"/>
    </row>
    <row r="638" spans="7:11">
      <c r="G638" s="243"/>
      <c r="H638" s="243"/>
      <c r="I638" s="243"/>
      <c r="J638" s="243"/>
      <c r="K638" s="243"/>
    </row>
    <row r="639" spans="7:11">
      <c r="G639" s="243"/>
      <c r="H639" s="243"/>
      <c r="I639" s="243"/>
      <c r="J639" s="243"/>
      <c r="K639" s="243"/>
    </row>
    <row r="640" spans="7:11">
      <c r="G640" s="243"/>
      <c r="H640" s="243"/>
      <c r="I640" s="243"/>
      <c r="J640" s="243"/>
      <c r="K640" s="243"/>
    </row>
    <row r="641" spans="7:11">
      <c r="G641" s="243"/>
      <c r="H641" s="243"/>
      <c r="I641" s="243"/>
      <c r="J641" s="243"/>
      <c r="K641" s="243"/>
    </row>
    <row r="642" spans="7:11">
      <c r="G642" s="243"/>
      <c r="H642" s="243"/>
      <c r="I642" s="243"/>
      <c r="J642" s="243"/>
      <c r="K642" s="243"/>
    </row>
    <row r="643" spans="7:11">
      <c r="G643" s="243"/>
      <c r="H643" s="243"/>
      <c r="I643" s="243"/>
      <c r="J643" s="243"/>
      <c r="K643" s="243"/>
    </row>
    <row r="644" spans="7:11">
      <c r="G644" s="243"/>
      <c r="H644" s="243"/>
      <c r="I644" s="243"/>
      <c r="J644" s="243"/>
      <c r="K644" s="243"/>
    </row>
    <row r="645" spans="7:11">
      <c r="G645" s="243"/>
      <c r="H645" s="243"/>
      <c r="I645" s="243"/>
      <c r="J645" s="243"/>
      <c r="K645" s="243"/>
    </row>
    <row r="646" spans="7:11">
      <c r="G646" s="243"/>
      <c r="H646" s="243"/>
      <c r="I646" s="243"/>
      <c r="J646" s="243"/>
      <c r="K646" s="243"/>
    </row>
    <row r="647" spans="7:11">
      <c r="G647" s="243"/>
      <c r="H647" s="243"/>
      <c r="I647" s="243"/>
      <c r="J647" s="243"/>
      <c r="K647" s="243"/>
    </row>
    <row r="648" spans="7:11">
      <c r="G648" s="243"/>
      <c r="H648" s="243"/>
      <c r="I648" s="243"/>
      <c r="J648" s="243"/>
      <c r="K648" s="243"/>
    </row>
    <row r="649" spans="7:11">
      <c r="G649" s="243"/>
      <c r="H649" s="243"/>
      <c r="I649" s="243"/>
      <c r="J649" s="243"/>
      <c r="K649" s="243"/>
    </row>
    <row r="650" spans="7:11">
      <c r="G650" s="243"/>
      <c r="H650" s="243"/>
      <c r="I650" s="243"/>
      <c r="J650" s="243"/>
      <c r="K650" s="243"/>
    </row>
    <row r="651" spans="7:11">
      <c r="G651" s="243"/>
      <c r="H651" s="243"/>
      <c r="I651" s="243"/>
      <c r="J651" s="243"/>
      <c r="K651" s="243"/>
    </row>
    <row r="652" spans="7:11">
      <c r="G652" s="243"/>
      <c r="H652" s="243"/>
      <c r="I652" s="243"/>
      <c r="J652" s="243"/>
      <c r="K652" s="243"/>
    </row>
    <row r="653" spans="7:11">
      <c r="G653" s="243"/>
      <c r="H653" s="243"/>
      <c r="I653" s="243"/>
      <c r="J653" s="243"/>
      <c r="K653" s="243"/>
    </row>
    <row r="654" spans="7:11">
      <c r="G654" s="243"/>
      <c r="H654" s="243"/>
      <c r="I654" s="243"/>
      <c r="J654" s="243"/>
      <c r="K654" s="243"/>
    </row>
    <row r="655" spans="7:11">
      <c r="G655" s="243"/>
      <c r="H655" s="243"/>
      <c r="I655" s="243"/>
      <c r="J655" s="243"/>
      <c r="K655" s="243"/>
    </row>
    <row r="656" spans="7:11">
      <c r="G656" s="243"/>
      <c r="H656" s="243"/>
      <c r="I656" s="243"/>
      <c r="J656" s="243"/>
      <c r="K656" s="243"/>
    </row>
    <row r="657" spans="7:11">
      <c r="G657" s="243"/>
      <c r="H657" s="243"/>
      <c r="I657" s="243"/>
      <c r="J657" s="243"/>
      <c r="K657" s="243"/>
    </row>
    <row r="658" spans="7:11">
      <c r="G658" s="243"/>
      <c r="H658" s="243"/>
      <c r="I658" s="243"/>
      <c r="J658" s="243"/>
      <c r="K658" s="243"/>
    </row>
    <row r="659" spans="7:11">
      <c r="G659" s="243"/>
      <c r="H659" s="243"/>
      <c r="I659" s="243"/>
      <c r="J659" s="243"/>
      <c r="K659" s="243"/>
    </row>
    <row r="660" spans="7:11">
      <c r="G660" s="243"/>
      <c r="H660" s="243"/>
      <c r="I660" s="243"/>
      <c r="J660" s="243"/>
      <c r="K660" s="243"/>
    </row>
    <row r="661" spans="7:11">
      <c r="G661" s="243"/>
      <c r="H661" s="243"/>
      <c r="I661" s="243"/>
      <c r="J661" s="243"/>
      <c r="K661" s="243"/>
    </row>
    <row r="662" spans="7:11">
      <c r="G662" s="243"/>
      <c r="H662" s="243"/>
      <c r="I662" s="243"/>
      <c r="J662" s="243"/>
      <c r="K662" s="243"/>
    </row>
    <row r="663" spans="7:11">
      <c r="G663" s="243"/>
      <c r="H663" s="243"/>
      <c r="I663" s="243"/>
      <c r="J663" s="243"/>
      <c r="K663" s="243"/>
    </row>
    <row r="664" spans="7:11">
      <c r="G664" s="243"/>
      <c r="H664" s="243"/>
      <c r="I664" s="243"/>
      <c r="J664" s="243"/>
      <c r="K664" s="243"/>
    </row>
    <row r="665" spans="7:11">
      <c r="G665" s="243"/>
      <c r="H665" s="243"/>
      <c r="I665" s="243"/>
      <c r="J665" s="243"/>
      <c r="K665" s="243"/>
    </row>
    <row r="666" spans="7:11">
      <c r="G666" s="243"/>
      <c r="H666" s="243"/>
      <c r="I666" s="243"/>
      <c r="J666" s="243"/>
      <c r="K666" s="243"/>
    </row>
    <row r="667" spans="7:11">
      <c r="G667" s="243"/>
      <c r="H667" s="243"/>
      <c r="I667" s="243"/>
      <c r="J667" s="243"/>
      <c r="K667" s="243"/>
    </row>
    <row r="668" spans="7:11">
      <c r="G668" s="243"/>
      <c r="H668" s="243"/>
      <c r="I668" s="243"/>
      <c r="J668" s="243"/>
      <c r="K668" s="243"/>
    </row>
    <row r="669" spans="7:11">
      <c r="G669" s="243"/>
      <c r="H669" s="243"/>
      <c r="I669" s="243"/>
      <c r="J669" s="243"/>
      <c r="K669" s="243"/>
    </row>
    <row r="670" spans="7:11">
      <c r="G670" s="243"/>
      <c r="H670" s="243"/>
      <c r="I670" s="243"/>
      <c r="J670" s="243"/>
      <c r="K670" s="243"/>
    </row>
    <row r="671" spans="7:11">
      <c r="G671" s="243"/>
      <c r="H671" s="243"/>
      <c r="I671" s="243"/>
      <c r="J671" s="243"/>
      <c r="K671" s="243"/>
    </row>
    <row r="672" spans="7:11">
      <c r="G672" s="243"/>
      <c r="H672" s="243"/>
      <c r="I672" s="243"/>
      <c r="J672" s="243"/>
      <c r="K672" s="243"/>
    </row>
    <row r="673" spans="7:11">
      <c r="G673" s="243"/>
      <c r="H673" s="243"/>
      <c r="I673" s="243"/>
      <c r="J673" s="243"/>
      <c r="K673" s="243"/>
    </row>
    <row r="674" spans="7:11">
      <c r="G674" s="243"/>
      <c r="H674" s="243"/>
      <c r="I674" s="243"/>
      <c r="J674" s="243"/>
      <c r="K674" s="243"/>
    </row>
    <row r="675" spans="7:11">
      <c r="G675" s="243"/>
      <c r="H675" s="243"/>
      <c r="I675" s="243"/>
      <c r="J675" s="243"/>
      <c r="K675" s="243"/>
    </row>
    <row r="676" spans="7:11">
      <c r="G676" s="243"/>
      <c r="H676" s="243"/>
      <c r="I676" s="243"/>
      <c r="J676" s="243"/>
      <c r="K676" s="243"/>
    </row>
    <row r="677" spans="7:11">
      <c r="G677" s="243"/>
      <c r="H677" s="243"/>
      <c r="I677" s="243"/>
      <c r="J677" s="243"/>
      <c r="K677" s="243"/>
    </row>
    <row r="678" spans="7:11">
      <c r="G678" s="243"/>
      <c r="H678" s="243"/>
      <c r="I678" s="243"/>
      <c r="J678" s="243"/>
      <c r="K678" s="243"/>
    </row>
    <row r="679" spans="7:11">
      <c r="G679" s="243"/>
      <c r="H679" s="243"/>
      <c r="I679" s="243"/>
      <c r="J679" s="243"/>
      <c r="K679" s="243"/>
    </row>
    <row r="680" spans="7:11">
      <c r="G680" s="243"/>
      <c r="H680" s="243"/>
      <c r="I680" s="243"/>
      <c r="J680" s="243"/>
      <c r="K680" s="243"/>
    </row>
    <row r="681" spans="7:11">
      <c r="G681" s="243"/>
      <c r="H681" s="243"/>
      <c r="I681" s="243"/>
      <c r="J681" s="243"/>
      <c r="K681" s="243"/>
    </row>
    <row r="682" spans="7:11">
      <c r="G682" s="243"/>
      <c r="H682" s="243"/>
      <c r="I682" s="243"/>
      <c r="J682" s="243"/>
      <c r="K682" s="243"/>
    </row>
    <row r="683" spans="7:11">
      <c r="G683" s="243"/>
      <c r="H683" s="243"/>
      <c r="I683" s="243"/>
      <c r="J683" s="243"/>
      <c r="K683" s="243"/>
    </row>
    <row r="684" spans="7:11">
      <c r="G684" s="243"/>
      <c r="H684" s="243"/>
      <c r="I684" s="243"/>
      <c r="J684" s="243"/>
      <c r="K684" s="243"/>
    </row>
    <row r="685" spans="7:11">
      <c r="G685" s="243"/>
      <c r="H685" s="243"/>
      <c r="I685" s="243"/>
      <c r="J685" s="243"/>
      <c r="K685" s="243"/>
    </row>
    <row r="686" spans="7:11">
      <c r="G686" s="243"/>
      <c r="H686" s="243"/>
      <c r="I686" s="243"/>
      <c r="J686" s="243"/>
      <c r="K686" s="243"/>
    </row>
    <row r="687" spans="7:11">
      <c r="G687" s="243"/>
      <c r="H687" s="243"/>
      <c r="I687" s="243"/>
      <c r="J687" s="243"/>
      <c r="K687" s="243"/>
    </row>
    <row r="688" spans="7:11">
      <c r="G688" s="243"/>
      <c r="H688" s="243"/>
      <c r="I688" s="243"/>
      <c r="J688" s="243"/>
      <c r="K688" s="243"/>
    </row>
    <row r="689" spans="7:11">
      <c r="G689" s="243"/>
      <c r="H689" s="243"/>
      <c r="I689" s="243"/>
      <c r="J689" s="243"/>
      <c r="K689" s="243"/>
    </row>
    <row r="690" spans="7:11">
      <c r="G690" s="243"/>
      <c r="H690" s="243"/>
      <c r="I690" s="243"/>
      <c r="J690" s="243"/>
      <c r="K690" s="243"/>
    </row>
    <row r="691" spans="7:11">
      <c r="G691" s="243"/>
      <c r="H691" s="243"/>
      <c r="I691" s="243"/>
      <c r="J691" s="243"/>
      <c r="K691" s="243"/>
    </row>
    <row r="692" spans="7:11">
      <c r="G692" s="243"/>
      <c r="H692" s="243"/>
      <c r="I692" s="243"/>
      <c r="J692" s="243"/>
      <c r="K692" s="243"/>
    </row>
    <row r="693" spans="7:11">
      <c r="G693" s="243"/>
      <c r="H693" s="243"/>
      <c r="I693" s="243"/>
      <c r="J693" s="243"/>
      <c r="K693" s="243"/>
    </row>
    <row r="694" spans="7:11">
      <c r="G694" s="243"/>
      <c r="H694" s="243"/>
      <c r="I694" s="243"/>
      <c r="J694" s="243"/>
      <c r="K694" s="243"/>
    </row>
    <row r="695" spans="7:11">
      <c r="G695" s="243"/>
      <c r="H695" s="243"/>
      <c r="I695" s="243"/>
      <c r="J695" s="243"/>
      <c r="K695" s="243"/>
    </row>
    <row r="696" spans="7:11">
      <c r="G696" s="243"/>
      <c r="H696" s="243"/>
      <c r="I696" s="243"/>
      <c r="J696" s="243"/>
      <c r="K696" s="243"/>
    </row>
    <row r="697" spans="7:11">
      <c r="G697" s="243"/>
      <c r="H697" s="243"/>
      <c r="I697" s="243"/>
      <c r="J697" s="243"/>
      <c r="K697" s="243"/>
    </row>
    <row r="698" spans="7:11">
      <c r="G698" s="243"/>
      <c r="H698" s="243"/>
      <c r="I698" s="243"/>
      <c r="J698" s="243"/>
      <c r="K698" s="243"/>
    </row>
    <row r="699" spans="7:11">
      <c r="G699" s="243"/>
      <c r="H699" s="243"/>
      <c r="I699" s="243"/>
      <c r="J699" s="243"/>
      <c r="K699" s="243"/>
    </row>
    <row r="700" spans="7:11">
      <c r="G700" s="243"/>
      <c r="H700" s="243"/>
      <c r="I700" s="243"/>
      <c r="J700" s="243"/>
      <c r="K700" s="243"/>
    </row>
    <row r="701" spans="7:11">
      <c r="G701" s="243"/>
      <c r="H701" s="243"/>
      <c r="I701" s="243"/>
      <c r="J701" s="243"/>
      <c r="K701" s="243"/>
    </row>
    <row r="702" spans="7:11">
      <c r="G702" s="243"/>
      <c r="H702" s="243"/>
      <c r="I702" s="243"/>
      <c r="J702" s="243"/>
      <c r="K702" s="243"/>
    </row>
    <row r="703" spans="7:11">
      <c r="G703" s="243"/>
      <c r="H703" s="243"/>
      <c r="I703" s="243"/>
      <c r="J703" s="243"/>
      <c r="K703" s="243"/>
    </row>
    <row r="704" spans="7:11">
      <c r="G704" s="243"/>
      <c r="H704" s="243"/>
      <c r="I704" s="243"/>
      <c r="J704" s="243"/>
      <c r="K704" s="243"/>
    </row>
    <row r="705" spans="7:11">
      <c r="G705" s="243"/>
      <c r="H705" s="243"/>
      <c r="I705" s="243"/>
      <c r="J705" s="243"/>
      <c r="K705" s="243"/>
    </row>
    <row r="706" spans="7:11">
      <c r="G706" s="243"/>
      <c r="H706" s="243"/>
      <c r="I706" s="243"/>
      <c r="J706" s="243"/>
      <c r="K706" s="243"/>
    </row>
    <row r="707" spans="7:11">
      <c r="G707" s="243"/>
      <c r="H707" s="243"/>
      <c r="I707" s="243"/>
      <c r="J707" s="243"/>
      <c r="K707" s="243"/>
    </row>
    <row r="708" spans="7:11">
      <c r="G708" s="243"/>
      <c r="H708" s="243"/>
      <c r="I708" s="243"/>
      <c r="J708" s="243"/>
      <c r="K708" s="243"/>
    </row>
    <row r="709" spans="7:11">
      <c r="G709" s="243"/>
      <c r="H709" s="243"/>
      <c r="I709" s="243"/>
      <c r="J709" s="243"/>
      <c r="K709" s="243"/>
    </row>
    <row r="710" spans="7:11">
      <c r="G710" s="243"/>
      <c r="H710" s="243"/>
      <c r="I710" s="243"/>
      <c r="J710" s="243"/>
      <c r="K710" s="243"/>
    </row>
    <row r="711" spans="7:11">
      <c r="G711" s="243"/>
      <c r="H711" s="243"/>
      <c r="I711" s="243"/>
      <c r="J711" s="243"/>
      <c r="K711" s="243"/>
    </row>
    <row r="712" spans="7:11">
      <c r="G712" s="243"/>
      <c r="H712" s="243"/>
      <c r="I712" s="243"/>
      <c r="J712" s="243"/>
      <c r="K712" s="243"/>
    </row>
    <row r="713" spans="7:11">
      <c r="G713" s="243"/>
      <c r="H713" s="243"/>
      <c r="I713" s="243"/>
      <c r="J713" s="243"/>
      <c r="K713" s="243"/>
    </row>
    <row r="714" spans="7:11">
      <c r="G714" s="243"/>
      <c r="H714" s="243"/>
      <c r="I714" s="243"/>
      <c r="J714" s="243"/>
      <c r="K714" s="243"/>
    </row>
    <row r="715" spans="7:11">
      <c r="G715" s="243"/>
      <c r="H715" s="243"/>
      <c r="I715" s="243"/>
      <c r="J715" s="243"/>
      <c r="K715" s="243"/>
    </row>
    <row r="716" spans="7:11">
      <c r="G716" s="243"/>
      <c r="H716" s="243"/>
      <c r="I716" s="243"/>
      <c r="J716" s="243"/>
      <c r="K716" s="243"/>
    </row>
    <row r="717" spans="7:11">
      <c r="G717" s="243"/>
      <c r="H717" s="243"/>
      <c r="I717" s="243"/>
      <c r="J717" s="243"/>
      <c r="K717" s="243"/>
    </row>
    <row r="718" spans="7:11">
      <c r="G718" s="243"/>
      <c r="H718" s="243"/>
      <c r="I718" s="243"/>
      <c r="J718" s="243"/>
      <c r="K718" s="243"/>
    </row>
    <row r="719" spans="7:11">
      <c r="G719" s="243"/>
      <c r="H719" s="243"/>
      <c r="I719" s="243"/>
      <c r="J719" s="243"/>
      <c r="K719" s="243"/>
    </row>
    <row r="720" spans="7:11">
      <c r="G720" s="243"/>
      <c r="H720" s="243"/>
      <c r="I720" s="243"/>
      <c r="J720" s="243"/>
      <c r="K720" s="243"/>
    </row>
    <row r="721" spans="7:11">
      <c r="G721" s="243"/>
      <c r="H721" s="243"/>
      <c r="I721" s="243"/>
      <c r="J721" s="243"/>
      <c r="K721" s="243"/>
    </row>
    <row r="722" spans="7:11">
      <c r="G722" s="243"/>
      <c r="H722" s="243"/>
      <c r="I722" s="243"/>
      <c r="J722" s="243"/>
      <c r="K722" s="243"/>
    </row>
    <row r="723" spans="7:11">
      <c r="G723" s="243"/>
      <c r="H723" s="243"/>
      <c r="I723" s="243"/>
      <c r="J723" s="243"/>
      <c r="K723" s="243"/>
    </row>
    <row r="724" spans="7:11">
      <c r="G724" s="243"/>
      <c r="H724" s="243"/>
      <c r="I724" s="243"/>
      <c r="J724" s="243"/>
      <c r="K724" s="243"/>
    </row>
    <row r="725" spans="7:11">
      <c r="G725" s="243"/>
      <c r="H725" s="243"/>
      <c r="I725" s="243"/>
      <c r="J725" s="243"/>
      <c r="K725" s="243"/>
    </row>
    <row r="726" spans="7:11">
      <c r="G726" s="243"/>
      <c r="H726" s="243"/>
      <c r="I726" s="243"/>
      <c r="J726" s="243"/>
      <c r="K726" s="243"/>
    </row>
    <row r="727" spans="7:11">
      <c r="G727" s="243"/>
      <c r="H727" s="243"/>
      <c r="I727" s="243"/>
      <c r="J727" s="243"/>
      <c r="K727" s="243"/>
    </row>
    <row r="728" spans="7:11">
      <c r="G728" s="243"/>
      <c r="H728" s="243"/>
      <c r="I728" s="243"/>
      <c r="J728" s="243"/>
      <c r="K728" s="243"/>
    </row>
    <row r="729" spans="7:11">
      <c r="G729" s="243"/>
      <c r="H729" s="243"/>
      <c r="I729" s="243"/>
      <c r="J729" s="243"/>
      <c r="K729" s="243"/>
    </row>
    <row r="730" spans="7:11">
      <c r="G730" s="243"/>
      <c r="H730" s="243"/>
      <c r="I730" s="243"/>
      <c r="J730" s="243"/>
      <c r="K730" s="243"/>
    </row>
    <row r="731" spans="7:11">
      <c r="G731" s="243"/>
      <c r="H731" s="243"/>
      <c r="I731" s="243"/>
      <c r="J731" s="243"/>
      <c r="K731" s="243"/>
    </row>
    <row r="732" spans="7:11">
      <c r="G732" s="243"/>
      <c r="H732" s="243"/>
      <c r="I732" s="243"/>
      <c r="J732" s="243"/>
      <c r="K732" s="243"/>
    </row>
    <row r="733" spans="7:11">
      <c r="G733" s="243"/>
      <c r="H733" s="243"/>
      <c r="I733" s="243"/>
      <c r="J733" s="243"/>
      <c r="K733" s="243"/>
    </row>
    <row r="734" spans="7:11">
      <c r="G734" s="243"/>
      <c r="H734" s="243"/>
      <c r="I734" s="243"/>
      <c r="J734" s="243"/>
      <c r="K734" s="243"/>
    </row>
    <row r="735" spans="7:11">
      <c r="G735" s="243"/>
      <c r="H735" s="243"/>
      <c r="I735" s="243"/>
      <c r="J735" s="243"/>
      <c r="K735" s="243"/>
    </row>
    <row r="736" spans="7:11">
      <c r="G736" s="243"/>
      <c r="H736" s="243"/>
      <c r="I736" s="243"/>
      <c r="J736" s="243"/>
      <c r="K736" s="243"/>
    </row>
    <row r="737" spans="7:11">
      <c r="G737" s="243"/>
      <c r="H737" s="243"/>
      <c r="I737" s="243"/>
      <c r="J737" s="243"/>
      <c r="K737" s="243"/>
    </row>
    <row r="738" spans="7:11">
      <c r="G738" s="243"/>
      <c r="H738" s="243"/>
      <c r="I738" s="243"/>
      <c r="J738" s="243"/>
      <c r="K738" s="243"/>
    </row>
    <row r="739" spans="7:11">
      <c r="G739" s="243"/>
      <c r="H739" s="243"/>
      <c r="I739" s="243"/>
      <c r="J739" s="243"/>
      <c r="K739" s="243"/>
    </row>
    <row r="740" spans="7:11">
      <c r="G740" s="243"/>
      <c r="H740" s="243"/>
      <c r="I740" s="243"/>
      <c r="J740" s="243"/>
      <c r="K740" s="243"/>
    </row>
    <row r="741" spans="7:11">
      <c r="G741" s="243"/>
      <c r="H741" s="243"/>
      <c r="I741" s="243"/>
      <c r="J741" s="243"/>
      <c r="K741" s="243"/>
    </row>
    <row r="742" spans="7:11">
      <c r="G742" s="243"/>
      <c r="H742" s="243"/>
      <c r="I742" s="243"/>
      <c r="J742" s="243"/>
      <c r="K742" s="243"/>
    </row>
    <row r="743" spans="7:11">
      <c r="G743" s="243"/>
      <c r="H743" s="243"/>
      <c r="I743" s="243"/>
      <c r="J743" s="243"/>
      <c r="K743" s="243"/>
    </row>
    <row r="744" spans="7:11">
      <c r="I744" s="243"/>
      <c r="J744" s="243"/>
      <c r="K744" s="24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5" customFormat="1" ht="16.149999999999999" customHeight="1">
      <c r="A1" s="1297" t="str">
        <f>CONCATENATE("PART III C  - HUD INSURED LOAN","  -  ",'Part I-Project Information'!$O$4," ",'Part I-Project Information'!$F$23,", ",'Part I-Project Information'!$F$27,", ",'Part I-Project Information'!$J$28," County")</f>
        <v>PART III C  - HUD INSURED LOAN  -  2014-039 Willingham Village II, Rome, Floyd County</v>
      </c>
      <c r="B1" s="1298"/>
      <c r="C1" s="1298"/>
      <c r="D1" s="1298"/>
      <c r="E1" s="1298"/>
      <c r="F1" s="1299"/>
      <c r="G1" s="202"/>
      <c r="H1" s="202"/>
      <c r="I1" s="202"/>
      <c r="J1" s="202"/>
      <c r="K1" s="202"/>
      <c r="L1" s="202"/>
      <c r="M1" s="202"/>
      <c r="N1" s="202"/>
      <c r="O1" s="202"/>
      <c r="P1" s="202"/>
      <c r="Q1" s="202"/>
    </row>
    <row r="2" spans="1:17">
      <c r="A2" s="16"/>
      <c r="B2" s="228"/>
      <c r="C2" s="228"/>
      <c r="D2" s="228"/>
    </row>
    <row r="3" spans="1:17" ht="15.6" customHeight="1">
      <c r="A3" s="1290" t="s">
        <v>226</v>
      </c>
      <c r="B3" s="1290"/>
      <c r="C3" s="1290"/>
      <c r="D3" s="1290"/>
      <c r="E3" s="1290"/>
      <c r="F3" s="1290"/>
      <c r="G3" s="273"/>
      <c r="H3" s="273"/>
    </row>
    <row r="4" spans="1:17">
      <c r="A4" s="16"/>
      <c r="B4" s="228"/>
      <c r="C4" s="228"/>
      <c r="D4" s="228"/>
    </row>
    <row r="5" spans="1:17" ht="13.15" customHeight="1">
      <c r="A5" s="31" t="s">
        <v>2403</v>
      </c>
      <c r="D5" s="268"/>
      <c r="E5" s="1301" t="s">
        <v>1013</v>
      </c>
      <c r="F5" s="1302"/>
      <c r="G5" s="191"/>
    </row>
    <row r="6" spans="1:17">
      <c r="E6" s="1302"/>
      <c r="F6" s="1302"/>
      <c r="G6" s="191"/>
    </row>
    <row r="7" spans="1:17">
      <c r="A7" s="31" t="s">
        <v>2631</v>
      </c>
      <c r="C7" s="31" t="s">
        <v>2632</v>
      </c>
      <c r="D7" s="269"/>
      <c r="E7" s="1302"/>
      <c r="F7" s="1302"/>
      <c r="G7" s="191"/>
    </row>
    <row r="8" spans="1:17">
      <c r="C8" s="31" t="s">
        <v>2633</v>
      </c>
      <c r="D8" s="269"/>
      <c r="E8" s="1302"/>
      <c r="F8" s="1302"/>
      <c r="G8" s="191"/>
    </row>
    <row r="9" spans="1:17">
      <c r="C9" s="31" t="s">
        <v>2634</v>
      </c>
      <c r="D9" s="269"/>
      <c r="E9" s="1302"/>
      <c r="F9" s="1302"/>
      <c r="G9" s="191"/>
    </row>
    <row r="10" spans="1:17">
      <c r="C10" s="31" t="s">
        <v>2647</v>
      </c>
      <c r="D10" s="274">
        <f>D7+D8+D9</f>
        <v>0</v>
      </c>
      <c r="E10" s="1302"/>
      <c r="F10" s="1302"/>
      <c r="G10" s="191"/>
    </row>
    <row r="11" spans="1:17">
      <c r="F11" s="191"/>
      <c r="G11" s="191"/>
    </row>
    <row r="12" spans="1:17">
      <c r="A12" s="31" t="s">
        <v>1837</v>
      </c>
      <c r="D12" s="267"/>
      <c r="E12" s="31" t="s">
        <v>2272</v>
      </c>
      <c r="F12" s="191"/>
      <c r="G12" s="191"/>
    </row>
    <row r="13" spans="1:17">
      <c r="D13" s="238"/>
      <c r="F13" s="191"/>
      <c r="G13" s="191"/>
    </row>
    <row r="14" spans="1:17">
      <c r="A14" s="31" t="s">
        <v>2636</v>
      </c>
      <c r="D14" s="266"/>
      <c r="E14" s="31" t="s">
        <v>2637</v>
      </c>
      <c r="F14" s="275"/>
    </row>
    <row r="15" spans="1:17">
      <c r="D15" s="258"/>
      <c r="F15" s="275"/>
    </row>
    <row r="16" spans="1:17">
      <c r="A16" s="31" t="s">
        <v>2638</v>
      </c>
      <c r="D16" s="266"/>
      <c r="E16" s="31" t="s">
        <v>2637</v>
      </c>
      <c r="F16" s="275"/>
    </row>
    <row r="17" spans="1:10">
      <c r="D17" s="238"/>
      <c r="F17" s="275"/>
    </row>
    <row r="18" spans="1:10">
      <c r="A18" s="31" t="s">
        <v>986</v>
      </c>
      <c r="D18" s="276" t="e">
        <f>PMT(D10/12,D16*12,-D5,0,0)*12</f>
        <v>#NUM!</v>
      </c>
      <c r="E18" s="31" t="s">
        <v>1603</v>
      </c>
      <c r="F18" s="275"/>
    </row>
    <row r="19" spans="1:10">
      <c r="D19" s="238"/>
      <c r="F19" s="275"/>
    </row>
    <row r="20" spans="1:10">
      <c r="A20" s="31" t="s">
        <v>1604</v>
      </c>
      <c r="D20" s="238" t="e">
        <f>D18/12</f>
        <v>#NUM!</v>
      </c>
      <c r="E20" s="31" t="s">
        <v>1603</v>
      </c>
      <c r="F20" s="275"/>
    </row>
    <row r="24" spans="1:10" ht="18" customHeight="1">
      <c r="A24" s="1291" t="s">
        <v>1838</v>
      </c>
      <c r="B24" s="1291"/>
      <c r="C24" s="1291"/>
      <c r="D24" s="1291"/>
      <c r="E24" s="1291"/>
      <c r="F24" s="1291"/>
      <c r="J24" s="277"/>
    </row>
    <row r="25" spans="1:10">
      <c r="C25" s="238"/>
      <c r="J25" s="277"/>
    </row>
    <row r="26" spans="1:10">
      <c r="A26" s="121"/>
      <c r="B26" s="94"/>
      <c r="C26" s="1303" t="s">
        <v>2402</v>
      </c>
      <c r="D26" s="272"/>
      <c r="E26" s="94"/>
      <c r="F26" s="1303" t="s">
        <v>2402</v>
      </c>
      <c r="J26" s="277"/>
    </row>
    <row r="27" spans="1:10">
      <c r="A27" s="278" t="s">
        <v>2648</v>
      </c>
      <c r="B27" s="84" t="s">
        <v>1088</v>
      </c>
      <c r="C27" s="1304"/>
      <c r="D27" s="279" t="s">
        <v>2648</v>
      </c>
      <c r="E27" s="84" t="s">
        <v>1088</v>
      </c>
      <c r="F27" s="1304"/>
      <c r="J27" s="277"/>
    </row>
    <row r="28" spans="1:10">
      <c r="A28" s="280">
        <v>1</v>
      </c>
      <c r="B28" s="308">
        <f>IF(A28&gt;D14,0,E55*$D$12)</f>
        <v>0</v>
      </c>
      <c r="C28" s="308">
        <f>IF(A28&gt;$D$14,0,$D$18+B28)</f>
        <v>0</v>
      </c>
      <c r="D28" s="281">
        <v>21</v>
      </c>
      <c r="E28" s="308">
        <f>IF(D28&gt;$D$14,0,E295*$D$12)</f>
        <v>0</v>
      </c>
      <c r="F28" s="308">
        <f>IF(D28&gt;$D$14,0,$D$18+E28)</f>
        <v>0</v>
      </c>
      <c r="J28" s="277"/>
    </row>
    <row r="29" spans="1:10">
      <c r="A29" s="280">
        <v>2</v>
      </c>
      <c r="B29" s="309">
        <f>IF(A29&gt;D14,0,E67*$D$12)</f>
        <v>0</v>
      </c>
      <c r="C29" s="308">
        <f t="shared" ref="C29:C47" si="0">IF(A29&gt;$D$14,0,$D$18+B29)</f>
        <v>0</v>
      </c>
      <c r="D29" s="281">
        <v>22</v>
      </c>
      <c r="E29" s="308">
        <f>IF(D29&gt;$D$14,0,E307*$D$12)</f>
        <v>0</v>
      </c>
      <c r="F29" s="308">
        <f t="shared" ref="F29:F47" si="1">IF(D29&gt;$D$14,0,$D$18+E29)</f>
        <v>0</v>
      </c>
      <c r="J29" s="277"/>
    </row>
    <row r="30" spans="1:10">
      <c r="A30" s="280">
        <v>3</v>
      </c>
      <c r="B30" s="308">
        <f>IF(A30&gt;D14,0,E79*$D$12)</f>
        <v>0</v>
      </c>
      <c r="C30" s="308">
        <f t="shared" si="0"/>
        <v>0</v>
      </c>
      <c r="D30" s="281">
        <v>23</v>
      </c>
      <c r="E30" s="308">
        <f>IF(D30&gt;$D$14,0,E319*$D$12)</f>
        <v>0</v>
      </c>
      <c r="F30" s="308">
        <f t="shared" si="1"/>
        <v>0</v>
      </c>
      <c r="J30" s="277"/>
    </row>
    <row r="31" spans="1:10">
      <c r="A31" s="280">
        <v>4</v>
      </c>
      <c r="B31" s="308">
        <f>IF(A31&gt;D14,0,E91*$D$12)</f>
        <v>0</v>
      </c>
      <c r="C31" s="308">
        <f t="shared" si="0"/>
        <v>0</v>
      </c>
      <c r="D31" s="281">
        <v>24</v>
      </c>
      <c r="E31" s="308">
        <f>IF(D31&gt;$D$14,0,E331*$D$12)</f>
        <v>0</v>
      </c>
      <c r="F31" s="308">
        <f t="shared" si="1"/>
        <v>0</v>
      </c>
      <c r="J31" s="277"/>
    </row>
    <row r="32" spans="1:10">
      <c r="A32" s="280">
        <v>5</v>
      </c>
      <c r="B32" s="308">
        <f>IF(A32&gt;D14,0,E103*$D$12)</f>
        <v>0</v>
      </c>
      <c r="C32" s="310">
        <f t="shared" si="0"/>
        <v>0</v>
      </c>
      <c r="D32" s="281">
        <v>25</v>
      </c>
      <c r="E32" s="308">
        <f>IF(D32&gt;$D$14,0,E343*$D$12)</f>
        <v>0</v>
      </c>
      <c r="F32" s="310">
        <f t="shared" si="1"/>
        <v>0</v>
      </c>
      <c r="J32" s="277"/>
    </row>
    <row r="33" spans="1:10">
      <c r="A33" s="282">
        <v>6</v>
      </c>
      <c r="B33" s="311">
        <f>IF(A33&gt;D14,0,E115*$D$12)</f>
        <v>0</v>
      </c>
      <c r="C33" s="308">
        <f t="shared" si="0"/>
        <v>0</v>
      </c>
      <c r="D33" s="283">
        <v>26</v>
      </c>
      <c r="E33" s="311">
        <f>IF(D33&gt;$D$14,0,E355*$D$12)</f>
        <v>0</v>
      </c>
      <c r="F33" s="308">
        <f t="shared" si="1"/>
        <v>0</v>
      </c>
      <c r="J33" s="277"/>
    </row>
    <row r="34" spans="1:10">
      <c r="A34" s="284">
        <v>7</v>
      </c>
      <c r="B34" s="312">
        <f>IF(A34&gt;D14,0,E127*$D$12)</f>
        <v>0</v>
      </c>
      <c r="C34" s="308">
        <f t="shared" si="0"/>
        <v>0</v>
      </c>
      <c r="D34" s="281">
        <v>27</v>
      </c>
      <c r="E34" s="312">
        <f>IF(D34&gt;$D$14,0,E367*$D$12)</f>
        <v>0</v>
      </c>
      <c r="F34" s="308">
        <f t="shared" si="1"/>
        <v>0</v>
      </c>
      <c r="J34" s="277"/>
    </row>
    <row r="35" spans="1:10">
      <c r="A35" s="284">
        <v>8</v>
      </c>
      <c r="B35" s="312">
        <f>IF(A35&gt;D14,0,E139*$D$12)</f>
        <v>0</v>
      </c>
      <c r="C35" s="308">
        <f t="shared" si="0"/>
        <v>0</v>
      </c>
      <c r="D35" s="281">
        <v>28</v>
      </c>
      <c r="E35" s="312">
        <f>IF(D35&gt;$D$14,0,E379*$D$12)</f>
        <v>0</v>
      </c>
      <c r="F35" s="308">
        <f t="shared" si="1"/>
        <v>0</v>
      </c>
      <c r="J35" s="277"/>
    </row>
    <row r="36" spans="1:10">
      <c r="A36" s="284">
        <v>9</v>
      </c>
      <c r="B36" s="312">
        <f>IF(A36&gt;D14,0,E151*$D$12)</f>
        <v>0</v>
      </c>
      <c r="C36" s="308">
        <f t="shared" si="0"/>
        <v>0</v>
      </c>
      <c r="D36" s="281">
        <v>29</v>
      </c>
      <c r="E36" s="312">
        <f>IF(D36&gt;$D$14,0,E391*$D$12)</f>
        <v>0</v>
      </c>
      <c r="F36" s="308">
        <f t="shared" si="1"/>
        <v>0</v>
      </c>
      <c r="J36" s="277"/>
    </row>
    <row r="37" spans="1:10">
      <c r="A37" s="285">
        <v>10</v>
      </c>
      <c r="B37" s="310">
        <f>IF(A37&gt;D14,0,E163*$D$12)</f>
        <v>0</v>
      </c>
      <c r="C37" s="310">
        <f t="shared" si="0"/>
        <v>0</v>
      </c>
      <c r="D37" s="286">
        <v>30</v>
      </c>
      <c r="E37" s="310">
        <f>IF(D37&gt;$D$14,0,E403*$D$12)</f>
        <v>0</v>
      </c>
      <c r="F37" s="310">
        <f t="shared" si="1"/>
        <v>0</v>
      </c>
      <c r="J37" s="277"/>
    </row>
    <row r="38" spans="1:10">
      <c r="A38" s="287">
        <v>11</v>
      </c>
      <c r="B38" s="308">
        <f>IF(A38&gt;D14,0,E175*$D$12)</f>
        <v>0</v>
      </c>
      <c r="C38" s="308">
        <f t="shared" si="0"/>
        <v>0</v>
      </c>
      <c r="D38" s="281">
        <v>31</v>
      </c>
      <c r="E38" s="308">
        <f>IF(D38&gt;$D$14,0,E415*$D$12)</f>
        <v>0</v>
      </c>
      <c r="F38" s="308">
        <f t="shared" si="1"/>
        <v>0</v>
      </c>
      <c r="J38" s="277"/>
    </row>
    <row r="39" spans="1:10">
      <c r="A39" s="287">
        <v>12</v>
      </c>
      <c r="B39" s="308">
        <f>IF(A39&gt;D14,0,E187*$D$12)</f>
        <v>0</v>
      </c>
      <c r="C39" s="308">
        <f t="shared" si="0"/>
        <v>0</v>
      </c>
      <c r="D39" s="281">
        <v>32</v>
      </c>
      <c r="E39" s="308">
        <f>IF(D39&gt;$D$14,0,E427*$D$12)</f>
        <v>0</v>
      </c>
      <c r="F39" s="308">
        <f t="shared" si="1"/>
        <v>0</v>
      </c>
      <c r="J39" s="277"/>
    </row>
    <row r="40" spans="1:10">
      <c r="A40" s="287">
        <v>13</v>
      </c>
      <c r="B40" s="308">
        <f>IF(A40&gt;D14,0,E199*$D$12)</f>
        <v>0</v>
      </c>
      <c r="C40" s="308">
        <f t="shared" si="0"/>
        <v>0</v>
      </c>
      <c r="D40" s="281">
        <v>33</v>
      </c>
      <c r="E40" s="308">
        <f>IF(D40&gt;$D$14,0,E439*$D$12)</f>
        <v>0</v>
      </c>
      <c r="F40" s="308">
        <f t="shared" si="1"/>
        <v>0</v>
      </c>
      <c r="J40" s="277"/>
    </row>
    <row r="41" spans="1:10">
      <c r="A41" s="287">
        <v>14</v>
      </c>
      <c r="B41" s="308">
        <f>IF(A41&gt;D14,0,E211*$D$12)</f>
        <v>0</v>
      </c>
      <c r="C41" s="308">
        <f t="shared" si="0"/>
        <v>0</v>
      </c>
      <c r="D41" s="281">
        <v>34</v>
      </c>
      <c r="E41" s="308">
        <f>IF(D41&gt;$D$14,0,E451*$D$12)</f>
        <v>0</v>
      </c>
      <c r="F41" s="308">
        <f t="shared" si="1"/>
        <v>0</v>
      </c>
      <c r="J41" s="277"/>
    </row>
    <row r="42" spans="1:10">
      <c r="A42" s="287">
        <v>15</v>
      </c>
      <c r="B42" s="308">
        <f>IF(A42&gt;D14,0,E223*$D$12)</f>
        <v>0</v>
      </c>
      <c r="C42" s="310">
        <f t="shared" si="0"/>
        <v>0</v>
      </c>
      <c r="D42" s="281">
        <v>35</v>
      </c>
      <c r="E42" s="308">
        <f>IF(D42&gt;$D$14,0,E463*$D$12)</f>
        <v>0</v>
      </c>
      <c r="F42" s="310">
        <f t="shared" si="1"/>
        <v>0</v>
      </c>
      <c r="J42" s="277"/>
    </row>
    <row r="43" spans="1:10">
      <c r="A43" s="288">
        <v>16</v>
      </c>
      <c r="B43" s="311">
        <f>IF(A43&gt;D14,0,E235*$D$12)</f>
        <v>0</v>
      </c>
      <c r="C43" s="308">
        <f t="shared" si="0"/>
        <v>0</v>
      </c>
      <c r="D43" s="283">
        <v>36</v>
      </c>
      <c r="E43" s="311">
        <f>IF(D43&gt;$D$14,0,E475*$D$12)</f>
        <v>0</v>
      </c>
      <c r="F43" s="308">
        <f t="shared" si="1"/>
        <v>0</v>
      </c>
      <c r="J43" s="277"/>
    </row>
    <row r="44" spans="1:10">
      <c r="A44" s="284">
        <v>17</v>
      </c>
      <c r="B44" s="312">
        <f>IF(A44&gt;D14,0,E247*$D$12)</f>
        <v>0</v>
      </c>
      <c r="C44" s="308">
        <f t="shared" si="0"/>
        <v>0</v>
      </c>
      <c r="D44" s="281">
        <v>37</v>
      </c>
      <c r="E44" s="312">
        <f>IF(D44&gt;$D$14,0,E487*$D$12)</f>
        <v>0</v>
      </c>
      <c r="F44" s="308">
        <f t="shared" si="1"/>
        <v>0</v>
      </c>
      <c r="J44" s="277"/>
    </row>
    <row r="45" spans="1:10">
      <c r="A45" s="284">
        <v>18</v>
      </c>
      <c r="B45" s="312">
        <f>IF(A45&gt;D14,0,E259*$D$12)</f>
        <v>0</v>
      </c>
      <c r="C45" s="308">
        <f t="shared" si="0"/>
        <v>0</v>
      </c>
      <c r="D45" s="281">
        <v>38</v>
      </c>
      <c r="E45" s="312">
        <f>IF(D45&gt;$D$14,0,E499*$D$12)</f>
        <v>0</v>
      </c>
      <c r="F45" s="308">
        <f t="shared" si="1"/>
        <v>0</v>
      </c>
      <c r="J45" s="277"/>
    </row>
    <row r="46" spans="1:10">
      <c r="A46" s="284">
        <v>19</v>
      </c>
      <c r="B46" s="312">
        <f>IF(A46&gt;D14,0,E271*$D$12)</f>
        <v>0</v>
      </c>
      <c r="C46" s="308">
        <f t="shared" si="0"/>
        <v>0</v>
      </c>
      <c r="D46" s="281">
        <v>39</v>
      </c>
      <c r="E46" s="312">
        <f>IF(D46&gt;$D$14,0,E511*$D$12)</f>
        <v>0</v>
      </c>
      <c r="F46" s="308">
        <f t="shared" si="1"/>
        <v>0</v>
      </c>
      <c r="J46" s="277"/>
    </row>
    <row r="47" spans="1:10">
      <c r="A47" s="285">
        <v>20</v>
      </c>
      <c r="B47" s="310">
        <f>IF(A47&gt;D14,0,E283*$D$12)</f>
        <v>0</v>
      </c>
      <c r="C47" s="310">
        <f t="shared" si="0"/>
        <v>0</v>
      </c>
      <c r="D47" s="286">
        <v>40</v>
      </c>
      <c r="E47" s="310">
        <f>IF(D47&gt;$D$14,0,E523*$D$12)</f>
        <v>0</v>
      </c>
      <c r="F47" s="310">
        <f t="shared" si="1"/>
        <v>0</v>
      </c>
      <c r="J47" s="277"/>
    </row>
    <row r="48" spans="1:10">
      <c r="C48" s="238"/>
      <c r="J48" s="277"/>
    </row>
    <row r="49" spans="1:10">
      <c r="C49" s="238"/>
      <c r="J49" s="277"/>
    </row>
    <row r="50" spans="1:10" ht="13.9" customHeight="1">
      <c r="A50" s="1292" t="str">
        <f>CONCATENATE('Part I-Project Information'!$O$4," ",'Part I-Project Information'!$F$23,", ",'Part I-Project Information'!$F$27,", ",'Part I-Project Information'!$J$28," County")</f>
        <v>2014-039 Willingham Village II, Rome, Floyd County</v>
      </c>
      <c r="B50" s="1292"/>
      <c r="C50" s="1292"/>
      <c r="D50" s="1292"/>
      <c r="E50" s="1292"/>
      <c r="F50" s="1292"/>
      <c r="G50" s="263"/>
      <c r="H50" s="263"/>
    </row>
    <row r="51" spans="1:10" ht="15">
      <c r="A51" s="1289" t="s">
        <v>2639</v>
      </c>
      <c r="B51" s="1289"/>
      <c r="C51" s="1289"/>
      <c r="D51" s="1289"/>
      <c r="E51" s="1289"/>
      <c r="F51" s="1289"/>
      <c r="G51" s="289"/>
      <c r="H51" s="289"/>
      <c r="I51" s="289"/>
      <c r="J51" s="289"/>
    </row>
    <row r="52" spans="1:10" ht="5.45" customHeight="1">
      <c r="C52" s="238"/>
      <c r="D52" s="238"/>
      <c r="G52" s="243"/>
      <c r="H52" s="237"/>
      <c r="I52" s="243"/>
    </row>
    <row r="53" spans="1:10">
      <c r="A53" s="241" t="s">
        <v>2640</v>
      </c>
      <c r="B53" s="241" t="s">
        <v>2641</v>
      </c>
      <c r="C53" s="241" t="s">
        <v>1380</v>
      </c>
      <c r="D53" s="241" t="s">
        <v>2642</v>
      </c>
      <c r="E53" s="241" t="s">
        <v>2643</v>
      </c>
      <c r="F53" s="270" t="s">
        <v>2648</v>
      </c>
      <c r="G53" s="290"/>
      <c r="H53" s="290"/>
      <c r="I53" s="290"/>
    </row>
    <row r="54" spans="1:10" ht="3.6" customHeight="1">
      <c r="F54" s="94"/>
      <c r="G54" s="243"/>
      <c r="H54" s="237"/>
      <c r="I54" s="243"/>
    </row>
    <row r="55" spans="1:10">
      <c r="A55" s="31" t="s">
        <v>2644</v>
      </c>
      <c r="E55" s="238">
        <f>D5</f>
        <v>0</v>
      </c>
      <c r="F55" s="94"/>
      <c r="G55" s="243"/>
      <c r="H55" s="237"/>
      <c r="I55" s="243"/>
    </row>
    <row r="56" spans="1:10">
      <c r="A56" s="291">
        <v>1</v>
      </c>
      <c r="B56" s="249">
        <f t="shared" ref="B56:B119" si="2">IF(A56&gt;12*$D$14,0,$D$20)</f>
        <v>0</v>
      </c>
      <c r="C56" s="249">
        <f t="shared" ref="C56:C119" si="3">IF(A56&gt;12*$D$14,0,E55*$D$10/12)</f>
        <v>0</v>
      </c>
      <c r="D56" s="249">
        <f t="shared" ref="D56:D119" si="4">IF(A56&gt;12*$D$14,0,B56-C56)</f>
        <v>0</v>
      </c>
      <c r="E56" s="249">
        <f t="shared" ref="E56:E119" si="5">IF(A56&gt;12*$D$14,0,E55-D56)</f>
        <v>0</v>
      </c>
      <c r="F56" s="248"/>
      <c r="G56" s="292"/>
      <c r="H56" s="257"/>
      <c r="I56" s="243"/>
    </row>
    <row r="57" spans="1:10">
      <c r="A57" s="291">
        <v>2</v>
      </c>
      <c r="B57" s="249">
        <f t="shared" si="2"/>
        <v>0</v>
      </c>
      <c r="C57" s="249">
        <f t="shared" si="3"/>
        <v>0</v>
      </c>
      <c r="D57" s="249">
        <f t="shared" si="4"/>
        <v>0</v>
      </c>
      <c r="E57" s="249">
        <f t="shared" si="5"/>
        <v>0</v>
      </c>
      <c r="F57" s="248"/>
      <c r="G57" s="292"/>
      <c r="H57" s="257"/>
      <c r="I57" s="243"/>
    </row>
    <row r="58" spans="1:10">
      <c r="A58" s="291">
        <v>3</v>
      </c>
      <c r="B58" s="249">
        <f t="shared" si="2"/>
        <v>0</v>
      </c>
      <c r="C58" s="249">
        <f t="shared" si="3"/>
        <v>0</v>
      </c>
      <c r="D58" s="249">
        <f t="shared" si="4"/>
        <v>0</v>
      </c>
      <c r="E58" s="249">
        <f t="shared" si="5"/>
        <v>0</v>
      </c>
      <c r="F58" s="248"/>
      <c r="G58" s="292"/>
      <c r="H58" s="257"/>
      <c r="I58" s="243"/>
    </row>
    <row r="59" spans="1:10">
      <c r="A59" s="291">
        <v>4</v>
      </c>
      <c r="B59" s="249">
        <f t="shared" si="2"/>
        <v>0</v>
      </c>
      <c r="C59" s="249">
        <f t="shared" si="3"/>
        <v>0</v>
      </c>
      <c r="D59" s="249">
        <f t="shared" si="4"/>
        <v>0</v>
      </c>
      <c r="E59" s="249">
        <f t="shared" si="5"/>
        <v>0</v>
      </c>
      <c r="F59" s="248"/>
      <c r="G59" s="292"/>
      <c r="H59" s="257"/>
      <c r="I59" s="243"/>
    </row>
    <row r="60" spans="1:10">
      <c r="A60" s="291">
        <v>5</v>
      </c>
      <c r="B60" s="249">
        <f t="shared" si="2"/>
        <v>0</v>
      </c>
      <c r="C60" s="249">
        <f t="shared" si="3"/>
        <v>0</v>
      </c>
      <c r="D60" s="249">
        <f t="shared" si="4"/>
        <v>0</v>
      </c>
      <c r="E60" s="249">
        <f t="shared" si="5"/>
        <v>0</v>
      </c>
      <c r="F60" s="248"/>
      <c r="G60" s="292"/>
      <c r="H60" s="257"/>
      <c r="I60" s="243"/>
    </row>
    <row r="61" spans="1:10">
      <c r="A61" s="291">
        <v>6</v>
      </c>
      <c r="B61" s="249">
        <f t="shared" si="2"/>
        <v>0</v>
      </c>
      <c r="C61" s="249">
        <f t="shared" si="3"/>
        <v>0</v>
      </c>
      <c r="D61" s="249">
        <f t="shared" si="4"/>
        <v>0</v>
      </c>
      <c r="E61" s="249">
        <f t="shared" si="5"/>
        <v>0</v>
      </c>
      <c r="F61" s="248"/>
      <c r="G61" s="292"/>
      <c r="H61" s="257"/>
      <c r="I61" s="243"/>
    </row>
    <row r="62" spans="1:10">
      <c r="A62" s="291">
        <v>7</v>
      </c>
      <c r="B62" s="249">
        <f t="shared" si="2"/>
        <v>0</v>
      </c>
      <c r="C62" s="249">
        <f t="shared" si="3"/>
        <v>0</v>
      </c>
      <c r="D62" s="249">
        <f t="shared" si="4"/>
        <v>0</v>
      </c>
      <c r="E62" s="249">
        <f t="shared" si="5"/>
        <v>0</v>
      </c>
      <c r="F62" s="248"/>
      <c r="G62" s="292"/>
      <c r="H62" s="257"/>
      <c r="I62" s="243"/>
    </row>
    <row r="63" spans="1:10">
      <c r="A63" s="291">
        <v>8</v>
      </c>
      <c r="B63" s="249">
        <f t="shared" si="2"/>
        <v>0</v>
      </c>
      <c r="C63" s="249">
        <f t="shared" si="3"/>
        <v>0</v>
      </c>
      <c r="D63" s="249">
        <f t="shared" si="4"/>
        <v>0</v>
      </c>
      <c r="E63" s="249">
        <f t="shared" si="5"/>
        <v>0</v>
      </c>
      <c r="F63" s="248"/>
      <c r="G63" s="292"/>
      <c r="H63" s="257"/>
      <c r="I63" s="243"/>
    </row>
    <row r="64" spans="1:10">
      <c r="A64" s="291">
        <v>9</v>
      </c>
      <c r="B64" s="249">
        <f t="shared" si="2"/>
        <v>0</v>
      </c>
      <c r="C64" s="249">
        <f t="shared" si="3"/>
        <v>0</v>
      </c>
      <c r="D64" s="249">
        <f t="shared" si="4"/>
        <v>0</v>
      </c>
      <c r="E64" s="249">
        <f t="shared" si="5"/>
        <v>0</v>
      </c>
      <c r="F64" s="248"/>
      <c r="G64" s="292"/>
      <c r="H64" s="257"/>
      <c r="I64" s="243"/>
    </row>
    <row r="65" spans="1:9">
      <c r="A65" s="291">
        <v>10</v>
      </c>
      <c r="B65" s="249">
        <f t="shared" si="2"/>
        <v>0</v>
      </c>
      <c r="C65" s="249">
        <f t="shared" si="3"/>
        <v>0</v>
      </c>
      <c r="D65" s="249">
        <f t="shared" si="4"/>
        <v>0</v>
      </c>
      <c r="E65" s="249">
        <f t="shared" si="5"/>
        <v>0</v>
      </c>
      <c r="F65" s="248"/>
      <c r="G65" s="243"/>
      <c r="H65" s="237"/>
      <c r="I65" s="243"/>
    </row>
    <row r="66" spans="1:9">
      <c r="A66" s="291">
        <v>11</v>
      </c>
      <c r="B66" s="249">
        <f t="shared" si="2"/>
        <v>0</v>
      </c>
      <c r="C66" s="249">
        <f t="shared" si="3"/>
        <v>0</v>
      </c>
      <c r="D66" s="249">
        <f t="shared" si="4"/>
        <v>0</v>
      </c>
      <c r="E66" s="249">
        <f t="shared" si="5"/>
        <v>0</v>
      </c>
      <c r="F66" s="248"/>
      <c r="G66" s="243"/>
      <c r="H66" s="237"/>
      <c r="I66" s="243"/>
    </row>
    <row r="67" spans="1:9">
      <c r="A67" s="291">
        <v>12</v>
      </c>
      <c r="B67" s="249">
        <f t="shared" si="2"/>
        <v>0</v>
      </c>
      <c r="C67" s="249">
        <f t="shared" si="3"/>
        <v>0</v>
      </c>
      <c r="D67" s="249">
        <f t="shared" si="4"/>
        <v>0</v>
      </c>
      <c r="E67" s="249">
        <f t="shared" si="5"/>
        <v>0</v>
      </c>
      <c r="F67" s="248">
        <v>1</v>
      </c>
      <c r="G67" s="292"/>
      <c r="H67" s="257"/>
      <c r="I67" s="292"/>
    </row>
    <row r="68" spans="1:9">
      <c r="A68" s="291">
        <v>13</v>
      </c>
      <c r="B68" s="249">
        <f t="shared" si="2"/>
        <v>0</v>
      </c>
      <c r="C68" s="249">
        <f t="shared" si="3"/>
        <v>0</v>
      </c>
      <c r="D68" s="249">
        <f t="shared" si="4"/>
        <v>0</v>
      </c>
      <c r="E68" s="249">
        <f t="shared" si="5"/>
        <v>0</v>
      </c>
      <c r="F68" s="248"/>
      <c r="G68" s="243"/>
      <c r="H68" s="237"/>
      <c r="I68" s="292"/>
    </row>
    <row r="69" spans="1:9">
      <c r="A69" s="291">
        <v>14</v>
      </c>
      <c r="B69" s="249">
        <f t="shared" si="2"/>
        <v>0</v>
      </c>
      <c r="C69" s="249">
        <f t="shared" si="3"/>
        <v>0</v>
      </c>
      <c r="D69" s="249">
        <f t="shared" si="4"/>
        <v>0</v>
      </c>
      <c r="E69" s="249">
        <f t="shared" si="5"/>
        <v>0</v>
      </c>
      <c r="F69" s="248"/>
      <c r="G69" s="243"/>
      <c r="H69" s="237"/>
      <c r="I69" s="243"/>
    </row>
    <row r="70" spans="1:9">
      <c r="A70" s="291">
        <v>15</v>
      </c>
      <c r="B70" s="249">
        <f t="shared" si="2"/>
        <v>0</v>
      </c>
      <c r="C70" s="249">
        <f t="shared" si="3"/>
        <v>0</v>
      </c>
      <c r="D70" s="249">
        <f t="shared" si="4"/>
        <v>0</v>
      </c>
      <c r="E70" s="249">
        <f t="shared" si="5"/>
        <v>0</v>
      </c>
      <c r="F70" s="248"/>
      <c r="G70" s="243"/>
      <c r="H70" s="237"/>
      <c r="I70" s="243"/>
    </row>
    <row r="71" spans="1:9">
      <c r="A71" s="291">
        <v>16</v>
      </c>
      <c r="B71" s="249">
        <f t="shared" si="2"/>
        <v>0</v>
      </c>
      <c r="C71" s="249">
        <f t="shared" si="3"/>
        <v>0</v>
      </c>
      <c r="D71" s="249">
        <f t="shared" si="4"/>
        <v>0</v>
      </c>
      <c r="E71" s="249">
        <f t="shared" si="5"/>
        <v>0</v>
      </c>
      <c r="F71" s="248"/>
      <c r="G71" s="243"/>
      <c r="H71" s="237"/>
      <c r="I71" s="243"/>
    </row>
    <row r="72" spans="1:9">
      <c r="A72" s="291">
        <v>17</v>
      </c>
      <c r="B72" s="249">
        <f t="shared" si="2"/>
        <v>0</v>
      </c>
      <c r="C72" s="249">
        <f t="shared" si="3"/>
        <v>0</v>
      </c>
      <c r="D72" s="249">
        <f t="shared" si="4"/>
        <v>0</v>
      </c>
      <c r="E72" s="249">
        <f t="shared" si="5"/>
        <v>0</v>
      </c>
      <c r="F72" s="248"/>
      <c r="G72" s="243"/>
      <c r="H72" s="237"/>
      <c r="I72" s="243"/>
    </row>
    <row r="73" spans="1:9">
      <c r="A73" s="291">
        <v>18</v>
      </c>
      <c r="B73" s="249">
        <f t="shared" si="2"/>
        <v>0</v>
      </c>
      <c r="C73" s="249">
        <f t="shared" si="3"/>
        <v>0</v>
      </c>
      <c r="D73" s="249">
        <f t="shared" si="4"/>
        <v>0</v>
      </c>
      <c r="E73" s="249">
        <f t="shared" si="5"/>
        <v>0</v>
      </c>
      <c r="F73" s="248"/>
      <c r="G73" s="292"/>
      <c r="H73" s="257"/>
      <c r="I73" s="243"/>
    </row>
    <row r="74" spans="1:9">
      <c r="A74" s="291">
        <v>19</v>
      </c>
      <c r="B74" s="249">
        <f t="shared" si="2"/>
        <v>0</v>
      </c>
      <c r="C74" s="249">
        <f t="shared" si="3"/>
        <v>0</v>
      </c>
      <c r="D74" s="249">
        <f t="shared" si="4"/>
        <v>0</v>
      </c>
      <c r="E74" s="249">
        <f t="shared" si="5"/>
        <v>0</v>
      </c>
      <c r="F74" s="248"/>
      <c r="G74" s="292"/>
      <c r="H74" s="257"/>
      <c r="I74" s="243"/>
    </row>
    <row r="75" spans="1:9">
      <c r="A75" s="291">
        <v>20</v>
      </c>
      <c r="B75" s="249">
        <f t="shared" si="2"/>
        <v>0</v>
      </c>
      <c r="C75" s="249">
        <f t="shared" si="3"/>
        <v>0</v>
      </c>
      <c r="D75" s="249">
        <f t="shared" si="4"/>
        <v>0</v>
      </c>
      <c r="E75" s="249">
        <f t="shared" si="5"/>
        <v>0</v>
      </c>
      <c r="F75" s="248"/>
      <c r="G75" s="292"/>
      <c r="H75" s="257"/>
      <c r="I75" s="243"/>
    </row>
    <row r="76" spans="1:9">
      <c r="A76" s="291">
        <v>21</v>
      </c>
      <c r="B76" s="249">
        <f t="shared" si="2"/>
        <v>0</v>
      </c>
      <c r="C76" s="249">
        <f t="shared" si="3"/>
        <v>0</v>
      </c>
      <c r="D76" s="249">
        <f t="shared" si="4"/>
        <v>0</v>
      </c>
      <c r="E76" s="249">
        <f t="shared" si="5"/>
        <v>0</v>
      </c>
      <c r="F76" s="248"/>
      <c r="G76" s="292"/>
      <c r="H76" s="257"/>
      <c r="I76" s="243"/>
    </row>
    <row r="77" spans="1:9">
      <c r="A77" s="291">
        <v>22</v>
      </c>
      <c r="B77" s="249">
        <f t="shared" si="2"/>
        <v>0</v>
      </c>
      <c r="C77" s="249">
        <f t="shared" si="3"/>
        <v>0</v>
      </c>
      <c r="D77" s="249">
        <f t="shared" si="4"/>
        <v>0</v>
      </c>
      <c r="E77" s="249">
        <f t="shared" si="5"/>
        <v>0</v>
      </c>
      <c r="F77" s="248"/>
      <c r="G77" s="243"/>
      <c r="H77" s="237"/>
      <c r="I77" s="243"/>
    </row>
    <row r="78" spans="1:9">
      <c r="A78" s="291">
        <v>23</v>
      </c>
      <c r="B78" s="249">
        <f t="shared" si="2"/>
        <v>0</v>
      </c>
      <c r="C78" s="249">
        <f t="shared" si="3"/>
        <v>0</v>
      </c>
      <c r="D78" s="249">
        <f t="shared" si="4"/>
        <v>0</v>
      </c>
      <c r="E78" s="249">
        <f t="shared" si="5"/>
        <v>0</v>
      </c>
      <c r="F78" s="248"/>
      <c r="G78" s="243"/>
      <c r="H78" s="237"/>
      <c r="I78" s="243"/>
    </row>
    <row r="79" spans="1:9">
      <c r="A79" s="291">
        <v>24</v>
      </c>
      <c r="B79" s="249">
        <f t="shared" si="2"/>
        <v>0</v>
      </c>
      <c r="C79" s="249">
        <f t="shared" si="3"/>
        <v>0</v>
      </c>
      <c r="D79" s="249">
        <f t="shared" si="4"/>
        <v>0</v>
      </c>
      <c r="E79" s="249">
        <f t="shared" si="5"/>
        <v>0</v>
      </c>
      <c r="F79" s="248">
        <v>2</v>
      </c>
      <c r="G79" s="292"/>
      <c r="H79" s="257"/>
      <c r="I79" s="292"/>
    </row>
    <row r="80" spans="1:9">
      <c r="A80" s="291">
        <v>25</v>
      </c>
      <c r="B80" s="249">
        <f t="shared" si="2"/>
        <v>0</v>
      </c>
      <c r="C80" s="249">
        <f t="shared" si="3"/>
        <v>0</v>
      </c>
      <c r="D80" s="249">
        <f t="shared" si="4"/>
        <v>0</v>
      </c>
      <c r="E80" s="249">
        <f t="shared" si="5"/>
        <v>0</v>
      </c>
      <c r="F80" s="248"/>
      <c r="G80" s="243"/>
      <c r="H80" s="237"/>
      <c r="I80" s="292"/>
    </row>
    <row r="81" spans="1:9">
      <c r="A81" s="291">
        <v>26</v>
      </c>
      <c r="B81" s="249">
        <f t="shared" si="2"/>
        <v>0</v>
      </c>
      <c r="C81" s="249">
        <f t="shared" si="3"/>
        <v>0</v>
      </c>
      <c r="D81" s="249">
        <f t="shared" si="4"/>
        <v>0</v>
      </c>
      <c r="E81" s="249">
        <f t="shared" si="5"/>
        <v>0</v>
      </c>
      <c r="F81" s="248"/>
      <c r="G81" s="243"/>
      <c r="H81" s="237"/>
      <c r="I81" s="243"/>
    </row>
    <row r="82" spans="1:9">
      <c r="A82" s="291">
        <v>27</v>
      </c>
      <c r="B82" s="249">
        <f t="shared" si="2"/>
        <v>0</v>
      </c>
      <c r="C82" s="249">
        <f t="shared" si="3"/>
        <v>0</v>
      </c>
      <c r="D82" s="249">
        <f t="shared" si="4"/>
        <v>0</v>
      </c>
      <c r="E82" s="249">
        <f t="shared" si="5"/>
        <v>0</v>
      </c>
      <c r="F82" s="248"/>
      <c r="G82" s="243"/>
      <c r="H82" s="237"/>
      <c r="I82" s="243"/>
    </row>
    <row r="83" spans="1:9">
      <c r="A83" s="291">
        <v>28</v>
      </c>
      <c r="B83" s="249">
        <f t="shared" si="2"/>
        <v>0</v>
      </c>
      <c r="C83" s="249">
        <f t="shared" si="3"/>
        <v>0</v>
      </c>
      <c r="D83" s="249">
        <f t="shared" si="4"/>
        <v>0</v>
      </c>
      <c r="E83" s="249">
        <f t="shared" si="5"/>
        <v>0</v>
      </c>
      <c r="F83" s="248"/>
      <c r="G83" s="243"/>
      <c r="H83" s="237"/>
      <c r="I83" s="243"/>
    </row>
    <row r="84" spans="1:9">
      <c r="A84" s="291">
        <v>29</v>
      </c>
      <c r="B84" s="249">
        <f t="shared" si="2"/>
        <v>0</v>
      </c>
      <c r="C84" s="249">
        <f t="shared" si="3"/>
        <v>0</v>
      </c>
      <c r="D84" s="249">
        <f t="shared" si="4"/>
        <v>0</v>
      </c>
      <c r="E84" s="249">
        <f t="shared" si="5"/>
        <v>0</v>
      </c>
      <c r="F84" s="248"/>
      <c r="G84" s="243"/>
      <c r="H84" s="237"/>
      <c r="I84" s="243"/>
    </row>
    <row r="85" spans="1:9">
      <c r="A85" s="291">
        <v>30</v>
      </c>
      <c r="B85" s="249">
        <f t="shared" si="2"/>
        <v>0</v>
      </c>
      <c r="C85" s="249">
        <f t="shared" si="3"/>
        <v>0</v>
      </c>
      <c r="D85" s="249">
        <f t="shared" si="4"/>
        <v>0</v>
      </c>
      <c r="E85" s="249">
        <f t="shared" si="5"/>
        <v>0</v>
      </c>
      <c r="F85" s="248"/>
      <c r="G85" s="292"/>
      <c r="H85" s="257"/>
      <c r="I85" s="243"/>
    </row>
    <row r="86" spans="1:9">
      <c r="A86" s="291">
        <v>31</v>
      </c>
      <c r="B86" s="249">
        <f t="shared" si="2"/>
        <v>0</v>
      </c>
      <c r="C86" s="249">
        <f t="shared" si="3"/>
        <v>0</v>
      </c>
      <c r="D86" s="249">
        <f t="shared" si="4"/>
        <v>0</v>
      </c>
      <c r="E86" s="249">
        <f t="shared" si="5"/>
        <v>0</v>
      </c>
      <c r="F86" s="248"/>
      <c r="G86" s="243"/>
      <c r="H86" s="237"/>
      <c r="I86" s="243"/>
    </row>
    <row r="87" spans="1:9">
      <c r="A87" s="291">
        <v>32</v>
      </c>
      <c r="B87" s="249">
        <f t="shared" si="2"/>
        <v>0</v>
      </c>
      <c r="C87" s="249">
        <f t="shared" si="3"/>
        <v>0</v>
      </c>
      <c r="D87" s="249">
        <f t="shared" si="4"/>
        <v>0</v>
      </c>
      <c r="E87" s="249">
        <f t="shared" si="5"/>
        <v>0</v>
      </c>
      <c r="F87" s="248"/>
      <c r="G87" s="243"/>
      <c r="H87" s="237"/>
      <c r="I87" s="243"/>
    </row>
    <row r="88" spans="1:9">
      <c r="A88" s="291">
        <v>33</v>
      </c>
      <c r="B88" s="249">
        <f t="shared" si="2"/>
        <v>0</v>
      </c>
      <c r="C88" s="249">
        <f t="shared" si="3"/>
        <v>0</v>
      </c>
      <c r="D88" s="249">
        <f t="shared" si="4"/>
        <v>0</v>
      </c>
      <c r="E88" s="249">
        <f t="shared" si="5"/>
        <v>0</v>
      </c>
      <c r="F88" s="248"/>
      <c r="G88" s="243"/>
      <c r="H88" s="237"/>
      <c r="I88" s="243"/>
    </row>
    <row r="89" spans="1:9">
      <c r="A89" s="291">
        <v>34</v>
      </c>
      <c r="B89" s="249">
        <f t="shared" si="2"/>
        <v>0</v>
      </c>
      <c r="C89" s="249">
        <f t="shared" si="3"/>
        <v>0</v>
      </c>
      <c r="D89" s="249">
        <f t="shared" si="4"/>
        <v>0</v>
      </c>
      <c r="E89" s="249">
        <f t="shared" si="5"/>
        <v>0</v>
      </c>
      <c r="F89" s="248"/>
      <c r="G89" s="243"/>
      <c r="H89" s="237"/>
      <c r="I89" s="243"/>
    </row>
    <row r="90" spans="1:9">
      <c r="A90" s="291">
        <v>35</v>
      </c>
      <c r="B90" s="249">
        <f t="shared" si="2"/>
        <v>0</v>
      </c>
      <c r="C90" s="249">
        <f t="shared" si="3"/>
        <v>0</v>
      </c>
      <c r="D90" s="249">
        <f t="shared" si="4"/>
        <v>0</v>
      </c>
      <c r="E90" s="249">
        <f t="shared" si="5"/>
        <v>0</v>
      </c>
      <c r="F90" s="248"/>
      <c r="G90" s="243"/>
      <c r="H90" s="237"/>
      <c r="I90" s="243"/>
    </row>
    <row r="91" spans="1:9">
      <c r="A91" s="291">
        <v>36</v>
      </c>
      <c r="B91" s="249">
        <f t="shared" si="2"/>
        <v>0</v>
      </c>
      <c r="C91" s="249">
        <f t="shared" si="3"/>
        <v>0</v>
      </c>
      <c r="D91" s="249">
        <f t="shared" si="4"/>
        <v>0</v>
      </c>
      <c r="E91" s="249">
        <f t="shared" si="5"/>
        <v>0</v>
      </c>
      <c r="F91" s="248">
        <v>3</v>
      </c>
      <c r="G91" s="292"/>
      <c r="H91" s="257"/>
      <c r="I91" s="292"/>
    </row>
    <row r="92" spans="1:9">
      <c r="A92" s="291">
        <v>37</v>
      </c>
      <c r="B92" s="249">
        <f t="shared" si="2"/>
        <v>0</v>
      </c>
      <c r="C92" s="249">
        <f t="shared" si="3"/>
        <v>0</v>
      </c>
      <c r="D92" s="249">
        <f t="shared" si="4"/>
        <v>0</v>
      </c>
      <c r="E92" s="249">
        <f t="shared" si="5"/>
        <v>0</v>
      </c>
      <c r="F92" s="248"/>
      <c r="G92" s="243"/>
      <c r="H92" s="237"/>
      <c r="I92" s="292"/>
    </row>
    <row r="93" spans="1:9">
      <c r="A93" s="291">
        <v>38</v>
      </c>
      <c r="B93" s="249">
        <f t="shared" si="2"/>
        <v>0</v>
      </c>
      <c r="C93" s="249">
        <f t="shared" si="3"/>
        <v>0</v>
      </c>
      <c r="D93" s="249">
        <f t="shared" si="4"/>
        <v>0</v>
      </c>
      <c r="E93" s="249">
        <f t="shared" si="5"/>
        <v>0</v>
      </c>
      <c r="F93" s="248"/>
      <c r="G93" s="243"/>
      <c r="H93" s="237"/>
      <c r="I93" s="243"/>
    </row>
    <row r="94" spans="1:9">
      <c r="A94" s="291">
        <v>39</v>
      </c>
      <c r="B94" s="249">
        <f t="shared" si="2"/>
        <v>0</v>
      </c>
      <c r="C94" s="249">
        <f t="shared" si="3"/>
        <v>0</v>
      </c>
      <c r="D94" s="249">
        <f t="shared" si="4"/>
        <v>0</v>
      </c>
      <c r="E94" s="249">
        <f t="shared" si="5"/>
        <v>0</v>
      </c>
      <c r="F94" s="248"/>
      <c r="G94" s="243"/>
      <c r="H94" s="237"/>
      <c r="I94" s="243"/>
    </row>
    <row r="95" spans="1:9">
      <c r="A95" s="291">
        <v>40</v>
      </c>
      <c r="B95" s="249">
        <f t="shared" si="2"/>
        <v>0</v>
      </c>
      <c r="C95" s="249">
        <f t="shared" si="3"/>
        <v>0</v>
      </c>
      <c r="D95" s="249">
        <f t="shared" si="4"/>
        <v>0</v>
      </c>
      <c r="E95" s="249">
        <f t="shared" si="5"/>
        <v>0</v>
      </c>
      <c r="F95" s="248"/>
      <c r="G95" s="243"/>
      <c r="H95" s="237"/>
      <c r="I95" s="243"/>
    </row>
    <row r="96" spans="1:9">
      <c r="A96" s="291">
        <v>41</v>
      </c>
      <c r="B96" s="249">
        <f t="shared" si="2"/>
        <v>0</v>
      </c>
      <c r="C96" s="249">
        <f t="shared" si="3"/>
        <v>0</v>
      </c>
      <c r="D96" s="249">
        <f t="shared" si="4"/>
        <v>0</v>
      </c>
      <c r="E96" s="249">
        <f t="shared" si="5"/>
        <v>0</v>
      </c>
      <c r="F96" s="248"/>
      <c r="G96" s="243"/>
      <c r="H96" s="237"/>
      <c r="I96" s="243"/>
    </row>
    <row r="97" spans="1:9">
      <c r="A97" s="291">
        <v>42</v>
      </c>
      <c r="B97" s="249">
        <f t="shared" si="2"/>
        <v>0</v>
      </c>
      <c r="C97" s="249">
        <f t="shared" si="3"/>
        <v>0</v>
      </c>
      <c r="D97" s="249">
        <f t="shared" si="4"/>
        <v>0</v>
      </c>
      <c r="E97" s="249">
        <f t="shared" si="5"/>
        <v>0</v>
      </c>
      <c r="F97" s="248"/>
      <c r="G97" s="292"/>
      <c r="H97" s="257"/>
      <c r="I97" s="243"/>
    </row>
    <row r="98" spans="1:9">
      <c r="A98" s="291">
        <v>43</v>
      </c>
      <c r="B98" s="249">
        <f t="shared" si="2"/>
        <v>0</v>
      </c>
      <c r="C98" s="249">
        <f t="shared" si="3"/>
        <v>0</v>
      </c>
      <c r="D98" s="249">
        <f t="shared" si="4"/>
        <v>0</v>
      </c>
      <c r="E98" s="249">
        <f t="shared" si="5"/>
        <v>0</v>
      </c>
      <c r="F98" s="248"/>
      <c r="G98" s="243"/>
      <c r="H98" s="237"/>
      <c r="I98" s="243"/>
    </row>
    <row r="99" spans="1:9">
      <c r="A99" s="291">
        <v>44</v>
      </c>
      <c r="B99" s="249">
        <f t="shared" si="2"/>
        <v>0</v>
      </c>
      <c r="C99" s="249">
        <f t="shared" si="3"/>
        <v>0</v>
      </c>
      <c r="D99" s="249">
        <f t="shared" si="4"/>
        <v>0</v>
      </c>
      <c r="E99" s="249">
        <f t="shared" si="5"/>
        <v>0</v>
      </c>
      <c r="F99" s="248"/>
      <c r="G99" s="243"/>
      <c r="H99" s="237"/>
      <c r="I99" s="243"/>
    </row>
    <row r="100" spans="1:9">
      <c r="A100" s="291">
        <v>45</v>
      </c>
      <c r="B100" s="249">
        <f t="shared" si="2"/>
        <v>0</v>
      </c>
      <c r="C100" s="249">
        <f t="shared" si="3"/>
        <v>0</v>
      </c>
      <c r="D100" s="249">
        <f t="shared" si="4"/>
        <v>0</v>
      </c>
      <c r="E100" s="249">
        <f t="shared" si="5"/>
        <v>0</v>
      </c>
      <c r="F100" s="248"/>
      <c r="G100" s="243"/>
      <c r="H100" s="237"/>
      <c r="I100" s="243"/>
    </row>
    <row r="101" spans="1:9">
      <c r="A101" s="291">
        <v>46</v>
      </c>
      <c r="B101" s="249">
        <f t="shared" si="2"/>
        <v>0</v>
      </c>
      <c r="C101" s="249">
        <f t="shared" si="3"/>
        <v>0</v>
      </c>
      <c r="D101" s="249">
        <f t="shared" si="4"/>
        <v>0</v>
      </c>
      <c r="E101" s="249">
        <f t="shared" si="5"/>
        <v>0</v>
      </c>
      <c r="F101" s="248"/>
      <c r="G101" s="243"/>
      <c r="H101" s="237"/>
      <c r="I101" s="243"/>
    </row>
    <row r="102" spans="1:9">
      <c r="A102" s="291">
        <v>47</v>
      </c>
      <c r="B102" s="249">
        <f t="shared" si="2"/>
        <v>0</v>
      </c>
      <c r="C102" s="249">
        <f t="shared" si="3"/>
        <v>0</v>
      </c>
      <c r="D102" s="249">
        <f t="shared" si="4"/>
        <v>0</v>
      </c>
      <c r="E102" s="249">
        <f t="shared" si="5"/>
        <v>0</v>
      </c>
      <c r="F102" s="248"/>
      <c r="G102" s="243"/>
      <c r="H102" s="237"/>
      <c r="I102" s="243"/>
    </row>
    <row r="103" spans="1:9">
      <c r="A103" s="291">
        <v>48</v>
      </c>
      <c r="B103" s="249">
        <f t="shared" si="2"/>
        <v>0</v>
      </c>
      <c r="C103" s="249">
        <f t="shared" si="3"/>
        <v>0</v>
      </c>
      <c r="D103" s="249">
        <f t="shared" si="4"/>
        <v>0</v>
      </c>
      <c r="E103" s="249">
        <f t="shared" si="5"/>
        <v>0</v>
      </c>
      <c r="F103" s="248">
        <v>4</v>
      </c>
      <c r="G103" s="292"/>
      <c r="H103" s="257"/>
      <c r="I103" s="292"/>
    </row>
    <row r="104" spans="1:9">
      <c r="A104" s="291">
        <v>49</v>
      </c>
      <c r="B104" s="249">
        <f t="shared" si="2"/>
        <v>0</v>
      </c>
      <c r="C104" s="249">
        <f t="shared" si="3"/>
        <v>0</v>
      </c>
      <c r="D104" s="249">
        <f t="shared" si="4"/>
        <v>0</v>
      </c>
      <c r="E104" s="249">
        <f t="shared" si="5"/>
        <v>0</v>
      </c>
      <c r="F104" s="248"/>
      <c r="G104" s="243"/>
      <c r="H104" s="237"/>
      <c r="I104" s="292"/>
    </row>
    <row r="105" spans="1:9">
      <c r="A105" s="291">
        <v>50</v>
      </c>
      <c r="B105" s="249">
        <f t="shared" si="2"/>
        <v>0</v>
      </c>
      <c r="C105" s="249">
        <f t="shared" si="3"/>
        <v>0</v>
      </c>
      <c r="D105" s="249">
        <f t="shared" si="4"/>
        <v>0</v>
      </c>
      <c r="E105" s="249">
        <f t="shared" si="5"/>
        <v>0</v>
      </c>
      <c r="F105" s="248"/>
      <c r="G105" s="243"/>
      <c r="H105" s="237"/>
      <c r="I105" s="243"/>
    </row>
    <row r="106" spans="1:9">
      <c r="A106" s="291">
        <v>51</v>
      </c>
      <c r="B106" s="249">
        <f t="shared" si="2"/>
        <v>0</v>
      </c>
      <c r="C106" s="249">
        <f t="shared" si="3"/>
        <v>0</v>
      </c>
      <c r="D106" s="249">
        <f t="shared" si="4"/>
        <v>0</v>
      </c>
      <c r="E106" s="249">
        <f t="shared" si="5"/>
        <v>0</v>
      </c>
      <c r="F106" s="248"/>
      <c r="G106" s="243"/>
      <c r="H106" s="237"/>
      <c r="I106" s="243"/>
    </row>
    <row r="107" spans="1:9">
      <c r="A107" s="291">
        <v>52</v>
      </c>
      <c r="B107" s="249">
        <f t="shared" si="2"/>
        <v>0</v>
      </c>
      <c r="C107" s="249">
        <f t="shared" si="3"/>
        <v>0</v>
      </c>
      <c r="D107" s="249">
        <f t="shared" si="4"/>
        <v>0</v>
      </c>
      <c r="E107" s="249">
        <f t="shared" si="5"/>
        <v>0</v>
      </c>
      <c r="F107" s="248"/>
      <c r="G107" s="243"/>
      <c r="H107" s="237"/>
      <c r="I107" s="243"/>
    </row>
    <row r="108" spans="1:9">
      <c r="A108" s="291">
        <v>53</v>
      </c>
      <c r="B108" s="249">
        <f t="shared" si="2"/>
        <v>0</v>
      </c>
      <c r="C108" s="249">
        <f t="shared" si="3"/>
        <v>0</v>
      </c>
      <c r="D108" s="249">
        <f t="shared" si="4"/>
        <v>0</v>
      </c>
      <c r="E108" s="249">
        <f t="shared" si="5"/>
        <v>0</v>
      </c>
      <c r="F108" s="248"/>
      <c r="G108" s="243"/>
      <c r="H108" s="237"/>
      <c r="I108" s="243"/>
    </row>
    <row r="109" spans="1:9">
      <c r="A109" s="291">
        <v>54</v>
      </c>
      <c r="B109" s="249">
        <f t="shared" si="2"/>
        <v>0</v>
      </c>
      <c r="C109" s="249">
        <f t="shared" si="3"/>
        <v>0</v>
      </c>
      <c r="D109" s="249">
        <f t="shared" si="4"/>
        <v>0</v>
      </c>
      <c r="E109" s="249">
        <f t="shared" si="5"/>
        <v>0</v>
      </c>
      <c r="F109" s="248"/>
      <c r="G109" s="292"/>
      <c r="H109" s="257"/>
      <c r="I109" s="243"/>
    </row>
    <row r="110" spans="1:9">
      <c r="A110" s="291">
        <v>55</v>
      </c>
      <c r="B110" s="249">
        <f t="shared" si="2"/>
        <v>0</v>
      </c>
      <c r="C110" s="249">
        <f t="shared" si="3"/>
        <v>0</v>
      </c>
      <c r="D110" s="249">
        <f t="shared" si="4"/>
        <v>0</v>
      </c>
      <c r="E110" s="249">
        <f t="shared" si="5"/>
        <v>0</v>
      </c>
      <c r="F110" s="248"/>
      <c r="G110" s="243"/>
      <c r="H110" s="237"/>
      <c r="I110" s="243"/>
    </row>
    <row r="111" spans="1:9">
      <c r="A111" s="291">
        <v>56</v>
      </c>
      <c r="B111" s="249">
        <f t="shared" si="2"/>
        <v>0</v>
      </c>
      <c r="C111" s="249">
        <f t="shared" si="3"/>
        <v>0</v>
      </c>
      <c r="D111" s="249">
        <f t="shared" si="4"/>
        <v>0</v>
      </c>
      <c r="E111" s="249">
        <f t="shared" si="5"/>
        <v>0</v>
      </c>
      <c r="F111" s="248"/>
      <c r="G111" s="243"/>
      <c r="H111" s="237"/>
      <c r="I111" s="243"/>
    </row>
    <row r="112" spans="1:9">
      <c r="A112" s="291">
        <v>57</v>
      </c>
      <c r="B112" s="249">
        <f t="shared" si="2"/>
        <v>0</v>
      </c>
      <c r="C112" s="249">
        <f t="shared" si="3"/>
        <v>0</v>
      </c>
      <c r="D112" s="249">
        <f t="shared" si="4"/>
        <v>0</v>
      </c>
      <c r="E112" s="249">
        <f t="shared" si="5"/>
        <v>0</v>
      </c>
      <c r="F112" s="248"/>
      <c r="G112" s="243"/>
      <c r="H112" s="237"/>
      <c r="I112" s="243"/>
    </row>
    <row r="113" spans="1:9">
      <c r="A113" s="291">
        <v>58</v>
      </c>
      <c r="B113" s="249">
        <f t="shared" si="2"/>
        <v>0</v>
      </c>
      <c r="C113" s="249">
        <f t="shared" si="3"/>
        <v>0</v>
      </c>
      <c r="D113" s="249">
        <f t="shared" si="4"/>
        <v>0</v>
      </c>
      <c r="E113" s="249">
        <f t="shared" si="5"/>
        <v>0</v>
      </c>
      <c r="F113" s="248"/>
      <c r="G113" s="243"/>
      <c r="H113" s="237"/>
      <c r="I113" s="243"/>
    </row>
    <row r="114" spans="1:9">
      <c r="A114" s="291">
        <v>59</v>
      </c>
      <c r="B114" s="249">
        <f t="shared" si="2"/>
        <v>0</v>
      </c>
      <c r="C114" s="249">
        <f t="shared" si="3"/>
        <v>0</v>
      </c>
      <c r="D114" s="249">
        <f t="shared" si="4"/>
        <v>0</v>
      </c>
      <c r="E114" s="249">
        <f t="shared" si="5"/>
        <v>0</v>
      </c>
      <c r="F114" s="248"/>
      <c r="G114" s="243"/>
      <c r="H114" s="237"/>
      <c r="I114" s="243"/>
    </row>
    <row r="115" spans="1:9">
      <c r="A115" s="291">
        <v>60</v>
      </c>
      <c r="B115" s="249">
        <f t="shared" si="2"/>
        <v>0</v>
      </c>
      <c r="C115" s="249">
        <f t="shared" si="3"/>
        <v>0</v>
      </c>
      <c r="D115" s="249">
        <f t="shared" si="4"/>
        <v>0</v>
      </c>
      <c r="E115" s="249">
        <f t="shared" si="5"/>
        <v>0</v>
      </c>
      <c r="F115" s="248"/>
      <c r="G115" s="292"/>
      <c r="H115" s="257"/>
      <c r="I115" s="292"/>
    </row>
    <row r="116" spans="1:9">
      <c r="A116" s="291">
        <v>61</v>
      </c>
      <c r="B116" s="249">
        <f t="shared" si="2"/>
        <v>0</v>
      </c>
      <c r="C116" s="249">
        <f t="shared" si="3"/>
        <v>0</v>
      </c>
      <c r="D116" s="249">
        <f t="shared" si="4"/>
        <v>0</v>
      </c>
      <c r="E116" s="249">
        <f t="shared" si="5"/>
        <v>0</v>
      </c>
      <c r="F116" s="248"/>
      <c r="G116" s="243"/>
      <c r="H116" s="237"/>
      <c r="I116" s="292"/>
    </row>
    <row r="117" spans="1:9">
      <c r="A117" s="291">
        <v>62</v>
      </c>
      <c r="B117" s="249">
        <f t="shared" si="2"/>
        <v>0</v>
      </c>
      <c r="C117" s="249">
        <f t="shared" si="3"/>
        <v>0</v>
      </c>
      <c r="D117" s="249">
        <f t="shared" si="4"/>
        <v>0</v>
      </c>
      <c r="E117" s="249">
        <f t="shared" si="5"/>
        <v>0</v>
      </c>
      <c r="F117" s="248">
        <v>5</v>
      </c>
      <c r="G117" s="243"/>
      <c r="H117" s="237"/>
      <c r="I117" s="243"/>
    </row>
    <row r="118" spans="1:9">
      <c r="A118" s="291">
        <v>63</v>
      </c>
      <c r="B118" s="249">
        <f t="shared" si="2"/>
        <v>0</v>
      </c>
      <c r="C118" s="249">
        <f t="shared" si="3"/>
        <v>0</v>
      </c>
      <c r="D118" s="249">
        <f t="shared" si="4"/>
        <v>0</v>
      </c>
      <c r="E118" s="249">
        <f t="shared" si="5"/>
        <v>0</v>
      </c>
      <c r="F118" s="248"/>
      <c r="G118" s="243"/>
      <c r="H118" s="237"/>
      <c r="I118" s="243"/>
    </row>
    <row r="119" spans="1:9">
      <c r="A119" s="291">
        <v>64</v>
      </c>
      <c r="B119" s="249">
        <f t="shared" si="2"/>
        <v>0</v>
      </c>
      <c r="C119" s="249">
        <f t="shared" si="3"/>
        <v>0</v>
      </c>
      <c r="D119" s="249">
        <f t="shared" si="4"/>
        <v>0</v>
      </c>
      <c r="E119" s="249">
        <f t="shared" si="5"/>
        <v>0</v>
      </c>
      <c r="F119" s="248"/>
      <c r="G119" s="243"/>
      <c r="H119" s="237"/>
      <c r="I119" s="243"/>
    </row>
    <row r="120" spans="1:9">
      <c r="A120" s="291">
        <v>65</v>
      </c>
      <c r="B120" s="249">
        <f t="shared" ref="B120:B183" si="6">IF(A120&gt;12*$D$14,0,$D$20)</f>
        <v>0</v>
      </c>
      <c r="C120" s="249">
        <f t="shared" ref="C120:C183" si="7">IF(A120&gt;12*$D$14,0,E119*$D$10/12)</f>
        <v>0</v>
      </c>
      <c r="D120" s="249">
        <f t="shared" ref="D120:D183" si="8">IF(A120&gt;12*$D$14,0,B120-C120)</f>
        <v>0</v>
      </c>
      <c r="E120" s="249">
        <f t="shared" ref="E120:E183" si="9">IF(A120&gt;12*$D$14,0,E119-D120)</f>
        <v>0</v>
      </c>
      <c r="F120" s="248"/>
      <c r="G120" s="243"/>
      <c r="H120" s="237"/>
      <c r="I120" s="243"/>
    </row>
    <row r="121" spans="1:9">
      <c r="A121" s="291">
        <v>66</v>
      </c>
      <c r="B121" s="249">
        <f t="shared" si="6"/>
        <v>0</v>
      </c>
      <c r="C121" s="249">
        <f t="shared" si="7"/>
        <v>0</v>
      </c>
      <c r="D121" s="249">
        <f t="shared" si="8"/>
        <v>0</v>
      </c>
      <c r="E121" s="249">
        <f t="shared" si="9"/>
        <v>0</v>
      </c>
      <c r="F121" s="248"/>
      <c r="G121" s="292"/>
      <c r="H121" s="257"/>
      <c r="I121" s="243"/>
    </row>
    <row r="122" spans="1:9">
      <c r="A122" s="291">
        <v>67</v>
      </c>
      <c r="B122" s="249">
        <f t="shared" si="6"/>
        <v>0</v>
      </c>
      <c r="C122" s="249">
        <f t="shared" si="7"/>
        <v>0</v>
      </c>
      <c r="D122" s="249">
        <f t="shared" si="8"/>
        <v>0</v>
      </c>
      <c r="E122" s="249">
        <f t="shared" si="9"/>
        <v>0</v>
      </c>
      <c r="F122" s="248"/>
      <c r="G122" s="243"/>
      <c r="H122" s="237"/>
      <c r="I122" s="243"/>
    </row>
    <row r="123" spans="1:9">
      <c r="A123" s="291">
        <v>68</v>
      </c>
      <c r="B123" s="249">
        <f t="shared" si="6"/>
        <v>0</v>
      </c>
      <c r="C123" s="249">
        <f t="shared" si="7"/>
        <v>0</v>
      </c>
      <c r="D123" s="249">
        <f t="shared" si="8"/>
        <v>0</v>
      </c>
      <c r="E123" s="249">
        <f t="shared" si="9"/>
        <v>0</v>
      </c>
      <c r="F123" s="248"/>
      <c r="G123" s="243"/>
      <c r="H123" s="237"/>
      <c r="I123" s="243"/>
    </row>
    <row r="124" spans="1:9">
      <c r="A124" s="291">
        <v>69</v>
      </c>
      <c r="B124" s="249">
        <f t="shared" si="6"/>
        <v>0</v>
      </c>
      <c r="C124" s="249">
        <f t="shared" si="7"/>
        <v>0</v>
      </c>
      <c r="D124" s="249">
        <f t="shared" si="8"/>
        <v>0</v>
      </c>
      <c r="E124" s="249">
        <f t="shared" si="9"/>
        <v>0</v>
      </c>
      <c r="F124" s="248"/>
      <c r="G124" s="243"/>
      <c r="H124" s="237"/>
      <c r="I124" s="243"/>
    </row>
    <row r="125" spans="1:9">
      <c r="A125" s="291">
        <v>70</v>
      </c>
      <c r="B125" s="249">
        <f t="shared" si="6"/>
        <v>0</v>
      </c>
      <c r="C125" s="249">
        <f t="shared" si="7"/>
        <v>0</v>
      </c>
      <c r="D125" s="249">
        <f t="shared" si="8"/>
        <v>0</v>
      </c>
      <c r="E125" s="249">
        <f t="shared" si="9"/>
        <v>0</v>
      </c>
      <c r="F125" s="248"/>
      <c r="G125" s="243"/>
      <c r="H125" s="237"/>
      <c r="I125" s="243"/>
    </row>
    <row r="126" spans="1:9">
      <c r="A126" s="291">
        <v>71</v>
      </c>
      <c r="B126" s="249">
        <f t="shared" si="6"/>
        <v>0</v>
      </c>
      <c r="C126" s="249">
        <f t="shared" si="7"/>
        <v>0</v>
      </c>
      <c r="D126" s="249">
        <f t="shared" si="8"/>
        <v>0</v>
      </c>
      <c r="E126" s="249">
        <f t="shared" si="9"/>
        <v>0</v>
      </c>
      <c r="F126" s="248"/>
      <c r="G126" s="243"/>
      <c r="H126" s="237"/>
      <c r="I126" s="243"/>
    </row>
    <row r="127" spans="1:9">
      <c r="A127" s="291">
        <v>72</v>
      </c>
      <c r="B127" s="249">
        <f t="shared" si="6"/>
        <v>0</v>
      </c>
      <c r="C127" s="249">
        <f t="shared" si="7"/>
        <v>0</v>
      </c>
      <c r="D127" s="249">
        <f t="shared" si="8"/>
        <v>0</v>
      </c>
      <c r="E127" s="249">
        <f t="shared" si="9"/>
        <v>0</v>
      </c>
      <c r="F127" s="248"/>
      <c r="G127" s="292"/>
      <c r="H127" s="257"/>
      <c r="I127" s="292"/>
    </row>
    <row r="128" spans="1:9">
      <c r="A128" s="291">
        <v>73</v>
      </c>
      <c r="B128" s="249">
        <f t="shared" si="6"/>
        <v>0</v>
      </c>
      <c r="C128" s="249">
        <f t="shared" si="7"/>
        <v>0</v>
      </c>
      <c r="D128" s="249">
        <f t="shared" si="8"/>
        <v>0</v>
      </c>
      <c r="E128" s="249">
        <f t="shared" si="9"/>
        <v>0</v>
      </c>
      <c r="F128" s="248"/>
      <c r="G128" s="243"/>
      <c r="H128" s="237"/>
      <c r="I128" s="292"/>
    </row>
    <row r="129" spans="1:9">
      <c r="A129" s="291">
        <v>74</v>
      </c>
      <c r="B129" s="249">
        <f t="shared" si="6"/>
        <v>0</v>
      </c>
      <c r="C129" s="249">
        <f t="shared" si="7"/>
        <v>0</v>
      </c>
      <c r="D129" s="249">
        <f t="shared" si="8"/>
        <v>0</v>
      </c>
      <c r="E129" s="249">
        <f t="shared" si="9"/>
        <v>0</v>
      </c>
      <c r="F129" s="248">
        <v>6</v>
      </c>
      <c r="G129" s="243"/>
      <c r="H129" s="237"/>
      <c r="I129" s="243"/>
    </row>
    <row r="130" spans="1:9">
      <c r="A130" s="291">
        <v>75</v>
      </c>
      <c r="B130" s="249">
        <f t="shared" si="6"/>
        <v>0</v>
      </c>
      <c r="C130" s="249">
        <f t="shared" si="7"/>
        <v>0</v>
      </c>
      <c r="D130" s="249">
        <f t="shared" si="8"/>
        <v>0</v>
      </c>
      <c r="E130" s="249">
        <f t="shared" si="9"/>
        <v>0</v>
      </c>
      <c r="F130" s="248"/>
      <c r="G130" s="243"/>
      <c r="H130" s="237"/>
      <c r="I130" s="243"/>
    </row>
    <row r="131" spans="1:9">
      <c r="A131" s="291">
        <v>76</v>
      </c>
      <c r="B131" s="249">
        <f t="shared" si="6"/>
        <v>0</v>
      </c>
      <c r="C131" s="249">
        <f t="shared" si="7"/>
        <v>0</v>
      </c>
      <c r="D131" s="249">
        <f t="shared" si="8"/>
        <v>0</v>
      </c>
      <c r="E131" s="249">
        <f t="shared" si="9"/>
        <v>0</v>
      </c>
      <c r="F131" s="248"/>
      <c r="G131" s="243"/>
      <c r="H131" s="237"/>
      <c r="I131" s="243"/>
    </row>
    <row r="132" spans="1:9">
      <c r="A132" s="291">
        <v>77</v>
      </c>
      <c r="B132" s="249">
        <f t="shared" si="6"/>
        <v>0</v>
      </c>
      <c r="C132" s="249">
        <f t="shared" si="7"/>
        <v>0</v>
      </c>
      <c r="D132" s="249">
        <f t="shared" si="8"/>
        <v>0</v>
      </c>
      <c r="E132" s="249">
        <f t="shared" si="9"/>
        <v>0</v>
      </c>
      <c r="F132" s="248"/>
      <c r="G132" s="243"/>
      <c r="H132" s="237"/>
      <c r="I132" s="243"/>
    </row>
    <row r="133" spans="1:9">
      <c r="A133" s="291">
        <v>78</v>
      </c>
      <c r="B133" s="249">
        <f t="shared" si="6"/>
        <v>0</v>
      </c>
      <c r="C133" s="249">
        <f t="shared" si="7"/>
        <v>0</v>
      </c>
      <c r="D133" s="249">
        <f t="shared" si="8"/>
        <v>0</v>
      </c>
      <c r="E133" s="249">
        <f t="shared" si="9"/>
        <v>0</v>
      </c>
      <c r="F133" s="248"/>
      <c r="G133" s="292"/>
      <c r="H133" s="257"/>
      <c r="I133" s="243"/>
    </row>
    <row r="134" spans="1:9">
      <c r="A134" s="291">
        <v>79</v>
      </c>
      <c r="B134" s="249">
        <f t="shared" si="6"/>
        <v>0</v>
      </c>
      <c r="C134" s="249">
        <f t="shared" si="7"/>
        <v>0</v>
      </c>
      <c r="D134" s="249">
        <f t="shared" si="8"/>
        <v>0</v>
      </c>
      <c r="E134" s="249">
        <f t="shared" si="9"/>
        <v>0</v>
      </c>
      <c r="F134" s="248"/>
      <c r="G134" s="243"/>
      <c r="H134" s="237"/>
      <c r="I134" s="243"/>
    </row>
    <row r="135" spans="1:9">
      <c r="A135" s="291">
        <v>80</v>
      </c>
      <c r="B135" s="249">
        <f t="shared" si="6"/>
        <v>0</v>
      </c>
      <c r="C135" s="249">
        <f t="shared" si="7"/>
        <v>0</v>
      </c>
      <c r="D135" s="249">
        <f t="shared" si="8"/>
        <v>0</v>
      </c>
      <c r="E135" s="249">
        <f t="shared" si="9"/>
        <v>0</v>
      </c>
      <c r="F135" s="248"/>
      <c r="G135" s="243"/>
      <c r="H135" s="237"/>
      <c r="I135" s="243"/>
    </row>
    <row r="136" spans="1:9">
      <c r="A136" s="291">
        <v>81</v>
      </c>
      <c r="B136" s="249">
        <f t="shared" si="6"/>
        <v>0</v>
      </c>
      <c r="C136" s="249">
        <f t="shared" si="7"/>
        <v>0</v>
      </c>
      <c r="D136" s="249">
        <f t="shared" si="8"/>
        <v>0</v>
      </c>
      <c r="E136" s="249">
        <f t="shared" si="9"/>
        <v>0</v>
      </c>
      <c r="F136" s="248"/>
      <c r="G136" s="243"/>
      <c r="H136" s="237"/>
      <c r="I136" s="243"/>
    </row>
    <row r="137" spans="1:9">
      <c r="A137" s="291">
        <v>82</v>
      </c>
      <c r="B137" s="249">
        <f t="shared" si="6"/>
        <v>0</v>
      </c>
      <c r="C137" s="249">
        <f t="shared" si="7"/>
        <v>0</v>
      </c>
      <c r="D137" s="249">
        <f t="shared" si="8"/>
        <v>0</v>
      </c>
      <c r="E137" s="249">
        <f t="shared" si="9"/>
        <v>0</v>
      </c>
      <c r="F137" s="248"/>
      <c r="G137" s="243"/>
      <c r="H137" s="237"/>
      <c r="I137" s="243"/>
    </row>
    <row r="138" spans="1:9">
      <c r="A138" s="291">
        <v>83</v>
      </c>
      <c r="B138" s="249">
        <f t="shared" si="6"/>
        <v>0</v>
      </c>
      <c r="C138" s="249">
        <f t="shared" si="7"/>
        <v>0</v>
      </c>
      <c r="D138" s="249">
        <f t="shared" si="8"/>
        <v>0</v>
      </c>
      <c r="E138" s="249">
        <f t="shared" si="9"/>
        <v>0</v>
      </c>
      <c r="F138" s="248"/>
      <c r="G138" s="243"/>
      <c r="H138" s="237"/>
      <c r="I138" s="243"/>
    </row>
    <row r="139" spans="1:9">
      <c r="A139" s="291">
        <v>84</v>
      </c>
      <c r="B139" s="249">
        <f t="shared" si="6"/>
        <v>0</v>
      </c>
      <c r="C139" s="249">
        <f t="shared" si="7"/>
        <v>0</v>
      </c>
      <c r="D139" s="249">
        <f t="shared" si="8"/>
        <v>0</v>
      </c>
      <c r="E139" s="249">
        <f t="shared" si="9"/>
        <v>0</v>
      </c>
      <c r="F139" s="248">
        <v>7</v>
      </c>
      <c r="G139" s="292"/>
      <c r="H139" s="257"/>
      <c r="I139" s="292"/>
    </row>
    <row r="140" spans="1:9">
      <c r="A140" s="291">
        <v>85</v>
      </c>
      <c r="B140" s="249">
        <f t="shared" si="6"/>
        <v>0</v>
      </c>
      <c r="C140" s="249">
        <f t="shared" si="7"/>
        <v>0</v>
      </c>
      <c r="D140" s="249">
        <f t="shared" si="8"/>
        <v>0</v>
      </c>
      <c r="E140" s="249">
        <f t="shared" si="9"/>
        <v>0</v>
      </c>
      <c r="F140" s="248"/>
      <c r="G140" s="243"/>
      <c r="H140" s="237"/>
      <c r="I140" s="292"/>
    </row>
    <row r="141" spans="1:9">
      <c r="A141" s="291">
        <v>86</v>
      </c>
      <c r="B141" s="249">
        <f t="shared" si="6"/>
        <v>0</v>
      </c>
      <c r="C141" s="249">
        <f t="shared" si="7"/>
        <v>0</v>
      </c>
      <c r="D141" s="249">
        <f t="shared" si="8"/>
        <v>0</v>
      </c>
      <c r="E141" s="249">
        <f t="shared" si="9"/>
        <v>0</v>
      </c>
      <c r="F141" s="248"/>
      <c r="G141" s="243"/>
      <c r="H141" s="237"/>
      <c r="I141" s="243"/>
    </row>
    <row r="142" spans="1:9">
      <c r="A142" s="291">
        <v>87</v>
      </c>
      <c r="B142" s="249">
        <f t="shared" si="6"/>
        <v>0</v>
      </c>
      <c r="C142" s="249">
        <f t="shared" si="7"/>
        <v>0</v>
      </c>
      <c r="D142" s="249">
        <f t="shared" si="8"/>
        <v>0</v>
      </c>
      <c r="E142" s="249">
        <f t="shared" si="9"/>
        <v>0</v>
      </c>
      <c r="F142" s="248"/>
      <c r="G142" s="243"/>
      <c r="H142" s="237"/>
      <c r="I142" s="243"/>
    </row>
    <row r="143" spans="1:9">
      <c r="A143" s="291">
        <v>88</v>
      </c>
      <c r="B143" s="249">
        <f t="shared" si="6"/>
        <v>0</v>
      </c>
      <c r="C143" s="249">
        <f t="shared" si="7"/>
        <v>0</v>
      </c>
      <c r="D143" s="249">
        <f t="shared" si="8"/>
        <v>0</v>
      </c>
      <c r="E143" s="249">
        <f t="shared" si="9"/>
        <v>0</v>
      </c>
      <c r="F143" s="248"/>
      <c r="G143" s="243"/>
      <c r="H143" s="237"/>
      <c r="I143" s="243"/>
    </row>
    <row r="144" spans="1:9">
      <c r="A144" s="291">
        <v>89</v>
      </c>
      <c r="B144" s="249">
        <f t="shared" si="6"/>
        <v>0</v>
      </c>
      <c r="C144" s="249">
        <f t="shared" si="7"/>
        <v>0</v>
      </c>
      <c r="D144" s="249">
        <f t="shared" si="8"/>
        <v>0</v>
      </c>
      <c r="E144" s="249">
        <f t="shared" si="9"/>
        <v>0</v>
      </c>
      <c r="F144" s="248"/>
      <c r="G144" s="243"/>
      <c r="H144" s="237"/>
      <c r="I144" s="243"/>
    </row>
    <row r="145" spans="1:9">
      <c r="A145" s="291">
        <v>90</v>
      </c>
      <c r="B145" s="249">
        <f t="shared" si="6"/>
        <v>0</v>
      </c>
      <c r="C145" s="249">
        <f t="shared" si="7"/>
        <v>0</v>
      </c>
      <c r="D145" s="249">
        <f t="shared" si="8"/>
        <v>0</v>
      </c>
      <c r="E145" s="249">
        <f t="shared" si="9"/>
        <v>0</v>
      </c>
      <c r="F145" s="248"/>
      <c r="G145" s="292"/>
      <c r="H145" s="257"/>
      <c r="I145" s="243"/>
    </row>
    <row r="146" spans="1:9">
      <c r="A146" s="291">
        <v>91</v>
      </c>
      <c r="B146" s="249">
        <f t="shared" si="6"/>
        <v>0</v>
      </c>
      <c r="C146" s="249">
        <f t="shared" si="7"/>
        <v>0</v>
      </c>
      <c r="D146" s="249">
        <f t="shared" si="8"/>
        <v>0</v>
      </c>
      <c r="E146" s="249">
        <f t="shared" si="9"/>
        <v>0</v>
      </c>
      <c r="F146" s="248"/>
      <c r="G146" s="243"/>
      <c r="H146" s="237"/>
      <c r="I146" s="243"/>
    </row>
    <row r="147" spans="1:9">
      <c r="A147" s="291">
        <v>92</v>
      </c>
      <c r="B147" s="249">
        <f t="shared" si="6"/>
        <v>0</v>
      </c>
      <c r="C147" s="249">
        <f t="shared" si="7"/>
        <v>0</v>
      </c>
      <c r="D147" s="249">
        <f t="shared" si="8"/>
        <v>0</v>
      </c>
      <c r="E147" s="249">
        <f t="shared" si="9"/>
        <v>0</v>
      </c>
      <c r="F147" s="248"/>
      <c r="G147" s="243"/>
      <c r="H147" s="237"/>
      <c r="I147" s="243"/>
    </row>
    <row r="148" spans="1:9">
      <c r="A148" s="291">
        <v>93</v>
      </c>
      <c r="B148" s="249">
        <f t="shared" si="6"/>
        <v>0</v>
      </c>
      <c r="C148" s="249">
        <f t="shared" si="7"/>
        <v>0</v>
      </c>
      <c r="D148" s="249">
        <f t="shared" si="8"/>
        <v>0</v>
      </c>
      <c r="E148" s="249">
        <f t="shared" si="9"/>
        <v>0</v>
      </c>
      <c r="F148" s="248"/>
      <c r="G148" s="243"/>
      <c r="H148" s="237"/>
      <c r="I148" s="243"/>
    </row>
    <row r="149" spans="1:9">
      <c r="A149" s="291">
        <v>94</v>
      </c>
      <c r="B149" s="249">
        <f t="shared" si="6"/>
        <v>0</v>
      </c>
      <c r="C149" s="249">
        <f t="shared" si="7"/>
        <v>0</v>
      </c>
      <c r="D149" s="249">
        <f t="shared" si="8"/>
        <v>0</v>
      </c>
      <c r="E149" s="249">
        <f t="shared" si="9"/>
        <v>0</v>
      </c>
      <c r="F149" s="248"/>
      <c r="G149" s="243"/>
      <c r="H149" s="237"/>
      <c r="I149" s="243"/>
    </row>
    <row r="150" spans="1:9">
      <c r="A150" s="291">
        <v>95</v>
      </c>
      <c r="B150" s="249">
        <f t="shared" si="6"/>
        <v>0</v>
      </c>
      <c r="C150" s="249">
        <f t="shared" si="7"/>
        <v>0</v>
      </c>
      <c r="D150" s="249">
        <f t="shared" si="8"/>
        <v>0</v>
      </c>
      <c r="E150" s="249">
        <f t="shared" si="9"/>
        <v>0</v>
      </c>
      <c r="F150" s="248"/>
      <c r="G150" s="243"/>
      <c r="H150" s="237"/>
      <c r="I150" s="243"/>
    </row>
    <row r="151" spans="1:9">
      <c r="A151" s="291">
        <v>96</v>
      </c>
      <c r="B151" s="249">
        <f t="shared" si="6"/>
        <v>0</v>
      </c>
      <c r="C151" s="249">
        <f t="shared" si="7"/>
        <v>0</v>
      </c>
      <c r="D151" s="249">
        <f t="shared" si="8"/>
        <v>0</v>
      </c>
      <c r="E151" s="249">
        <f t="shared" si="9"/>
        <v>0</v>
      </c>
      <c r="F151" s="248">
        <v>8</v>
      </c>
      <c r="G151" s="292"/>
      <c r="H151" s="257"/>
      <c r="I151" s="292"/>
    </row>
    <row r="152" spans="1:9">
      <c r="A152" s="291">
        <v>97</v>
      </c>
      <c r="B152" s="249">
        <f t="shared" si="6"/>
        <v>0</v>
      </c>
      <c r="C152" s="249">
        <f t="shared" si="7"/>
        <v>0</v>
      </c>
      <c r="D152" s="249">
        <f t="shared" si="8"/>
        <v>0</v>
      </c>
      <c r="E152" s="249">
        <f t="shared" si="9"/>
        <v>0</v>
      </c>
      <c r="F152" s="248"/>
      <c r="G152" s="243"/>
      <c r="H152" s="237"/>
      <c r="I152" s="292"/>
    </row>
    <row r="153" spans="1:9">
      <c r="A153" s="291">
        <v>98</v>
      </c>
      <c r="B153" s="249">
        <f t="shared" si="6"/>
        <v>0</v>
      </c>
      <c r="C153" s="249">
        <f t="shared" si="7"/>
        <v>0</v>
      </c>
      <c r="D153" s="249">
        <f t="shared" si="8"/>
        <v>0</v>
      </c>
      <c r="E153" s="249">
        <f t="shared" si="9"/>
        <v>0</v>
      </c>
      <c r="F153" s="248"/>
      <c r="G153" s="243"/>
      <c r="H153" s="237"/>
      <c r="I153" s="243"/>
    </row>
    <row r="154" spans="1:9">
      <c r="A154" s="291">
        <v>99</v>
      </c>
      <c r="B154" s="249">
        <f t="shared" si="6"/>
        <v>0</v>
      </c>
      <c r="C154" s="249">
        <f t="shared" si="7"/>
        <v>0</v>
      </c>
      <c r="D154" s="249">
        <f t="shared" si="8"/>
        <v>0</v>
      </c>
      <c r="E154" s="249">
        <f t="shared" si="9"/>
        <v>0</v>
      </c>
      <c r="F154" s="248"/>
      <c r="G154" s="243"/>
      <c r="H154" s="237"/>
      <c r="I154" s="243"/>
    </row>
    <row r="155" spans="1:9">
      <c r="A155" s="291">
        <v>100</v>
      </c>
      <c r="B155" s="249">
        <f t="shared" si="6"/>
        <v>0</v>
      </c>
      <c r="C155" s="249">
        <f t="shared" si="7"/>
        <v>0</v>
      </c>
      <c r="D155" s="249">
        <f t="shared" si="8"/>
        <v>0</v>
      </c>
      <c r="E155" s="249">
        <f t="shared" si="9"/>
        <v>0</v>
      </c>
      <c r="F155" s="248"/>
      <c r="G155" s="243"/>
      <c r="H155" s="237"/>
      <c r="I155" s="243"/>
    </row>
    <row r="156" spans="1:9">
      <c r="A156" s="291">
        <v>101</v>
      </c>
      <c r="B156" s="249">
        <f t="shared" si="6"/>
        <v>0</v>
      </c>
      <c r="C156" s="249">
        <f t="shared" si="7"/>
        <v>0</v>
      </c>
      <c r="D156" s="249">
        <f t="shared" si="8"/>
        <v>0</v>
      </c>
      <c r="E156" s="249">
        <f t="shared" si="9"/>
        <v>0</v>
      </c>
      <c r="F156" s="248"/>
      <c r="G156" s="243"/>
      <c r="H156" s="237"/>
      <c r="I156" s="243"/>
    </row>
    <row r="157" spans="1:9">
      <c r="A157" s="291">
        <v>102</v>
      </c>
      <c r="B157" s="249">
        <f t="shared" si="6"/>
        <v>0</v>
      </c>
      <c r="C157" s="249">
        <f t="shared" si="7"/>
        <v>0</v>
      </c>
      <c r="D157" s="249">
        <f t="shared" si="8"/>
        <v>0</v>
      </c>
      <c r="E157" s="249">
        <f t="shared" si="9"/>
        <v>0</v>
      </c>
      <c r="F157" s="248"/>
      <c r="G157" s="292"/>
      <c r="H157" s="257"/>
      <c r="I157" s="243"/>
    </row>
    <row r="158" spans="1:9">
      <c r="A158" s="291">
        <v>103</v>
      </c>
      <c r="B158" s="249">
        <f t="shared" si="6"/>
        <v>0</v>
      </c>
      <c r="C158" s="249">
        <f t="shared" si="7"/>
        <v>0</v>
      </c>
      <c r="D158" s="249">
        <f t="shared" si="8"/>
        <v>0</v>
      </c>
      <c r="E158" s="249">
        <f t="shared" si="9"/>
        <v>0</v>
      </c>
      <c r="F158" s="248"/>
      <c r="G158" s="243"/>
      <c r="H158" s="237"/>
      <c r="I158" s="243"/>
    </row>
    <row r="159" spans="1:9">
      <c r="A159" s="291">
        <v>104</v>
      </c>
      <c r="B159" s="249">
        <f t="shared" si="6"/>
        <v>0</v>
      </c>
      <c r="C159" s="249">
        <f t="shared" si="7"/>
        <v>0</v>
      </c>
      <c r="D159" s="249">
        <f t="shared" si="8"/>
        <v>0</v>
      </c>
      <c r="E159" s="249">
        <f t="shared" si="9"/>
        <v>0</v>
      </c>
      <c r="F159" s="248"/>
      <c r="G159" s="243"/>
      <c r="H159" s="237"/>
      <c r="I159" s="243"/>
    </row>
    <row r="160" spans="1:9">
      <c r="A160" s="291">
        <v>105</v>
      </c>
      <c r="B160" s="249">
        <f t="shared" si="6"/>
        <v>0</v>
      </c>
      <c r="C160" s="249">
        <f t="shared" si="7"/>
        <v>0</v>
      </c>
      <c r="D160" s="249">
        <f t="shared" si="8"/>
        <v>0</v>
      </c>
      <c r="E160" s="249">
        <f t="shared" si="9"/>
        <v>0</v>
      </c>
      <c r="F160" s="248"/>
      <c r="G160" s="243"/>
      <c r="H160" s="237"/>
      <c r="I160" s="243"/>
    </row>
    <row r="161" spans="1:9">
      <c r="A161" s="291">
        <v>106</v>
      </c>
      <c r="B161" s="249">
        <f t="shared" si="6"/>
        <v>0</v>
      </c>
      <c r="C161" s="249">
        <f t="shared" si="7"/>
        <v>0</v>
      </c>
      <c r="D161" s="249">
        <f t="shared" si="8"/>
        <v>0</v>
      </c>
      <c r="E161" s="249">
        <f t="shared" si="9"/>
        <v>0</v>
      </c>
      <c r="F161" s="248"/>
      <c r="G161" s="243"/>
      <c r="H161" s="237"/>
      <c r="I161" s="243"/>
    </row>
    <row r="162" spans="1:9">
      <c r="A162" s="291">
        <v>107</v>
      </c>
      <c r="B162" s="249">
        <f t="shared" si="6"/>
        <v>0</v>
      </c>
      <c r="C162" s="249">
        <f t="shared" si="7"/>
        <v>0</v>
      </c>
      <c r="D162" s="249">
        <f t="shared" si="8"/>
        <v>0</v>
      </c>
      <c r="E162" s="249">
        <f t="shared" si="9"/>
        <v>0</v>
      </c>
      <c r="F162" s="248"/>
      <c r="G162" s="243"/>
      <c r="H162" s="237"/>
      <c r="I162" s="243"/>
    </row>
    <row r="163" spans="1:9">
      <c r="A163" s="291">
        <v>108</v>
      </c>
      <c r="B163" s="249">
        <f t="shared" si="6"/>
        <v>0</v>
      </c>
      <c r="C163" s="249">
        <f t="shared" si="7"/>
        <v>0</v>
      </c>
      <c r="D163" s="249">
        <f t="shared" si="8"/>
        <v>0</v>
      </c>
      <c r="E163" s="249">
        <f t="shared" si="9"/>
        <v>0</v>
      </c>
      <c r="F163" s="248">
        <v>9</v>
      </c>
      <c r="G163" s="292"/>
      <c r="H163" s="257"/>
      <c r="I163" s="292"/>
    </row>
    <row r="164" spans="1:9">
      <c r="A164" s="291">
        <v>109</v>
      </c>
      <c r="B164" s="249">
        <f t="shared" si="6"/>
        <v>0</v>
      </c>
      <c r="C164" s="249">
        <f t="shared" si="7"/>
        <v>0</v>
      </c>
      <c r="D164" s="249">
        <f t="shared" si="8"/>
        <v>0</v>
      </c>
      <c r="E164" s="249">
        <f t="shared" si="9"/>
        <v>0</v>
      </c>
      <c r="F164" s="248"/>
      <c r="G164" s="243"/>
      <c r="H164" s="237"/>
      <c r="I164" s="292"/>
    </row>
    <row r="165" spans="1:9">
      <c r="A165" s="291">
        <v>110</v>
      </c>
      <c r="B165" s="249">
        <f t="shared" si="6"/>
        <v>0</v>
      </c>
      <c r="C165" s="249">
        <f t="shared" si="7"/>
        <v>0</v>
      </c>
      <c r="D165" s="249">
        <f t="shared" si="8"/>
        <v>0</v>
      </c>
      <c r="E165" s="249">
        <f t="shared" si="9"/>
        <v>0</v>
      </c>
      <c r="F165" s="248"/>
      <c r="G165" s="243"/>
      <c r="H165" s="237"/>
      <c r="I165" s="243"/>
    </row>
    <row r="166" spans="1:9">
      <c r="A166" s="291">
        <v>111</v>
      </c>
      <c r="B166" s="249">
        <f t="shared" si="6"/>
        <v>0</v>
      </c>
      <c r="C166" s="249">
        <f t="shared" si="7"/>
        <v>0</v>
      </c>
      <c r="D166" s="249">
        <f t="shared" si="8"/>
        <v>0</v>
      </c>
      <c r="E166" s="249">
        <f t="shared" si="9"/>
        <v>0</v>
      </c>
      <c r="F166" s="248"/>
      <c r="G166" s="243"/>
      <c r="H166" s="237"/>
      <c r="I166" s="243"/>
    </row>
    <row r="167" spans="1:9">
      <c r="A167" s="291">
        <v>112</v>
      </c>
      <c r="B167" s="249">
        <f t="shared" si="6"/>
        <v>0</v>
      </c>
      <c r="C167" s="249">
        <f t="shared" si="7"/>
        <v>0</v>
      </c>
      <c r="D167" s="249">
        <f t="shared" si="8"/>
        <v>0</v>
      </c>
      <c r="E167" s="249">
        <f t="shared" si="9"/>
        <v>0</v>
      </c>
      <c r="F167" s="248"/>
      <c r="G167" s="243"/>
      <c r="H167" s="237"/>
      <c r="I167" s="243"/>
    </row>
    <row r="168" spans="1:9">
      <c r="A168" s="291">
        <v>113</v>
      </c>
      <c r="B168" s="249">
        <f t="shared" si="6"/>
        <v>0</v>
      </c>
      <c r="C168" s="249">
        <f t="shared" si="7"/>
        <v>0</v>
      </c>
      <c r="D168" s="249">
        <f t="shared" si="8"/>
        <v>0</v>
      </c>
      <c r="E168" s="249">
        <f t="shared" si="9"/>
        <v>0</v>
      </c>
      <c r="F168" s="248"/>
      <c r="G168" s="243"/>
      <c r="H168" s="237"/>
      <c r="I168" s="243"/>
    </row>
    <row r="169" spans="1:9">
      <c r="A169" s="291">
        <v>114</v>
      </c>
      <c r="B169" s="249">
        <f t="shared" si="6"/>
        <v>0</v>
      </c>
      <c r="C169" s="249">
        <f t="shared" si="7"/>
        <v>0</v>
      </c>
      <c r="D169" s="249">
        <f t="shared" si="8"/>
        <v>0</v>
      </c>
      <c r="E169" s="249">
        <f t="shared" si="9"/>
        <v>0</v>
      </c>
      <c r="F169" s="248"/>
      <c r="G169" s="292"/>
      <c r="H169" s="257"/>
      <c r="I169" s="243"/>
    </row>
    <row r="170" spans="1:9">
      <c r="A170" s="291">
        <v>115</v>
      </c>
      <c r="B170" s="249">
        <f t="shared" si="6"/>
        <v>0</v>
      </c>
      <c r="C170" s="249">
        <f t="shared" si="7"/>
        <v>0</v>
      </c>
      <c r="D170" s="249">
        <f t="shared" si="8"/>
        <v>0</v>
      </c>
      <c r="E170" s="249">
        <f t="shared" si="9"/>
        <v>0</v>
      </c>
      <c r="F170" s="248"/>
      <c r="G170" s="243"/>
      <c r="H170" s="237"/>
      <c r="I170" s="243"/>
    </row>
    <row r="171" spans="1:9">
      <c r="A171" s="291">
        <v>116</v>
      </c>
      <c r="B171" s="249">
        <f t="shared" si="6"/>
        <v>0</v>
      </c>
      <c r="C171" s="249">
        <f t="shared" si="7"/>
        <v>0</v>
      </c>
      <c r="D171" s="249">
        <f t="shared" si="8"/>
        <v>0</v>
      </c>
      <c r="E171" s="249">
        <f t="shared" si="9"/>
        <v>0</v>
      </c>
      <c r="F171" s="248"/>
      <c r="G171" s="243"/>
      <c r="H171" s="237"/>
      <c r="I171" s="243"/>
    </row>
    <row r="172" spans="1:9">
      <c r="A172" s="291">
        <v>117</v>
      </c>
      <c r="B172" s="249">
        <f t="shared" si="6"/>
        <v>0</v>
      </c>
      <c r="C172" s="249">
        <f t="shared" si="7"/>
        <v>0</v>
      </c>
      <c r="D172" s="249">
        <f t="shared" si="8"/>
        <v>0</v>
      </c>
      <c r="E172" s="249">
        <f t="shared" si="9"/>
        <v>0</v>
      </c>
      <c r="F172" s="248"/>
      <c r="G172" s="243"/>
      <c r="H172" s="237"/>
      <c r="I172" s="243"/>
    </row>
    <row r="173" spans="1:9">
      <c r="A173" s="291">
        <v>118</v>
      </c>
      <c r="B173" s="249">
        <f t="shared" si="6"/>
        <v>0</v>
      </c>
      <c r="C173" s="249">
        <f t="shared" si="7"/>
        <v>0</v>
      </c>
      <c r="D173" s="249">
        <f t="shared" si="8"/>
        <v>0</v>
      </c>
      <c r="E173" s="249">
        <f t="shared" si="9"/>
        <v>0</v>
      </c>
      <c r="F173" s="248"/>
      <c r="G173" s="243"/>
      <c r="H173" s="237"/>
      <c r="I173" s="243"/>
    </row>
    <row r="174" spans="1:9">
      <c r="A174" s="291">
        <v>119</v>
      </c>
      <c r="B174" s="249">
        <f t="shared" si="6"/>
        <v>0</v>
      </c>
      <c r="C174" s="249">
        <f t="shared" si="7"/>
        <v>0</v>
      </c>
      <c r="D174" s="249">
        <f t="shared" si="8"/>
        <v>0</v>
      </c>
      <c r="E174" s="249">
        <f t="shared" si="9"/>
        <v>0</v>
      </c>
      <c r="F174" s="248"/>
      <c r="G174" s="243"/>
      <c r="H174" s="237"/>
      <c r="I174" s="243"/>
    </row>
    <row r="175" spans="1:9">
      <c r="A175" s="291">
        <v>120</v>
      </c>
      <c r="B175" s="249">
        <f t="shared" si="6"/>
        <v>0</v>
      </c>
      <c r="C175" s="249">
        <f t="shared" si="7"/>
        <v>0</v>
      </c>
      <c r="D175" s="249">
        <f t="shared" si="8"/>
        <v>0</v>
      </c>
      <c r="E175" s="249">
        <f t="shared" si="9"/>
        <v>0</v>
      </c>
      <c r="F175" s="248">
        <v>10</v>
      </c>
      <c r="G175" s="292"/>
      <c r="H175" s="257"/>
      <c r="I175" s="292"/>
    </row>
    <row r="176" spans="1:9">
      <c r="A176" s="291">
        <v>121</v>
      </c>
      <c r="B176" s="249">
        <f t="shared" si="6"/>
        <v>0</v>
      </c>
      <c r="C176" s="249">
        <f t="shared" si="7"/>
        <v>0</v>
      </c>
      <c r="D176" s="249">
        <f t="shared" si="8"/>
        <v>0</v>
      </c>
      <c r="E176" s="249">
        <f t="shared" si="9"/>
        <v>0</v>
      </c>
      <c r="F176" s="248"/>
      <c r="G176" s="243"/>
      <c r="H176" s="237"/>
      <c r="I176" s="292"/>
    </row>
    <row r="177" spans="1:9">
      <c r="A177" s="291">
        <v>122</v>
      </c>
      <c r="B177" s="249">
        <f t="shared" si="6"/>
        <v>0</v>
      </c>
      <c r="C177" s="249">
        <f t="shared" si="7"/>
        <v>0</v>
      </c>
      <c r="D177" s="249">
        <f t="shared" si="8"/>
        <v>0</v>
      </c>
      <c r="E177" s="249">
        <f t="shared" si="9"/>
        <v>0</v>
      </c>
      <c r="F177" s="248"/>
      <c r="G177" s="243"/>
      <c r="H177" s="237"/>
      <c r="I177" s="243"/>
    </row>
    <row r="178" spans="1:9">
      <c r="A178" s="291">
        <v>123</v>
      </c>
      <c r="B178" s="249">
        <f t="shared" si="6"/>
        <v>0</v>
      </c>
      <c r="C178" s="249">
        <f t="shared" si="7"/>
        <v>0</v>
      </c>
      <c r="D178" s="249">
        <f t="shared" si="8"/>
        <v>0</v>
      </c>
      <c r="E178" s="249">
        <f t="shared" si="9"/>
        <v>0</v>
      </c>
      <c r="F178" s="248"/>
      <c r="G178" s="243"/>
      <c r="H178" s="237"/>
      <c r="I178" s="243"/>
    </row>
    <row r="179" spans="1:9">
      <c r="A179" s="291">
        <v>124</v>
      </c>
      <c r="B179" s="249">
        <f t="shared" si="6"/>
        <v>0</v>
      </c>
      <c r="C179" s="249">
        <f t="shared" si="7"/>
        <v>0</v>
      </c>
      <c r="D179" s="249">
        <f t="shared" si="8"/>
        <v>0</v>
      </c>
      <c r="E179" s="249">
        <f t="shared" si="9"/>
        <v>0</v>
      </c>
      <c r="F179" s="248"/>
      <c r="G179" s="243"/>
      <c r="H179" s="237"/>
      <c r="I179" s="243"/>
    </row>
    <row r="180" spans="1:9">
      <c r="A180" s="291">
        <v>125</v>
      </c>
      <c r="B180" s="249">
        <f t="shared" si="6"/>
        <v>0</v>
      </c>
      <c r="C180" s="249">
        <f t="shared" si="7"/>
        <v>0</v>
      </c>
      <c r="D180" s="249">
        <f t="shared" si="8"/>
        <v>0</v>
      </c>
      <c r="E180" s="249">
        <f t="shared" si="9"/>
        <v>0</v>
      </c>
      <c r="F180" s="248"/>
      <c r="G180" s="243"/>
      <c r="H180" s="237"/>
      <c r="I180" s="243"/>
    </row>
    <row r="181" spans="1:9">
      <c r="A181" s="291">
        <v>126</v>
      </c>
      <c r="B181" s="249">
        <f t="shared" si="6"/>
        <v>0</v>
      </c>
      <c r="C181" s="249">
        <f t="shared" si="7"/>
        <v>0</v>
      </c>
      <c r="D181" s="249">
        <f t="shared" si="8"/>
        <v>0</v>
      </c>
      <c r="E181" s="249">
        <f t="shared" si="9"/>
        <v>0</v>
      </c>
      <c r="F181" s="248"/>
      <c r="G181" s="292"/>
      <c r="H181" s="257"/>
      <c r="I181" s="243"/>
    </row>
    <row r="182" spans="1:9">
      <c r="A182" s="291">
        <v>127</v>
      </c>
      <c r="B182" s="249">
        <f t="shared" si="6"/>
        <v>0</v>
      </c>
      <c r="C182" s="249">
        <f t="shared" si="7"/>
        <v>0</v>
      </c>
      <c r="D182" s="249">
        <f t="shared" si="8"/>
        <v>0</v>
      </c>
      <c r="E182" s="249">
        <f t="shared" si="9"/>
        <v>0</v>
      </c>
      <c r="F182" s="248"/>
      <c r="G182" s="243"/>
      <c r="H182" s="237"/>
      <c r="I182" s="243"/>
    </row>
    <row r="183" spans="1:9">
      <c r="A183" s="291">
        <v>128</v>
      </c>
      <c r="B183" s="249">
        <f t="shared" si="6"/>
        <v>0</v>
      </c>
      <c r="C183" s="249">
        <f t="shared" si="7"/>
        <v>0</v>
      </c>
      <c r="D183" s="249">
        <f t="shared" si="8"/>
        <v>0</v>
      </c>
      <c r="E183" s="249">
        <f t="shared" si="9"/>
        <v>0</v>
      </c>
      <c r="F183" s="248"/>
      <c r="G183" s="243"/>
      <c r="H183" s="237"/>
      <c r="I183" s="243"/>
    </row>
    <row r="184" spans="1:9">
      <c r="A184" s="291">
        <v>129</v>
      </c>
      <c r="B184" s="249">
        <f t="shared" ref="B184:B247" si="10">IF(A184&gt;12*$D$14,0,$D$20)</f>
        <v>0</v>
      </c>
      <c r="C184" s="249">
        <f t="shared" ref="C184:C247" si="11">IF(A184&gt;12*$D$14,0,E183*$D$10/12)</f>
        <v>0</v>
      </c>
      <c r="D184" s="249">
        <f t="shared" ref="D184:D247" si="12">IF(A184&gt;12*$D$14,0,B184-C184)</f>
        <v>0</v>
      </c>
      <c r="E184" s="249">
        <f t="shared" ref="E184:E247" si="13">IF(A184&gt;12*$D$14,0,E183-D184)</f>
        <v>0</v>
      </c>
      <c r="F184" s="248"/>
      <c r="G184" s="243"/>
      <c r="H184" s="237"/>
      <c r="I184" s="243"/>
    </row>
    <row r="185" spans="1:9">
      <c r="A185" s="291">
        <v>130</v>
      </c>
      <c r="B185" s="249">
        <f t="shared" si="10"/>
        <v>0</v>
      </c>
      <c r="C185" s="249">
        <f t="shared" si="11"/>
        <v>0</v>
      </c>
      <c r="D185" s="249">
        <f t="shared" si="12"/>
        <v>0</v>
      </c>
      <c r="E185" s="249">
        <f t="shared" si="13"/>
        <v>0</v>
      </c>
      <c r="F185" s="248"/>
      <c r="G185" s="243"/>
      <c r="H185" s="237"/>
      <c r="I185" s="243"/>
    </row>
    <row r="186" spans="1:9">
      <c r="A186" s="291">
        <v>131</v>
      </c>
      <c r="B186" s="249">
        <f t="shared" si="10"/>
        <v>0</v>
      </c>
      <c r="C186" s="249">
        <f t="shared" si="11"/>
        <v>0</v>
      </c>
      <c r="D186" s="249">
        <f t="shared" si="12"/>
        <v>0</v>
      </c>
      <c r="E186" s="249">
        <f t="shared" si="13"/>
        <v>0</v>
      </c>
      <c r="F186" s="248"/>
      <c r="G186" s="243"/>
      <c r="H186" s="237"/>
      <c r="I186" s="243"/>
    </row>
    <row r="187" spans="1:9">
      <c r="A187" s="291">
        <v>132</v>
      </c>
      <c r="B187" s="249">
        <f t="shared" si="10"/>
        <v>0</v>
      </c>
      <c r="C187" s="249">
        <f t="shared" si="11"/>
        <v>0</v>
      </c>
      <c r="D187" s="249">
        <f t="shared" si="12"/>
        <v>0</v>
      </c>
      <c r="E187" s="249">
        <f t="shared" si="13"/>
        <v>0</v>
      </c>
      <c r="F187" s="248">
        <v>11</v>
      </c>
      <c r="G187" s="292"/>
      <c r="H187" s="257"/>
      <c r="I187" s="292"/>
    </row>
    <row r="188" spans="1:9">
      <c r="A188" s="291">
        <v>133</v>
      </c>
      <c r="B188" s="249">
        <f t="shared" si="10"/>
        <v>0</v>
      </c>
      <c r="C188" s="249">
        <f t="shared" si="11"/>
        <v>0</v>
      </c>
      <c r="D188" s="249">
        <f t="shared" si="12"/>
        <v>0</v>
      </c>
      <c r="E188" s="249">
        <f t="shared" si="13"/>
        <v>0</v>
      </c>
      <c r="F188" s="248"/>
      <c r="G188" s="243"/>
      <c r="H188" s="237"/>
      <c r="I188" s="292"/>
    </row>
    <row r="189" spans="1:9">
      <c r="A189" s="291">
        <v>134</v>
      </c>
      <c r="B189" s="249">
        <f t="shared" si="10"/>
        <v>0</v>
      </c>
      <c r="C189" s="249">
        <f t="shared" si="11"/>
        <v>0</v>
      </c>
      <c r="D189" s="249">
        <f t="shared" si="12"/>
        <v>0</v>
      </c>
      <c r="E189" s="249">
        <f t="shared" si="13"/>
        <v>0</v>
      </c>
      <c r="F189" s="248"/>
      <c r="G189" s="243"/>
      <c r="H189" s="237"/>
      <c r="I189" s="243"/>
    </row>
    <row r="190" spans="1:9">
      <c r="A190" s="291">
        <v>135</v>
      </c>
      <c r="B190" s="249">
        <f t="shared" si="10"/>
        <v>0</v>
      </c>
      <c r="C190" s="249">
        <f t="shared" si="11"/>
        <v>0</v>
      </c>
      <c r="D190" s="249">
        <f t="shared" si="12"/>
        <v>0</v>
      </c>
      <c r="E190" s="249">
        <f t="shared" si="13"/>
        <v>0</v>
      </c>
      <c r="F190" s="248"/>
      <c r="G190" s="243"/>
      <c r="H190" s="237"/>
      <c r="I190" s="243"/>
    </row>
    <row r="191" spans="1:9">
      <c r="A191" s="291">
        <v>136</v>
      </c>
      <c r="B191" s="249">
        <f t="shared" si="10"/>
        <v>0</v>
      </c>
      <c r="C191" s="249">
        <f t="shared" si="11"/>
        <v>0</v>
      </c>
      <c r="D191" s="249">
        <f t="shared" si="12"/>
        <v>0</v>
      </c>
      <c r="E191" s="249">
        <f t="shared" si="13"/>
        <v>0</v>
      </c>
      <c r="F191" s="248"/>
      <c r="G191" s="243"/>
      <c r="H191" s="237"/>
      <c r="I191" s="243"/>
    </row>
    <row r="192" spans="1:9">
      <c r="A192" s="291">
        <v>137</v>
      </c>
      <c r="B192" s="249">
        <f t="shared" si="10"/>
        <v>0</v>
      </c>
      <c r="C192" s="249">
        <f t="shared" si="11"/>
        <v>0</v>
      </c>
      <c r="D192" s="249">
        <f t="shared" si="12"/>
        <v>0</v>
      </c>
      <c r="E192" s="249">
        <f t="shared" si="13"/>
        <v>0</v>
      </c>
      <c r="F192" s="248"/>
      <c r="G192" s="243"/>
      <c r="H192" s="237"/>
      <c r="I192" s="243"/>
    </row>
    <row r="193" spans="1:9">
      <c r="A193" s="291">
        <v>138</v>
      </c>
      <c r="B193" s="249">
        <f t="shared" si="10"/>
        <v>0</v>
      </c>
      <c r="C193" s="249">
        <f t="shared" si="11"/>
        <v>0</v>
      </c>
      <c r="D193" s="249">
        <f t="shared" si="12"/>
        <v>0</v>
      </c>
      <c r="E193" s="249">
        <f t="shared" si="13"/>
        <v>0</v>
      </c>
      <c r="F193" s="248"/>
      <c r="G193" s="292"/>
      <c r="H193" s="257"/>
      <c r="I193" s="243"/>
    </row>
    <row r="194" spans="1:9">
      <c r="A194" s="291">
        <v>139</v>
      </c>
      <c r="B194" s="249">
        <f t="shared" si="10"/>
        <v>0</v>
      </c>
      <c r="C194" s="249">
        <f t="shared" si="11"/>
        <v>0</v>
      </c>
      <c r="D194" s="249">
        <f t="shared" si="12"/>
        <v>0</v>
      </c>
      <c r="E194" s="249">
        <f t="shared" si="13"/>
        <v>0</v>
      </c>
      <c r="F194" s="248"/>
      <c r="G194" s="243"/>
      <c r="H194" s="237"/>
      <c r="I194" s="243"/>
    </row>
    <row r="195" spans="1:9">
      <c r="A195" s="291">
        <v>140</v>
      </c>
      <c r="B195" s="249">
        <f t="shared" si="10"/>
        <v>0</v>
      </c>
      <c r="C195" s="249">
        <f t="shared" si="11"/>
        <v>0</v>
      </c>
      <c r="D195" s="249">
        <f t="shared" si="12"/>
        <v>0</v>
      </c>
      <c r="E195" s="249">
        <f t="shared" si="13"/>
        <v>0</v>
      </c>
      <c r="F195" s="248"/>
      <c r="G195" s="243"/>
      <c r="H195" s="237"/>
      <c r="I195" s="243"/>
    </row>
    <row r="196" spans="1:9">
      <c r="A196" s="291">
        <v>141</v>
      </c>
      <c r="B196" s="249">
        <f t="shared" si="10"/>
        <v>0</v>
      </c>
      <c r="C196" s="249">
        <f t="shared" si="11"/>
        <v>0</v>
      </c>
      <c r="D196" s="249">
        <f t="shared" si="12"/>
        <v>0</v>
      </c>
      <c r="E196" s="249">
        <f t="shared" si="13"/>
        <v>0</v>
      </c>
      <c r="F196" s="248"/>
      <c r="G196" s="243"/>
      <c r="H196" s="237"/>
      <c r="I196" s="243"/>
    </row>
    <row r="197" spans="1:9">
      <c r="A197" s="291">
        <v>142</v>
      </c>
      <c r="B197" s="249">
        <f t="shared" si="10"/>
        <v>0</v>
      </c>
      <c r="C197" s="249">
        <f t="shared" si="11"/>
        <v>0</v>
      </c>
      <c r="D197" s="249">
        <f t="shared" si="12"/>
        <v>0</v>
      </c>
      <c r="E197" s="249">
        <f t="shared" si="13"/>
        <v>0</v>
      </c>
      <c r="F197" s="248"/>
      <c r="G197" s="243"/>
      <c r="H197" s="237"/>
      <c r="I197" s="243"/>
    </row>
    <row r="198" spans="1:9">
      <c r="A198" s="291">
        <v>143</v>
      </c>
      <c r="B198" s="249">
        <f t="shared" si="10"/>
        <v>0</v>
      </c>
      <c r="C198" s="249">
        <f t="shared" si="11"/>
        <v>0</v>
      </c>
      <c r="D198" s="249">
        <f t="shared" si="12"/>
        <v>0</v>
      </c>
      <c r="E198" s="249">
        <f t="shared" si="13"/>
        <v>0</v>
      </c>
      <c r="F198" s="248"/>
      <c r="G198" s="243"/>
      <c r="H198" s="237"/>
      <c r="I198" s="243"/>
    </row>
    <row r="199" spans="1:9">
      <c r="A199" s="293">
        <v>144</v>
      </c>
      <c r="B199" s="249">
        <f t="shared" si="10"/>
        <v>0</v>
      </c>
      <c r="C199" s="249">
        <f t="shared" si="11"/>
        <v>0</v>
      </c>
      <c r="D199" s="249">
        <f t="shared" si="12"/>
        <v>0</v>
      </c>
      <c r="E199" s="249">
        <f t="shared" si="13"/>
        <v>0</v>
      </c>
      <c r="F199" s="250">
        <v>12</v>
      </c>
      <c r="G199" s="292"/>
      <c r="H199" s="257"/>
      <c r="I199" s="292"/>
    </row>
    <row r="200" spans="1:9">
      <c r="A200" s="291">
        <v>145</v>
      </c>
      <c r="B200" s="249">
        <f t="shared" si="10"/>
        <v>0</v>
      </c>
      <c r="C200" s="249">
        <f t="shared" si="11"/>
        <v>0</v>
      </c>
      <c r="D200" s="249">
        <f t="shared" si="12"/>
        <v>0</v>
      </c>
      <c r="E200" s="249">
        <f t="shared" si="13"/>
        <v>0</v>
      </c>
      <c r="F200" s="248"/>
      <c r="G200" s="243"/>
      <c r="H200" s="237"/>
      <c r="I200" s="292"/>
    </row>
    <row r="201" spans="1:9">
      <c r="A201" s="291">
        <v>146</v>
      </c>
      <c r="B201" s="249">
        <f t="shared" si="10"/>
        <v>0</v>
      </c>
      <c r="C201" s="249">
        <f t="shared" si="11"/>
        <v>0</v>
      </c>
      <c r="D201" s="249">
        <f t="shared" si="12"/>
        <v>0</v>
      </c>
      <c r="E201" s="249">
        <f t="shared" si="13"/>
        <v>0</v>
      </c>
      <c r="F201" s="248"/>
      <c r="G201" s="243"/>
      <c r="H201" s="237"/>
      <c r="I201" s="243"/>
    </row>
    <row r="202" spans="1:9">
      <c r="A202" s="291">
        <v>147</v>
      </c>
      <c r="B202" s="249">
        <f t="shared" si="10"/>
        <v>0</v>
      </c>
      <c r="C202" s="249">
        <f t="shared" si="11"/>
        <v>0</v>
      </c>
      <c r="D202" s="249">
        <f t="shared" si="12"/>
        <v>0</v>
      </c>
      <c r="E202" s="249">
        <f t="shared" si="13"/>
        <v>0</v>
      </c>
      <c r="F202" s="248"/>
      <c r="G202" s="243"/>
      <c r="H202" s="237"/>
      <c r="I202" s="243"/>
    </row>
    <row r="203" spans="1:9">
      <c r="A203" s="291">
        <v>148</v>
      </c>
      <c r="B203" s="249">
        <f t="shared" si="10"/>
        <v>0</v>
      </c>
      <c r="C203" s="249">
        <f t="shared" si="11"/>
        <v>0</v>
      </c>
      <c r="D203" s="249">
        <f t="shared" si="12"/>
        <v>0</v>
      </c>
      <c r="E203" s="249">
        <f t="shared" si="13"/>
        <v>0</v>
      </c>
      <c r="F203" s="248"/>
      <c r="G203" s="243"/>
      <c r="H203" s="237"/>
      <c r="I203" s="243"/>
    </row>
    <row r="204" spans="1:9">
      <c r="A204" s="291">
        <v>149</v>
      </c>
      <c r="B204" s="249">
        <f t="shared" si="10"/>
        <v>0</v>
      </c>
      <c r="C204" s="249">
        <f t="shared" si="11"/>
        <v>0</v>
      </c>
      <c r="D204" s="249">
        <f t="shared" si="12"/>
        <v>0</v>
      </c>
      <c r="E204" s="249">
        <f t="shared" si="13"/>
        <v>0</v>
      </c>
      <c r="F204" s="248"/>
      <c r="G204" s="243"/>
      <c r="H204" s="237"/>
      <c r="I204" s="243"/>
    </row>
    <row r="205" spans="1:9">
      <c r="A205" s="291">
        <v>150</v>
      </c>
      <c r="B205" s="249">
        <f t="shared" si="10"/>
        <v>0</v>
      </c>
      <c r="C205" s="249">
        <f t="shared" si="11"/>
        <v>0</v>
      </c>
      <c r="D205" s="249">
        <f t="shared" si="12"/>
        <v>0</v>
      </c>
      <c r="E205" s="249">
        <f t="shared" si="13"/>
        <v>0</v>
      </c>
      <c r="F205" s="248"/>
      <c r="G205" s="292"/>
      <c r="H205" s="257"/>
      <c r="I205" s="243"/>
    </row>
    <row r="206" spans="1:9">
      <c r="A206" s="291">
        <v>151</v>
      </c>
      <c r="B206" s="249">
        <f t="shared" si="10"/>
        <v>0</v>
      </c>
      <c r="C206" s="249">
        <f t="shared" si="11"/>
        <v>0</v>
      </c>
      <c r="D206" s="249">
        <f t="shared" si="12"/>
        <v>0</v>
      </c>
      <c r="E206" s="249">
        <f t="shared" si="13"/>
        <v>0</v>
      </c>
      <c r="F206" s="248"/>
      <c r="G206" s="243"/>
      <c r="H206" s="237"/>
      <c r="I206" s="243"/>
    </row>
    <row r="207" spans="1:9">
      <c r="A207" s="291">
        <v>152</v>
      </c>
      <c r="B207" s="249">
        <f t="shared" si="10"/>
        <v>0</v>
      </c>
      <c r="C207" s="249">
        <f t="shared" si="11"/>
        <v>0</v>
      </c>
      <c r="D207" s="249">
        <f t="shared" si="12"/>
        <v>0</v>
      </c>
      <c r="E207" s="249">
        <f t="shared" si="13"/>
        <v>0</v>
      </c>
      <c r="F207" s="248"/>
      <c r="G207" s="243"/>
      <c r="H207" s="237"/>
      <c r="I207" s="243"/>
    </row>
    <row r="208" spans="1:9">
      <c r="A208" s="291">
        <v>153</v>
      </c>
      <c r="B208" s="249">
        <f t="shared" si="10"/>
        <v>0</v>
      </c>
      <c r="C208" s="249">
        <f t="shared" si="11"/>
        <v>0</v>
      </c>
      <c r="D208" s="249">
        <f t="shared" si="12"/>
        <v>0</v>
      </c>
      <c r="E208" s="249">
        <f t="shared" si="13"/>
        <v>0</v>
      </c>
      <c r="F208" s="248"/>
      <c r="G208" s="243"/>
      <c r="H208" s="237"/>
      <c r="I208" s="243"/>
    </row>
    <row r="209" spans="1:9">
      <c r="A209" s="291">
        <v>154</v>
      </c>
      <c r="B209" s="249">
        <f t="shared" si="10"/>
        <v>0</v>
      </c>
      <c r="C209" s="249">
        <f t="shared" si="11"/>
        <v>0</v>
      </c>
      <c r="D209" s="249">
        <f t="shared" si="12"/>
        <v>0</v>
      </c>
      <c r="E209" s="249">
        <f t="shared" si="13"/>
        <v>0</v>
      </c>
      <c r="F209" s="248"/>
      <c r="G209" s="243"/>
      <c r="H209" s="237"/>
      <c r="I209" s="243"/>
    </row>
    <row r="210" spans="1:9">
      <c r="A210" s="291">
        <v>155</v>
      </c>
      <c r="B210" s="249">
        <f t="shared" si="10"/>
        <v>0</v>
      </c>
      <c r="C210" s="249">
        <f t="shared" si="11"/>
        <v>0</v>
      </c>
      <c r="D210" s="249">
        <f t="shared" si="12"/>
        <v>0</v>
      </c>
      <c r="E210" s="249">
        <f t="shared" si="13"/>
        <v>0</v>
      </c>
      <c r="F210" s="248"/>
      <c r="G210" s="243"/>
      <c r="H210" s="237"/>
      <c r="I210" s="243"/>
    </row>
    <row r="211" spans="1:9">
      <c r="A211" s="293">
        <v>156</v>
      </c>
      <c r="B211" s="249">
        <f t="shared" si="10"/>
        <v>0</v>
      </c>
      <c r="C211" s="249">
        <f t="shared" si="11"/>
        <v>0</v>
      </c>
      <c r="D211" s="249">
        <f t="shared" si="12"/>
        <v>0</v>
      </c>
      <c r="E211" s="249">
        <f t="shared" si="13"/>
        <v>0</v>
      </c>
      <c r="F211" s="250">
        <v>13</v>
      </c>
      <c r="G211" s="292"/>
      <c r="H211" s="257"/>
      <c r="I211" s="292"/>
    </row>
    <row r="212" spans="1:9">
      <c r="A212" s="291">
        <v>157</v>
      </c>
      <c r="B212" s="249">
        <f t="shared" si="10"/>
        <v>0</v>
      </c>
      <c r="C212" s="249">
        <f t="shared" si="11"/>
        <v>0</v>
      </c>
      <c r="D212" s="249">
        <f t="shared" si="12"/>
        <v>0</v>
      </c>
      <c r="E212" s="249">
        <f t="shared" si="13"/>
        <v>0</v>
      </c>
      <c r="F212" s="248"/>
      <c r="G212" s="243"/>
      <c r="H212" s="237"/>
      <c r="I212" s="292"/>
    </row>
    <row r="213" spans="1:9">
      <c r="A213" s="291">
        <v>158</v>
      </c>
      <c r="B213" s="249">
        <f t="shared" si="10"/>
        <v>0</v>
      </c>
      <c r="C213" s="249">
        <f t="shared" si="11"/>
        <v>0</v>
      </c>
      <c r="D213" s="249">
        <f t="shared" si="12"/>
        <v>0</v>
      </c>
      <c r="E213" s="249">
        <f t="shared" si="13"/>
        <v>0</v>
      </c>
      <c r="F213" s="248"/>
      <c r="G213" s="243"/>
      <c r="H213" s="237"/>
      <c r="I213" s="243"/>
    </row>
    <row r="214" spans="1:9">
      <c r="A214" s="291">
        <v>159</v>
      </c>
      <c r="B214" s="249">
        <f t="shared" si="10"/>
        <v>0</v>
      </c>
      <c r="C214" s="249">
        <f t="shared" si="11"/>
        <v>0</v>
      </c>
      <c r="D214" s="249">
        <f t="shared" si="12"/>
        <v>0</v>
      </c>
      <c r="E214" s="249">
        <f t="shared" si="13"/>
        <v>0</v>
      </c>
      <c r="F214" s="248"/>
      <c r="G214" s="243"/>
      <c r="H214" s="237"/>
      <c r="I214" s="243"/>
    </row>
    <row r="215" spans="1:9">
      <c r="A215" s="291">
        <v>160</v>
      </c>
      <c r="B215" s="249">
        <f t="shared" si="10"/>
        <v>0</v>
      </c>
      <c r="C215" s="249">
        <f t="shared" si="11"/>
        <v>0</v>
      </c>
      <c r="D215" s="249">
        <f t="shared" si="12"/>
        <v>0</v>
      </c>
      <c r="E215" s="249">
        <f t="shared" si="13"/>
        <v>0</v>
      </c>
      <c r="F215" s="248"/>
      <c r="G215" s="243"/>
      <c r="H215" s="237"/>
      <c r="I215" s="243"/>
    </row>
    <row r="216" spans="1:9">
      <c r="A216" s="291">
        <v>161</v>
      </c>
      <c r="B216" s="249">
        <f t="shared" si="10"/>
        <v>0</v>
      </c>
      <c r="C216" s="249">
        <f t="shared" si="11"/>
        <v>0</v>
      </c>
      <c r="D216" s="249">
        <f t="shared" si="12"/>
        <v>0</v>
      </c>
      <c r="E216" s="249">
        <f t="shared" si="13"/>
        <v>0</v>
      </c>
      <c r="F216" s="248"/>
      <c r="G216" s="243"/>
      <c r="H216" s="237"/>
      <c r="I216" s="243"/>
    </row>
    <row r="217" spans="1:9">
      <c r="A217" s="291">
        <v>162</v>
      </c>
      <c r="B217" s="249">
        <f t="shared" si="10"/>
        <v>0</v>
      </c>
      <c r="C217" s="249">
        <f t="shared" si="11"/>
        <v>0</v>
      </c>
      <c r="D217" s="249">
        <f t="shared" si="12"/>
        <v>0</v>
      </c>
      <c r="E217" s="249">
        <f t="shared" si="13"/>
        <v>0</v>
      </c>
      <c r="F217" s="248"/>
      <c r="G217" s="292"/>
      <c r="H217" s="257"/>
      <c r="I217" s="243"/>
    </row>
    <row r="218" spans="1:9">
      <c r="A218" s="291">
        <v>163</v>
      </c>
      <c r="B218" s="249">
        <f t="shared" si="10"/>
        <v>0</v>
      </c>
      <c r="C218" s="249">
        <f t="shared" si="11"/>
        <v>0</v>
      </c>
      <c r="D218" s="249">
        <f t="shared" si="12"/>
        <v>0</v>
      </c>
      <c r="E218" s="249">
        <f t="shared" si="13"/>
        <v>0</v>
      </c>
      <c r="F218" s="248"/>
      <c r="G218" s="243"/>
      <c r="H218" s="237"/>
      <c r="I218" s="243"/>
    </row>
    <row r="219" spans="1:9">
      <c r="A219" s="291">
        <v>164</v>
      </c>
      <c r="B219" s="249">
        <f t="shared" si="10"/>
        <v>0</v>
      </c>
      <c r="C219" s="249">
        <f t="shared" si="11"/>
        <v>0</v>
      </c>
      <c r="D219" s="249">
        <f t="shared" si="12"/>
        <v>0</v>
      </c>
      <c r="E219" s="249">
        <f t="shared" si="13"/>
        <v>0</v>
      </c>
      <c r="F219" s="248"/>
      <c r="G219" s="243"/>
      <c r="H219" s="237"/>
      <c r="I219" s="243"/>
    </row>
    <row r="220" spans="1:9">
      <c r="A220" s="291">
        <v>165</v>
      </c>
      <c r="B220" s="249">
        <f t="shared" si="10"/>
        <v>0</v>
      </c>
      <c r="C220" s="249">
        <f t="shared" si="11"/>
        <v>0</v>
      </c>
      <c r="D220" s="249">
        <f t="shared" si="12"/>
        <v>0</v>
      </c>
      <c r="E220" s="249">
        <f t="shared" si="13"/>
        <v>0</v>
      </c>
      <c r="F220" s="248"/>
      <c r="G220" s="243"/>
      <c r="H220" s="237"/>
      <c r="I220" s="243"/>
    </row>
    <row r="221" spans="1:9">
      <c r="A221" s="291">
        <v>166</v>
      </c>
      <c r="B221" s="249">
        <f t="shared" si="10"/>
        <v>0</v>
      </c>
      <c r="C221" s="249">
        <f t="shared" si="11"/>
        <v>0</v>
      </c>
      <c r="D221" s="249">
        <f t="shared" si="12"/>
        <v>0</v>
      </c>
      <c r="E221" s="249">
        <f t="shared" si="13"/>
        <v>0</v>
      </c>
      <c r="F221" s="248"/>
      <c r="G221" s="243"/>
      <c r="H221" s="237"/>
      <c r="I221" s="243"/>
    </row>
    <row r="222" spans="1:9">
      <c r="A222" s="291">
        <v>167</v>
      </c>
      <c r="B222" s="249">
        <f t="shared" si="10"/>
        <v>0</v>
      </c>
      <c r="C222" s="249">
        <f t="shared" si="11"/>
        <v>0</v>
      </c>
      <c r="D222" s="249">
        <f t="shared" si="12"/>
        <v>0</v>
      </c>
      <c r="E222" s="249">
        <f t="shared" si="13"/>
        <v>0</v>
      </c>
      <c r="F222" s="248"/>
      <c r="G222" s="243"/>
      <c r="H222" s="237"/>
      <c r="I222" s="243"/>
    </row>
    <row r="223" spans="1:9">
      <c r="A223" s="293">
        <v>168</v>
      </c>
      <c r="B223" s="249">
        <f t="shared" si="10"/>
        <v>0</v>
      </c>
      <c r="C223" s="249">
        <f t="shared" si="11"/>
        <v>0</v>
      </c>
      <c r="D223" s="249">
        <f t="shared" si="12"/>
        <v>0</v>
      </c>
      <c r="E223" s="249">
        <f t="shared" si="13"/>
        <v>0</v>
      </c>
      <c r="F223" s="250">
        <v>14</v>
      </c>
      <c r="G223" s="292"/>
      <c r="H223" s="257"/>
      <c r="I223" s="292"/>
    </row>
    <row r="224" spans="1:9">
      <c r="A224" s="291">
        <v>169</v>
      </c>
      <c r="B224" s="249">
        <f t="shared" si="10"/>
        <v>0</v>
      </c>
      <c r="C224" s="249">
        <f t="shared" si="11"/>
        <v>0</v>
      </c>
      <c r="D224" s="249">
        <f t="shared" si="12"/>
        <v>0</v>
      </c>
      <c r="E224" s="249">
        <f t="shared" si="13"/>
        <v>0</v>
      </c>
      <c r="F224" s="248"/>
      <c r="G224" s="243"/>
      <c r="H224" s="237"/>
      <c r="I224" s="292"/>
    </row>
    <row r="225" spans="1:9">
      <c r="A225" s="291">
        <v>170</v>
      </c>
      <c r="B225" s="249">
        <f t="shared" si="10"/>
        <v>0</v>
      </c>
      <c r="C225" s="249">
        <f t="shared" si="11"/>
        <v>0</v>
      </c>
      <c r="D225" s="249">
        <f t="shared" si="12"/>
        <v>0</v>
      </c>
      <c r="E225" s="249">
        <f t="shared" si="13"/>
        <v>0</v>
      </c>
      <c r="F225" s="248"/>
      <c r="G225" s="243"/>
      <c r="H225" s="237"/>
      <c r="I225" s="243"/>
    </row>
    <row r="226" spans="1:9">
      <c r="A226" s="291">
        <v>171</v>
      </c>
      <c r="B226" s="249">
        <f t="shared" si="10"/>
        <v>0</v>
      </c>
      <c r="C226" s="249">
        <f t="shared" si="11"/>
        <v>0</v>
      </c>
      <c r="D226" s="249">
        <f t="shared" si="12"/>
        <v>0</v>
      </c>
      <c r="E226" s="249">
        <f t="shared" si="13"/>
        <v>0</v>
      </c>
      <c r="F226" s="248"/>
      <c r="G226" s="243"/>
      <c r="H226" s="237"/>
      <c r="I226" s="243"/>
    </row>
    <row r="227" spans="1:9">
      <c r="A227" s="291">
        <v>172</v>
      </c>
      <c r="B227" s="249">
        <f t="shared" si="10"/>
        <v>0</v>
      </c>
      <c r="C227" s="249">
        <f t="shared" si="11"/>
        <v>0</v>
      </c>
      <c r="D227" s="249">
        <f t="shared" si="12"/>
        <v>0</v>
      </c>
      <c r="E227" s="249">
        <f t="shared" si="13"/>
        <v>0</v>
      </c>
      <c r="F227" s="248"/>
      <c r="G227" s="243"/>
      <c r="H227" s="237"/>
      <c r="I227" s="243"/>
    </row>
    <row r="228" spans="1:9">
      <c r="A228" s="291">
        <v>173</v>
      </c>
      <c r="B228" s="249">
        <f t="shared" si="10"/>
        <v>0</v>
      </c>
      <c r="C228" s="249">
        <f t="shared" si="11"/>
        <v>0</v>
      </c>
      <c r="D228" s="249">
        <f t="shared" si="12"/>
        <v>0</v>
      </c>
      <c r="E228" s="249">
        <f t="shared" si="13"/>
        <v>0</v>
      </c>
      <c r="F228" s="248"/>
      <c r="G228" s="243"/>
      <c r="H228" s="237"/>
      <c r="I228" s="243"/>
    </row>
    <row r="229" spans="1:9">
      <c r="A229" s="291">
        <v>174</v>
      </c>
      <c r="B229" s="249">
        <f t="shared" si="10"/>
        <v>0</v>
      </c>
      <c r="C229" s="249">
        <f t="shared" si="11"/>
        <v>0</v>
      </c>
      <c r="D229" s="249">
        <f t="shared" si="12"/>
        <v>0</v>
      </c>
      <c r="E229" s="249">
        <f t="shared" si="13"/>
        <v>0</v>
      </c>
      <c r="F229" s="248"/>
      <c r="G229" s="292"/>
      <c r="H229" s="257"/>
      <c r="I229" s="243"/>
    </row>
    <row r="230" spans="1:9">
      <c r="A230" s="291">
        <v>175</v>
      </c>
      <c r="B230" s="249">
        <f t="shared" si="10"/>
        <v>0</v>
      </c>
      <c r="C230" s="249">
        <f t="shared" si="11"/>
        <v>0</v>
      </c>
      <c r="D230" s="249">
        <f t="shared" si="12"/>
        <v>0</v>
      </c>
      <c r="E230" s="249">
        <f t="shared" si="13"/>
        <v>0</v>
      </c>
      <c r="F230" s="248"/>
      <c r="G230" s="243"/>
      <c r="H230" s="237"/>
      <c r="I230" s="243"/>
    </row>
    <row r="231" spans="1:9">
      <c r="A231" s="291">
        <v>176</v>
      </c>
      <c r="B231" s="249">
        <f t="shared" si="10"/>
        <v>0</v>
      </c>
      <c r="C231" s="249">
        <f t="shared" si="11"/>
        <v>0</v>
      </c>
      <c r="D231" s="249">
        <f t="shared" si="12"/>
        <v>0</v>
      </c>
      <c r="E231" s="249">
        <f t="shared" si="13"/>
        <v>0</v>
      </c>
      <c r="F231" s="248"/>
      <c r="G231" s="243"/>
      <c r="H231" s="237"/>
      <c r="I231" s="243"/>
    </row>
    <row r="232" spans="1:9">
      <c r="A232" s="291">
        <v>177</v>
      </c>
      <c r="B232" s="249">
        <f t="shared" si="10"/>
        <v>0</v>
      </c>
      <c r="C232" s="249">
        <f t="shared" si="11"/>
        <v>0</v>
      </c>
      <c r="D232" s="249">
        <f t="shared" si="12"/>
        <v>0</v>
      </c>
      <c r="E232" s="249">
        <f t="shared" si="13"/>
        <v>0</v>
      </c>
      <c r="F232" s="248"/>
      <c r="G232" s="243"/>
      <c r="H232" s="237"/>
      <c r="I232" s="243"/>
    </row>
    <row r="233" spans="1:9">
      <c r="A233" s="291">
        <v>178</v>
      </c>
      <c r="B233" s="249">
        <f t="shared" si="10"/>
        <v>0</v>
      </c>
      <c r="C233" s="249">
        <f t="shared" si="11"/>
        <v>0</v>
      </c>
      <c r="D233" s="249">
        <f t="shared" si="12"/>
        <v>0</v>
      </c>
      <c r="E233" s="249">
        <f t="shared" si="13"/>
        <v>0</v>
      </c>
      <c r="F233" s="248"/>
      <c r="G233" s="243"/>
      <c r="H233" s="237"/>
      <c r="I233" s="243"/>
    </row>
    <row r="234" spans="1:9">
      <c r="A234" s="291">
        <v>179</v>
      </c>
      <c r="B234" s="249">
        <f t="shared" si="10"/>
        <v>0</v>
      </c>
      <c r="C234" s="249">
        <f t="shared" si="11"/>
        <v>0</v>
      </c>
      <c r="D234" s="249">
        <f t="shared" si="12"/>
        <v>0</v>
      </c>
      <c r="E234" s="249">
        <f t="shared" si="13"/>
        <v>0</v>
      </c>
      <c r="F234" s="248"/>
      <c r="G234" s="243"/>
      <c r="H234" s="237"/>
      <c r="I234" s="243"/>
    </row>
    <row r="235" spans="1:9">
      <c r="A235" s="293">
        <v>180</v>
      </c>
      <c r="B235" s="249">
        <f t="shared" si="10"/>
        <v>0</v>
      </c>
      <c r="C235" s="249">
        <f t="shared" si="11"/>
        <v>0</v>
      </c>
      <c r="D235" s="249">
        <f t="shared" si="12"/>
        <v>0</v>
      </c>
      <c r="E235" s="249">
        <f t="shared" si="13"/>
        <v>0</v>
      </c>
      <c r="F235" s="250">
        <v>15</v>
      </c>
      <c r="G235" s="292"/>
      <c r="H235" s="257"/>
      <c r="I235" s="292"/>
    </row>
    <row r="236" spans="1:9">
      <c r="A236" s="291">
        <v>181</v>
      </c>
      <c r="B236" s="249">
        <f t="shared" si="10"/>
        <v>0</v>
      </c>
      <c r="C236" s="249">
        <f t="shared" si="11"/>
        <v>0</v>
      </c>
      <c r="D236" s="249">
        <f t="shared" si="12"/>
        <v>0</v>
      </c>
      <c r="E236" s="249">
        <f t="shared" si="13"/>
        <v>0</v>
      </c>
      <c r="F236" s="248"/>
      <c r="G236" s="243"/>
      <c r="H236" s="237"/>
      <c r="I236" s="292"/>
    </row>
    <row r="237" spans="1:9">
      <c r="A237" s="293">
        <v>182</v>
      </c>
      <c r="B237" s="249">
        <f t="shared" si="10"/>
        <v>0</v>
      </c>
      <c r="C237" s="249">
        <f t="shared" si="11"/>
        <v>0</v>
      </c>
      <c r="D237" s="249">
        <f t="shared" si="12"/>
        <v>0</v>
      </c>
      <c r="E237" s="249">
        <f t="shared" si="13"/>
        <v>0</v>
      </c>
      <c r="F237" s="248"/>
      <c r="G237" s="243"/>
      <c r="H237" s="237"/>
      <c r="I237" s="243"/>
    </row>
    <row r="238" spans="1:9">
      <c r="A238" s="293">
        <v>183</v>
      </c>
      <c r="B238" s="249">
        <f t="shared" si="10"/>
        <v>0</v>
      </c>
      <c r="C238" s="249">
        <f t="shared" si="11"/>
        <v>0</v>
      </c>
      <c r="D238" s="249">
        <f t="shared" si="12"/>
        <v>0</v>
      </c>
      <c r="E238" s="249">
        <f t="shared" si="13"/>
        <v>0</v>
      </c>
      <c r="F238" s="248"/>
      <c r="G238" s="243"/>
      <c r="H238" s="237"/>
      <c r="I238" s="243"/>
    </row>
    <row r="239" spans="1:9">
      <c r="A239" s="293">
        <v>184</v>
      </c>
      <c r="B239" s="249">
        <f t="shared" si="10"/>
        <v>0</v>
      </c>
      <c r="C239" s="249">
        <f t="shared" si="11"/>
        <v>0</v>
      </c>
      <c r="D239" s="249">
        <f t="shared" si="12"/>
        <v>0</v>
      </c>
      <c r="E239" s="249">
        <f t="shared" si="13"/>
        <v>0</v>
      </c>
      <c r="F239" s="248"/>
      <c r="G239" s="243"/>
      <c r="H239" s="237"/>
      <c r="I239" s="243"/>
    </row>
    <row r="240" spans="1:9">
      <c r="A240" s="293">
        <v>185</v>
      </c>
      <c r="B240" s="249">
        <f t="shared" si="10"/>
        <v>0</v>
      </c>
      <c r="C240" s="249">
        <f t="shared" si="11"/>
        <v>0</v>
      </c>
      <c r="D240" s="249">
        <f t="shared" si="12"/>
        <v>0</v>
      </c>
      <c r="E240" s="249">
        <f t="shared" si="13"/>
        <v>0</v>
      </c>
      <c r="F240" s="248"/>
      <c r="G240" s="243"/>
      <c r="H240" s="237"/>
      <c r="I240" s="243"/>
    </row>
    <row r="241" spans="1:9">
      <c r="A241" s="293">
        <v>186</v>
      </c>
      <c r="B241" s="249">
        <f t="shared" si="10"/>
        <v>0</v>
      </c>
      <c r="C241" s="249">
        <f t="shared" si="11"/>
        <v>0</v>
      </c>
      <c r="D241" s="249">
        <f t="shared" si="12"/>
        <v>0</v>
      </c>
      <c r="E241" s="249">
        <f t="shared" si="13"/>
        <v>0</v>
      </c>
      <c r="F241" s="248"/>
      <c r="G241" s="292"/>
      <c r="H241" s="257"/>
      <c r="I241" s="243"/>
    </row>
    <row r="242" spans="1:9">
      <c r="A242" s="293">
        <v>187</v>
      </c>
      <c r="B242" s="249">
        <f t="shared" si="10"/>
        <v>0</v>
      </c>
      <c r="C242" s="249">
        <f t="shared" si="11"/>
        <v>0</v>
      </c>
      <c r="D242" s="249">
        <f t="shared" si="12"/>
        <v>0</v>
      </c>
      <c r="E242" s="249">
        <f t="shared" si="13"/>
        <v>0</v>
      </c>
      <c r="F242" s="248"/>
      <c r="G242" s="243"/>
      <c r="H242" s="237"/>
      <c r="I242" s="243"/>
    </row>
    <row r="243" spans="1:9">
      <c r="A243" s="293">
        <v>188</v>
      </c>
      <c r="B243" s="249">
        <f t="shared" si="10"/>
        <v>0</v>
      </c>
      <c r="C243" s="249">
        <f t="shared" si="11"/>
        <v>0</v>
      </c>
      <c r="D243" s="249">
        <f t="shared" si="12"/>
        <v>0</v>
      </c>
      <c r="E243" s="249">
        <f t="shared" si="13"/>
        <v>0</v>
      </c>
      <c r="F243" s="248"/>
      <c r="G243" s="243"/>
      <c r="H243" s="237"/>
      <c r="I243" s="243"/>
    </row>
    <row r="244" spans="1:9">
      <c r="A244" s="293">
        <v>189</v>
      </c>
      <c r="B244" s="249">
        <f t="shared" si="10"/>
        <v>0</v>
      </c>
      <c r="C244" s="249">
        <f t="shared" si="11"/>
        <v>0</v>
      </c>
      <c r="D244" s="249">
        <f t="shared" si="12"/>
        <v>0</v>
      </c>
      <c r="E244" s="249">
        <f t="shared" si="13"/>
        <v>0</v>
      </c>
      <c r="F244" s="248"/>
      <c r="G244" s="243"/>
      <c r="H244" s="237"/>
      <c r="I244" s="243"/>
    </row>
    <row r="245" spans="1:9">
      <c r="A245" s="293">
        <v>190</v>
      </c>
      <c r="B245" s="249">
        <f t="shared" si="10"/>
        <v>0</v>
      </c>
      <c r="C245" s="249">
        <f t="shared" si="11"/>
        <v>0</v>
      </c>
      <c r="D245" s="249">
        <f t="shared" si="12"/>
        <v>0</v>
      </c>
      <c r="E245" s="249">
        <f t="shared" si="13"/>
        <v>0</v>
      </c>
      <c r="F245" s="248"/>
      <c r="G245" s="243"/>
      <c r="H245" s="237"/>
      <c r="I245" s="243"/>
    </row>
    <row r="246" spans="1:9">
      <c r="A246" s="293">
        <v>191</v>
      </c>
      <c r="B246" s="249">
        <f t="shared" si="10"/>
        <v>0</v>
      </c>
      <c r="C246" s="249">
        <f t="shared" si="11"/>
        <v>0</v>
      </c>
      <c r="D246" s="249">
        <f t="shared" si="12"/>
        <v>0</v>
      </c>
      <c r="E246" s="249">
        <f t="shared" si="13"/>
        <v>0</v>
      </c>
      <c r="F246" s="248"/>
      <c r="G246" s="243"/>
      <c r="H246" s="237"/>
      <c r="I246" s="243"/>
    </row>
    <row r="247" spans="1:9">
      <c r="A247" s="293">
        <v>192</v>
      </c>
      <c r="B247" s="249">
        <f t="shared" si="10"/>
        <v>0</v>
      </c>
      <c r="C247" s="249">
        <f t="shared" si="11"/>
        <v>0</v>
      </c>
      <c r="D247" s="249">
        <f t="shared" si="12"/>
        <v>0</v>
      </c>
      <c r="E247" s="249">
        <f t="shared" si="13"/>
        <v>0</v>
      </c>
      <c r="F247" s="248">
        <v>16</v>
      </c>
      <c r="G247" s="292"/>
      <c r="H247" s="257"/>
      <c r="I247" s="292"/>
    </row>
    <row r="248" spans="1:9">
      <c r="A248" s="293">
        <v>193</v>
      </c>
      <c r="B248" s="249">
        <f t="shared" ref="B248:B311" si="14">IF(A248&gt;12*$D$14,0,$D$20)</f>
        <v>0</v>
      </c>
      <c r="C248" s="249">
        <f t="shared" ref="C248:C311" si="15">IF(A248&gt;12*$D$14,0,E247*$D$10/12)</f>
        <v>0</v>
      </c>
      <c r="D248" s="249">
        <f t="shared" ref="D248:D311" si="16">IF(A248&gt;12*$D$14,0,B248-C248)</f>
        <v>0</v>
      </c>
      <c r="E248" s="249">
        <f t="shared" ref="E248:E311" si="17">IF(A248&gt;12*$D$14,0,E247-D248)</f>
        <v>0</v>
      </c>
      <c r="F248" s="248"/>
      <c r="G248" s="243"/>
      <c r="H248" s="237"/>
      <c r="I248" s="292"/>
    </row>
    <row r="249" spans="1:9">
      <c r="A249" s="293">
        <v>194</v>
      </c>
      <c r="B249" s="249">
        <f t="shared" si="14"/>
        <v>0</v>
      </c>
      <c r="C249" s="249">
        <f t="shared" si="15"/>
        <v>0</v>
      </c>
      <c r="D249" s="249">
        <f t="shared" si="16"/>
        <v>0</v>
      </c>
      <c r="E249" s="249">
        <f t="shared" si="17"/>
        <v>0</v>
      </c>
      <c r="F249" s="248"/>
      <c r="G249" s="243"/>
      <c r="H249" s="237"/>
      <c r="I249" s="243"/>
    </row>
    <row r="250" spans="1:9">
      <c r="A250" s="293">
        <v>195</v>
      </c>
      <c r="B250" s="249">
        <f t="shared" si="14"/>
        <v>0</v>
      </c>
      <c r="C250" s="249">
        <f t="shared" si="15"/>
        <v>0</v>
      </c>
      <c r="D250" s="249">
        <f t="shared" si="16"/>
        <v>0</v>
      </c>
      <c r="E250" s="249">
        <f t="shared" si="17"/>
        <v>0</v>
      </c>
      <c r="F250" s="248"/>
      <c r="G250" s="243"/>
      <c r="H250" s="237"/>
      <c r="I250" s="243"/>
    </row>
    <row r="251" spans="1:9">
      <c r="A251" s="293">
        <v>196</v>
      </c>
      <c r="B251" s="249">
        <f t="shared" si="14"/>
        <v>0</v>
      </c>
      <c r="C251" s="249">
        <f t="shared" si="15"/>
        <v>0</v>
      </c>
      <c r="D251" s="249">
        <f t="shared" si="16"/>
        <v>0</v>
      </c>
      <c r="E251" s="249">
        <f t="shared" si="17"/>
        <v>0</v>
      </c>
      <c r="F251" s="248"/>
      <c r="G251" s="243"/>
      <c r="H251" s="237"/>
      <c r="I251" s="243"/>
    </row>
    <row r="252" spans="1:9">
      <c r="A252" s="293">
        <v>197</v>
      </c>
      <c r="B252" s="249">
        <f t="shared" si="14"/>
        <v>0</v>
      </c>
      <c r="C252" s="249">
        <f t="shared" si="15"/>
        <v>0</v>
      </c>
      <c r="D252" s="249">
        <f t="shared" si="16"/>
        <v>0</v>
      </c>
      <c r="E252" s="249">
        <f t="shared" si="17"/>
        <v>0</v>
      </c>
      <c r="F252" s="248"/>
      <c r="G252" s="243"/>
      <c r="H252" s="237"/>
      <c r="I252" s="243"/>
    </row>
    <row r="253" spans="1:9">
      <c r="A253" s="293">
        <v>198</v>
      </c>
      <c r="B253" s="249">
        <f t="shared" si="14"/>
        <v>0</v>
      </c>
      <c r="C253" s="249">
        <f t="shared" si="15"/>
        <v>0</v>
      </c>
      <c r="D253" s="249">
        <f t="shared" si="16"/>
        <v>0</v>
      </c>
      <c r="E253" s="249">
        <f t="shared" si="17"/>
        <v>0</v>
      </c>
      <c r="F253" s="248"/>
      <c r="G253" s="292"/>
      <c r="H253" s="257"/>
      <c r="I253" s="243"/>
    </row>
    <row r="254" spans="1:9">
      <c r="A254" s="293">
        <v>199</v>
      </c>
      <c r="B254" s="249">
        <f t="shared" si="14"/>
        <v>0</v>
      </c>
      <c r="C254" s="249">
        <f t="shared" si="15"/>
        <v>0</v>
      </c>
      <c r="D254" s="249">
        <f t="shared" si="16"/>
        <v>0</v>
      </c>
      <c r="E254" s="249">
        <f t="shared" si="17"/>
        <v>0</v>
      </c>
      <c r="F254" s="248"/>
      <c r="G254" s="243"/>
      <c r="H254" s="237"/>
      <c r="I254" s="243"/>
    </row>
    <row r="255" spans="1:9">
      <c r="A255" s="293">
        <v>200</v>
      </c>
      <c r="B255" s="249">
        <f t="shared" si="14"/>
        <v>0</v>
      </c>
      <c r="C255" s="249">
        <f t="shared" si="15"/>
        <v>0</v>
      </c>
      <c r="D255" s="249">
        <f t="shared" si="16"/>
        <v>0</v>
      </c>
      <c r="E255" s="249">
        <f t="shared" si="17"/>
        <v>0</v>
      </c>
      <c r="F255" s="248"/>
      <c r="G255" s="243"/>
      <c r="H255" s="237"/>
      <c r="I255" s="243"/>
    </row>
    <row r="256" spans="1:9">
      <c r="A256" s="293">
        <v>201</v>
      </c>
      <c r="B256" s="249">
        <f t="shared" si="14"/>
        <v>0</v>
      </c>
      <c r="C256" s="249">
        <f t="shared" si="15"/>
        <v>0</v>
      </c>
      <c r="D256" s="249">
        <f t="shared" si="16"/>
        <v>0</v>
      </c>
      <c r="E256" s="249">
        <f t="shared" si="17"/>
        <v>0</v>
      </c>
      <c r="F256" s="248"/>
      <c r="G256" s="243"/>
      <c r="H256" s="237"/>
      <c r="I256" s="243"/>
    </row>
    <row r="257" spans="1:9">
      <c r="A257" s="293">
        <v>202</v>
      </c>
      <c r="B257" s="249">
        <f t="shared" si="14"/>
        <v>0</v>
      </c>
      <c r="C257" s="249">
        <f t="shared" si="15"/>
        <v>0</v>
      </c>
      <c r="D257" s="249">
        <f t="shared" si="16"/>
        <v>0</v>
      </c>
      <c r="E257" s="249">
        <f t="shared" si="17"/>
        <v>0</v>
      </c>
      <c r="F257" s="248"/>
      <c r="G257" s="243"/>
      <c r="H257" s="237"/>
      <c r="I257" s="243"/>
    </row>
    <row r="258" spans="1:9">
      <c r="A258" s="293">
        <v>203</v>
      </c>
      <c r="B258" s="249">
        <f t="shared" si="14"/>
        <v>0</v>
      </c>
      <c r="C258" s="249">
        <f t="shared" si="15"/>
        <v>0</v>
      </c>
      <c r="D258" s="249">
        <f t="shared" si="16"/>
        <v>0</v>
      </c>
      <c r="E258" s="249">
        <f t="shared" si="17"/>
        <v>0</v>
      </c>
      <c r="F258" s="248"/>
      <c r="G258" s="243"/>
      <c r="H258" s="237"/>
      <c r="I258" s="243"/>
    </row>
    <row r="259" spans="1:9">
      <c r="A259" s="293">
        <v>204</v>
      </c>
      <c r="B259" s="249">
        <f t="shared" si="14"/>
        <v>0</v>
      </c>
      <c r="C259" s="249">
        <f t="shared" si="15"/>
        <v>0</v>
      </c>
      <c r="D259" s="249">
        <f t="shared" si="16"/>
        <v>0</v>
      </c>
      <c r="E259" s="249">
        <f t="shared" si="17"/>
        <v>0</v>
      </c>
      <c r="F259" s="248">
        <v>17</v>
      </c>
      <c r="G259" s="292"/>
      <c r="H259" s="257"/>
      <c r="I259" s="292"/>
    </row>
    <row r="260" spans="1:9">
      <c r="A260" s="293">
        <v>205</v>
      </c>
      <c r="B260" s="249">
        <f t="shared" si="14"/>
        <v>0</v>
      </c>
      <c r="C260" s="249">
        <f t="shared" si="15"/>
        <v>0</v>
      </c>
      <c r="D260" s="249">
        <f t="shared" si="16"/>
        <v>0</v>
      </c>
      <c r="E260" s="249">
        <f t="shared" si="17"/>
        <v>0</v>
      </c>
      <c r="F260" s="248"/>
      <c r="G260" s="243"/>
      <c r="H260" s="237"/>
      <c r="I260" s="292"/>
    </row>
    <row r="261" spans="1:9">
      <c r="A261" s="293">
        <v>206</v>
      </c>
      <c r="B261" s="249">
        <f t="shared" si="14"/>
        <v>0</v>
      </c>
      <c r="C261" s="249">
        <f t="shared" si="15"/>
        <v>0</v>
      </c>
      <c r="D261" s="249">
        <f t="shared" si="16"/>
        <v>0</v>
      </c>
      <c r="E261" s="249">
        <f t="shared" si="17"/>
        <v>0</v>
      </c>
      <c r="F261" s="248"/>
      <c r="G261" s="243"/>
      <c r="H261" s="237"/>
      <c r="I261" s="243"/>
    </row>
    <row r="262" spans="1:9">
      <c r="A262" s="293">
        <v>207</v>
      </c>
      <c r="B262" s="249">
        <f t="shared" si="14"/>
        <v>0</v>
      </c>
      <c r="C262" s="249">
        <f t="shared" si="15"/>
        <v>0</v>
      </c>
      <c r="D262" s="249">
        <f t="shared" si="16"/>
        <v>0</v>
      </c>
      <c r="E262" s="249">
        <f t="shared" si="17"/>
        <v>0</v>
      </c>
      <c r="F262" s="248"/>
      <c r="G262" s="243"/>
      <c r="H262" s="237"/>
      <c r="I262" s="243"/>
    </row>
    <row r="263" spans="1:9">
      <c r="A263" s="293">
        <v>208</v>
      </c>
      <c r="B263" s="249">
        <f t="shared" si="14"/>
        <v>0</v>
      </c>
      <c r="C263" s="249">
        <f t="shared" si="15"/>
        <v>0</v>
      </c>
      <c r="D263" s="249">
        <f t="shared" si="16"/>
        <v>0</v>
      </c>
      <c r="E263" s="249">
        <f t="shared" si="17"/>
        <v>0</v>
      </c>
      <c r="F263" s="248"/>
      <c r="G263" s="243"/>
      <c r="H263" s="237"/>
      <c r="I263" s="243"/>
    </row>
    <row r="264" spans="1:9">
      <c r="A264" s="293">
        <v>209</v>
      </c>
      <c r="B264" s="249">
        <f t="shared" si="14"/>
        <v>0</v>
      </c>
      <c r="C264" s="249">
        <f t="shared" si="15"/>
        <v>0</v>
      </c>
      <c r="D264" s="249">
        <f t="shared" si="16"/>
        <v>0</v>
      </c>
      <c r="E264" s="249">
        <f t="shared" si="17"/>
        <v>0</v>
      </c>
      <c r="F264" s="248"/>
      <c r="G264" s="243"/>
      <c r="H264" s="237"/>
      <c r="I264" s="243"/>
    </row>
    <row r="265" spans="1:9">
      <c r="A265" s="293">
        <v>210</v>
      </c>
      <c r="B265" s="249">
        <f t="shared" si="14"/>
        <v>0</v>
      </c>
      <c r="C265" s="249">
        <f t="shared" si="15"/>
        <v>0</v>
      </c>
      <c r="D265" s="249">
        <f t="shared" si="16"/>
        <v>0</v>
      </c>
      <c r="E265" s="249">
        <f t="shared" si="17"/>
        <v>0</v>
      </c>
      <c r="F265" s="248"/>
      <c r="G265" s="292"/>
      <c r="H265" s="257"/>
      <c r="I265" s="243"/>
    </row>
    <row r="266" spans="1:9">
      <c r="A266" s="293">
        <v>211</v>
      </c>
      <c r="B266" s="249">
        <f t="shared" si="14"/>
        <v>0</v>
      </c>
      <c r="C266" s="249">
        <f t="shared" si="15"/>
        <v>0</v>
      </c>
      <c r="D266" s="249">
        <f t="shared" si="16"/>
        <v>0</v>
      </c>
      <c r="E266" s="249">
        <f t="shared" si="17"/>
        <v>0</v>
      </c>
      <c r="F266" s="248"/>
      <c r="G266" s="243"/>
      <c r="H266" s="237"/>
      <c r="I266" s="243"/>
    </row>
    <row r="267" spans="1:9">
      <c r="A267" s="293">
        <v>212</v>
      </c>
      <c r="B267" s="249">
        <f t="shared" si="14"/>
        <v>0</v>
      </c>
      <c r="C267" s="249">
        <f t="shared" si="15"/>
        <v>0</v>
      </c>
      <c r="D267" s="249">
        <f t="shared" si="16"/>
        <v>0</v>
      </c>
      <c r="E267" s="249">
        <f t="shared" si="17"/>
        <v>0</v>
      </c>
      <c r="F267" s="248"/>
      <c r="G267" s="243"/>
      <c r="H267" s="237"/>
      <c r="I267" s="243"/>
    </row>
    <row r="268" spans="1:9">
      <c r="A268" s="293">
        <v>213</v>
      </c>
      <c r="B268" s="249">
        <f t="shared" si="14"/>
        <v>0</v>
      </c>
      <c r="C268" s="249">
        <f t="shared" si="15"/>
        <v>0</v>
      </c>
      <c r="D268" s="249">
        <f t="shared" si="16"/>
        <v>0</v>
      </c>
      <c r="E268" s="249">
        <f t="shared" si="17"/>
        <v>0</v>
      </c>
      <c r="F268" s="248"/>
      <c r="G268" s="243"/>
      <c r="H268" s="237"/>
      <c r="I268" s="243"/>
    </row>
    <row r="269" spans="1:9">
      <c r="A269" s="293">
        <v>214</v>
      </c>
      <c r="B269" s="249">
        <f t="shared" si="14"/>
        <v>0</v>
      </c>
      <c r="C269" s="249">
        <f t="shared" si="15"/>
        <v>0</v>
      </c>
      <c r="D269" s="249">
        <f t="shared" si="16"/>
        <v>0</v>
      </c>
      <c r="E269" s="249">
        <f t="shared" si="17"/>
        <v>0</v>
      </c>
      <c r="F269" s="248"/>
      <c r="G269" s="243"/>
      <c r="H269" s="237"/>
      <c r="I269" s="243"/>
    </row>
    <row r="270" spans="1:9">
      <c r="A270" s="293">
        <v>215</v>
      </c>
      <c r="B270" s="249">
        <f t="shared" si="14"/>
        <v>0</v>
      </c>
      <c r="C270" s="249">
        <f t="shared" si="15"/>
        <v>0</v>
      </c>
      <c r="D270" s="249">
        <f t="shared" si="16"/>
        <v>0</v>
      </c>
      <c r="E270" s="249">
        <f t="shared" si="17"/>
        <v>0</v>
      </c>
      <c r="F270" s="248"/>
      <c r="G270" s="243"/>
      <c r="H270" s="237"/>
      <c r="I270" s="243"/>
    </row>
    <row r="271" spans="1:9">
      <c r="A271" s="293">
        <v>216</v>
      </c>
      <c r="B271" s="249">
        <f t="shared" si="14"/>
        <v>0</v>
      </c>
      <c r="C271" s="249">
        <f t="shared" si="15"/>
        <v>0</v>
      </c>
      <c r="D271" s="249">
        <f t="shared" si="16"/>
        <v>0</v>
      </c>
      <c r="E271" s="249">
        <f t="shared" si="17"/>
        <v>0</v>
      </c>
      <c r="F271" s="248">
        <v>18</v>
      </c>
      <c r="G271" s="292"/>
      <c r="H271" s="257"/>
      <c r="I271" s="292"/>
    </row>
    <row r="272" spans="1:9">
      <c r="A272" s="293">
        <v>217</v>
      </c>
      <c r="B272" s="249">
        <f t="shared" si="14"/>
        <v>0</v>
      </c>
      <c r="C272" s="249">
        <f t="shared" si="15"/>
        <v>0</v>
      </c>
      <c r="D272" s="249">
        <f t="shared" si="16"/>
        <v>0</v>
      </c>
      <c r="E272" s="249">
        <f t="shared" si="17"/>
        <v>0</v>
      </c>
      <c r="F272" s="248"/>
      <c r="G272" s="243"/>
      <c r="H272" s="237"/>
      <c r="I272" s="292"/>
    </row>
    <row r="273" spans="1:9">
      <c r="A273" s="293">
        <v>218</v>
      </c>
      <c r="B273" s="249">
        <f t="shared" si="14"/>
        <v>0</v>
      </c>
      <c r="C273" s="249">
        <f t="shared" si="15"/>
        <v>0</v>
      </c>
      <c r="D273" s="249">
        <f t="shared" si="16"/>
        <v>0</v>
      </c>
      <c r="E273" s="249">
        <f t="shared" si="17"/>
        <v>0</v>
      </c>
      <c r="F273" s="248"/>
      <c r="G273" s="243"/>
      <c r="H273" s="237"/>
      <c r="I273" s="243"/>
    </row>
    <row r="274" spans="1:9">
      <c r="A274" s="293">
        <v>219</v>
      </c>
      <c r="B274" s="249">
        <f t="shared" si="14"/>
        <v>0</v>
      </c>
      <c r="C274" s="249">
        <f t="shared" si="15"/>
        <v>0</v>
      </c>
      <c r="D274" s="249">
        <f t="shared" si="16"/>
        <v>0</v>
      </c>
      <c r="E274" s="249">
        <f t="shared" si="17"/>
        <v>0</v>
      </c>
      <c r="F274" s="248"/>
      <c r="G274" s="243"/>
      <c r="H274" s="237"/>
      <c r="I274" s="243"/>
    </row>
    <row r="275" spans="1:9">
      <c r="A275" s="293">
        <v>220</v>
      </c>
      <c r="B275" s="249">
        <f t="shared" si="14"/>
        <v>0</v>
      </c>
      <c r="C275" s="249">
        <f t="shared" si="15"/>
        <v>0</v>
      </c>
      <c r="D275" s="249">
        <f t="shared" si="16"/>
        <v>0</v>
      </c>
      <c r="E275" s="249">
        <f t="shared" si="17"/>
        <v>0</v>
      </c>
      <c r="F275" s="248"/>
      <c r="G275" s="243"/>
      <c r="H275" s="237"/>
      <c r="I275" s="243"/>
    </row>
    <row r="276" spans="1:9">
      <c r="A276" s="293">
        <v>221</v>
      </c>
      <c r="B276" s="249">
        <f t="shared" si="14"/>
        <v>0</v>
      </c>
      <c r="C276" s="249">
        <f t="shared" si="15"/>
        <v>0</v>
      </c>
      <c r="D276" s="249">
        <f t="shared" si="16"/>
        <v>0</v>
      </c>
      <c r="E276" s="249">
        <f t="shared" si="17"/>
        <v>0</v>
      </c>
      <c r="F276" s="248"/>
      <c r="G276" s="243"/>
      <c r="H276" s="237"/>
      <c r="I276" s="243"/>
    </row>
    <row r="277" spans="1:9">
      <c r="A277" s="293">
        <v>222</v>
      </c>
      <c r="B277" s="249">
        <f t="shared" si="14"/>
        <v>0</v>
      </c>
      <c r="C277" s="249">
        <f t="shared" si="15"/>
        <v>0</v>
      </c>
      <c r="D277" s="249">
        <f t="shared" si="16"/>
        <v>0</v>
      </c>
      <c r="E277" s="249">
        <f t="shared" si="17"/>
        <v>0</v>
      </c>
      <c r="F277" s="248"/>
      <c r="G277" s="292"/>
      <c r="H277" s="257"/>
      <c r="I277" s="243"/>
    </row>
    <row r="278" spans="1:9">
      <c r="A278" s="293">
        <v>223</v>
      </c>
      <c r="B278" s="249">
        <f t="shared" si="14"/>
        <v>0</v>
      </c>
      <c r="C278" s="249">
        <f t="shared" si="15"/>
        <v>0</v>
      </c>
      <c r="D278" s="249">
        <f t="shared" si="16"/>
        <v>0</v>
      </c>
      <c r="E278" s="249">
        <f t="shared" si="17"/>
        <v>0</v>
      </c>
      <c r="F278" s="248"/>
      <c r="G278" s="243"/>
      <c r="H278" s="237"/>
      <c r="I278" s="243"/>
    </row>
    <row r="279" spans="1:9">
      <c r="A279" s="293">
        <v>224</v>
      </c>
      <c r="B279" s="249">
        <f t="shared" si="14"/>
        <v>0</v>
      </c>
      <c r="C279" s="249">
        <f t="shared" si="15"/>
        <v>0</v>
      </c>
      <c r="D279" s="249">
        <f t="shared" si="16"/>
        <v>0</v>
      </c>
      <c r="E279" s="249">
        <f t="shared" si="17"/>
        <v>0</v>
      </c>
      <c r="F279" s="248"/>
      <c r="G279" s="243"/>
      <c r="H279" s="237"/>
      <c r="I279" s="243"/>
    </row>
    <row r="280" spans="1:9">
      <c r="A280" s="293">
        <v>225</v>
      </c>
      <c r="B280" s="249">
        <f t="shared" si="14"/>
        <v>0</v>
      </c>
      <c r="C280" s="249">
        <f t="shared" si="15"/>
        <v>0</v>
      </c>
      <c r="D280" s="249">
        <f t="shared" si="16"/>
        <v>0</v>
      </c>
      <c r="E280" s="249">
        <f t="shared" si="17"/>
        <v>0</v>
      </c>
      <c r="F280" s="248"/>
      <c r="G280" s="243"/>
      <c r="H280" s="237"/>
      <c r="I280" s="243"/>
    </row>
    <row r="281" spans="1:9">
      <c r="A281" s="293">
        <v>226</v>
      </c>
      <c r="B281" s="249">
        <f t="shared" si="14"/>
        <v>0</v>
      </c>
      <c r="C281" s="249">
        <f t="shared" si="15"/>
        <v>0</v>
      </c>
      <c r="D281" s="249">
        <f t="shared" si="16"/>
        <v>0</v>
      </c>
      <c r="E281" s="249">
        <f t="shared" si="17"/>
        <v>0</v>
      </c>
      <c r="F281" s="248"/>
      <c r="G281" s="243"/>
      <c r="H281" s="237"/>
      <c r="I281" s="243"/>
    </row>
    <row r="282" spans="1:9">
      <c r="A282" s="293">
        <v>227</v>
      </c>
      <c r="B282" s="249">
        <f t="shared" si="14"/>
        <v>0</v>
      </c>
      <c r="C282" s="249">
        <f t="shared" si="15"/>
        <v>0</v>
      </c>
      <c r="D282" s="249">
        <f t="shared" si="16"/>
        <v>0</v>
      </c>
      <c r="E282" s="249">
        <f t="shared" si="17"/>
        <v>0</v>
      </c>
      <c r="F282" s="248"/>
      <c r="G282" s="243"/>
      <c r="H282" s="237"/>
      <c r="I282" s="243"/>
    </row>
    <row r="283" spans="1:9">
      <c r="A283" s="293">
        <v>228</v>
      </c>
      <c r="B283" s="249">
        <f t="shared" si="14"/>
        <v>0</v>
      </c>
      <c r="C283" s="249">
        <f t="shared" si="15"/>
        <v>0</v>
      </c>
      <c r="D283" s="249">
        <f t="shared" si="16"/>
        <v>0</v>
      </c>
      <c r="E283" s="249">
        <f t="shared" si="17"/>
        <v>0</v>
      </c>
      <c r="F283" s="248">
        <v>19</v>
      </c>
      <c r="G283" s="292"/>
      <c r="H283" s="257"/>
      <c r="I283" s="292"/>
    </row>
    <row r="284" spans="1:9">
      <c r="A284" s="293">
        <v>229</v>
      </c>
      <c r="B284" s="249">
        <f t="shared" si="14"/>
        <v>0</v>
      </c>
      <c r="C284" s="249">
        <f t="shared" si="15"/>
        <v>0</v>
      </c>
      <c r="D284" s="249">
        <f t="shared" si="16"/>
        <v>0</v>
      </c>
      <c r="E284" s="249">
        <f t="shared" si="17"/>
        <v>0</v>
      </c>
      <c r="F284" s="248"/>
      <c r="G284" s="243"/>
      <c r="H284" s="237"/>
      <c r="I284" s="292"/>
    </row>
    <row r="285" spans="1:9">
      <c r="A285" s="293">
        <v>230</v>
      </c>
      <c r="B285" s="249">
        <f t="shared" si="14"/>
        <v>0</v>
      </c>
      <c r="C285" s="249">
        <f t="shared" si="15"/>
        <v>0</v>
      </c>
      <c r="D285" s="249">
        <f t="shared" si="16"/>
        <v>0</v>
      </c>
      <c r="E285" s="249">
        <f t="shared" si="17"/>
        <v>0</v>
      </c>
      <c r="F285" s="248"/>
      <c r="G285" s="243"/>
      <c r="H285" s="237"/>
      <c r="I285" s="243"/>
    </row>
    <row r="286" spans="1:9">
      <c r="A286" s="293">
        <v>231</v>
      </c>
      <c r="B286" s="249">
        <f t="shared" si="14"/>
        <v>0</v>
      </c>
      <c r="C286" s="249">
        <f t="shared" si="15"/>
        <v>0</v>
      </c>
      <c r="D286" s="249">
        <f t="shared" si="16"/>
        <v>0</v>
      </c>
      <c r="E286" s="249">
        <f t="shared" si="17"/>
        <v>0</v>
      </c>
      <c r="F286" s="248"/>
      <c r="G286" s="243"/>
      <c r="H286" s="237"/>
      <c r="I286" s="243"/>
    </row>
    <row r="287" spans="1:9">
      <c r="A287" s="293">
        <v>232</v>
      </c>
      <c r="B287" s="249">
        <f t="shared" si="14"/>
        <v>0</v>
      </c>
      <c r="C287" s="249">
        <f t="shared" si="15"/>
        <v>0</v>
      </c>
      <c r="D287" s="249">
        <f t="shared" si="16"/>
        <v>0</v>
      </c>
      <c r="E287" s="249">
        <f t="shared" si="17"/>
        <v>0</v>
      </c>
      <c r="F287" s="248"/>
      <c r="G287" s="243"/>
      <c r="H287" s="237"/>
      <c r="I287" s="243"/>
    </row>
    <row r="288" spans="1:9">
      <c r="A288" s="293">
        <v>233</v>
      </c>
      <c r="B288" s="249">
        <f t="shared" si="14"/>
        <v>0</v>
      </c>
      <c r="C288" s="249">
        <f t="shared" si="15"/>
        <v>0</v>
      </c>
      <c r="D288" s="249">
        <f t="shared" si="16"/>
        <v>0</v>
      </c>
      <c r="E288" s="249">
        <f t="shared" si="17"/>
        <v>0</v>
      </c>
      <c r="F288" s="248"/>
      <c r="G288" s="243"/>
      <c r="H288" s="237"/>
      <c r="I288" s="243"/>
    </row>
    <row r="289" spans="1:9">
      <c r="A289" s="293">
        <v>234</v>
      </c>
      <c r="B289" s="249">
        <f t="shared" si="14"/>
        <v>0</v>
      </c>
      <c r="C289" s="249">
        <f t="shared" si="15"/>
        <v>0</v>
      </c>
      <c r="D289" s="249">
        <f t="shared" si="16"/>
        <v>0</v>
      </c>
      <c r="E289" s="249">
        <f t="shared" si="17"/>
        <v>0</v>
      </c>
      <c r="F289" s="248"/>
      <c r="G289" s="292"/>
      <c r="H289" s="257"/>
      <c r="I289" s="243"/>
    </row>
    <row r="290" spans="1:9">
      <c r="A290" s="293">
        <v>235</v>
      </c>
      <c r="B290" s="249">
        <f t="shared" si="14"/>
        <v>0</v>
      </c>
      <c r="C290" s="249">
        <f t="shared" si="15"/>
        <v>0</v>
      </c>
      <c r="D290" s="249">
        <f t="shared" si="16"/>
        <v>0</v>
      </c>
      <c r="E290" s="249">
        <f t="shared" si="17"/>
        <v>0</v>
      </c>
      <c r="F290" s="248"/>
      <c r="G290" s="243"/>
      <c r="H290" s="237"/>
      <c r="I290" s="243"/>
    </row>
    <row r="291" spans="1:9">
      <c r="A291" s="293">
        <v>236</v>
      </c>
      <c r="B291" s="249">
        <f t="shared" si="14"/>
        <v>0</v>
      </c>
      <c r="C291" s="249">
        <f t="shared" si="15"/>
        <v>0</v>
      </c>
      <c r="D291" s="249">
        <f t="shared" si="16"/>
        <v>0</v>
      </c>
      <c r="E291" s="249">
        <f t="shared" si="17"/>
        <v>0</v>
      </c>
      <c r="F291" s="248"/>
      <c r="G291" s="243"/>
      <c r="H291" s="237"/>
      <c r="I291" s="243"/>
    </row>
    <row r="292" spans="1:9">
      <c r="A292" s="293">
        <v>237</v>
      </c>
      <c r="B292" s="249">
        <f t="shared" si="14"/>
        <v>0</v>
      </c>
      <c r="C292" s="249">
        <f t="shared" si="15"/>
        <v>0</v>
      </c>
      <c r="D292" s="249">
        <f t="shared" si="16"/>
        <v>0</v>
      </c>
      <c r="E292" s="249">
        <f t="shared" si="17"/>
        <v>0</v>
      </c>
      <c r="F292" s="248"/>
      <c r="G292" s="243"/>
      <c r="H292" s="237"/>
      <c r="I292" s="243"/>
    </row>
    <row r="293" spans="1:9">
      <c r="A293" s="293">
        <v>238</v>
      </c>
      <c r="B293" s="249">
        <f t="shared" si="14"/>
        <v>0</v>
      </c>
      <c r="C293" s="249">
        <f t="shared" si="15"/>
        <v>0</v>
      </c>
      <c r="D293" s="249">
        <f t="shared" si="16"/>
        <v>0</v>
      </c>
      <c r="E293" s="249">
        <f t="shared" si="17"/>
        <v>0</v>
      </c>
      <c r="F293" s="248"/>
      <c r="G293" s="243"/>
      <c r="H293" s="237"/>
      <c r="I293" s="243"/>
    </row>
    <row r="294" spans="1:9">
      <c r="A294" s="293">
        <v>239</v>
      </c>
      <c r="B294" s="249">
        <f t="shared" si="14"/>
        <v>0</v>
      </c>
      <c r="C294" s="249">
        <f t="shared" si="15"/>
        <v>0</v>
      </c>
      <c r="D294" s="249">
        <f t="shared" si="16"/>
        <v>0</v>
      </c>
      <c r="E294" s="249">
        <f t="shared" si="17"/>
        <v>0</v>
      </c>
      <c r="F294" s="248"/>
      <c r="G294" s="243"/>
      <c r="H294" s="237"/>
      <c r="I294" s="243"/>
    </row>
    <row r="295" spans="1:9">
      <c r="A295" s="293">
        <v>240</v>
      </c>
      <c r="B295" s="249">
        <f t="shared" si="14"/>
        <v>0</v>
      </c>
      <c r="C295" s="249">
        <f t="shared" si="15"/>
        <v>0</v>
      </c>
      <c r="D295" s="249">
        <f t="shared" si="16"/>
        <v>0</v>
      </c>
      <c r="E295" s="249">
        <f t="shared" si="17"/>
        <v>0</v>
      </c>
      <c r="F295" s="248">
        <v>20</v>
      </c>
      <c r="G295" s="292"/>
      <c r="H295" s="257"/>
      <c r="I295" s="292"/>
    </row>
    <row r="296" spans="1:9">
      <c r="A296" s="293">
        <v>241</v>
      </c>
      <c r="B296" s="249">
        <f t="shared" si="14"/>
        <v>0</v>
      </c>
      <c r="C296" s="249">
        <f t="shared" si="15"/>
        <v>0</v>
      </c>
      <c r="D296" s="249">
        <f t="shared" si="16"/>
        <v>0</v>
      </c>
      <c r="E296" s="249">
        <f t="shared" si="17"/>
        <v>0</v>
      </c>
      <c r="F296" s="248"/>
      <c r="G296" s="243"/>
      <c r="H296" s="237"/>
      <c r="I296" s="292"/>
    </row>
    <row r="297" spans="1:9">
      <c r="A297" s="293">
        <v>242</v>
      </c>
      <c r="B297" s="249">
        <f t="shared" si="14"/>
        <v>0</v>
      </c>
      <c r="C297" s="249">
        <f t="shared" si="15"/>
        <v>0</v>
      </c>
      <c r="D297" s="249">
        <f t="shared" si="16"/>
        <v>0</v>
      </c>
      <c r="E297" s="249">
        <f t="shared" si="17"/>
        <v>0</v>
      </c>
      <c r="F297" s="248"/>
      <c r="G297" s="243"/>
      <c r="H297" s="237"/>
      <c r="I297" s="243"/>
    </row>
    <row r="298" spans="1:9">
      <c r="A298" s="293">
        <v>243</v>
      </c>
      <c r="B298" s="249">
        <f t="shared" si="14"/>
        <v>0</v>
      </c>
      <c r="C298" s="249">
        <f t="shared" si="15"/>
        <v>0</v>
      </c>
      <c r="D298" s="249">
        <f t="shared" si="16"/>
        <v>0</v>
      </c>
      <c r="E298" s="249">
        <f t="shared" si="17"/>
        <v>0</v>
      </c>
      <c r="F298" s="248"/>
      <c r="G298" s="243"/>
      <c r="H298" s="237"/>
      <c r="I298" s="243"/>
    </row>
    <row r="299" spans="1:9">
      <c r="A299" s="293">
        <v>244</v>
      </c>
      <c r="B299" s="249">
        <f t="shared" si="14"/>
        <v>0</v>
      </c>
      <c r="C299" s="249">
        <f t="shared" si="15"/>
        <v>0</v>
      </c>
      <c r="D299" s="249">
        <f t="shared" si="16"/>
        <v>0</v>
      </c>
      <c r="E299" s="249">
        <f t="shared" si="17"/>
        <v>0</v>
      </c>
      <c r="F299" s="248"/>
      <c r="G299" s="243"/>
      <c r="H299" s="237"/>
      <c r="I299" s="243"/>
    </row>
    <row r="300" spans="1:9">
      <c r="A300" s="293">
        <v>245</v>
      </c>
      <c r="B300" s="249">
        <f t="shared" si="14"/>
        <v>0</v>
      </c>
      <c r="C300" s="249">
        <f t="shared" si="15"/>
        <v>0</v>
      </c>
      <c r="D300" s="249">
        <f t="shared" si="16"/>
        <v>0</v>
      </c>
      <c r="E300" s="249">
        <f t="shared" si="17"/>
        <v>0</v>
      </c>
      <c r="F300" s="248"/>
      <c r="G300" s="243"/>
      <c r="H300" s="237"/>
      <c r="I300" s="243"/>
    </row>
    <row r="301" spans="1:9">
      <c r="A301" s="293">
        <v>246</v>
      </c>
      <c r="B301" s="249">
        <f t="shared" si="14"/>
        <v>0</v>
      </c>
      <c r="C301" s="249">
        <f t="shared" si="15"/>
        <v>0</v>
      </c>
      <c r="D301" s="249">
        <f t="shared" si="16"/>
        <v>0</v>
      </c>
      <c r="E301" s="249">
        <f t="shared" si="17"/>
        <v>0</v>
      </c>
      <c r="F301" s="248"/>
      <c r="G301" s="292"/>
      <c r="H301" s="257"/>
      <c r="I301" s="243"/>
    </row>
    <row r="302" spans="1:9">
      <c r="A302" s="293">
        <v>247</v>
      </c>
      <c r="B302" s="249">
        <f t="shared" si="14"/>
        <v>0</v>
      </c>
      <c r="C302" s="249">
        <f t="shared" si="15"/>
        <v>0</v>
      </c>
      <c r="D302" s="249">
        <f t="shared" si="16"/>
        <v>0</v>
      </c>
      <c r="E302" s="249">
        <f t="shared" si="17"/>
        <v>0</v>
      </c>
      <c r="F302" s="248"/>
      <c r="G302" s="243"/>
      <c r="H302" s="237"/>
      <c r="I302" s="243"/>
    </row>
    <row r="303" spans="1:9">
      <c r="A303" s="293">
        <v>248</v>
      </c>
      <c r="B303" s="249">
        <f t="shared" si="14"/>
        <v>0</v>
      </c>
      <c r="C303" s="249">
        <f t="shared" si="15"/>
        <v>0</v>
      </c>
      <c r="D303" s="249">
        <f t="shared" si="16"/>
        <v>0</v>
      </c>
      <c r="E303" s="249">
        <f t="shared" si="17"/>
        <v>0</v>
      </c>
      <c r="F303" s="248"/>
      <c r="G303" s="243"/>
      <c r="H303" s="237"/>
      <c r="I303" s="243"/>
    </row>
    <row r="304" spans="1:9">
      <c r="A304" s="293">
        <v>249</v>
      </c>
      <c r="B304" s="249">
        <f t="shared" si="14"/>
        <v>0</v>
      </c>
      <c r="C304" s="249">
        <f t="shared" si="15"/>
        <v>0</v>
      </c>
      <c r="D304" s="249">
        <f t="shared" si="16"/>
        <v>0</v>
      </c>
      <c r="E304" s="249">
        <f t="shared" si="17"/>
        <v>0</v>
      </c>
      <c r="F304" s="248"/>
      <c r="G304" s="243"/>
      <c r="H304" s="237"/>
      <c r="I304" s="243"/>
    </row>
    <row r="305" spans="1:9">
      <c r="A305" s="293">
        <v>250</v>
      </c>
      <c r="B305" s="249">
        <f t="shared" si="14"/>
        <v>0</v>
      </c>
      <c r="C305" s="249">
        <f t="shared" si="15"/>
        <v>0</v>
      </c>
      <c r="D305" s="249">
        <f t="shared" si="16"/>
        <v>0</v>
      </c>
      <c r="E305" s="249">
        <f t="shared" si="17"/>
        <v>0</v>
      </c>
      <c r="F305" s="248"/>
      <c r="G305" s="243"/>
      <c r="H305" s="237"/>
      <c r="I305" s="243"/>
    </row>
    <row r="306" spans="1:9">
      <c r="A306" s="293">
        <v>251</v>
      </c>
      <c r="B306" s="249">
        <f t="shared" si="14"/>
        <v>0</v>
      </c>
      <c r="C306" s="249">
        <f t="shared" si="15"/>
        <v>0</v>
      </c>
      <c r="D306" s="249">
        <f t="shared" si="16"/>
        <v>0</v>
      </c>
      <c r="E306" s="249">
        <f t="shared" si="17"/>
        <v>0</v>
      </c>
      <c r="F306" s="248"/>
      <c r="G306" s="243"/>
      <c r="H306" s="237"/>
      <c r="I306" s="243"/>
    </row>
    <row r="307" spans="1:9">
      <c r="A307" s="293">
        <v>252</v>
      </c>
      <c r="B307" s="249">
        <f t="shared" si="14"/>
        <v>0</v>
      </c>
      <c r="C307" s="249">
        <f t="shared" si="15"/>
        <v>0</v>
      </c>
      <c r="D307" s="249">
        <f t="shared" si="16"/>
        <v>0</v>
      </c>
      <c r="E307" s="249">
        <f t="shared" si="17"/>
        <v>0</v>
      </c>
      <c r="F307" s="248">
        <v>21</v>
      </c>
      <c r="G307" s="292"/>
      <c r="H307" s="257"/>
      <c r="I307" s="292"/>
    </row>
    <row r="308" spans="1:9">
      <c r="A308" s="293">
        <v>253</v>
      </c>
      <c r="B308" s="249">
        <f t="shared" si="14"/>
        <v>0</v>
      </c>
      <c r="C308" s="249">
        <f t="shared" si="15"/>
        <v>0</v>
      </c>
      <c r="D308" s="249">
        <f t="shared" si="16"/>
        <v>0</v>
      </c>
      <c r="E308" s="249">
        <f t="shared" si="17"/>
        <v>0</v>
      </c>
      <c r="F308" s="248"/>
      <c r="G308" s="243"/>
      <c r="H308" s="237"/>
      <c r="I308" s="292"/>
    </row>
    <row r="309" spans="1:9">
      <c r="A309" s="293">
        <v>254</v>
      </c>
      <c r="B309" s="249">
        <f t="shared" si="14"/>
        <v>0</v>
      </c>
      <c r="C309" s="249">
        <f t="shared" si="15"/>
        <v>0</v>
      </c>
      <c r="D309" s="249">
        <f t="shared" si="16"/>
        <v>0</v>
      </c>
      <c r="E309" s="249">
        <f t="shared" si="17"/>
        <v>0</v>
      </c>
      <c r="F309" s="248"/>
      <c r="G309" s="243"/>
      <c r="H309" s="237"/>
      <c r="I309" s="243"/>
    </row>
    <row r="310" spans="1:9">
      <c r="A310" s="293">
        <v>255</v>
      </c>
      <c r="B310" s="249">
        <f t="shared" si="14"/>
        <v>0</v>
      </c>
      <c r="C310" s="249">
        <f t="shared" si="15"/>
        <v>0</v>
      </c>
      <c r="D310" s="249">
        <f t="shared" si="16"/>
        <v>0</v>
      </c>
      <c r="E310" s="249">
        <f t="shared" si="17"/>
        <v>0</v>
      </c>
      <c r="F310" s="248"/>
      <c r="G310" s="243"/>
      <c r="H310" s="237"/>
      <c r="I310" s="243"/>
    </row>
    <row r="311" spans="1:9">
      <c r="A311" s="293">
        <v>256</v>
      </c>
      <c r="B311" s="249">
        <f t="shared" si="14"/>
        <v>0</v>
      </c>
      <c r="C311" s="249">
        <f t="shared" si="15"/>
        <v>0</v>
      </c>
      <c r="D311" s="249">
        <f t="shared" si="16"/>
        <v>0</v>
      </c>
      <c r="E311" s="249">
        <f t="shared" si="17"/>
        <v>0</v>
      </c>
      <c r="F311" s="248"/>
      <c r="G311" s="243"/>
      <c r="H311" s="237"/>
      <c r="I311" s="243"/>
    </row>
    <row r="312" spans="1:9">
      <c r="A312" s="293">
        <v>257</v>
      </c>
      <c r="B312" s="249">
        <f t="shared" ref="B312:B375" si="18">IF(A312&gt;12*$D$14,0,$D$20)</f>
        <v>0</v>
      </c>
      <c r="C312" s="249">
        <f t="shared" ref="C312:C375" si="19">IF(A312&gt;12*$D$14,0,E311*$D$10/12)</f>
        <v>0</v>
      </c>
      <c r="D312" s="249">
        <f t="shared" ref="D312:D375" si="20">IF(A312&gt;12*$D$14,0,B312-C312)</f>
        <v>0</v>
      </c>
      <c r="E312" s="249">
        <f t="shared" ref="E312:E375" si="21">IF(A312&gt;12*$D$14,0,E311-D312)</f>
        <v>0</v>
      </c>
      <c r="F312" s="248"/>
      <c r="G312" s="243"/>
      <c r="H312" s="237"/>
      <c r="I312" s="243"/>
    </row>
    <row r="313" spans="1:9">
      <c r="A313" s="293">
        <v>258</v>
      </c>
      <c r="B313" s="249">
        <f t="shared" si="18"/>
        <v>0</v>
      </c>
      <c r="C313" s="249">
        <f t="shared" si="19"/>
        <v>0</v>
      </c>
      <c r="D313" s="249">
        <f t="shared" si="20"/>
        <v>0</v>
      </c>
      <c r="E313" s="249">
        <f t="shared" si="21"/>
        <v>0</v>
      </c>
      <c r="F313" s="248"/>
      <c r="G313" s="292"/>
      <c r="H313" s="257"/>
      <c r="I313" s="243"/>
    </row>
    <row r="314" spans="1:9">
      <c r="A314" s="293">
        <v>259</v>
      </c>
      <c r="B314" s="249">
        <f t="shared" si="18"/>
        <v>0</v>
      </c>
      <c r="C314" s="249">
        <f t="shared" si="19"/>
        <v>0</v>
      </c>
      <c r="D314" s="249">
        <f t="shared" si="20"/>
        <v>0</v>
      </c>
      <c r="E314" s="249">
        <f t="shared" si="21"/>
        <v>0</v>
      </c>
      <c r="F314" s="248"/>
      <c r="G314" s="243"/>
      <c r="H314" s="237"/>
      <c r="I314" s="243"/>
    </row>
    <row r="315" spans="1:9">
      <c r="A315" s="293">
        <v>260</v>
      </c>
      <c r="B315" s="249">
        <f t="shared" si="18"/>
        <v>0</v>
      </c>
      <c r="C315" s="249">
        <f t="shared" si="19"/>
        <v>0</v>
      </c>
      <c r="D315" s="249">
        <f t="shared" si="20"/>
        <v>0</v>
      </c>
      <c r="E315" s="249">
        <f t="shared" si="21"/>
        <v>0</v>
      </c>
      <c r="F315" s="248"/>
      <c r="G315" s="243"/>
      <c r="H315" s="237"/>
      <c r="I315" s="243"/>
    </row>
    <row r="316" spans="1:9">
      <c r="A316" s="293">
        <v>261</v>
      </c>
      <c r="B316" s="249">
        <f t="shared" si="18"/>
        <v>0</v>
      </c>
      <c r="C316" s="249">
        <f t="shared" si="19"/>
        <v>0</v>
      </c>
      <c r="D316" s="249">
        <f t="shared" si="20"/>
        <v>0</v>
      </c>
      <c r="E316" s="249">
        <f t="shared" si="21"/>
        <v>0</v>
      </c>
      <c r="F316" s="248"/>
      <c r="G316" s="243"/>
      <c r="H316" s="237"/>
      <c r="I316" s="243"/>
    </row>
    <row r="317" spans="1:9">
      <c r="A317" s="293">
        <v>262</v>
      </c>
      <c r="B317" s="249">
        <f t="shared" si="18"/>
        <v>0</v>
      </c>
      <c r="C317" s="249">
        <f t="shared" si="19"/>
        <v>0</v>
      </c>
      <c r="D317" s="249">
        <f t="shared" si="20"/>
        <v>0</v>
      </c>
      <c r="E317" s="249">
        <f t="shared" si="21"/>
        <v>0</v>
      </c>
      <c r="F317" s="248"/>
      <c r="G317" s="243"/>
      <c r="H317" s="237"/>
      <c r="I317" s="243"/>
    </row>
    <row r="318" spans="1:9">
      <c r="A318" s="293">
        <v>263</v>
      </c>
      <c r="B318" s="249">
        <f t="shared" si="18"/>
        <v>0</v>
      </c>
      <c r="C318" s="249">
        <f t="shared" si="19"/>
        <v>0</v>
      </c>
      <c r="D318" s="249">
        <f t="shared" si="20"/>
        <v>0</v>
      </c>
      <c r="E318" s="249">
        <f t="shared" si="21"/>
        <v>0</v>
      </c>
      <c r="F318" s="248"/>
      <c r="G318" s="243"/>
      <c r="H318" s="237"/>
      <c r="I318" s="243"/>
    </row>
    <row r="319" spans="1:9">
      <c r="A319" s="293">
        <v>264</v>
      </c>
      <c r="B319" s="249">
        <f t="shared" si="18"/>
        <v>0</v>
      </c>
      <c r="C319" s="249">
        <f t="shared" si="19"/>
        <v>0</v>
      </c>
      <c r="D319" s="249">
        <f t="shared" si="20"/>
        <v>0</v>
      </c>
      <c r="E319" s="249">
        <f t="shared" si="21"/>
        <v>0</v>
      </c>
      <c r="F319" s="248">
        <v>22</v>
      </c>
      <c r="G319" s="292"/>
      <c r="H319" s="257"/>
      <c r="I319" s="292"/>
    </row>
    <row r="320" spans="1:9">
      <c r="A320" s="293">
        <v>265</v>
      </c>
      <c r="B320" s="249">
        <f t="shared" si="18"/>
        <v>0</v>
      </c>
      <c r="C320" s="249">
        <f t="shared" si="19"/>
        <v>0</v>
      </c>
      <c r="D320" s="249">
        <f t="shared" si="20"/>
        <v>0</v>
      </c>
      <c r="E320" s="249">
        <f t="shared" si="21"/>
        <v>0</v>
      </c>
      <c r="F320" s="248"/>
      <c r="G320" s="243"/>
      <c r="H320" s="237"/>
      <c r="I320" s="292"/>
    </row>
    <row r="321" spans="1:9">
      <c r="A321" s="293">
        <v>266</v>
      </c>
      <c r="B321" s="249">
        <f t="shared" si="18"/>
        <v>0</v>
      </c>
      <c r="C321" s="249">
        <f t="shared" si="19"/>
        <v>0</v>
      </c>
      <c r="D321" s="249">
        <f t="shared" si="20"/>
        <v>0</v>
      </c>
      <c r="E321" s="249">
        <f t="shared" si="21"/>
        <v>0</v>
      </c>
      <c r="F321" s="248"/>
      <c r="G321" s="243"/>
      <c r="H321" s="237"/>
      <c r="I321" s="243"/>
    </row>
    <row r="322" spans="1:9">
      <c r="A322" s="293">
        <v>267</v>
      </c>
      <c r="B322" s="249">
        <f t="shared" si="18"/>
        <v>0</v>
      </c>
      <c r="C322" s="249">
        <f t="shared" si="19"/>
        <v>0</v>
      </c>
      <c r="D322" s="249">
        <f t="shared" si="20"/>
        <v>0</v>
      </c>
      <c r="E322" s="249">
        <f t="shared" si="21"/>
        <v>0</v>
      </c>
      <c r="F322" s="248"/>
      <c r="G322" s="243"/>
      <c r="H322" s="237"/>
      <c r="I322" s="243"/>
    </row>
    <row r="323" spans="1:9">
      <c r="A323" s="293">
        <v>268</v>
      </c>
      <c r="B323" s="249">
        <f t="shared" si="18"/>
        <v>0</v>
      </c>
      <c r="C323" s="249">
        <f t="shared" si="19"/>
        <v>0</v>
      </c>
      <c r="D323" s="249">
        <f t="shared" si="20"/>
        <v>0</v>
      </c>
      <c r="E323" s="249">
        <f t="shared" si="21"/>
        <v>0</v>
      </c>
      <c r="F323" s="248"/>
      <c r="G323" s="243"/>
      <c r="H323" s="237"/>
      <c r="I323" s="243"/>
    </row>
    <row r="324" spans="1:9">
      <c r="A324" s="293">
        <v>269</v>
      </c>
      <c r="B324" s="249">
        <f t="shared" si="18"/>
        <v>0</v>
      </c>
      <c r="C324" s="249">
        <f t="shared" si="19"/>
        <v>0</v>
      </c>
      <c r="D324" s="249">
        <f t="shared" si="20"/>
        <v>0</v>
      </c>
      <c r="E324" s="249">
        <f t="shared" si="21"/>
        <v>0</v>
      </c>
      <c r="F324" s="248"/>
      <c r="G324" s="243"/>
      <c r="H324" s="237"/>
      <c r="I324" s="243"/>
    </row>
    <row r="325" spans="1:9">
      <c r="A325" s="293">
        <v>270</v>
      </c>
      <c r="B325" s="249">
        <f t="shared" si="18"/>
        <v>0</v>
      </c>
      <c r="C325" s="249">
        <f t="shared" si="19"/>
        <v>0</v>
      </c>
      <c r="D325" s="249">
        <f t="shared" si="20"/>
        <v>0</v>
      </c>
      <c r="E325" s="249">
        <f t="shared" si="21"/>
        <v>0</v>
      </c>
      <c r="F325" s="248"/>
      <c r="G325" s="292"/>
      <c r="H325" s="257"/>
      <c r="I325" s="243"/>
    </row>
    <row r="326" spans="1:9">
      <c r="A326" s="293">
        <v>271</v>
      </c>
      <c r="B326" s="249">
        <f t="shared" si="18"/>
        <v>0</v>
      </c>
      <c r="C326" s="249">
        <f t="shared" si="19"/>
        <v>0</v>
      </c>
      <c r="D326" s="249">
        <f t="shared" si="20"/>
        <v>0</v>
      </c>
      <c r="E326" s="249">
        <f t="shared" si="21"/>
        <v>0</v>
      </c>
      <c r="F326" s="248"/>
      <c r="G326" s="243"/>
      <c r="H326" s="237"/>
      <c r="I326" s="243"/>
    </row>
    <row r="327" spans="1:9">
      <c r="A327" s="293">
        <v>272</v>
      </c>
      <c r="B327" s="249">
        <f t="shared" si="18"/>
        <v>0</v>
      </c>
      <c r="C327" s="249">
        <f t="shared" si="19"/>
        <v>0</v>
      </c>
      <c r="D327" s="249">
        <f t="shared" si="20"/>
        <v>0</v>
      </c>
      <c r="E327" s="249">
        <f t="shared" si="21"/>
        <v>0</v>
      </c>
      <c r="F327" s="248"/>
      <c r="G327" s="243"/>
      <c r="H327" s="237"/>
      <c r="I327" s="243"/>
    </row>
    <row r="328" spans="1:9">
      <c r="A328" s="293">
        <v>273</v>
      </c>
      <c r="B328" s="249">
        <f t="shared" si="18"/>
        <v>0</v>
      </c>
      <c r="C328" s="249">
        <f t="shared" si="19"/>
        <v>0</v>
      </c>
      <c r="D328" s="249">
        <f t="shared" si="20"/>
        <v>0</v>
      </c>
      <c r="E328" s="249">
        <f t="shared" si="21"/>
        <v>0</v>
      </c>
      <c r="F328" s="248"/>
      <c r="G328" s="243"/>
      <c r="H328" s="237"/>
      <c r="I328" s="243"/>
    </row>
    <row r="329" spans="1:9">
      <c r="A329" s="293">
        <v>274</v>
      </c>
      <c r="B329" s="249">
        <f t="shared" si="18"/>
        <v>0</v>
      </c>
      <c r="C329" s="249">
        <f t="shared" si="19"/>
        <v>0</v>
      </c>
      <c r="D329" s="249">
        <f t="shared" si="20"/>
        <v>0</v>
      </c>
      <c r="E329" s="249">
        <f t="shared" si="21"/>
        <v>0</v>
      </c>
      <c r="F329" s="248"/>
      <c r="G329" s="243"/>
      <c r="H329" s="237"/>
      <c r="I329" s="243"/>
    </row>
    <row r="330" spans="1:9">
      <c r="A330" s="293">
        <v>275</v>
      </c>
      <c r="B330" s="249">
        <f t="shared" si="18"/>
        <v>0</v>
      </c>
      <c r="C330" s="249">
        <f t="shared" si="19"/>
        <v>0</v>
      </c>
      <c r="D330" s="249">
        <f t="shared" si="20"/>
        <v>0</v>
      </c>
      <c r="E330" s="249">
        <f t="shared" si="21"/>
        <v>0</v>
      </c>
      <c r="F330" s="248"/>
      <c r="G330" s="243"/>
      <c r="H330" s="237"/>
      <c r="I330" s="243"/>
    </row>
    <row r="331" spans="1:9">
      <c r="A331" s="293">
        <v>276</v>
      </c>
      <c r="B331" s="249">
        <f t="shared" si="18"/>
        <v>0</v>
      </c>
      <c r="C331" s="249">
        <f t="shared" si="19"/>
        <v>0</v>
      </c>
      <c r="D331" s="249">
        <f t="shared" si="20"/>
        <v>0</v>
      </c>
      <c r="E331" s="249">
        <f t="shared" si="21"/>
        <v>0</v>
      </c>
      <c r="F331" s="248">
        <v>23</v>
      </c>
      <c r="G331" s="292"/>
      <c r="H331" s="257"/>
      <c r="I331" s="292"/>
    </row>
    <row r="332" spans="1:9">
      <c r="A332" s="293">
        <v>277</v>
      </c>
      <c r="B332" s="249">
        <f t="shared" si="18"/>
        <v>0</v>
      </c>
      <c r="C332" s="249">
        <f t="shared" si="19"/>
        <v>0</v>
      </c>
      <c r="D332" s="249">
        <f t="shared" si="20"/>
        <v>0</v>
      </c>
      <c r="E332" s="249">
        <f t="shared" si="21"/>
        <v>0</v>
      </c>
      <c r="F332" s="248"/>
      <c r="G332" s="243"/>
      <c r="H332" s="237"/>
      <c r="I332" s="292"/>
    </row>
    <row r="333" spans="1:9">
      <c r="A333" s="293">
        <v>278</v>
      </c>
      <c r="B333" s="249">
        <f t="shared" si="18"/>
        <v>0</v>
      </c>
      <c r="C333" s="249">
        <f t="shared" si="19"/>
        <v>0</v>
      </c>
      <c r="D333" s="249">
        <f t="shared" si="20"/>
        <v>0</v>
      </c>
      <c r="E333" s="249">
        <f t="shared" si="21"/>
        <v>0</v>
      </c>
      <c r="F333" s="248"/>
      <c r="G333" s="243"/>
      <c r="H333" s="237"/>
      <c r="I333" s="243"/>
    </row>
    <row r="334" spans="1:9">
      <c r="A334" s="293">
        <v>279</v>
      </c>
      <c r="B334" s="249">
        <f t="shared" si="18"/>
        <v>0</v>
      </c>
      <c r="C334" s="249">
        <f t="shared" si="19"/>
        <v>0</v>
      </c>
      <c r="D334" s="249">
        <f t="shared" si="20"/>
        <v>0</v>
      </c>
      <c r="E334" s="249">
        <f t="shared" si="21"/>
        <v>0</v>
      </c>
      <c r="F334" s="248"/>
      <c r="G334" s="243"/>
      <c r="H334" s="237"/>
      <c r="I334" s="243"/>
    </row>
    <row r="335" spans="1:9">
      <c r="A335" s="293">
        <v>280</v>
      </c>
      <c r="B335" s="249">
        <f t="shared" si="18"/>
        <v>0</v>
      </c>
      <c r="C335" s="249">
        <f t="shared" si="19"/>
        <v>0</v>
      </c>
      <c r="D335" s="249">
        <f t="shared" si="20"/>
        <v>0</v>
      </c>
      <c r="E335" s="249">
        <f t="shared" si="21"/>
        <v>0</v>
      </c>
      <c r="F335" s="248"/>
      <c r="G335" s="243"/>
      <c r="H335" s="237"/>
      <c r="I335" s="243"/>
    </row>
    <row r="336" spans="1:9">
      <c r="A336" s="293">
        <v>281</v>
      </c>
      <c r="B336" s="249">
        <f t="shared" si="18"/>
        <v>0</v>
      </c>
      <c r="C336" s="249">
        <f t="shared" si="19"/>
        <v>0</v>
      </c>
      <c r="D336" s="249">
        <f t="shared" si="20"/>
        <v>0</v>
      </c>
      <c r="E336" s="249">
        <f t="shared" si="21"/>
        <v>0</v>
      </c>
      <c r="F336" s="248"/>
      <c r="G336" s="243"/>
      <c r="H336" s="237"/>
      <c r="I336" s="243"/>
    </row>
    <row r="337" spans="1:9">
      <c r="A337" s="293">
        <v>282</v>
      </c>
      <c r="B337" s="249">
        <f t="shared" si="18"/>
        <v>0</v>
      </c>
      <c r="C337" s="249">
        <f t="shared" si="19"/>
        <v>0</v>
      </c>
      <c r="D337" s="249">
        <f t="shared" si="20"/>
        <v>0</v>
      </c>
      <c r="E337" s="249">
        <f t="shared" si="21"/>
        <v>0</v>
      </c>
      <c r="F337" s="248"/>
      <c r="G337" s="292"/>
      <c r="H337" s="257"/>
      <c r="I337" s="243"/>
    </row>
    <row r="338" spans="1:9">
      <c r="A338" s="293">
        <v>283</v>
      </c>
      <c r="B338" s="249">
        <f t="shared" si="18"/>
        <v>0</v>
      </c>
      <c r="C338" s="249">
        <f t="shared" si="19"/>
        <v>0</v>
      </c>
      <c r="D338" s="249">
        <f t="shared" si="20"/>
        <v>0</v>
      </c>
      <c r="E338" s="249">
        <f t="shared" si="21"/>
        <v>0</v>
      </c>
      <c r="F338" s="248"/>
      <c r="G338" s="243"/>
      <c r="H338" s="237"/>
      <c r="I338" s="243"/>
    </row>
    <row r="339" spans="1:9">
      <c r="A339" s="293">
        <v>284</v>
      </c>
      <c r="B339" s="249">
        <f t="shared" si="18"/>
        <v>0</v>
      </c>
      <c r="C339" s="249">
        <f t="shared" si="19"/>
        <v>0</v>
      </c>
      <c r="D339" s="249">
        <f t="shared" si="20"/>
        <v>0</v>
      </c>
      <c r="E339" s="249">
        <f t="shared" si="21"/>
        <v>0</v>
      </c>
      <c r="F339" s="248"/>
      <c r="G339" s="243"/>
      <c r="H339" s="237"/>
      <c r="I339" s="243"/>
    </row>
    <row r="340" spans="1:9">
      <c r="A340" s="293">
        <v>285</v>
      </c>
      <c r="B340" s="249">
        <f t="shared" si="18"/>
        <v>0</v>
      </c>
      <c r="C340" s="249">
        <f t="shared" si="19"/>
        <v>0</v>
      </c>
      <c r="D340" s="249">
        <f t="shared" si="20"/>
        <v>0</v>
      </c>
      <c r="E340" s="249">
        <f t="shared" si="21"/>
        <v>0</v>
      </c>
      <c r="F340" s="248"/>
      <c r="G340" s="243"/>
      <c r="H340" s="237"/>
      <c r="I340" s="243"/>
    </row>
    <row r="341" spans="1:9">
      <c r="A341" s="293">
        <v>286</v>
      </c>
      <c r="B341" s="249">
        <f t="shared" si="18"/>
        <v>0</v>
      </c>
      <c r="C341" s="249">
        <f t="shared" si="19"/>
        <v>0</v>
      </c>
      <c r="D341" s="249">
        <f t="shared" si="20"/>
        <v>0</v>
      </c>
      <c r="E341" s="249">
        <f t="shared" si="21"/>
        <v>0</v>
      </c>
      <c r="F341" s="248"/>
      <c r="G341" s="243"/>
      <c r="H341" s="237"/>
      <c r="I341" s="243"/>
    </row>
    <row r="342" spans="1:9">
      <c r="A342" s="293">
        <v>287</v>
      </c>
      <c r="B342" s="249">
        <f t="shared" si="18"/>
        <v>0</v>
      </c>
      <c r="C342" s="249">
        <f t="shared" si="19"/>
        <v>0</v>
      </c>
      <c r="D342" s="249">
        <f t="shared" si="20"/>
        <v>0</v>
      </c>
      <c r="E342" s="249">
        <f t="shared" si="21"/>
        <v>0</v>
      </c>
      <c r="F342" s="248"/>
      <c r="G342" s="243"/>
      <c r="H342" s="237"/>
      <c r="I342" s="243"/>
    </row>
    <row r="343" spans="1:9">
      <c r="A343" s="293">
        <v>288</v>
      </c>
      <c r="B343" s="249">
        <f t="shared" si="18"/>
        <v>0</v>
      </c>
      <c r="C343" s="249">
        <f t="shared" si="19"/>
        <v>0</v>
      </c>
      <c r="D343" s="249">
        <f t="shared" si="20"/>
        <v>0</v>
      </c>
      <c r="E343" s="249">
        <f t="shared" si="21"/>
        <v>0</v>
      </c>
      <c r="F343" s="248">
        <v>24</v>
      </c>
      <c r="G343" s="292"/>
      <c r="H343" s="257"/>
      <c r="I343" s="292"/>
    </row>
    <row r="344" spans="1:9">
      <c r="A344" s="293">
        <v>289</v>
      </c>
      <c r="B344" s="249">
        <f t="shared" si="18"/>
        <v>0</v>
      </c>
      <c r="C344" s="249">
        <f t="shared" si="19"/>
        <v>0</v>
      </c>
      <c r="D344" s="249">
        <f t="shared" si="20"/>
        <v>0</v>
      </c>
      <c r="E344" s="249">
        <f t="shared" si="21"/>
        <v>0</v>
      </c>
      <c r="F344" s="248"/>
      <c r="G344" s="243"/>
      <c r="H344" s="237"/>
      <c r="I344" s="292"/>
    </row>
    <row r="345" spans="1:9">
      <c r="A345" s="293">
        <v>290</v>
      </c>
      <c r="B345" s="249">
        <f t="shared" si="18"/>
        <v>0</v>
      </c>
      <c r="C345" s="249">
        <f t="shared" si="19"/>
        <v>0</v>
      </c>
      <c r="D345" s="249">
        <f t="shared" si="20"/>
        <v>0</v>
      </c>
      <c r="E345" s="249">
        <f t="shared" si="21"/>
        <v>0</v>
      </c>
      <c r="F345" s="248"/>
      <c r="G345" s="243"/>
      <c r="H345" s="237"/>
      <c r="I345" s="243"/>
    </row>
    <row r="346" spans="1:9">
      <c r="A346" s="293">
        <v>291</v>
      </c>
      <c r="B346" s="249">
        <f t="shared" si="18"/>
        <v>0</v>
      </c>
      <c r="C346" s="249">
        <f t="shared" si="19"/>
        <v>0</v>
      </c>
      <c r="D346" s="249">
        <f t="shared" si="20"/>
        <v>0</v>
      </c>
      <c r="E346" s="249">
        <f t="shared" si="21"/>
        <v>0</v>
      </c>
      <c r="F346" s="248"/>
      <c r="G346" s="243"/>
      <c r="H346" s="237"/>
      <c r="I346" s="243"/>
    </row>
    <row r="347" spans="1:9">
      <c r="A347" s="293">
        <v>292</v>
      </c>
      <c r="B347" s="249">
        <f t="shared" si="18"/>
        <v>0</v>
      </c>
      <c r="C347" s="249">
        <f t="shared" si="19"/>
        <v>0</v>
      </c>
      <c r="D347" s="249">
        <f t="shared" si="20"/>
        <v>0</v>
      </c>
      <c r="E347" s="249">
        <f t="shared" si="21"/>
        <v>0</v>
      </c>
      <c r="F347" s="248"/>
      <c r="G347" s="243"/>
      <c r="H347" s="237"/>
      <c r="I347" s="243"/>
    </row>
    <row r="348" spans="1:9">
      <c r="A348" s="293">
        <v>293</v>
      </c>
      <c r="B348" s="249">
        <f t="shared" si="18"/>
        <v>0</v>
      </c>
      <c r="C348" s="249">
        <f t="shared" si="19"/>
        <v>0</v>
      </c>
      <c r="D348" s="249">
        <f t="shared" si="20"/>
        <v>0</v>
      </c>
      <c r="E348" s="249">
        <f t="shared" si="21"/>
        <v>0</v>
      </c>
      <c r="F348" s="248"/>
      <c r="G348" s="243"/>
      <c r="H348" s="237"/>
      <c r="I348" s="243"/>
    </row>
    <row r="349" spans="1:9">
      <c r="A349" s="293">
        <v>294</v>
      </c>
      <c r="B349" s="249">
        <f t="shared" si="18"/>
        <v>0</v>
      </c>
      <c r="C349" s="249">
        <f t="shared" si="19"/>
        <v>0</v>
      </c>
      <c r="D349" s="249">
        <f t="shared" si="20"/>
        <v>0</v>
      </c>
      <c r="E349" s="249">
        <f t="shared" si="21"/>
        <v>0</v>
      </c>
      <c r="F349" s="248"/>
      <c r="G349" s="292"/>
      <c r="H349" s="257"/>
      <c r="I349" s="243"/>
    </row>
    <row r="350" spans="1:9">
      <c r="A350" s="293">
        <v>295</v>
      </c>
      <c r="B350" s="249">
        <f t="shared" si="18"/>
        <v>0</v>
      </c>
      <c r="C350" s="249">
        <f t="shared" si="19"/>
        <v>0</v>
      </c>
      <c r="D350" s="249">
        <f t="shared" si="20"/>
        <v>0</v>
      </c>
      <c r="E350" s="249">
        <f t="shared" si="21"/>
        <v>0</v>
      </c>
      <c r="F350" s="248"/>
      <c r="G350" s="243"/>
      <c r="H350" s="237"/>
      <c r="I350" s="243"/>
    </row>
    <row r="351" spans="1:9">
      <c r="A351" s="293">
        <v>296</v>
      </c>
      <c r="B351" s="249">
        <f t="shared" si="18"/>
        <v>0</v>
      </c>
      <c r="C351" s="249">
        <f t="shared" si="19"/>
        <v>0</v>
      </c>
      <c r="D351" s="249">
        <f t="shared" si="20"/>
        <v>0</v>
      </c>
      <c r="E351" s="249">
        <f t="shared" si="21"/>
        <v>0</v>
      </c>
      <c r="F351" s="248"/>
      <c r="G351" s="243"/>
      <c r="H351" s="237"/>
      <c r="I351" s="243"/>
    </row>
    <row r="352" spans="1:9">
      <c r="A352" s="293">
        <v>297</v>
      </c>
      <c r="B352" s="249">
        <f t="shared" si="18"/>
        <v>0</v>
      </c>
      <c r="C352" s="249">
        <f t="shared" si="19"/>
        <v>0</v>
      </c>
      <c r="D352" s="249">
        <f t="shared" si="20"/>
        <v>0</v>
      </c>
      <c r="E352" s="249">
        <f t="shared" si="21"/>
        <v>0</v>
      </c>
      <c r="F352" s="248"/>
      <c r="G352" s="243"/>
      <c r="H352" s="237"/>
      <c r="I352" s="243"/>
    </row>
    <row r="353" spans="1:9">
      <c r="A353" s="293">
        <v>298</v>
      </c>
      <c r="B353" s="249">
        <f t="shared" si="18"/>
        <v>0</v>
      </c>
      <c r="C353" s="249">
        <f t="shared" si="19"/>
        <v>0</v>
      </c>
      <c r="D353" s="249">
        <f t="shared" si="20"/>
        <v>0</v>
      </c>
      <c r="E353" s="249">
        <f t="shared" si="21"/>
        <v>0</v>
      </c>
      <c r="F353" s="248"/>
      <c r="G353" s="243"/>
      <c r="H353" s="237"/>
      <c r="I353" s="243"/>
    </row>
    <row r="354" spans="1:9">
      <c r="A354" s="293">
        <v>299</v>
      </c>
      <c r="B354" s="249">
        <f t="shared" si="18"/>
        <v>0</v>
      </c>
      <c r="C354" s="249">
        <f t="shared" si="19"/>
        <v>0</v>
      </c>
      <c r="D354" s="249">
        <f t="shared" si="20"/>
        <v>0</v>
      </c>
      <c r="E354" s="249">
        <f t="shared" si="21"/>
        <v>0</v>
      </c>
      <c r="F354" s="248"/>
      <c r="G354" s="243"/>
      <c r="H354" s="237"/>
      <c r="I354" s="243"/>
    </row>
    <row r="355" spans="1:9">
      <c r="A355" s="293">
        <v>300</v>
      </c>
      <c r="B355" s="249">
        <f t="shared" si="18"/>
        <v>0</v>
      </c>
      <c r="C355" s="249">
        <f t="shared" si="19"/>
        <v>0</v>
      </c>
      <c r="D355" s="249">
        <f t="shared" si="20"/>
        <v>0</v>
      </c>
      <c r="E355" s="249">
        <f t="shared" si="21"/>
        <v>0</v>
      </c>
      <c r="F355" s="248">
        <v>25</v>
      </c>
      <c r="G355" s="292"/>
      <c r="H355" s="257"/>
      <c r="I355" s="292"/>
    </row>
    <row r="356" spans="1:9">
      <c r="A356" s="293">
        <v>301</v>
      </c>
      <c r="B356" s="249">
        <f t="shared" si="18"/>
        <v>0</v>
      </c>
      <c r="C356" s="249">
        <f t="shared" si="19"/>
        <v>0</v>
      </c>
      <c r="D356" s="249">
        <f t="shared" si="20"/>
        <v>0</v>
      </c>
      <c r="E356" s="249">
        <f t="shared" si="21"/>
        <v>0</v>
      </c>
      <c r="F356" s="248"/>
      <c r="G356" s="243"/>
      <c r="H356" s="237"/>
      <c r="I356" s="292"/>
    </row>
    <row r="357" spans="1:9">
      <c r="A357" s="293">
        <v>302</v>
      </c>
      <c r="B357" s="249">
        <f t="shared" si="18"/>
        <v>0</v>
      </c>
      <c r="C357" s="249">
        <f t="shared" si="19"/>
        <v>0</v>
      </c>
      <c r="D357" s="249">
        <f t="shared" si="20"/>
        <v>0</v>
      </c>
      <c r="E357" s="249">
        <f t="shared" si="21"/>
        <v>0</v>
      </c>
      <c r="F357" s="248"/>
      <c r="G357" s="243"/>
      <c r="H357" s="237"/>
      <c r="I357" s="243"/>
    </row>
    <row r="358" spans="1:9">
      <c r="A358" s="293">
        <v>303</v>
      </c>
      <c r="B358" s="249">
        <f t="shared" si="18"/>
        <v>0</v>
      </c>
      <c r="C358" s="249">
        <f t="shared" si="19"/>
        <v>0</v>
      </c>
      <c r="D358" s="249">
        <f t="shared" si="20"/>
        <v>0</v>
      </c>
      <c r="E358" s="249">
        <f t="shared" si="21"/>
        <v>0</v>
      </c>
      <c r="F358" s="248"/>
      <c r="G358" s="243"/>
      <c r="H358" s="237"/>
      <c r="I358" s="243"/>
    </row>
    <row r="359" spans="1:9">
      <c r="A359" s="293">
        <v>304</v>
      </c>
      <c r="B359" s="249">
        <f t="shared" si="18"/>
        <v>0</v>
      </c>
      <c r="C359" s="249">
        <f t="shared" si="19"/>
        <v>0</v>
      </c>
      <c r="D359" s="249">
        <f t="shared" si="20"/>
        <v>0</v>
      </c>
      <c r="E359" s="249">
        <f t="shared" si="21"/>
        <v>0</v>
      </c>
      <c r="F359" s="248"/>
      <c r="G359" s="243"/>
      <c r="H359" s="237"/>
      <c r="I359" s="243"/>
    </row>
    <row r="360" spans="1:9">
      <c r="A360" s="293">
        <v>305</v>
      </c>
      <c r="B360" s="249">
        <f t="shared" si="18"/>
        <v>0</v>
      </c>
      <c r="C360" s="249">
        <f t="shared" si="19"/>
        <v>0</v>
      </c>
      <c r="D360" s="249">
        <f t="shared" si="20"/>
        <v>0</v>
      </c>
      <c r="E360" s="249">
        <f t="shared" si="21"/>
        <v>0</v>
      </c>
      <c r="F360" s="248"/>
      <c r="G360" s="243"/>
      <c r="H360" s="237"/>
      <c r="I360" s="243"/>
    </row>
    <row r="361" spans="1:9">
      <c r="A361" s="293">
        <v>306</v>
      </c>
      <c r="B361" s="249">
        <f t="shared" si="18"/>
        <v>0</v>
      </c>
      <c r="C361" s="249">
        <f t="shared" si="19"/>
        <v>0</v>
      </c>
      <c r="D361" s="249">
        <f t="shared" si="20"/>
        <v>0</v>
      </c>
      <c r="E361" s="249">
        <f t="shared" si="21"/>
        <v>0</v>
      </c>
      <c r="F361" s="248"/>
      <c r="G361" s="292"/>
      <c r="H361" s="257"/>
      <c r="I361" s="243"/>
    </row>
    <row r="362" spans="1:9">
      <c r="A362" s="293">
        <v>307</v>
      </c>
      <c r="B362" s="249">
        <f t="shared" si="18"/>
        <v>0</v>
      </c>
      <c r="C362" s="249">
        <f t="shared" si="19"/>
        <v>0</v>
      </c>
      <c r="D362" s="249">
        <f t="shared" si="20"/>
        <v>0</v>
      </c>
      <c r="E362" s="249">
        <f t="shared" si="21"/>
        <v>0</v>
      </c>
      <c r="F362" s="248"/>
      <c r="G362" s="243"/>
      <c r="H362" s="237"/>
      <c r="I362" s="243"/>
    </row>
    <row r="363" spans="1:9">
      <c r="A363" s="293">
        <v>308</v>
      </c>
      <c r="B363" s="249">
        <f t="shared" si="18"/>
        <v>0</v>
      </c>
      <c r="C363" s="249">
        <f t="shared" si="19"/>
        <v>0</v>
      </c>
      <c r="D363" s="249">
        <f t="shared" si="20"/>
        <v>0</v>
      </c>
      <c r="E363" s="249">
        <f t="shared" si="21"/>
        <v>0</v>
      </c>
      <c r="F363" s="248"/>
      <c r="G363" s="243"/>
      <c r="H363" s="237"/>
      <c r="I363" s="243"/>
    </row>
    <row r="364" spans="1:9">
      <c r="A364" s="293">
        <v>309</v>
      </c>
      <c r="B364" s="249">
        <f t="shared" si="18"/>
        <v>0</v>
      </c>
      <c r="C364" s="249">
        <f t="shared" si="19"/>
        <v>0</v>
      </c>
      <c r="D364" s="249">
        <f t="shared" si="20"/>
        <v>0</v>
      </c>
      <c r="E364" s="249">
        <f t="shared" si="21"/>
        <v>0</v>
      </c>
      <c r="F364" s="248"/>
      <c r="G364" s="243"/>
      <c r="H364" s="237"/>
      <c r="I364" s="243"/>
    </row>
    <row r="365" spans="1:9">
      <c r="A365" s="293">
        <v>310</v>
      </c>
      <c r="B365" s="249">
        <f t="shared" si="18"/>
        <v>0</v>
      </c>
      <c r="C365" s="249">
        <f t="shared" si="19"/>
        <v>0</v>
      </c>
      <c r="D365" s="249">
        <f t="shared" si="20"/>
        <v>0</v>
      </c>
      <c r="E365" s="249">
        <f t="shared" si="21"/>
        <v>0</v>
      </c>
      <c r="F365" s="248"/>
      <c r="G365" s="243"/>
      <c r="H365" s="237"/>
      <c r="I365" s="243"/>
    </row>
    <row r="366" spans="1:9">
      <c r="A366" s="293">
        <v>311</v>
      </c>
      <c r="B366" s="249">
        <f t="shared" si="18"/>
        <v>0</v>
      </c>
      <c r="C366" s="249">
        <f t="shared" si="19"/>
        <v>0</v>
      </c>
      <c r="D366" s="249">
        <f t="shared" si="20"/>
        <v>0</v>
      </c>
      <c r="E366" s="249">
        <f t="shared" si="21"/>
        <v>0</v>
      </c>
      <c r="F366" s="248"/>
      <c r="G366" s="243"/>
      <c r="H366" s="237"/>
      <c r="I366" s="243"/>
    </row>
    <row r="367" spans="1:9">
      <c r="A367" s="293">
        <v>312</v>
      </c>
      <c r="B367" s="249">
        <f t="shared" si="18"/>
        <v>0</v>
      </c>
      <c r="C367" s="249">
        <f t="shared" si="19"/>
        <v>0</v>
      </c>
      <c r="D367" s="249">
        <f t="shared" si="20"/>
        <v>0</v>
      </c>
      <c r="E367" s="249">
        <f t="shared" si="21"/>
        <v>0</v>
      </c>
      <c r="F367" s="248">
        <v>26</v>
      </c>
      <c r="G367" s="292"/>
      <c r="H367" s="257"/>
      <c r="I367" s="292"/>
    </row>
    <row r="368" spans="1:9">
      <c r="A368" s="293">
        <v>313</v>
      </c>
      <c r="B368" s="249">
        <f t="shared" si="18"/>
        <v>0</v>
      </c>
      <c r="C368" s="249">
        <f t="shared" si="19"/>
        <v>0</v>
      </c>
      <c r="D368" s="249">
        <f t="shared" si="20"/>
        <v>0</v>
      </c>
      <c r="E368" s="249">
        <f t="shared" si="21"/>
        <v>0</v>
      </c>
      <c r="F368" s="248"/>
      <c r="G368" s="243"/>
      <c r="H368" s="237"/>
      <c r="I368" s="292"/>
    </row>
    <row r="369" spans="1:9">
      <c r="A369" s="293">
        <v>314</v>
      </c>
      <c r="B369" s="249">
        <f t="shared" si="18"/>
        <v>0</v>
      </c>
      <c r="C369" s="249">
        <f t="shared" si="19"/>
        <v>0</v>
      </c>
      <c r="D369" s="249">
        <f t="shared" si="20"/>
        <v>0</v>
      </c>
      <c r="E369" s="249">
        <f t="shared" si="21"/>
        <v>0</v>
      </c>
      <c r="F369" s="248"/>
      <c r="G369" s="243"/>
      <c r="H369" s="237"/>
      <c r="I369" s="243"/>
    </row>
    <row r="370" spans="1:9">
      <c r="A370" s="293">
        <v>315</v>
      </c>
      <c r="B370" s="249">
        <f t="shared" si="18"/>
        <v>0</v>
      </c>
      <c r="C370" s="249">
        <f t="shared" si="19"/>
        <v>0</v>
      </c>
      <c r="D370" s="249">
        <f t="shared" si="20"/>
        <v>0</v>
      </c>
      <c r="E370" s="249">
        <f t="shared" si="21"/>
        <v>0</v>
      </c>
      <c r="F370" s="248"/>
      <c r="G370" s="243"/>
      <c r="H370" s="237"/>
      <c r="I370" s="243"/>
    </row>
    <row r="371" spans="1:9">
      <c r="A371" s="293">
        <v>316</v>
      </c>
      <c r="B371" s="249">
        <f t="shared" si="18"/>
        <v>0</v>
      </c>
      <c r="C371" s="249">
        <f t="shared" si="19"/>
        <v>0</v>
      </c>
      <c r="D371" s="249">
        <f t="shared" si="20"/>
        <v>0</v>
      </c>
      <c r="E371" s="249">
        <f t="shared" si="21"/>
        <v>0</v>
      </c>
      <c r="F371" s="248"/>
      <c r="G371" s="243"/>
      <c r="H371" s="237"/>
      <c r="I371" s="243"/>
    </row>
    <row r="372" spans="1:9">
      <c r="A372" s="293">
        <v>317</v>
      </c>
      <c r="B372" s="249">
        <f t="shared" si="18"/>
        <v>0</v>
      </c>
      <c r="C372" s="249">
        <f t="shared" si="19"/>
        <v>0</v>
      </c>
      <c r="D372" s="249">
        <f t="shared" si="20"/>
        <v>0</v>
      </c>
      <c r="E372" s="249">
        <f t="shared" si="21"/>
        <v>0</v>
      </c>
      <c r="F372" s="248"/>
      <c r="G372" s="243"/>
      <c r="H372" s="237"/>
      <c r="I372" s="243"/>
    </row>
    <row r="373" spans="1:9">
      <c r="A373" s="293">
        <v>318</v>
      </c>
      <c r="B373" s="249">
        <f t="shared" si="18"/>
        <v>0</v>
      </c>
      <c r="C373" s="249">
        <f t="shared" si="19"/>
        <v>0</v>
      </c>
      <c r="D373" s="249">
        <f t="shared" si="20"/>
        <v>0</v>
      </c>
      <c r="E373" s="249">
        <f t="shared" si="21"/>
        <v>0</v>
      </c>
      <c r="F373" s="248"/>
      <c r="G373" s="292"/>
      <c r="H373" s="257"/>
      <c r="I373" s="243"/>
    </row>
    <row r="374" spans="1:9">
      <c r="A374" s="293">
        <v>319</v>
      </c>
      <c r="B374" s="249">
        <f t="shared" si="18"/>
        <v>0</v>
      </c>
      <c r="C374" s="249">
        <f t="shared" si="19"/>
        <v>0</v>
      </c>
      <c r="D374" s="249">
        <f t="shared" si="20"/>
        <v>0</v>
      </c>
      <c r="E374" s="249">
        <f t="shared" si="21"/>
        <v>0</v>
      </c>
      <c r="F374" s="248"/>
      <c r="G374" s="243"/>
      <c r="H374" s="237"/>
      <c r="I374" s="243"/>
    </row>
    <row r="375" spans="1:9">
      <c r="A375" s="293">
        <v>320</v>
      </c>
      <c r="B375" s="249">
        <f t="shared" si="18"/>
        <v>0</v>
      </c>
      <c r="C375" s="249">
        <f t="shared" si="19"/>
        <v>0</v>
      </c>
      <c r="D375" s="249">
        <f t="shared" si="20"/>
        <v>0</v>
      </c>
      <c r="E375" s="249">
        <f t="shared" si="21"/>
        <v>0</v>
      </c>
      <c r="F375" s="248"/>
      <c r="G375" s="243"/>
      <c r="H375" s="237"/>
      <c r="I375" s="243"/>
    </row>
    <row r="376" spans="1:9">
      <c r="A376" s="293">
        <v>321</v>
      </c>
      <c r="B376" s="249">
        <f t="shared" ref="B376:B439" si="22">IF(A376&gt;12*$D$14,0,$D$20)</f>
        <v>0</v>
      </c>
      <c r="C376" s="249">
        <f t="shared" ref="C376:C439" si="23">IF(A376&gt;12*$D$14,0,E375*$D$10/12)</f>
        <v>0</v>
      </c>
      <c r="D376" s="249">
        <f t="shared" ref="D376:D439" si="24">IF(A376&gt;12*$D$14,0,B376-C376)</f>
        <v>0</v>
      </c>
      <c r="E376" s="249">
        <f t="shared" ref="E376:E439" si="25">IF(A376&gt;12*$D$14,0,E375-D376)</f>
        <v>0</v>
      </c>
      <c r="F376" s="248"/>
      <c r="G376" s="243"/>
      <c r="H376" s="237"/>
      <c r="I376" s="243"/>
    </row>
    <row r="377" spans="1:9">
      <c r="A377" s="293">
        <v>322</v>
      </c>
      <c r="B377" s="249">
        <f t="shared" si="22"/>
        <v>0</v>
      </c>
      <c r="C377" s="249">
        <f t="shared" si="23"/>
        <v>0</v>
      </c>
      <c r="D377" s="249">
        <f t="shared" si="24"/>
        <v>0</v>
      </c>
      <c r="E377" s="249">
        <f t="shared" si="25"/>
        <v>0</v>
      </c>
      <c r="F377" s="248"/>
      <c r="G377" s="243"/>
      <c r="H377" s="237"/>
      <c r="I377" s="243"/>
    </row>
    <row r="378" spans="1:9">
      <c r="A378" s="293">
        <v>323</v>
      </c>
      <c r="B378" s="249">
        <f t="shared" si="22"/>
        <v>0</v>
      </c>
      <c r="C378" s="249">
        <f t="shared" si="23"/>
        <v>0</v>
      </c>
      <c r="D378" s="249">
        <f t="shared" si="24"/>
        <v>0</v>
      </c>
      <c r="E378" s="249">
        <f t="shared" si="25"/>
        <v>0</v>
      </c>
      <c r="F378" s="248"/>
      <c r="G378" s="243"/>
      <c r="H378" s="237"/>
      <c r="I378" s="243"/>
    </row>
    <row r="379" spans="1:9">
      <c r="A379" s="293">
        <v>324</v>
      </c>
      <c r="B379" s="249">
        <f t="shared" si="22"/>
        <v>0</v>
      </c>
      <c r="C379" s="249">
        <f t="shared" si="23"/>
        <v>0</v>
      </c>
      <c r="D379" s="249">
        <f t="shared" si="24"/>
        <v>0</v>
      </c>
      <c r="E379" s="249">
        <f t="shared" si="25"/>
        <v>0</v>
      </c>
      <c r="F379" s="248">
        <v>27</v>
      </c>
      <c r="G379" s="292"/>
      <c r="H379" s="257"/>
      <c r="I379" s="292"/>
    </row>
    <row r="380" spans="1:9">
      <c r="A380" s="293">
        <v>325</v>
      </c>
      <c r="B380" s="249">
        <f t="shared" si="22"/>
        <v>0</v>
      </c>
      <c r="C380" s="249">
        <f t="shared" si="23"/>
        <v>0</v>
      </c>
      <c r="D380" s="249">
        <f t="shared" si="24"/>
        <v>0</v>
      </c>
      <c r="E380" s="249">
        <f t="shared" si="25"/>
        <v>0</v>
      </c>
      <c r="F380" s="248"/>
      <c r="G380" s="243"/>
      <c r="H380" s="237"/>
      <c r="I380" s="292"/>
    </row>
    <row r="381" spans="1:9">
      <c r="A381" s="293">
        <v>326</v>
      </c>
      <c r="B381" s="249">
        <f t="shared" si="22"/>
        <v>0</v>
      </c>
      <c r="C381" s="249">
        <f t="shared" si="23"/>
        <v>0</v>
      </c>
      <c r="D381" s="249">
        <f t="shared" si="24"/>
        <v>0</v>
      </c>
      <c r="E381" s="249">
        <f t="shared" si="25"/>
        <v>0</v>
      </c>
      <c r="F381" s="248"/>
      <c r="G381" s="243"/>
      <c r="H381" s="237"/>
      <c r="I381" s="243"/>
    </row>
    <row r="382" spans="1:9">
      <c r="A382" s="293">
        <v>327</v>
      </c>
      <c r="B382" s="249">
        <f t="shared" si="22"/>
        <v>0</v>
      </c>
      <c r="C382" s="249">
        <f t="shared" si="23"/>
        <v>0</v>
      </c>
      <c r="D382" s="249">
        <f t="shared" si="24"/>
        <v>0</v>
      </c>
      <c r="E382" s="249">
        <f t="shared" si="25"/>
        <v>0</v>
      </c>
      <c r="F382" s="248"/>
      <c r="G382" s="243"/>
      <c r="H382" s="237"/>
      <c r="I382" s="243"/>
    </row>
    <row r="383" spans="1:9">
      <c r="A383" s="293">
        <v>328</v>
      </c>
      <c r="B383" s="249">
        <f t="shared" si="22"/>
        <v>0</v>
      </c>
      <c r="C383" s="249">
        <f t="shared" si="23"/>
        <v>0</v>
      </c>
      <c r="D383" s="249">
        <f t="shared" si="24"/>
        <v>0</v>
      </c>
      <c r="E383" s="249">
        <f t="shared" si="25"/>
        <v>0</v>
      </c>
      <c r="F383" s="248"/>
      <c r="G383" s="243"/>
      <c r="H383" s="237"/>
      <c r="I383" s="243"/>
    </row>
    <row r="384" spans="1:9">
      <c r="A384" s="293">
        <v>329</v>
      </c>
      <c r="B384" s="249">
        <f t="shared" si="22"/>
        <v>0</v>
      </c>
      <c r="C384" s="249">
        <f t="shared" si="23"/>
        <v>0</v>
      </c>
      <c r="D384" s="249">
        <f t="shared" si="24"/>
        <v>0</v>
      </c>
      <c r="E384" s="249">
        <f t="shared" si="25"/>
        <v>0</v>
      </c>
      <c r="F384" s="248"/>
      <c r="G384" s="243"/>
      <c r="H384" s="237"/>
      <c r="I384" s="243"/>
    </row>
    <row r="385" spans="1:9">
      <c r="A385" s="293">
        <v>330</v>
      </c>
      <c r="B385" s="249">
        <f t="shared" si="22"/>
        <v>0</v>
      </c>
      <c r="C385" s="249">
        <f t="shared" si="23"/>
        <v>0</v>
      </c>
      <c r="D385" s="249">
        <f t="shared" si="24"/>
        <v>0</v>
      </c>
      <c r="E385" s="249">
        <f t="shared" si="25"/>
        <v>0</v>
      </c>
      <c r="F385" s="248"/>
      <c r="G385" s="292"/>
      <c r="H385" s="257"/>
      <c r="I385" s="243"/>
    </row>
    <row r="386" spans="1:9">
      <c r="A386" s="293">
        <v>331</v>
      </c>
      <c r="B386" s="249">
        <f t="shared" si="22"/>
        <v>0</v>
      </c>
      <c r="C386" s="249">
        <f t="shared" si="23"/>
        <v>0</v>
      </c>
      <c r="D386" s="249">
        <f t="shared" si="24"/>
        <v>0</v>
      </c>
      <c r="E386" s="249">
        <f t="shared" si="25"/>
        <v>0</v>
      </c>
      <c r="F386" s="248"/>
      <c r="G386" s="243"/>
      <c r="H386" s="237"/>
      <c r="I386" s="243"/>
    </row>
    <row r="387" spans="1:9">
      <c r="A387" s="293">
        <v>332</v>
      </c>
      <c r="B387" s="249">
        <f t="shared" si="22"/>
        <v>0</v>
      </c>
      <c r="C387" s="249">
        <f t="shared" si="23"/>
        <v>0</v>
      </c>
      <c r="D387" s="249">
        <f t="shared" si="24"/>
        <v>0</v>
      </c>
      <c r="E387" s="249">
        <f t="shared" si="25"/>
        <v>0</v>
      </c>
      <c r="F387" s="248"/>
      <c r="G387" s="243"/>
      <c r="H387" s="237"/>
      <c r="I387" s="243"/>
    </row>
    <row r="388" spans="1:9">
      <c r="A388" s="293">
        <v>333</v>
      </c>
      <c r="B388" s="249">
        <f t="shared" si="22"/>
        <v>0</v>
      </c>
      <c r="C388" s="249">
        <f t="shared" si="23"/>
        <v>0</v>
      </c>
      <c r="D388" s="249">
        <f t="shared" si="24"/>
        <v>0</v>
      </c>
      <c r="E388" s="249">
        <f t="shared" si="25"/>
        <v>0</v>
      </c>
      <c r="F388" s="248"/>
      <c r="G388" s="243"/>
      <c r="H388" s="237"/>
      <c r="I388" s="243"/>
    </row>
    <row r="389" spans="1:9">
      <c r="A389" s="293">
        <v>334</v>
      </c>
      <c r="B389" s="249">
        <f t="shared" si="22"/>
        <v>0</v>
      </c>
      <c r="C389" s="249">
        <f t="shared" si="23"/>
        <v>0</v>
      </c>
      <c r="D389" s="249">
        <f t="shared" si="24"/>
        <v>0</v>
      </c>
      <c r="E389" s="249">
        <f t="shared" si="25"/>
        <v>0</v>
      </c>
      <c r="F389" s="248"/>
      <c r="G389" s="243"/>
      <c r="H389" s="237"/>
      <c r="I389" s="243"/>
    </row>
    <row r="390" spans="1:9">
      <c r="A390" s="293">
        <v>335</v>
      </c>
      <c r="B390" s="249">
        <f t="shared" si="22"/>
        <v>0</v>
      </c>
      <c r="C390" s="249">
        <f t="shared" si="23"/>
        <v>0</v>
      </c>
      <c r="D390" s="249">
        <f t="shared" si="24"/>
        <v>0</v>
      </c>
      <c r="E390" s="249">
        <f t="shared" si="25"/>
        <v>0</v>
      </c>
      <c r="F390" s="248"/>
      <c r="G390" s="243"/>
      <c r="H390" s="237"/>
      <c r="I390" s="243"/>
    </row>
    <row r="391" spans="1:9">
      <c r="A391" s="293">
        <v>336</v>
      </c>
      <c r="B391" s="249">
        <f t="shared" si="22"/>
        <v>0</v>
      </c>
      <c r="C391" s="249">
        <f t="shared" si="23"/>
        <v>0</v>
      </c>
      <c r="D391" s="249">
        <f t="shared" si="24"/>
        <v>0</v>
      </c>
      <c r="E391" s="249">
        <f t="shared" si="25"/>
        <v>0</v>
      </c>
      <c r="F391" s="248">
        <v>28</v>
      </c>
      <c r="G391" s="292"/>
      <c r="H391" s="257"/>
      <c r="I391" s="292"/>
    </row>
    <row r="392" spans="1:9">
      <c r="A392" s="293">
        <v>337</v>
      </c>
      <c r="B392" s="249">
        <f t="shared" si="22"/>
        <v>0</v>
      </c>
      <c r="C392" s="249">
        <f t="shared" si="23"/>
        <v>0</v>
      </c>
      <c r="D392" s="249">
        <f t="shared" si="24"/>
        <v>0</v>
      </c>
      <c r="E392" s="249">
        <f t="shared" si="25"/>
        <v>0</v>
      </c>
      <c r="F392" s="248"/>
      <c r="G392" s="243"/>
      <c r="H392" s="237"/>
      <c r="I392" s="292"/>
    </row>
    <row r="393" spans="1:9">
      <c r="A393" s="293">
        <v>338</v>
      </c>
      <c r="B393" s="249">
        <f t="shared" si="22"/>
        <v>0</v>
      </c>
      <c r="C393" s="249">
        <f t="shared" si="23"/>
        <v>0</v>
      </c>
      <c r="D393" s="249">
        <f t="shared" si="24"/>
        <v>0</v>
      </c>
      <c r="E393" s="249">
        <f t="shared" si="25"/>
        <v>0</v>
      </c>
      <c r="F393" s="248"/>
      <c r="G393" s="243"/>
      <c r="H393" s="237"/>
      <c r="I393" s="243"/>
    </row>
    <row r="394" spans="1:9">
      <c r="A394" s="293">
        <v>339</v>
      </c>
      <c r="B394" s="249">
        <f t="shared" si="22"/>
        <v>0</v>
      </c>
      <c r="C394" s="249">
        <f t="shared" si="23"/>
        <v>0</v>
      </c>
      <c r="D394" s="249">
        <f t="shared" si="24"/>
        <v>0</v>
      </c>
      <c r="E394" s="249">
        <f t="shared" si="25"/>
        <v>0</v>
      </c>
      <c r="F394" s="248"/>
      <c r="G394" s="243"/>
      <c r="H394" s="237"/>
      <c r="I394" s="243"/>
    </row>
    <row r="395" spans="1:9">
      <c r="A395" s="293">
        <v>340</v>
      </c>
      <c r="B395" s="249">
        <f t="shared" si="22"/>
        <v>0</v>
      </c>
      <c r="C395" s="249">
        <f t="shared" si="23"/>
        <v>0</v>
      </c>
      <c r="D395" s="249">
        <f t="shared" si="24"/>
        <v>0</v>
      </c>
      <c r="E395" s="249">
        <f t="shared" si="25"/>
        <v>0</v>
      </c>
      <c r="F395" s="248"/>
      <c r="G395" s="243"/>
      <c r="H395" s="237"/>
      <c r="I395" s="243"/>
    </row>
    <row r="396" spans="1:9">
      <c r="A396" s="293">
        <v>341</v>
      </c>
      <c r="B396" s="249">
        <f t="shared" si="22"/>
        <v>0</v>
      </c>
      <c r="C396" s="249">
        <f t="shared" si="23"/>
        <v>0</v>
      </c>
      <c r="D396" s="249">
        <f t="shared" si="24"/>
        <v>0</v>
      </c>
      <c r="E396" s="249">
        <f t="shared" si="25"/>
        <v>0</v>
      </c>
      <c r="F396" s="248"/>
      <c r="G396" s="243"/>
      <c r="H396" s="237"/>
      <c r="I396" s="243"/>
    </row>
    <row r="397" spans="1:9">
      <c r="A397" s="293">
        <v>342</v>
      </c>
      <c r="B397" s="249">
        <f t="shared" si="22"/>
        <v>0</v>
      </c>
      <c r="C397" s="249">
        <f t="shared" si="23"/>
        <v>0</v>
      </c>
      <c r="D397" s="249">
        <f t="shared" si="24"/>
        <v>0</v>
      </c>
      <c r="E397" s="249">
        <f t="shared" si="25"/>
        <v>0</v>
      </c>
      <c r="F397" s="248"/>
      <c r="G397" s="292"/>
      <c r="H397" s="257"/>
      <c r="I397" s="243"/>
    </row>
    <row r="398" spans="1:9">
      <c r="A398" s="293">
        <v>343</v>
      </c>
      <c r="B398" s="249">
        <f t="shared" si="22"/>
        <v>0</v>
      </c>
      <c r="C398" s="249">
        <f t="shared" si="23"/>
        <v>0</v>
      </c>
      <c r="D398" s="249">
        <f t="shared" si="24"/>
        <v>0</v>
      </c>
      <c r="E398" s="249">
        <f t="shared" si="25"/>
        <v>0</v>
      </c>
      <c r="F398" s="248"/>
      <c r="G398" s="243"/>
      <c r="H398" s="237"/>
      <c r="I398" s="243"/>
    </row>
    <row r="399" spans="1:9">
      <c r="A399" s="293">
        <v>344</v>
      </c>
      <c r="B399" s="249">
        <f t="shared" si="22"/>
        <v>0</v>
      </c>
      <c r="C399" s="249">
        <f t="shared" si="23"/>
        <v>0</v>
      </c>
      <c r="D399" s="249">
        <f t="shared" si="24"/>
        <v>0</v>
      </c>
      <c r="E399" s="249">
        <f t="shared" si="25"/>
        <v>0</v>
      </c>
      <c r="F399" s="248"/>
      <c r="G399" s="243"/>
      <c r="H399" s="237"/>
      <c r="I399" s="243"/>
    </row>
    <row r="400" spans="1:9">
      <c r="A400" s="293">
        <v>345</v>
      </c>
      <c r="B400" s="249">
        <f t="shared" si="22"/>
        <v>0</v>
      </c>
      <c r="C400" s="249">
        <f t="shared" si="23"/>
        <v>0</v>
      </c>
      <c r="D400" s="249">
        <f t="shared" si="24"/>
        <v>0</v>
      </c>
      <c r="E400" s="249">
        <f t="shared" si="25"/>
        <v>0</v>
      </c>
      <c r="F400" s="248"/>
      <c r="G400" s="243"/>
      <c r="H400" s="237"/>
      <c r="I400" s="243"/>
    </row>
    <row r="401" spans="1:9">
      <c r="A401" s="293">
        <v>346</v>
      </c>
      <c r="B401" s="249">
        <f t="shared" si="22"/>
        <v>0</v>
      </c>
      <c r="C401" s="249">
        <f t="shared" si="23"/>
        <v>0</v>
      </c>
      <c r="D401" s="249">
        <f t="shared" si="24"/>
        <v>0</v>
      </c>
      <c r="E401" s="249">
        <f t="shared" si="25"/>
        <v>0</v>
      </c>
      <c r="F401" s="248"/>
      <c r="G401" s="243"/>
      <c r="H401" s="237"/>
      <c r="I401" s="243"/>
    </row>
    <row r="402" spans="1:9">
      <c r="A402" s="293">
        <v>347</v>
      </c>
      <c r="B402" s="249">
        <f t="shared" si="22"/>
        <v>0</v>
      </c>
      <c r="C402" s="249">
        <f t="shared" si="23"/>
        <v>0</v>
      </c>
      <c r="D402" s="249">
        <f t="shared" si="24"/>
        <v>0</v>
      </c>
      <c r="E402" s="249">
        <f t="shared" si="25"/>
        <v>0</v>
      </c>
      <c r="F402" s="248"/>
      <c r="G402" s="243"/>
      <c r="H402" s="237"/>
      <c r="I402" s="243"/>
    </row>
    <row r="403" spans="1:9">
      <c r="A403" s="293">
        <v>348</v>
      </c>
      <c r="B403" s="249">
        <f t="shared" si="22"/>
        <v>0</v>
      </c>
      <c r="C403" s="249">
        <f t="shared" si="23"/>
        <v>0</v>
      </c>
      <c r="D403" s="249">
        <f t="shared" si="24"/>
        <v>0</v>
      </c>
      <c r="E403" s="249">
        <f t="shared" si="25"/>
        <v>0</v>
      </c>
      <c r="F403" s="248">
        <v>29</v>
      </c>
      <c r="G403" s="292"/>
      <c r="H403" s="257"/>
      <c r="I403" s="292"/>
    </row>
    <row r="404" spans="1:9">
      <c r="A404" s="293">
        <v>349</v>
      </c>
      <c r="B404" s="249">
        <f t="shared" si="22"/>
        <v>0</v>
      </c>
      <c r="C404" s="249">
        <f t="shared" si="23"/>
        <v>0</v>
      </c>
      <c r="D404" s="249">
        <f t="shared" si="24"/>
        <v>0</v>
      </c>
      <c r="E404" s="249">
        <f t="shared" si="25"/>
        <v>0</v>
      </c>
      <c r="F404" s="248"/>
      <c r="G404" s="243"/>
      <c r="H404" s="237"/>
      <c r="I404" s="292"/>
    </row>
    <row r="405" spans="1:9">
      <c r="A405" s="293">
        <v>350</v>
      </c>
      <c r="B405" s="249">
        <f t="shared" si="22"/>
        <v>0</v>
      </c>
      <c r="C405" s="249">
        <f t="shared" si="23"/>
        <v>0</v>
      </c>
      <c r="D405" s="249">
        <f t="shared" si="24"/>
        <v>0</v>
      </c>
      <c r="E405" s="249">
        <f t="shared" si="25"/>
        <v>0</v>
      </c>
      <c r="F405" s="248"/>
      <c r="G405" s="243"/>
      <c r="H405" s="237"/>
      <c r="I405" s="243"/>
    </row>
    <row r="406" spans="1:9">
      <c r="A406" s="293">
        <v>351</v>
      </c>
      <c r="B406" s="249">
        <f t="shared" si="22"/>
        <v>0</v>
      </c>
      <c r="C406" s="249">
        <f t="shared" si="23"/>
        <v>0</v>
      </c>
      <c r="D406" s="249">
        <f t="shared" si="24"/>
        <v>0</v>
      </c>
      <c r="E406" s="249">
        <f t="shared" si="25"/>
        <v>0</v>
      </c>
      <c r="F406" s="248"/>
      <c r="G406" s="243"/>
      <c r="H406" s="237"/>
      <c r="I406" s="243"/>
    </row>
    <row r="407" spans="1:9">
      <c r="A407" s="293">
        <v>352</v>
      </c>
      <c r="B407" s="249">
        <f t="shared" si="22"/>
        <v>0</v>
      </c>
      <c r="C407" s="249">
        <f t="shared" si="23"/>
        <v>0</v>
      </c>
      <c r="D407" s="249">
        <f t="shared" si="24"/>
        <v>0</v>
      </c>
      <c r="E407" s="249">
        <f t="shared" si="25"/>
        <v>0</v>
      </c>
      <c r="F407" s="248"/>
      <c r="G407" s="243"/>
      <c r="H407" s="237"/>
      <c r="I407" s="243"/>
    </row>
    <row r="408" spans="1:9">
      <c r="A408" s="293">
        <v>353</v>
      </c>
      <c r="B408" s="249">
        <f t="shared" si="22"/>
        <v>0</v>
      </c>
      <c r="C408" s="249">
        <f t="shared" si="23"/>
        <v>0</v>
      </c>
      <c r="D408" s="249">
        <f t="shared" si="24"/>
        <v>0</v>
      </c>
      <c r="E408" s="249">
        <f t="shared" si="25"/>
        <v>0</v>
      </c>
      <c r="F408" s="248"/>
      <c r="G408" s="243"/>
      <c r="H408" s="237"/>
      <c r="I408" s="243"/>
    </row>
    <row r="409" spans="1:9">
      <c r="A409" s="293">
        <v>354</v>
      </c>
      <c r="B409" s="249">
        <f t="shared" si="22"/>
        <v>0</v>
      </c>
      <c r="C409" s="249">
        <f t="shared" si="23"/>
        <v>0</v>
      </c>
      <c r="D409" s="249">
        <f t="shared" si="24"/>
        <v>0</v>
      </c>
      <c r="E409" s="249">
        <f t="shared" si="25"/>
        <v>0</v>
      </c>
      <c r="F409" s="248"/>
      <c r="G409" s="292"/>
      <c r="H409" s="257"/>
      <c r="I409" s="243"/>
    </row>
    <row r="410" spans="1:9">
      <c r="A410" s="293">
        <v>355</v>
      </c>
      <c r="B410" s="249">
        <f t="shared" si="22"/>
        <v>0</v>
      </c>
      <c r="C410" s="249">
        <f t="shared" si="23"/>
        <v>0</v>
      </c>
      <c r="D410" s="249">
        <f t="shared" si="24"/>
        <v>0</v>
      </c>
      <c r="E410" s="249">
        <f t="shared" si="25"/>
        <v>0</v>
      </c>
      <c r="F410" s="248"/>
      <c r="G410" s="243"/>
      <c r="H410" s="237"/>
      <c r="I410" s="243"/>
    </row>
    <row r="411" spans="1:9">
      <c r="A411" s="293">
        <v>356</v>
      </c>
      <c r="B411" s="249">
        <f t="shared" si="22"/>
        <v>0</v>
      </c>
      <c r="C411" s="249">
        <f t="shared" si="23"/>
        <v>0</v>
      </c>
      <c r="D411" s="249">
        <f t="shared" si="24"/>
        <v>0</v>
      </c>
      <c r="E411" s="249">
        <f t="shared" si="25"/>
        <v>0</v>
      </c>
      <c r="F411" s="248"/>
      <c r="G411" s="243"/>
      <c r="H411" s="237"/>
      <c r="I411" s="243"/>
    </row>
    <row r="412" spans="1:9">
      <c r="A412" s="293">
        <v>357</v>
      </c>
      <c r="B412" s="249">
        <f t="shared" si="22"/>
        <v>0</v>
      </c>
      <c r="C412" s="249">
        <f t="shared" si="23"/>
        <v>0</v>
      </c>
      <c r="D412" s="249">
        <f t="shared" si="24"/>
        <v>0</v>
      </c>
      <c r="E412" s="249">
        <f t="shared" si="25"/>
        <v>0</v>
      </c>
      <c r="F412" s="248"/>
      <c r="G412" s="243"/>
      <c r="H412" s="237"/>
      <c r="I412" s="243"/>
    </row>
    <row r="413" spans="1:9">
      <c r="A413" s="293">
        <v>358</v>
      </c>
      <c r="B413" s="249">
        <f t="shared" si="22"/>
        <v>0</v>
      </c>
      <c r="C413" s="249">
        <f t="shared" si="23"/>
        <v>0</v>
      </c>
      <c r="D413" s="249">
        <f t="shared" si="24"/>
        <v>0</v>
      </c>
      <c r="E413" s="249">
        <f t="shared" si="25"/>
        <v>0</v>
      </c>
      <c r="F413" s="248"/>
      <c r="G413" s="243"/>
      <c r="H413" s="237"/>
      <c r="I413" s="243"/>
    </row>
    <row r="414" spans="1:9">
      <c r="A414" s="293">
        <v>359</v>
      </c>
      <c r="B414" s="249">
        <f t="shared" si="22"/>
        <v>0</v>
      </c>
      <c r="C414" s="249">
        <f t="shared" si="23"/>
        <v>0</v>
      </c>
      <c r="D414" s="249">
        <f t="shared" si="24"/>
        <v>0</v>
      </c>
      <c r="E414" s="249">
        <f t="shared" si="25"/>
        <v>0</v>
      </c>
      <c r="F414" s="248"/>
      <c r="G414" s="243"/>
      <c r="H414" s="237"/>
      <c r="I414" s="243"/>
    </row>
    <row r="415" spans="1:9">
      <c r="A415" s="293">
        <v>360</v>
      </c>
      <c r="B415" s="249">
        <f t="shared" si="22"/>
        <v>0</v>
      </c>
      <c r="C415" s="249">
        <f t="shared" si="23"/>
        <v>0</v>
      </c>
      <c r="D415" s="249">
        <f t="shared" si="24"/>
        <v>0</v>
      </c>
      <c r="E415" s="249">
        <f t="shared" si="25"/>
        <v>0</v>
      </c>
      <c r="F415" s="248">
        <v>30</v>
      </c>
      <c r="G415" s="292"/>
      <c r="H415" s="257"/>
      <c r="I415" s="292"/>
    </row>
    <row r="416" spans="1:9">
      <c r="A416" s="293">
        <v>361</v>
      </c>
      <c r="B416" s="249">
        <f t="shared" si="22"/>
        <v>0</v>
      </c>
      <c r="C416" s="249">
        <f t="shared" si="23"/>
        <v>0</v>
      </c>
      <c r="D416" s="249">
        <f t="shared" si="24"/>
        <v>0</v>
      </c>
      <c r="E416" s="249">
        <f t="shared" si="25"/>
        <v>0</v>
      </c>
      <c r="F416" s="248"/>
      <c r="G416" s="243"/>
      <c r="H416" s="237"/>
      <c r="I416" s="292"/>
    </row>
    <row r="417" spans="1:9">
      <c r="A417" s="293">
        <v>362</v>
      </c>
      <c r="B417" s="249">
        <f t="shared" si="22"/>
        <v>0</v>
      </c>
      <c r="C417" s="249">
        <f t="shared" si="23"/>
        <v>0</v>
      </c>
      <c r="D417" s="249">
        <f t="shared" si="24"/>
        <v>0</v>
      </c>
      <c r="E417" s="249">
        <f t="shared" si="25"/>
        <v>0</v>
      </c>
      <c r="F417" s="248"/>
      <c r="G417" s="243"/>
      <c r="H417" s="237"/>
      <c r="I417" s="243"/>
    </row>
    <row r="418" spans="1:9">
      <c r="A418" s="293">
        <v>363</v>
      </c>
      <c r="B418" s="249">
        <f t="shared" si="22"/>
        <v>0</v>
      </c>
      <c r="C418" s="249">
        <f t="shared" si="23"/>
        <v>0</v>
      </c>
      <c r="D418" s="249">
        <f t="shared" si="24"/>
        <v>0</v>
      </c>
      <c r="E418" s="249">
        <f t="shared" si="25"/>
        <v>0</v>
      </c>
      <c r="F418" s="248"/>
      <c r="G418" s="243"/>
      <c r="H418" s="237"/>
      <c r="I418" s="243"/>
    </row>
    <row r="419" spans="1:9">
      <c r="A419" s="293">
        <v>364</v>
      </c>
      <c r="B419" s="249">
        <f t="shared" si="22"/>
        <v>0</v>
      </c>
      <c r="C419" s="249">
        <f t="shared" si="23"/>
        <v>0</v>
      </c>
      <c r="D419" s="249">
        <f t="shared" si="24"/>
        <v>0</v>
      </c>
      <c r="E419" s="249">
        <f t="shared" si="25"/>
        <v>0</v>
      </c>
      <c r="F419" s="248"/>
      <c r="G419" s="243"/>
      <c r="H419" s="237"/>
      <c r="I419" s="243"/>
    </row>
    <row r="420" spans="1:9">
      <c r="A420" s="293">
        <v>365</v>
      </c>
      <c r="B420" s="249">
        <f t="shared" si="22"/>
        <v>0</v>
      </c>
      <c r="C420" s="249">
        <f t="shared" si="23"/>
        <v>0</v>
      </c>
      <c r="D420" s="249">
        <f t="shared" si="24"/>
        <v>0</v>
      </c>
      <c r="E420" s="249">
        <f t="shared" si="25"/>
        <v>0</v>
      </c>
      <c r="F420" s="248"/>
      <c r="G420" s="243"/>
      <c r="H420" s="237"/>
      <c r="I420" s="243"/>
    </row>
    <row r="421" spans="1:9">
      <c r="A421" s="293">
        <v>366</v>
      </c>
      <c r="B421" s="249">
        <f t="shared" si="22"/>
        <v>0</v>
      </c>
      <c r="C421" s="249">
        <f t="shared" si="23"/>
        <v>0</v>
      </c>
      <c r="D421" s="249">
        <f t="shared" si="24"/>
        <v>0</v>
      </c>
      <c r="E421" s="249">
        <f t="shared" si="25"/>
        <v>0</v>
      </c>
      <c r="F421" s="248"/>
      <c r="G421" s="292"/>
      <c r="H421" s="257"/>
      <c r="I421" s="243"/>
    </row>
    <row r="422" spans="1:9">
      <c r="A422" s="293">
        <v>367</v>
      </c>
      <c r="B422" s="249">
        <f t="shared" si="22"/>
        <v>0</v>
      </c>
      <c r="C422" s="249">
        <f t="shared" si="23"/>
        <v>0</v>
      </c>
      <c r="D422" s="249">
        <f t="shared" si="24"/>
        <v>0</v>
      </c>
      <c r="E422" s="249">
        <f t="shared" si="25"/>
        <v>0</v>
      </c>
      <c r="F422" s="248"/>
      <c r="G422" s="243"/>
      <c r="H422" s="237"/>
      <c r="I422" s="243"/>
    </row>
    <row r="423" spans="1:9">
      <c r="A423" s="293">
        <v>368</v>
      </c>
      <c r="B423" s="249">
        <f t="shared" si="22"/>
        <v>0</v>
      </c>
      <c r="C423" s="249">
        <f t="shared" si="23"/>
        <v>0</v>
      </c>
      <c r="D423" s="249">
        <f t="shared" si="24"/>
        <v>0</v>
      </c>
      <c r="E423" s="249">
        <f t="shared" si="25"/>
        <v>0</v>
      </c>
      <c r="F423" s="248"/>
      <c r="G423" s="243"/>
      <c r="H423" s="237"/>
      <c r="I423" s="243"/>
    </row>
    <row r="424" spans="1:9">
      <c r="A424" s="293">
        <v>369</v>
      </c>
      <c r="B424" s="249">
        <f t="shared" si="22"/>
        <v>0</v>
      </c>
      <c r="C424" s="249">
        <f t="shared" si="23"/>
        <v>0</v>
      </c>
      <c r="D424" s="249">
        <f t="shared" si="24"/>
        <v>0</v>
      </c>
      <c r="E424" s="249">
        <f t="shared" si="25"/>
        <v>0</v>
      </c>
      <c r="F424" s="248"/>
      <c r="G424" s="243"/>
      <c r="H424" s="237"/>
      <c r="I424" s="243"/>
    </row>
    <row r="425" spans="1:9">
      <c r="A425" s="293">
        <v>370</v>
      </c>
      <c r="B425" s="249">
        <f t="shared" si="22"/>
        <v>0</v>
      </c>
      <c r="C425" s="249">
        <f t="shared" si="23"/>
        <v>0</v>
      </c>
      <c r="D425" s="249">
        <f t="shared" si="24"/>
        <v>0</v>
      </c>
      <c r="E425" s="249">
        <f t="shared" si="25"/>
        <v>0</v>
      </c>
      <c r="F425" s="248"/>
      <c r="G425" s="243"/>
      <c r="H425" s="237"/>
      <c r="I425" s="243"/>
    </row>
    <row r="426" spans="1:9">
      <c r="A426" s="293">
        <v>371</v>
      </c>
      <c r="B426" s="249">
        <f t="shared" si="22"/>
        <v>0</v>
      </c>
      <c r="C426" s="249">
        <f t="shared" si="23"/>
        <v>0</v>
      </c>
      <c r="D426" s="249">
        <f t="shared" si="24"/>
        <v>0</v>
      </c>
      <c r="E426" s="249">
        <f t="shared" si="25"/>
        <v>0</v>
      </c>
      <c r="F426" s="248"/>
      <c r="G426" s="243"/>
      <c r="H426" s="237"/>
      <c r="I426" s="243"/>
    </row>
    <row r="427" spans="1:9">
      <c r="A427" s="293">
        <v>372</v>
      </c>
      <c r="B427" s="249">
        <f t="shared" si="22"/>
        <v>0</v>
      </c>
      <c r="C427" s="249">
        <f t="shared" si="23"/>
        <v>0</v>
      </c>
      <c r="D427" s="249">
        <f t="shared" si="24"/>
        <v>0</v>
      </c>
      <c r="E427" s="249">
        <f t="shared" si="25"/>
        <v>0</v>
      </c>
      <c r="F427" s="248">
        <v>31</v>
      </c>
      <c r="G427" s="292"/>
      <c r="H427" s="257"/>
      <c r="I427" s="292"/>
    </row>
    <row r="428" spans="1:9">
      <c r="A428" s="293">
        <v>373</v>
      </c>
      <c r="B428" s="249">
        <f t="shared" si="22"/>
        <v>0</v>
      </c>
      <c r="C428" s="249">
        <f t="shared" si="23"/>
        <v>0</v>
      </c>
      <c r="D428" s="249">
        <f t="shared" si="24"/>
        <v>0</v>
      </c>
      <c r="E428" s="249">
        <f t="shared" si="25"/>
        <v>0</v>
      </c>
      <c r="F428" s="248"/>
      <c r="G428" s="243"/>
      <c r="H428" s="237"/>
      <c r="I428" s="292"/>
    </row>
    <row r="429" spans="1:9">
      <c r="A429" s="293">
        <v>374</v>
      </c>
      <c r="B429" s="249">
        <f t="shared" si="22"/>
        <v>0</v>
      </c>
      <c r="C429" s="249">
        <f t="shared" si="23"/>
        <v>0</v>
      </c>
      <c r="D429" s="249">
        <f t="shared" si="24"/>
        <v>0</v>
      </c>
      <c r="E429" s="249">
        <f t="shared" si="25"/>
        <v>0</v>
      </c>
      <c r="F429" s="248"/>
      <c r="G429" s="243"/>
      <c r="H429" s="237"/>
      <c r="I429" s="243"/>
    </row>
    <row r="430" spans="1:9">
      <c r="A430" s="293">
        <v>375</v>
      </c>
      <c r="B430" s="249">
        <f t="shared" si="22"/>
        <v>0</v>
      </c>
      <c r="C430" s="249">
        <f t="shared" si="23"/>
        <v>0</v>
      </c>
      <c r="D430" s="249">
        <f t="shared" si="24"/>
        <v>0</v>
      </c>
      <c r="E430" s="249">
        <f t="shared" si="25"/>
        <v>0</v>
      </c>
      <c r="F430" s="248"/>
      <c r="G430" s="243"/>
      <c r="H430" s="237"/>
      <c r="I430" s="243"/>
    </row>
    <row r="431" spans="1:9">
      <c r="A431" s="293">
        <v>376</v>
      </c>
      <c r="B431" s="249">
        <f t="shared" si="22"/>
        <v>0</v>
      </c>
      <c r="C431" s="249">
        <f t="shared" si="23"/>
        <v>0</v>
      </c>
      <c r="D431" s="249">
        <f t="shared" si="24"/>
        <v>0</v>
      </c>
      <c r="E431" s="249">
        <f t="shared" si="25"/>
        <v>0</v>
      </c>
      <c r="F431" s="248"/>
      <c r="G431" s="243"/>
      <c r="H431" s="237"/>
      <c r="I431" s="243"/>
    </row>
    <row r="432" spans="1:9">
      <c r="A432" s="293">
        <v>377</v>
      </c>
      <c r="B432" s="249">
        <f t="shared" si="22"/>
        <v>0</v>
      </c>
      <c r="C432" s="249">
        <f t="shared" si="23"/>
        <v>0</v>
      </c>
      <c r="D432" s="249">
        <f t="shared" si="24"/>
        <v>0</v>
      </c>
      <c r="E432" s="249">
        <f t="shared" si="25"/>
        <v>0</v>
      </c>
      <c r="F432" s="248"/>
      <c r="G432" s="243"/>
      <c r="H432" s="237"/>
      <c r="I432" s="243"/>
    </row>
    <row r="433" spans="1:9">
      <c r="A433" s="293">
        <v>378</v>
      </c>
      <c r="B433" s="249">
        <f t="shared" si="22"/>
        <v>0</v>
      </c>
      <c r="C433" s="249">
        <f t="shared" si="23"/>
        <v>0</v>
      </c>
      <c r="D433" s="249">
        <f t="shared" si="24"/>
        <v>0</v>
      </c>
      <c r="E433" s="249">
        <f t="shared" si="25"/>
        <v>0</v>
      </c>
      <c r="F433" s="248"/>
      <c r="G433" s="292"/>
      <c r="H433" s="257"/>
      <c r="I433" s="243"/>
    </row>
    <row r="434" spans="1:9">
      <c r="A434" s="293">
        <v>379</v>
      </c>
      <c r="B434" s="249">
        <f t="shared" si="22"/>
        <v>0</v>
      </c>
      <c r="C434" s="249">
        <f t="shared" si="23"/>
        <v>0</v>
      </c>
      <c r="D434" s="249">
        <f t="shared" si="24"/>
        <v>0</v>
      </c>
      <c r="E434" s="249">
        <f t="shared" si="25"/>
        <v>0</v>
      </c>
      <c r="F434" s="248"/>
      <c r="G434" s="243"/>
      <c r="H434" s="237"/>
      <c r="I434" s="243"/>
    </row>
    <row r="435" spans="1:9">
      <c r="A435" s="293">
        <v>380</v>
      </c>
      <c r="B435" s="249">
        <f t="shared" si="22"/>
        <v>0</v>
      </c>
      <c r="C435" s="249">
        <f t="shared" si="23"/>
        <v>0</v>
      </c>
      <c r="D435" s="249">
        <f t="shared" si="24"/>
        <v>0</v>
      </c>
      <c r="E435" s="249">
        <f t="shared" si="25"/>
        <v>0</v>
      </c>
      <c r="F435" s="248"/>
      <c r="G435" s="243"/>
      <c r="H435" s="237"/>
      <c r="I435" s="243"/>
    </row>
    <row r="436" spans="1:9">
      <c r="A436" s="293">
        <v>381</v>
      </c>
      <c r="B436" s="249">
        <f t="shared" si="22"/>
        <v>0</v>
      </c>
      <c r="C436" s="249">
        <f t="shared" si="23"/>
        <v>0</v>
      </c>
      <c r="D436" s="249">
        <f t="shared" si="24"/>
        <v>0</v>
      </c>
      <c r="E436" s="249">
        <f t="shared" si="25"/>
        <v>0</v>
      </c>
      <c r="F436" s="248"/>
      <c r="G436" s="243"/>
      <c r="H436" s="237"/>
      <c r="I436" s="243"/>
    </row>
    <row r="437" spans="1:9">
      <c r="A437" s="293">
        <v>382</v>
      </c>
      <c r="B437" s="249">
        <f t="shared" si="22"/>
        <v>0</v>
      </c>
      <c r="C437" s="249">
        <f t="shared" si="23"/>
        <v>0</v>
      </c>
      <c r="D437" s="249">
        <f t="shared" si="24"/>
        <v>0</v>
      </c>
      <c r="E437" s="249">
        <f t="shared" si="25"/>
        <v>0</v>
      </c>
      <c r="F437" s="248"/>
      <c r="G437" s="243"/>
      <c r="H437" s="237"/>
      <c r="I437" s="243"/>
    </row>
    <row r="438" spans="1:9">
      <c r="A438" s="293">
        <v>383</v>
      </c>
      <c r="B438" s="249">
        <f t="shared" si="22"/>
        <v>0</v>
      </c>
      <c r="C438" s="249">
        <f t="shared" si="23"/>
        <v>0</v>
      </c>
      <c r="D438" s="249">
        <f t="shared" si="24"/>
        <v>0</v>
      </c>
      <c r="E438" s="249">
        <f t="shared" si="25"/>
        <v>0</v>
      </c>
      <c r="F438" s="248"/>
      <c r="G438" s="243"/>
      <c r="H438" s="237"/>
      <c r="I438" s="243"/>
    </row>
    <row r="439" spans="1:9">
      <c r="A439" s="293">
        <v>384</v>
      </c>
      <c r="B439" s="249">
        <f t="shared" si="22"/>
        <v>0</v>
      </c>
      <c r="C439" s="249">
        <f t="shared" si="23"/>
        <v>0</v>
      </c>
      <c r="D439" s="249">
        <f t="shared" si="24"/>
        <v>0</v>
      </c>
      <c r="E439" s="249">
        <f t="shared" si="25"/>
        <v>0</v>
      </c>
      <c r="F439" s="248">
        <v>32</v>
      </c>
      <c r="G439" s="292"/>
      <c r="H439" s="257"/>
      <c r="I439" s="292"/>
    </row>
    <row r="440" spans="1:9">
      <c r="A440" s="293">
        <v>385</v>
      </c>
      <c r="B440" s="249">
        <f t="shared" ref="B440:B503" si="26">IF(A440&gt;12*$D$14,0,$D$20)</f>
        <v>0</v>
      </c>
      <c r="C440" s="249">
        <f t="shared" ref="C440:C503" si="27">IF(A440&gt;12*$D$14,0,E439*$D$10/12)</f>
        <v>0</v>
      </c>
      <c r="D440" s="249">
        <f t="shared" ref="D440:D503" si="28">IF(A440&gt;12*$D$14,0,B440-C440)</f>
        <v>0</v>
      </c>
      <c r="E440" s="249">
        <f t="shared" ref="E440:E503" si="29">IF(A440&gt;12*$D$14,0,E439-D440)</f>
        <v>0</v>
      </c>
      <c r="F440" s="248"/>
      <c r="G440" s="243"/>
      <c r="H440" s="237"/>
      <c r="I440" s="292"/>
    </row>
    <row r="441" spans="1:9">
      <c r="A441" s="293">
        <v>386</v>
      </c>
      <c r="B441" s="249">
        <f t="shared" si="26"/>
        <v>0</v>
      </c>
      <c r="C441" s="249">
        <f t="shared" si="27"/>
        <v>0</v>
      </c>
      <c r="D441" s="249">
        <f t="shared" si="28"/>
        <v>0</v>
      </c>
      <c r="E441" s="249">
        <f t="shared" si="29"/>
        <v>0</v>
      </c>
      <c r="F441" s="248"/>
      <c r="G441" s="243"/>
      <c r="H441" s="237"/>
      <c r="I441" s="243"/>
    </row>
    <row r="442" spans="1:9">
      <c r="A442" s="293">
        <v>387</v>
      </c>
      <c r="B442" s="249">
        <f t="shared" si="26"/>
        <v>0</v>
      </c>
      <c r="C442" s="249">
        <f t="shared" si="27"/>
        <v>0</v>
      </c>
      <c r="D442" s="249">
        <f t="shared" si="28"/>
        <v>0</v>
      </c>
      <c r="E442" s="249">
        <f t="shared" si="29"/>
        <v>0</v>
      </c>
      <c r="F442" s="248"/>
      <c r="G442" s="243"/>
      <c r="H442" s="237"/>
      <c r="I442" s="243"/>
    </row>
    <row r="443" spans="1:9">
      <c r="A443" s="293">
        <v>388</v>
      </c>
      <c r="B443" s="249">
        <f t="shared" si="26"/>
        <v>0</v>
      </c>
      <c r="C443" s="249">
        <f t="shared" si="27"/>
        <v>0</v>
      </c>
      <c r="D443" s="249">
        <f t="shared" si="28"/>
        <v>0</v>
      </c>
      <c r="E443" s="249">
        <f t="shared" si="29"/>
        <v>0</v>
      </c>
      <c r="F443" s="248"/>
      <c r="G443" s="243"/>
      <c r="H443" s="237"/>
      <c r="I443" s="243"/>
    </row>
    <row r="444" spans="1:9">
      <c r="A444" s="293">
        <v>389</v>
      </c>
      <c r="B444" s="249">
        <f t="shared" si="26"/>
        <v>0</v>
      </c>
      <c r="C444" s="249">
        <f t="shared" si="27"/>
        <v>0</v>
      </c>
      <c r="D444" s="249">
        <f t="shared" si="28"/>
        <v>0</v>
      </c>
      <c r="E444" s="249">
        <f t="shared" si="29"/>
        <v>0</v>
      </c>
      <c r="F444" s="248"/>
      <c r="G444" s="243"/>
      <c r="H444" s="237"/>
      <c r="I444" s="243"/>
    </row>
    <row r="445" spans="1:9">
      <c r="A445" s="293">
        <v>390</v>
      </c>
      <c r="B445" s="249">
        <f t="shared" si="26"/>
        <v>0</v>
      </c>
      <c r="C445" s="249">
        <f t="shared" si="27"/>
        <v>0</v>
      </c>
      <c r="D445" s="249">
        <f t="shared" si="28"/>
        <v>0</v>
      </c>
      <c r="E445" s="249">
        <f t="shared" si="29"/>
        <v>0</v>
      </c>
      <c r="F445" s="248"/>
      <c r="G445" s="292"/>
      <c r="H445" s="257"/>
      <c r="I445" s="243"/>
    </row>
    <row r="446" spans="1:9">
      <c r="A446" s="293">
        <v>391</v>
      </c>
      <c r="B446" s="249">
        <f t="shared" si="26"/>
        <v>0</v>
      </c>
      <c r="C446" s="249">
        <f t="shared" si="27"/>
        <v>0</v>
      </c>
      <c r="D446" s="249">
        <f t="shared" si="28"/>
        <v>0</v>
      </c>
      <c r="E446" s="249">
        <f t="shared" si="29"/>
        <v>0</v>
      </c>
      <c r="F446" s="248"/>
      <c r="G446" s="243"/>
      <c r="H446" s="237"/>
      <c r="I446" s="243"/>
    </row>
    <row r="447" spans="1:9">
      <c r="A447" s="293">
        <v>392</v>
      </c>
      <c r="B447" s="249">
        <f t="shared" si="26"/>
        <v>0</v>
      </c>
      <c r="C447" s="249">
        <f t="shared" si="27"/>
        <v>0</v>
      </c>
      <c r="D447" s="249">
        <f t="shared" si="28"/>
        <v>0</v>
      </c>
      <c r="E447" s="249">
        <f t="shared" si="29"/>
        <v>0</v>
      </c>
      <c r="F447" s="248"/>
      <c r="G447" s="243"/>
      <c r="H447" s="237"/>
      <c r="I447" s="243"/>
    </row>
    <row r="448" spans="1:9">
      <c r="A448" s="293">
        <v>393</v>
      </c>
      <c r="B448" s="249">
        <f t="shared" si="26"/>
        <v>0</v>
      </c>
      <c r="C448" s="249">
        <f t="shared" si="27"/>
        <v>0</v>
      </c>
      <c r="D448" s="249">
        <f t="shared" si="28"/>
        <v>0</v>
      </c>
      <c r="E448" s="249">
        <f t="shared" si="29"/>
        <v>0</v>
      </c>
      <c r="F448" s="248"/>
      <c r="G448" s="243"/>
      <c r="H448" s="237"/>
      <c r="I448" s="243"/>
    </row>
    <row r="449" spans="1:9">
      <c r="A449" s="293">
        <v>394</v>
      </c>
      <c r="B449" s="249">
        <f t="shared" si="26"/>
        <v>0</v>
      </c>
      <c r="C449" s="249">
        <f t="shared" si="27"/>
        <v>0</v>
      </c>
      <c r="D449" s="249">
        <f t="shared" si="28"/>
        <v>0</v>
      </c>
      <c r="E449" s="249">
        <f t="shared" si="29"/>
        <v>0</v>
      </c>
      <c r="F449" s="248"/>
      <c r="G449" s="243"/>
      <c r="H449" s="237"/>
      <c r="I449" s="243"/>
    </row>
    <row r="450" spans="1:9">
      <c r="A450" s="293">
        <v>395</v>
      </c>
      <c r="B450" s="249">
        <f t="shared" si="26"/>
        <v>0</v>
      </c>
      <c r="C450" s="249">
        <f t="shared" si="27"/>
        <v>0</v>
      </c>
      <c r="D450" s="249">
        <f t="shared" si="28"/>
        <v>0</v>
      </c>
      <c r="E450" s="249">
        <f t="shared" si="29"/>
        <v>0</v>
      </c>
      <c r="F450" s="248"/>
      <c r="G450" s="243"/>
      <c r="H450" s="237"/>
      <c r="I450" s="243"/>
    </row>
    <row r="451" spans="1:9">
      <c r="A451" s="293">
        <v>396</v>
      </c>
      <c r="B451" s="249">
        <f t="shared" si="26"/>
        <v>0</v>
      </c>
      <c r="C451" s="249">
        <f t="shared" si="27"/>
        <v>0</v>
      </c>
      <c r="D451" s="249">
        <f t="shared" si="28"/>
        <v>0</v>
      </c>
      <c r="E451" s="249">
        <f t="shared" si="29"/>
        <v>0</v>
      </c>
      <c r="F451" s="248">
        <v>33</v>
      </c>
      <c r="G451" s="292"/>
      <c r="H451" s="257"/>
      <c r="I451" s="292"/>
    </row>
    <row r="452" spans="1:9">
      <c r="A452" s="293">
        <v>397</v>
      </c>
      <c r="B452" s="249">
        <f t="shared" si="26"/>
        <v>0</v>
      </c>
      <c r="C452" s="249">
        <f t="shared" si="27"/>
        <v>0</v>
      </c>
      <c r="D452" s="249">
        <f t="shared" si="28"/>
        <v>0</v>
      </c>
      <c r="E452" s="249">
        <f t="shared" si="29"/>
        <v>0</v>
      </c>
      <c r="F452" s="248"/>
      <c r="G452" s="243"/>
      <c r="H452" s="237"/>
      <c r="I452" s="292"/>
    </row>
    <row r="453" spans="1:9">
      <c r="A453" s="293">
        <v>398</v>
      </c>
      <c r="B453" s="249">
        <f t="shared" si="26"/>
        <v>0</v>
      </c>
      <c r="C453" s="249">
        <f t="shared" si="27"/>
        <v>0</v>
      </c>
      <c r="D453" s="249">
        <f t="shared" si="28"/>
        <v>0</v>
      </c>
      <c r="E453" s="249">
        <f t="shared" si="29"/>
        <v>0</v>
      </c>
      <c r="F453" s="248"/>
      <c r="G453" s="243"/>
      <c r="H453" s="237"/>
      <c r="I453" s="243"/>
    </row>
    <row r="454" spans="1:9">
      <c r="A454" s="293">
        <v>399</v>
      </c>
      <c r="B454" s="249">
        <f t="shared" si="26"/>
        <v>0</v>
      </c>
      <c r="C454" s="249">
        <f t="shared" si="27"/>
        <v>0</v>
      </c>
      <c r="D454" s="249">
        <f t="shared" si="28"/>
        <v>0</v>
      </c>
      <c r="E454" s="249">
        <f t="shared" si="29"/>
        <v>0</v>
      </c>
      <c r="F454" s="248"/>
      <c r="G454" s="243"/>
      <c r="H454" s="237"/>
      <c r="I454" s="243"/>
    </row>
    <row r="455" spans="1:9">
      <c r="A455" s="293">
        <v>400</v>
      </c>
      <c r="B455" s="249">
        <f t="shared" si="26"/>
        <v>0</v>
      </c>
      <c r="C455" s="249">
        <f t="shared" si="27"/>
        <v>0</v>
      </c>
      <c r="D455" s="249">
        <f t="shared" si="28"/>
        <v>0</v>
      </c>
      <c r="E455" s="249">
        <f t="shared" si="29"/>
        <v>0</v>
      </c>
      <c r="F455" s="248"/>
      <c r="G455" s="243"/>
      <c r="H455" s="237"/>
      <c r="I455" s="243"/>
    </row>
    <row r="456" spans="1:9">
      <c r="A456" s="293">
        <v>401</v>
      </c>
      <c r="B456" s="249">
        <f t="shared" si="26"/>
        <v>0</v>
      </c>
      <c r="C456" s="249">
        <f t="shared" si="27"/>
        <v>0</v>
      </c>
      <c r="D456" s="249">
        <f t="shared" si="28"/>
        <v>0</v>
      </c>
      <c r="E456" s="249">
        <f t="shared" si="29"/>
        <v>0</v>
      </c>
      <c r="F456" s="248"/>
      <c r="G456" s="243"/>
      <c r="H456" s="237"/>
      <c r="I456" s="243"/>
    </row>
    <row r="457" spans="1:9">
      <c r="A457" s="293">
        <v>402</v>
      </c>
      <c r="B457" s="249">
        <f t="shared" si="26"/>
        <v>0</v>
      </c>
      <c r="C457" s="249">
        <f t="shared" si="27"/>
        <v>0</v>
      </c>
      <c r="D457" s="249">
        <f t="shared" si="28"/>
        <v>0</v>
      </c>
      <c r="E457" s="249">
        <f t="shared" si="29"/>
        <v>0</v>
      </c>
      <c r="F457" s="248"/>
      <c r="G457" s="292"/>
      <c r="H457" s="257"/>
      <c r="I457" s="243"/>
    </row>
    <row r="458" spans="1:9">
      <c r="A458" s="293">
        <v>403</v>
      </c>
      <c r="B458" s="249">
        <f t="shared" si="26"/>
        <v>0</v>
      </c>
      <c r="C458" s="249">
        <f t="shared" si="27"/>
        <v>0</v>
      </c>
      <c r="D458" s="249">
        <f t="shared" si="28"/>
        <v>0</v>
      </c>
      <c r="E458" s="249">
        <f t="shared" si="29"/>
        <v>0</v>
      </c>
      <c r="F458" s="248"/>
      <c r="G458" s="243"/>
      <c r="H458" s="237"/>
      <c r="I458" s="243"/>
    </row>
    <row r="459" spans="1:9">
      <c r="A459" s="293">
        <v>404</v>
      </c>
      <c r="B459" s="249">
        <f t="shared" si="26"/>
        <v>0</v>
      </c>
      <c r="C459" s="249">
        <f t="shared" si="27"/>
        <v>0</v>
      </c>
      <c r="D459" s="249">
        <f t="shared" si="28"/>
        <v>0</v>
      </c>
      <c r="E459" s="249">
        <f t="shared" si="29"/>
        <v>0</v>
      </c>
      <c r="F459" s="248"/>
      <c r="G459" s="243"/>
      <c r="H459" s="237"/>
      <c r="I459" s="243"/>
    </row>
    <row r="460" spans="1:9">
      <c r="A460" s="293">
        <v>405</v>
      </c>
      <c r="B460" s="249">
        <f t="shared" si="26"/>
        <v>0</v>
      </c>
      <c r="C460" s="249">
        <f t="shared" si="27"/>
        <v>0</v>
      </c>
      <c r="D460" s="249">
        <f t="shared" si="28"/>
        <v>0</v>
      </c>
      <c r="E460" s="249">
        <f t="shared" si="29"/>
        <v>0</v>
      </c>
      <c r="F460" s="248"/>
      <c r="G460" s="243"/>
      <c r="H460" s="237"/>
      <c r="I460" s="243"/>
    </row>
    <row r="461" spans="1:9">
      <c r="A461" s="293">
        <v>406</v>
      </c>
      <c r="B461" s="249">
        <f t="shared" si="26"/>
        <v>0</v>
      </c>
      <c r="C461" s="249">
        <f t="shared" si="27"/>
        <v>0</v>
      </c>
      <c r="D461" s="249">
        <f t="shared" si="28"/>
        <v>0</v>
      </c>
      <c r="E461" s="249">
        <f t="shared" si="29"/>
        <v>0</v>
      </c>
      <c r="F461" s="248"/>
      <c r="G461" s="243"/>
      <c r="H461" s="237"/>
      <c r="I461" s="243"/>
    </row>
    <row r="462" spans="1:9">
      <c r="A462" s="293">
        <v>407</v>
      </c>
      <c r="B462" s="249">
        <f t="shared" si="26"/>
        <v>0</v>
      </c>
      <c r="C462" s="249">
        <f t="shared" si="27"/>
        <v>0</v>
      </c>
      <c r="D462" s="249">
        <f t="shared" si="28"/>
        <v>0</v>
      </c>
      <c r="E462" s="249">
        <f t="shared" si="29"/>
        <v>0</v>
      </c>
      <c r="F462" s="248"/>
      <c r="G462" s="243"/>
      <c r="H462" s="237"/>
      <c r="I462" s="243"/>
    </row>
    <row r="463" spans="1:9">
      <c r="A463" s="293">
        <v>408</v>
      </c>
      <c r="B463" s="249">
        <f t="shared" si="26"/>
        <v>0</v>
      </c>
      <c r="C463" s="249">
        <f t="shared" si="27"/>
        <v>0</v>
      </c>
      <c r="D463" s="249">
        <f t="shared" si="28"/>
        <v>0</v>
      </c>
      <c r="E463" s="249">
        <f t="shared" si="29"/>
        <v>0</v>
      </c>
      <c r="F463" s="248">
        <v>34</v>
      </c>
      <c r="G463" s="292"/>
      <c r="H463" s="257"/>
      <c r="I463" s="292"/>
    </row>
    <row r="464" spans="1:9">
      <c r="A464" s="293">
        <v>409</v>
      </c>
      <c r="B464" s="249">
        <f t="shared" si="26"/>
        <v>0</v>
      </c>
      <c r="C464" s="249">
        <f t="shared" si="27"/>
        <v>0</v>
      </c>
      <c r="D464" s="249">
        <f t="shared" si="28"/>
        <v>0</v>
      </c>
      <c r="E464" s="249">
        <f t="shared" si="29"/>
        <v>0</v>
      </c>
      <c r="F464" s="248"/>
      <c r="G464" s="243"/>
      <c r="H464" s="237"/>
      <c r="I464" s="292"/>
    </row>
    <row r="465" spans="1:9">
      <c r="A465" s="293">
        <v>410</v>
      </c>
      <c r="B465" s="249">
        <f t="shared" si="26"/>
        <v>0</v>
      </c>
      <c r="C465" s="249">
        <f t="shared" si="27"/>
        <v>0</v>
      </c>
      <c r="D465" s="249">
        <f t="shared" si="28"/>
        <v>0</v>
      </c>
      <c r="E465" s="249">
        <f t="shared" si="29"/>
        <v>0</v>
      </c>
      <c r="F465" s="248"/>
      <c r="G465" s="243"/>
      <c r="H465" s="237"/>
      <c r="I465" s="243"/>
    </row>
    <row r="466" spans="1:9">
      <c r="A466" s="293">
        <v>411</v>
      </c>
      <c r="B466" s="249">
        <f t="shared" si="26"/>
        <v>0</v>
      </c>
      <c r="C466" s="249">
        <f t="shared" si="27"/>
        <v>0</v>
      </c>
      <c r="D466" s="249">
        <f t="shared" si="28"/>
        <v>0</v>
      </c>
      <c r="E466" s="249">
        <f t="shared" si="29"/>
        <v>0</v>
      </c>
      <c r="F466" s="248"/>
      <c r="G466" s="243"/>
      <c r="H466" s="237"/>
      <c r="I466" s="243"/>
    </row>
    <row r="467" spans="1:9">
      <c r="A467" s="293">
        <v>412</v>
      </c>
      <c r="B467" s="249">
        <f t="shared" si="26"/>
        <v>0</v>
      </c>
      <c r="C467" s="249">
        <f t="shared" si="27"/>
        <v>0</v>
      </c>
      <c r="D467" s="249">
        <f t="shared" si="28"/>
        <v>0</v>
      </c>
      <c r="E467" s="249">
        <f t="shared" si="29"/>
        <v>0</v>
      </c>
      <c r="F467" s="248"/>
      <c r="G467" s="243"/>
      <c r="H467" s="237"/>
      <c r="I467" s="243"/>
    </row>
    <row r="468" spans="1:9">
      <c r="A468" s="293">
        <v>413</v>
      </c>
      <c r="B468" s="249">
        <f t="shared" si="26"/>
        <v>0</v>
      </c>
      <c r="C468" s="249">
        <f t="shared" si="27"/>
        <v>0</v>
      </c>
      <c r="D468" s="249">
        <f t="shared" si="28"/>
        <v>0</v>
      </c>
      <c r="E468" s="249">
        <f t="shared" si="29"/>
        <v>0</v>
      </c>
      <c r="F468" s="248"/>
      <c r="G468" s="243"/>
      <c r="H468" s="237"/>
      <c r="I468" s="243"/>
    </row>
    <row r="469" spans="1:9">
      <c r="A469" s="293">
        <v>414</v>
      </c>
      <c r="B469" s="249">
        <f t="shared" si="26"/>
        <v>0</v>
      </c>
      <c r="C469" s="249">
        <f t="shared" si="27"/>
        <v>0</v>
      </c>
      <c r="D469" s="249">
        <f t="shared" si="28"/>
        <v>0</v>
      </c>
      <c r="E469" s="249">
        <f t="shared" si="29"/>
        <v>0</v>
      </c>
      <c r="F469" s="248"/>
      <c r="G469" s="292"/>
      <c r="H469" s="257"/>
      <c r="I469" s="243"/>
    </row>
    <row r="470" spans="1:9">
      <c r="A470" s="293">
        <v>415</v>
      </c>
      <c r="B470" s="249">
        <f t="shared" si="26"/>
        <v>0</v>
      </c>
      <c r="C470" s="249">
        <f t="shared" si="27"/>
        <v>0</v>
      </c>
      <c r="D470" s="249">
        <f t="shared" si="28"/>
        <v>0</v>
      </c>
      <c r="E470" s="249">
        <f t="shared" si="29"/>
        <v>0</v>
      </c>
      <c r="F470" s="248"/>
      <c r="G470" s="243"/>
      <c r="H470" s="237"/>
      <c r="I470" s="243"/>
    </row>
    <row r="471" spans="1:9">
      <c r="A471" s="293">
        <v>416</v>
      </c>
      <c r="B471" s="249">
        <f t="shared" si="26"/>
        <v>0</v>
      </c>
      <c r="C471" s="249">
        <f t="shared" si="27"/>
        <v>0</v>
      </c>
      <c r="D471" s="249">
        <f t="shared" si="28"/>
        <v>0</v>
      </c>
      <c r="E471" s="249">
        <f t="shared" si="29"/>
        <v>0</v>
      </c>
      <c r="F471" s="248"/>
      <c r="G471" s="243"/>
      <c r="H471" s="237"/>
      <c r="I471" s="243"/>
    </row>
    <row r="472" spans="1:9">
      <c r="A472" s="293">
        <v>417</v>
      </c>
      <c r="B472" s="249">
        <f t="shared" si="26"/>
        <v>0</v>
      </c>
      <c r="C472" s="249">
        <f t="shared" si="27"/>
        <v>0</v>
      </c>
      <c r="D472" s="249">
        <f t="shared" si="28"/>
        <v>0</v>
      </c>
      <c r="E472" s="249">
        <f t="shared" si="29"/>
        <v>0</v>
      </c>
      <c r="F472" s="248"/>
      <c r="G472" s="243"/>
      <c r="H472" s="237"/>
      <c r="I472" s="243"/>
    </row>
    <row r="473" spans="1:9">
      <c r="A473" s="293">
        <v>418</v>
      </c>
      <c r="B473" s="249">
        <f t="shared" si="26"/>
        <v>0</v>
      </c>
      <c r="C473" s="249">
        <f t="shared" si="27"/>
        <v>0</v>
      </c>
      <c r="D473" s="249">
        <f t="shared" si="28"/>
        <v>0</v>
      </c>
      <c r="E473" s="249">
        <f t="shared" si="29"/>
        <v>0</v>
      </c>
      <c r="F473" s="248"/>
      <c r="G473" s="243"/>
      <c r="H473" s="237"/>
      <c r="I473" s="243"/>
    </row>
    <row r="474" spans="1:9">
      <c r="A474" s="293">
        <v>419</v>
      </c>
      <c r="B474" s="249">
        <f t="shared" si="26"/>
        <v>0</v>
      </c>
      <c r="C474" s="249">
        <f t="shared" si="27"/>
        <v>0</v>
      </c>
      <c r="D474" s="249">
        <f t="shared" si="28"/>
        <v>0</v>
      </c>
      <c r="E474" s="249">
        <f t="shared" si="29"/>
        <v>0</v>
      </c>
      <c r="F474" s="248"/>
      <c r="G474" s="243"/>
      <c r="H474" s="237"/>
      <c r="I474" s="243"/>
    </row>
    <row r="475" spans="1:9">
      <c r="A475" s="293">
        <v>420</v>
      </c>
      <c r="B475" s="249">
        <f t="shared" si="26"/>
        <v>0</v>
      </c>
      <c r="C475" s="249">
        <f t="shared" si="27"/>
        <v>0</v>
      </c>
      <c r="D475" s="249">
        <f t="shared" si="28"/>
        <v>0</v>
      </c>
      <c r="E475" s="249">
        <f t="shared" si="29"/>
        <v>0</v>
      </c>
      <c r="F475" s="248">
        <v>35</v>
      </c>
      <c r="G475" s="292"/>
      <c r="H475" s="257"/>
      <c r="I475" s="292"/>
    </row>
    <row r="476" spans="1:9">
      <c r="A476" s="293">
        <v>421</v>
      </c>
      <c r="B476" s="249">
        <f t="shared" si="26"/>
        <v>0</v>
      </c>
      <c r="C476" s="249">
        <f t="shared" si="27"/>
        <v>0</v>
      </c>
      <c r="D476" s="249">
        <f t="shared" si="28"/>
        <v>0</v>
      </c>
      <c r="E476" s="249">
        <f t="shared" si="29"/>
        <v>0</v>
      </c>
      <c r="F476" s="248"/>
      <c r="G476" s="243"/>
      <c r="H476" s="237"/>
      <c r="I476" s="292"/>
    </row>
    <row r="477" spans="1:9">
      <c r="A477" s="293">
        <v>422</v>
      </c>
      <c r="B477" s="249">
        <f t="shared" si="26"/>
        <v>0</v>
      </c>
      <c r="C477" s="249">
        <f t="shared" si="27"/>
        <v>0</v>
      </c>
      <c r="D477" s="249">
        <f t="shared" si="28"/>
        <v>0</v>
      </c>
      <c r="E477" s="249">
        <f t="shared" si="29"/>
        <v>0</v>
      </c>
      <c r="F477" s="248"/>
      <c r="G477" s="243"/>
      <c r="H477" s="237"/>
      <c r="I477" s="243"/>
    </row>
    <row r="478" spans="1:9">
      <c r="A478" s="293">
        <v>423</v>
      </c>
      <c r="B478" s="249">
        <f t="shared" si="26"/>
        <v>0</v>
      </c>
      <c r="C478" s="249">
        <f t="shared" si="27"/>
        <v>0</v>
      </c>
      <c r="D478" s="249">
        <f t="shared" si="28"/>
        <v>0</v>
      </c>
      <c r="E478" s="249">
        <f t="shared" si="29"/>
        <v>0</v>
      </c>
      <c r="F478" s="248"/>
      <c r="G478" s="243"/>
      <c r="H478" s="237"/>
      <c r="I478" s="243"/>
    </row>
    <row r="479" spans="1:9">
      <c r="A479" s="293">
        <v>424</v>
      </c>
      <c r="B479" s="249">
        <f t="shared" si="26"/>
        <v>0</v>
      </c>
      <c r="C479" s="249">
        <f t="shared" si="27"/>
        <v>0</v>
      </c>
      <c r="D479" s="249">
        <f t="shared" si="28"/>
        <v>0</v>
      </c>
      <c r="E479" s="249">
        <f t="shared" si="29"/>
        <v>0</v>
      </c>
      <c r="F479" s="248"/>
      <c r="G479" s="243"/>
      <c r="H479" s="237"/>
      <c r="I479" s="243"/>
    </row>
    <row r="480" spans="1:9">
      <c r="A480" s="293">
        <v>425</v>
      </c>
      <c r="B480" s="249">
        <f t="shared" si="26"/>
        <v>0</v>
      </c>
      <c r="C480" s="249">
        <f t="shared" si="27"/>
        <v>0</v>
      </c>
      <c r="D480" s="249">
        <f t="shared" si="28"/>
        <v>0</v>
      </c>
      <c r="E480" s="249">
        <f t="shared" si="29"/>
        <v>0</v>
      </c>
      <c r="F480" s="248"/>
      <c r="G480" s="243"/>
      <c r="H480" s="237"/>
      <c r="I480" s="243"/>
    </row>
    <row r="481" spans="1:9">
      <c r="A481" s="293">
        <v>426</v>
      </c>
      <c r="B481" s="249">
        <f t="shared" si="26"/>
        <v>0</v>
      </c>
      <c r="C481" s="249">
        <f t="shared" si="27"/>
        <v>0</v>
      </c>
      <c r="D481" s="249">
        <f t="shared" si="28"/>
        <v>0</v>
      </c>
      <c r="E481" s="249">
        <f t="shared" si="29"/>
        <v>0</v>
      </c>
      <c r="F481" s="248"/>
      <c r="G481" s="292"/>
      <c r="H481" s="257"/>
      <c r="I481" s="243"/>
    </row>
    <row r="482" spans="1:9">
      <c r="A482" s="293">
        <v>427</v>
      </c>
      <c r="B482" s="249">
        <f t="shared" si="26"/>
        <v>0</v>
      </c>
      <c r="C482" s="249">
        <f t="shared" si="27"/>
        <v>0</v>
      </c>
      <c r="D482" s="249">
        <f t="shared" si="28"/>
        <v>0</v>
      </c>
      <c r="E482" s="249">
        <f t="shared" si="29"/>
        <v>0</v>
      </c>
      <c r="F482" s="248"/>
      <c r="G482" s="243"/>
      <c r="H482" s="237"/>
      <c r="I482" s="243"/>
    </row>
    <row r="483" spans="1:9">
      <c r="A483" s="293">
        <v>428</v>
      </c>
      <c r="B483" s="249">
        <f t="shared" si="26"/>
        <v>0</v>
      </c>
      <c r="C483" s="249">
        <f t="shared" si="27"/>
        <v>0</v>
      </c>
      <c r="D483" s="249">
        <f t="shared" si="28"/>
        <v>0</v>
      </c>
      <c r="E483" s="249">
        <f t="shared" si="29"/>
        <v>0</v>
      </c>
      <c r="F483" s="248"/>
      <c r="G483" s="243"/>
      <c r="H483" s="237"/>
      <c r="I483" s="243"/>
    </row>
    <row r="484" spans="1:9">
      <c r="A484" s="293">
        <v>429</v>
      </c>
      <c r="B484" s="249">
        <f t="shared" si="26"/>
        <v>0</v>
      </c>
      <c r="C484" s="249">
        <f t="shared" si="27"/>
        <v>0</v>
      </c>
      <c r="D484" s="249">
        <f t="shared" si="28"/>
        <v>0</v>
      </c>
      <c r="E484" s="249">
        <f t="shared" si="29"/>
        <v>0</v>
      </c>
      <c r="F484" s="248"/>
      <c r="G484" s="243"/>
      <c r="H484" s="237"/>
      <c r="I484" s="243"/>
    </row>
    <row r="485" spans="1:9">
      <c r="A485" s="293">
        <v>430</v>
      </c>
      <c r="B485" s="249">
        <f t="shared" si="26"/>
        <v>0</v>
      </c>
      <c r="C485" s="249">
        <f t="shared" si="27"/>
        <v>0</v>
      </c>
      <c r="D485" s="249">
        <f t="shared" si="28"/>
        <v>0</v>
      </c>
      <c r="E485" s="249">
        <f t="shared" si="29"/>
        <v>0</v>
      </c>
      <c r="F485" s="248"/>
      <c r="G485" s="243"/>
      <c r="H485" s="237"/>
      <c r="I485" s="243"/>
    </row>
    <row r="486" spans="1:9">
      <c r="A486" s="293">
        <v>431</v>
      </c>
      <c r="B486" s="249">
        <f t="shared" si="26"/>
        <v>0</v>
      </c>
      <c r="C486" s="249">
        <f t="shared" si="27"/>
        <v>0</v>
      </c>
      <c r="D486" s="249">
        <f t="shared" si="28"/>
        <v>0</v>
      </c>
      <c r="E486" s="249">
        <f t="shared" si="29"/>
        <v>0</v>
      </c>
      <c r="F486" s="248"/>
      <c r="G486" s="243"/>
      <c r="H486" s="237"/>
      <c r="I486" s="243"/>
    </row>
    <row r="487" spans="1:9">
      <c r="A487" s="293">
        <v>432</v>
      </c>
      <c r="B487" s="249">
        <f t="shared" si="26"/>
        <v>0</v>
      </c>
      <c r="C487" s="249">
        <f t="shared" si="27"/>
        <v>0</v>
      </c>
      <c r="D487" s="249">
        <f t="shared" si="28"/>
        <v>0</v>
      </c>
      <c r="E487" s="249">
        <f t="shared" si="29"/>
        <v>0</v>
      </c>
      <c r="F487" s="248">
        <v>36</v>
      </c>
      <c r="G487" s="292"/>
      <c r="H487" s="257"/>
      <c r="I487" s="292"/>
    </row>
    <row r="488" spans="1:9">
      <c r="A488" s="293">
        <v>433</v>
      </c>
      <c r="B488" s="249">
        <f t="shared" si="26"/>
        <v>0</v>
      </c>
      <c r="C488" s="249">
        <f t="shared" si="27"/>
        <v>0</v>
      </c>
      <c r="D488" s="249">
        <f t="shared" si="28"/>
        <v>0</v>
      </c>
      <c r="E488" s="249">
        <f t="shared" si="29"/>
        <v>0</v>
      </c>
      <c r="F488" s="248"/>
      <c r="G488" s="243"/>
      <c r="H488" s="237"/>
      <c r="I488" s="292"/>
    </row>
    <row r="489" spans="1:9">
      <c r="A489" s="293">
        <v>434</v>
      </c>
      <c r="B489" s="249">
        <f t="shared" si="26"/>
        <v>0</v>
      </c>
      <c r="C489" s="249">
        <f t="shared" si="27"/>
        <v>0</v>
      </c>
      <c r="D489" s="249">
        <f t="shared" si="28"/>
        <v>0</v>
      </c>
      <c r="E489" s="249">
        <f t="shared" si="29"/>
        <v>0</v>
      </c>
      <c r="F489" s="248"/>
      <c r="G489" s="243"/>
      <c r="H489" s="237"/>
      <c r="I489" s="243"/>
    </row>
    <row r="490" spans="1:9">
      <c r="A490" s="293">
        <v>435</v>
      </c>
      <c r="B490" s="249">
        <f t="shared" si="26"/>
        <v>0</v>
      </c>
      <c r="C490" s="249">
        <f t="shared" si="27"/>
        <v>0</v>
      </c>
      <c r="D490" s="249">
        <f t="shared" si="28"/>
        <v>0</v>
      </c>
      <c r="E490" s="249">
        <f t="shared" si="29"/>
        <v>0</v>
      </c>
      <c r="F490" s="248"/>
      <c r="G490" s="243"/>
      <c r="H490" s="237"/>
      <c r="I490" s="243"/>
    </row>
    <row r="491" spans="1:9">
      <c r="A491" s="293">
        <v>436</v>
      </c>
      <c r="B491" s="249">
        <f t="shared" si="26"/>
        <v>0</v>
      </c>
      <c r="C491" s="249">
        <f t="shared" si="27"/>
        <v>0</v>
      </c>
      <c r="D491" s="249">
        <f t="shared" si="28"/>
        <v>0</v>
      </c>
      <c r="E491" s="249">
        <f t="shared" si="29"/>
        <v>0</v>
      </c>
      <c r="F491" s="248"/>
      <c r="G491" s="243"/>
      <c r="H491" s="237"/>
      <c r="I491" s="243"/>
    </row>
    <row r="492" spans="1:9">
      <c r="A492" s="293">
        <v>437</v>
      </c>
      <c r="B492" s="249">
        <f t="shared" si="26"/>
        <v>0</v>
      </c>
      <c r="C492" s="249">
        <f t="shared" si="27"/>
        <v>0</v>
      </c>
      <c r="D492" s="249">
        <f t="shared" si="28"/>
        <v>0</v>
      </c>
      <c r="E492" s="249">
        <f t="shared" si="29"/>
        <v>0</v>
      </c>
      <c r="F492" s="248"/>
      <c r="G492" s="243"/>
      <c r="H492" s="237"/>
      <c r="I492" s="243"/>
    </row>
    <row r="493" spans="1:9">
      <c r="A493" s="293">
        <v>438</v>
      </c>
      <c r="B493" s="249">
        <f t="shared" si="26"/>
        <v>0</v>
      </c>
      <c r="C493" s="249">
        <f t="shared" si="27"/>
        <v>0</v>
      </c>
      <c r="D493" s="249">
        <f t="shared" si="28"/>
        <v>0</v>
      </c>
      <c r="E493" s="249">
        <f t="shared" si="29"/>
        <v>0</v>
      </c>
      <c r="F493" s="248"/>
      <c r="G493" s="292"/>
      <c r="H493" s="257"/>
      <c r="I493" s="243"/>
    </row>
    <row r="494" spans="1:9">
      <c r="A494" s="293">
        <v>439</v>
      </c>
      <c r="B494" s="249">
        <f t="shared" si="26"/>
        <v>0</v>
      </c>
      <c r="C494" s="249">
        <f t="shared" si="27"/>
        <v>0</v>
      </c>
      <c r="D494" s="249">
        <f t="shared" si="28"/>
        <v>0</v>
      </c>
      <c r="E494" s="249">
        <f t="shared" si="29"/>
        <v>0</v>
      </c>
      <c r="F494" s="248"/>
      <c r="G494" s="243"/>
      <c r="H494" s="237"/>
      <c r="I494" s="243"/>
    </row>
    <row r="495" spans="1:9">
      <c r="A495" s="293">
        <v>440</v>
      </c>
      <c r="B495" s="249">
        <f t="shared" si="26"/>
        <v>0</v>
      </c>
      <c r="C495" s="249">
        <f t="shared" si="27"/>
        <v>0</v>
      </c>
      <c r="D495" s="249">
        <f t="shared" si="28"/>
        <v>0</v>
      </c>
      <c r="E495" s="249">
        <f t="shared" si="29"/>
        <v>0</v>
      </c>
      <c r="F495" s="248"/>
      <c r="G495" s="243"/>
      <c r="H495" s="237"/>
      <c r="I495" s="243"/>
    </row>
    <row r="496" spans="1:9">
      <c r="A496" s="293">
        <v>441</v>
      </c>
      <c r="B496" s="249">
        <f t="shared" si="26"/>
        <v>0</v>
      </c>
      <c r="C496" s="249">
        <f t="shared" si="27"/>
        <v>0</v>
      </c>
      <c r="D496" s="249">
        <f t="shared" si="28"/>
        <v>0</v>
      </c>
      <c r="E496" s="249">
        <f t="shared" si="29"/>
        <v>0</v>
      </c>
      <c r="F496" s="248"/>
      <c r="G496" s="243"/>
      <c r="H496" s="237"/>
      <c r="I496" s="243"/>
    </row>
    <row r="497" spans="1:9">
      <c r="A497" s="293">
        <v>442</v>
      </c>
      <c r="B497" s="249">
        <f t="shared" si="26"/>
        <v>0</v>
      </c>
      <c r="C497" s="249">
        <f t="shared" si="27"/>
        <v>0</v>
      </c>
      <c r="D497" s="249">
        <f t="shared" si="28"/>
        <v>0</v>
      </c>
      <c r="E497" s="249">
        <f t="shared" si="29"/>
        <v>0</v>
      </c>
      <c r="F497" s="248"/>
      <c r="G497" s="243"/>
      <c r="H497" s="237"/>
      <c r="I497" s="243"/>
    </row>
    <row r="498" spans="1:9">
      <c r="A498" s="293">
        <v>443</v>
      </c>
      <c r="B498" s="249">
        <f t="shared" si="26"/>
        <v>0</v>
      </c>
      <c r="C498" s="249">
        <f t="shared" si="27"/>
        <v>0</v>
      </c>
      <c r="D498" s="249">
        <f t="shared" si="28"/>
        <v>0</v>
      </c>
      <c r="E498" s="249">
        <f t="shared" si="29"/>
        <v>0</v>
      </c>
      <c r="F498" s="248"/>
      <c r="G498" s="243"/>
      <c r="H498" s="237"/>
      <c r="I498" s="243"/>
    </row>
    <row r="499" spans="1:9">
      <c r="A499" s="293">
        <v>444</v>
      </c>
      <c r="B499" s="249">
        <f t="shared" si="26"/>
        <v>0</v>
      </c>
      <c r="C499" s="249">
        <f t="shared" si="27"/>
        <v>0</v>
      </c>
      <c r="D499" s="249">
        <f t="shared" si="28"/>
        <v>0</v>
      </c>
      <c r="E499" s="249">
        <f t="shared" si="29"/>
        <v>0</v>
      </c>
      <c r="F499" s="248">
        <v>37</v>
      </c>
      <c r="G499" s="292"/>
      <c r="H499" s="257"/>
      <c r="I499" s="292"/>
    </row>
    <row r="500" spans="1:9">
      <c r="A500" s="293">
        <v>445</v>
      </c>
      <c r="B500" s="249">
        <f t="shared" si="26"/>
        <v>0</v>
      </c>
      <c r="C500" s="249">
        <f t="shared" si="27"/>
        <v>0</v>
      </c>
      <c r="D500" s="249">
        <f t="shared" si="28"/>
        <v>0</v>
      </c>
      <c r="E500" s="249">
        <f t="shared" si="29"/>
        <v>0</v>
      </c>
      <c r="F500" s="248"/>
      <c r="G500" s="243"/>
      <c r="H500" s="237"/>
      <c r="I500" s="292"/>
    </row>
    <row r="501" spans="1:9">
      <c r="A501" s="293">
        <v>446</v>
      </c>
      <c r="B501" s="249">
        <f t="shared" si="26"/>
        <v>0</v>
      </c>
      <c r="C501" s="249">
        <f t="shared" si="27"/>
        <v>0</v>
      </c>
      <c r="D501" s="249">
        <f t="shared" si="28"/>
        <v>0</v>
      </c>
      <c r="E501" s="249">
        <f t="shared" si="29"/>
        <v>0</v>
      </c>
      <c r="F501" s="248"/>
      <c r="G501" s="243"/>
      <c r="H501" s="237"/>
      <c r="I501" s="243"/>
    </row>
    <row r="502" spans="1:9">
      <c r="A502" s="293">
        <v>447</v>
      </c>
      <c r="B502" s="249">
        <f t="shared" si="26"/>
        <v>0</v>
      </c>
      <c r="C502" s="249">
        <f t="shared" si="27"/>
        <v>0</v>
      </c>
      <c r="D502" s="249">
        <f t="shared" si="28"/>
        <v>0</v>
      </c>
      <c r="E502" s="249">
        <f t="shared" si="29"/>
        <v>0</v>
      </c>
      <c r="F502" s="248"/>
      <c r="G502" s="243"/>
      <c r="H502" s="237"/>
      <c r="I502" s="243"/>
    </row>
    <row r="503" spans="1:9">
      <c r="A503" s="293">
        <v>448</v>
      </c>
      <c r="B503" s="249">
        <f t="shared" si="26"/>
        <v>0</v>
      </c>
      <c r="C503" s="249">
        <f t="shared" si="27"/>
        <v>0</v>
      </c>
      <c r="D503" s="249">
        <f t="shared" si="28"/>
        <v>0</v>
      </c>
      <c r="E503" s="249">
        <f t="shared" si="29"/>
        <v>0</v>
      </c>
      <c r="F503" s="248"/>
      <c r="G503" s="243"/>
      <c r="H503" s="237"/>
      <c r="I503" s="243"/>
    </row>
    <row r="504" spans="1:9">
      <c r="A504" s="293">
        <v>449</v>
      </c>
      <c r="B504" s="249">
        <f t="shared" ref="B504:B535" si="30">IF(A504&gt;12*$D$14,0,$D$20)</f>
        <v>0</v>
      </c>
      <c r="C504" s="249">
        <f t="shared" ref="C504:C535" si="31">IF(A504&gt;12*$D$14,0,E503*$D$10/12)</f>
        <v>0</v>
      </c>
      <c r="D504" s="249">
        <f t="shared" ref="D504:D535" si="32">IF(A504&gt;12*$D$14,0,B504-C504)</f>
        <v>0</v>
      </c>
      <c r="E504" s="249">
        <f t="shared" ref="E504:E535" si="33">IF(A504&gt;12*$D$14,0,E503-D504)</f>
        <v>0</v>
      </c>
      <c r="F504" s="248"/>
      <c r="G504" s="243"/>
      <c r="H504" s="237"/>
      <c r="I504" s="243"/>
    </row>
    <row r="505" spans="1:9">
      <c r="A505" s="293">
        <v>450</v>
      </c>
      <c r="B505" s="249">
        <f t="shared" si="30"/>
        <v>0</v>
      </c>
      <c r="C505" s="249">
        <f t="shared" si="31"/>
        <v>0</v>
      </c>
      <c r="D505" s="249">
        <f t="shared" si="32"/>
        <v>0</v>
      </c>
      <c r="E505" s="249">
        <f t="shared" si="33"/>
        <v>0</v>
      </c>
      <c r="F505" s="248"/>
      <c r="G505" s="292"/>
      <c r="H505" s="257"/>
      <c r="I505" s="243"/>
    </row>
    <row r="506" spans="1:9">
      <c r="A506" s="293">
        <v>451</v>
      </c>
      <c r="B506" s="249">
        <f t="shared" si="30"/>
        <v>0</v>
      </c>
      <c r="C506" s="249">
        <f t="shared" si="31"/>
        <v>0</v>
      </c>
      <c r="D506" s="249">
        <f t="shared" si="32"/>
        <v>0</v>
      </c>
      <c r="E506" s="249">
        <f t="shared" si="33"/>
        <v>0</v>
      </c>
      <c r="F506" s="248"/>
      <c r="G506" s="243"/>
      <c r="H506" s="237"/>
      <c r="I506" s="243"/>
    </row>
    <row r="507" spans="1:9">
      <c r="A507" s="293">
        <v>452</v>
      </c>
      <c r="B507" s="249">
        <f t="shared" si="30"/>
        <v>0</v>
      </c>
      <c r="C507" s="249">
        <f t="shared" si="31"/>
        <v>0</v>
      </c>
      <c r="D507" s="249">
        <f t="shared" si="32"/>
        <v>0</v>
      </c>
      <c r="E507" s="249">
        <f t="shared" si="33"/>
        <v>0</v>
      </c>
      <c r="F507" s="248"/>
      <c r="G507" s="243"/>
      <c r="H507" s="237"/>
      <c r="I507" s="243"/>
    </row>
    <row r="508" spans="1:9">
      <c r="A508" s="293">
        <v>453</v>
      </c>
      <c r="B508" s="249">
        <f t="shared" si="30"/>
        <v>0</v>
      </c>
      <c r="C508" s="249">
        <f t="shared" si="31"/>
        <v>0</v>
      </c>
      <c r="D508" s="249">
        <f t="shared" si="32"/>
        <v>0</v>
      </c>
      <c r="E508" s="249">
        <f t="shared" si="33"/>
        <v>0</v>
      </c>
      <c r="F508" s="248"/>
      <c r="G508" s="243"/>
      <c r="H508" s="237"/>
      <c r="I508" s="243"/>
    </row>
    <row r="509" spans="1:9">
      <c r="A509" s="293">
        <v>454</v>
      </c>
      <c r="B509" s="249">
        <f t="shared" si="30"/>
        <v>0</v>
      </c>
      <c r="C509" s="249">
        <f t="shared" si="31"/>
        <v>0</v>
      </c>
      <c r="D509" s="249">
        <f t="shared" si="32"/>
        <v>0</v>
      </c>
      <c r="E509" s="249">
        <f t="shared" si="33"/>
        <v>0</v>
      </c>
      <c r="F509" s="248"/>
      <c r="G509" s="243"/>
      <c r="H509" s="237"/>
      <c r="I509" s="243"/>
    </row>
    <row r="510" spans="1:9">
      <c r="A510" s="293">
        <v>455</v>
      </c>
      <c r="B510" s="249">
        <f t="shared" si="30"/>
        <v>0</v>
      </c>
      <c r="C510" s="249">
        <f t="shared" si="31"/>
        <v>0</v>
      </c>
      <c r="D510" s="249">
        <f t="shared" si="32"/>
        <v>0</v>
      </c>
      <c r="E510" s="249">
        <f t="shared" si="33"/>
        <v>0</v>
      </c>
      <c r="F510" s="248"/>
      <c r="G510" s="243"/>
      <c r="H510" s="237"/>
      <c r="I510" s="243"/>
    </row>
    <row r="511" spans="1:9">
      <c r="A511" s="293">
        <v>456</v>
      </c>
      <c r="B511" s="249">
        <f t="shared" si="30"/>
        <v>0</v>
      </c>
      <c r="C511" s="249">
        <f t="shared" si="31"/>
        <v>0</v>
      </c>
      <c r="D511" s="249">
        <f t="shared" si="32"/>
        <v>0</v>
      </c>
      <c r="E511" s="249">
        <f t="shared" si="33"/>
        <v>0</v>
      </c>
      <c r="F511" s="250">
        <v>38</v>
      </c>
      <c r="G511" s="243"/>
      <c r="H511" s="237"/>
      <c r="I511" s="243"/>
    </row>
    <row r="512" spans="1:9">
      <c r="A512" s="293">
        <v>457</v>
      </c>
      <c r="B512" s="249">
        <f t="shared" si="30"/>
        <v>0</v>
      </c>
      <c r="C512" s="249">
        <f t="shared" si="31"/>
        <v>0</v>
      </c>
      <c r="D512" s="249">
        <f t="shared" si="32"/>
        <v>0</v>
      </c>
      <c r="E512" s="249">
        <f t="shared" si="33"/>
        <v>0</v>
      </c>
      <c r="F512" s="248"/>
      <c r="G512" s="243"/>
      <c r="H512" s="237"/>
      <c r="I512" s="243"/>
    </row>
    <row r="513" spans="1:9">
      <c r="A513" s="293">
        <v>458</v>
      </c>
      <c r="B513" s="249">
        <f t="shared" si="30"/>
        <v>0</v>
      </c>
      <c r="C513" s="249">
        <f t="shared" si="31"/>
        <v>0</v>
      </c>
      <c r="D513" s="249">
        <f t="shared" si="32"/>
        <v>0</v>
      </c>
      <c r="E513" s="249">
        <f t="shared" si="33"/>
        <v>0</v>
      </c>
      <c r="F513" s="248"/>
      <c r="G513" s="243"/>
      <c r="H513" s="237"/>
      <c r="I513" s="243"/>
    </row>
    <row r="514" spans="1:9">
      <c r="A514" s="293">
        <v>459</v>
      </c>
      <c r="B514" s="249">
        <f t="shared" si="30"/>
        <v>0</v>
      </c>
      <c r="C514" s="249">
        <f t="shared" si="31"/>
        <v>0</v>
      </c>
      <c r="D514" s="249">
        <f t="shared" si="32"/>
        <v>0</v>
      </c>
      <c r="E514" s="249">
        <f t="shared" si="33"/>
        <v>0</v>
      </c>
      <c r="F514" s="248"/>
      <c r="G514" s="243"/>
      <c r="H514" s="237"/>
      <c r="I514" s="243"/>
    </row>
    <row r="515" spans="1:9">
      <c r="A515" s="293">
        <v>460</v>
      </c>
      <c r="B515" s="249">
        <f t="shared" si="30"/>
        <v>0</v>
      </c>
      <c r="C515" s="249">
        <f t="shared" si="31"/>
        <v>0</v>
      </c>
      <c r="D515" s="249">
        <f t="shared" si="32"/>
        <v>0</v>
      </c>
      <c r="E515" s="249">
        <f t="shared" si="33"/>
        <v>0</v>
      </c>
      <c r="F515" s="248"/>
      <c r="G515" s="243"/>
      <c r="H515" s="237"/>
      <c r="I515" s="243"/>
    </row>
    <row r="516" spans="1:9">
      <c r="A516" s="293">
        <v>461</v>
      </c>
      <c r="B516" s="249">
        <f t="shared" si="30"/>
        <v>0</v>
      </c>
      <c r="C516" s="249">
        <f t="shared" si="31"/>
        <v>0</v>
      </c>
      <c r="D516" s="249">
        <f t="shared" si="32"/>
        <v>0</v>
      </c>
      <c r="E516" s="249">
        <f t="shared" si="33"/>
        <v>0</v>
      </c>
      <c r="F516" s="248"/>
      <c r="G516" s="243"/>
      <c r="H516" s="237"/>
      <c r="I516" s="243"/>
    </row>
    <row r="517" spans="1:9">
      <c r="A517" s="293">
        <v>462</v>
      </c>
      <c r="B517" s="249">
        <f t="shared" si="30"/>
        <v>0</v>
      </c>
      <c r="C517" s="249">
        <f t="shared" si="31"/>
        <v>0</v>
      </c>
      <c r="D517" s="249">
        <f t="shared" si="32"/>
        <v>0</v>
      </c>
      <c r="E517" s="249">
        <f t="shared" si="33"/>
        <v>0</v>
      </c>
      <c r="F517" s="248"/>
      <c r="G517" s="243"/>
      <c r="H517" s="237"/>
      <c r="I517" s="243"/>
    </row>
    <row r="518" spans="1:9">
      <c r="A518" s="293">
        <v>463</v>
      </c>
      <c r="B518" s="249">
        <f t="shared" si="30"/>
        <v>0</v>
      </c>
      <c r="C518" s="249">
        <f t="shared" si="31"/>
        <v>0</v>
      </c>
      <c r="D518" s="249">
        <f t="shared" si="32"/>
        <v>0</v>
      </c>
      <c r="E518" s="249">
        <f t="shared" si="33"/>
        <v>0</v>
      </c>
      <c r="F518" s="248"/>
      <c r="G518" s="243"/>
      <c r="H518" s="237"/>
      <c r="I518" s="243"/>
    </row>
    <row r="519" spans="1:9">
      <c r="A519" s="293">
        <v>464</v>
      </c>
      <c r="B519" s="249">
        <f t="shared" si="30"/>
        <v>0</v>
      </c>
      <c r="C519" s="249">
        <f t="shared" si="31"/>
        <v>0</v>
      </c>
      <c r="D519" s="249">
        <f t="shared" si="32"/>
        <v>0</v>
      </c>
      <c r="E519" s="249">
        <f t="shared" si="33"/>
        <v>0</v>
      </c>
      <c r="F519" s="248"/>
      <c r="G519" s="243"/>
      <c r="H519" s="237"/>
      <c r="I519" s="243"/>
    </row>
    <row r="520" spans="1:9">
      <c r="A520" s="293">
        <v>465</v>
      </c>
      <c r="B520" s="249">
        <f t="shared" si="30"/>
        <v>0</v>
      </c>
      <c r="C520" s="249">
        <f t="shared" si="31"/>
        <v>0</v>
      </c>
      <c r="D520" s="249">
        <f t="shared" si="32"/>
        <v>0</v>
      </c>
      <c r="E520" s="249">
        <f t="shared" si="33"/>
        <v>0</v>
      </c>
      <c r="F520" s="248"/>
      <c r="G520" s="243"/>
      <c r="H520" s="237"/>
      <c r="I520" s="243"/>
    </row>
    <row r="521" spans="1:9">
      <c r="A521" s="293">
        <v>466</v>
      </c>
      <c r="B521" s="249">
        <f t="shared" si="30"/>
        <v>0</v>
      </c>
      <c r="C521" s="249">
        <f t="shared" si="31"/>
        <v>0</v>
      </c>
      <c r="D521" s="249">
        <f t="shared" si="32"/>
        <v>0</v>
      </c>
      <c r="E521" s="249">
        <f t="shared" si="33"/>
        <v>0</v>
      </c>
      <c r="F521" s="248"/>
      <c r="G521" s="243"/>
      <c r="H521" s="237"/>
      <c r="I521" s="243"/>
    </row>
    <row r="522" spans="1:9">
      <c r="A522" s="293">
        <v>467</v>
      </c>
      <c r="B522" s="249">
        <f t="shared" si="30"/>
        <v>0</v>
      </c>
      <c r="C522" s="249">
        <f t="shared" si="31"/>
        <v>0</v>
      </c>
      <c r="D522" s="249">
        <f t="shared" si="32"/>
        <v>0</v>
      </c>
      <c r="E522" s="249">
        <f t="shared" si="33"/>
        <v>0</v>
      </c>
      <c r="F522" s="248"/>
      <c r="G522" s="243"/>
      <c r="H522" s="237"/>
      <c r="I522" s="243"/>
    </row>
    <row r="523" spans="1:9">
      <c r="A523" s="293">
        <v>468</v>
      </c>
      <c r="B523" s="249">
        <f t="shared" si="30"/>
        <v>0</v>
      </c>
      <c r="C523" s="249">
        <f t="shared" si="31"/>
        <v>0</v>
      </c>
      <c r="D523" s="249">
        <f t="shared" si="32"/>
        <v>0</v>
      </c>
      <c r="E523" s="249">
        <f t="shared" si="33"/>
        <v>0</v>
      </c>
      <c r="F523" s="248">
        <v>39</v>
      </c>
      <c r="G523" s="243"/>
      <c r="H523" s="237"/>
      <c r="I523" s="243"/>
    </row>
    <row r="524" spans="1:9">
      <c r="A524" s="293">
        <v>469</v>
      </c>
      <c r="B524" s="249">
        <f t="shared" si="30"/>
        <v>0</v>
      </c>
      <c r="C524" s="249">
        <f t="shared" si="31"/>
        <v>0</v>
      </c>
      <c r="D524" s="249">
        <f t="shared" si="32"/>
        <v>0</v>
      </c>
      <c r="E524" s="249">
        <f t="shared" si="33"/>
        <v>0</v>
      </c>
      <c r="F524" s="248"/>
      <c r="G524" s="243"/>
      <c r="H524" s="237"/>
      <c r="I524" s="243"/>
    </row>
    <row r="525" spans="1:9">
      <c r="A525" s="293">
        <v>470</v>
      </c>
      <c r="B525" s="249">
        <f t="shared" si="30"/>
        <v>0</v>
      </c>
      <c r="C525" s="249">
        <f t="shared" si="31"/>
        <v>0</v>
      </c>
      <c r="D525" s="249">
        <f t="shared" si="32"/>
        <v>0</v>
      </c>
      <c r="E525" s="249">
        <f t="shared" si="33"/>
        <v>0</v>
      </c>
      <c r="F525" s="248"/>
      <c r="G525" s="243"/>
      <c r="H525" s="237"/>
      <c r="I525" s="243"/>
    </row>
    <row r="526" spans="1:9">
      <c r="A526" s="293">
        <v>471</v>
      </c>
      <c r="B526" s="249">
        <f t="shared" si="30"/>
        <v>0</v>
      </c>
      <c r="C526" s="249">
        <f t="shared" si="31"/>
        <v>0</v>
      </c>
      <c r="D526" s="249">
        <f t="shared" si="32"/>
        <v>0</v>
      </c>
      <c r="E526" s="249">
        <f t="shared" si="33"/>
        <v>0</v>
      </c>
      <c r="F526" s="248"/>
      <c r="G526" s="243"/>
      <c r="H526" s="237"/>
      <c r="I526" s="243"/>
    </row>
    <row r="527" spans="1:9">
      <c r="A527" s="293">
        <v>472</v>
      </c>
      <c r="B527" s="249">
        <f t="shared" si="30"/>
        <v>0</v>
      </c>
      <c r="C527" s="249">
        <f t="shared" si="31"/>
        <v>0</v>
      </c>
      <c r="D527" s="249">
        <f t="shared" si="32"/>
        <v>0</v>
      </c>
      <c r="E527" s="249">
        <f t="shared" si="33"/>
        <v>0</v>
      </c>
      <c r="F527" s="248"/>
      <c r="G527" s="243"/>
      <c r="H527" s="237"/>
      <c r="I527" s="243"/>
    </row>
    <row r="528" spans="1:9">
      <c r="A528" s="293">
        <v>473</v>
      </c>
      <c r="B528" s="249">
        <f t="shared" si="30"/>
        <v>0</v>
      </c>
      <c r="C528" s="249">
        <f t="shared" si="31"/>
        <v>0</v>
      </c>
      <c r="D528" s="249">
        <f t="shared" si="32"/>
        <v>0</v>
      </c>
      <c r="E528" s="249">
        <f t="shared" si="33"/>
        <v>0</v>
      </c>
      <c r="F528" s="248"/>
      <c r="G528" s="243"/>
      <c r="H528" s="237"/>
      <c r="I528" s="243"/>
    </row>
    <row r="529" spans="1:9">
      <c r="A529" s="293">
        <v>474</v>
      </c>
      <c r="B529" s="249">
        <f t="shared" si="30"/>
        <v>0</v>
      </c>
      <c r="C529" s="249">
        <f t="shared" si="31"/>
        <v>0</v>
      </c>
      <c r="D529" s="249">
        <f t="shared" si="32"/>
        <v>0</v>
      </c>
      <c r="E529" s="249">
        <f t="shared" si="33"/>
        <v>0</v>
      </c>
      <c r="F529" s="248"/>
      <c r="G529" s="243"/>
      <c r="H529" s="237"/>
      <c r="I529" s="243"/>
    </row>
    <row r="530" spans="1:9">
      <c r="A530" s="293">
        <v>475</v>
      </c>
      <c r="B530" s="249">
        <f t="shared" si="30"/>
        <v>0</v>
      </c>
      <c r="C530" s="249">
        <f t="shared" si="31"/>
        <v>0</v>
      </c>
      <c r="D530" s="249">
        <f t="shared" si="32"/>
        <v>0</v>
      </c>
      <c r="E530" s="249">
        <f t="shared" si="33"/>
        <v>0</v>
      </c>
      <c r="F530" s="248"/>
      <c r="G530" s="243"/>
      <c r="H530" s="237"/>
      <c r="I530" s="243"/>
    </row>
    <row r="531" spans="1:9">
      <c r="A531" s="293">
        <v>476</v>
      </c>
      <c r="B531" s="249">
        <f t="shared" si="30"/>
        <v>0</v>
      </c>
      <c r="C531" s="249">
        <f t="shared" si="31"/>
        <v>0</v>
      </c>
      <c r="D531" s="249">
        <f t="shared" si="32"/>
        <v>0</v>
      </c>
      <c r="E531" s="249">
        <f t="shared" si="33"/>
        <v>0</v>
      </c>
      <c r="F531" s="248"/>
      <c r="G531" s="243"/>
      <c r="H531" s="237"/>
      <c r="I531" s="243"/>
    </row>
    <row r="532" spans="1:9">
      <c r="A532" s="293">
        <v>477</v>
      </c>
      <c r="B532" s="249">
        <f t="shared" si="30"/>
        <v>0</v>
      </c>
      <c r="C532" s="249">
        <f t="shared" si="31"/>
        <v>0</v>
      </c>
      <c r="D532" s="249">
        <f t="shared" si="32"/>
        <v>0</v>
      </c>
      <c r="E532" s="249">
        <f t="shared" si="33"/>
        <v>0</v>
      </c>
      <c r="F532" s="248"/>
      <c r="G532" s="243"/>
      <c r="H532" s="237"/>
      <c r="I532" s="243"/>
    </row>
    <row r="533" spans="1:9">
      <c r="A533" s="293">
        <v>478</v>
      </c>
      <c r="B533" s="249">
        <f t="shared" si="30"/>
        <v>0</v>
      </c>
      <c r="C533" s="249">
        <f t="shared" si="31"/>
        <v>0</v>
      </c>
      <c r="D533" s="249">
        <f t="shared" si="32"/>
        <v>0</v>
      </c>
      <c r="E533" s="249">
        <f t="shared" si="33"/>
        <v>0</v>
      </c>
      <c r="F533" s="248"/>
      <c r="G533" s="243"/>
      <c r="H533" s="237"/>
      <c r="I533" s="243"/>
    </row>
    <row r="534" spans="1:9">
      <c r="A534" s="293">
        <v>479</v>
      </c>
      <c r="B534" s="249">
        <f t="shared" si="30"/>
        <v>0</v>
      </c>
      <c r="C534" s="249">
        <f t="shared" si="31"/>
        <v>0</v>
      </c>
      <c r="D534" s="249">
        <f t="shared" si="32"/>
        <v>0</v>
      </c>
      <c r="E534" s="249">
        <f t="shared" si="33"/>
        <v>0</v>
      </c>
      <c r="F534" s="248"/>
      <c r="G534" s="243"/>
      <c r="H534" s="237"/>
      <c r="I534" s="243"/>
    </row>
    <row r="535" spans="1:9">
      <c r="A535" s="293">
        <v>480</v>
      </c>
      <c r="B535" s="249">
        <f t="shared" si="30"/>
        <v>0</v>
      </c>
      <c r="C535" s="249">
        <f t="shared" si="31"/>
        <v>0</v>
      </c>
      <c r="D535" s="249">
        <f t="shared" si="32"/>
        <v>0</v>
      </c>
      <c r="E535" s="249">
        <f t="shared" si="33"/>
        <v>0</v>
      </c>
      <c r="F535" s="248">
        <v>40</v>
      </c>
      <c r="G535" s="243"/>
      <c r="H535" s="237"/>
      <c r="I535" s="243"/>
    </row>
    <row r="536" spans="1:9">
      <c r="A536" s="228"/>
      <c r="G536" s="243"/>
      <c r="H536" s="237"/>
      <c r="I536" s="243"/>
    </row>
    <row r="537" spans="1:9">
      <c r="A537" s="228"/>
      <c r="G537" s="243"/>
      <c r="H537" s="237"/>
      <c r="I537" s="243"/>
    </row>
    <row r="538" spans="1:9">
      <c r="A538" s="228"/>
      <c r="G538" s="243"/>
      <c r="H538" s="237"/>
      <c r="I538" s="243"/>
    </row>
    <row r="539" spans="1:9">
      <c r="A539" s="228"/>
      <c r="G539" s="243"/>
      <c r="H539" s="237"/>
      <c r="I539" s="243"/>
    </row>
    <row r="540" spans="1:9">
      <c r="A540" s="228"/>
      <c r="G540" s="243"/>
      <c r="H540" s="237"/>
      <c r="I540" s="243"/>
    </row>
    <row r="541" spans="1:9">
      <c r="A541" s="228"/>
      <c r="G541" s="243"/>
      <c r="H541" s="237"/>
      <c r="I541" s="243"/>
    </row>
    <row r="542" spans="1:9">
      <c r="A542" s="228"/>
      <c r="G542" s="243"/>
      <c r="H542" s="237"/>
      <c r="I542" s="243"/>
    </row>
    <row r="543" spans="1:9">
      <c r="G543" s="243"/>
      <c r="H543" s="237"/>
      <c r="I543" s="243"/>
    </row>
    <row r="544" spans="1:9">
      <c r="G544" s="243"/>
      <c r="H544" s="237"/>
      <c r="I544" s="243"/>
    </row>
    <row r="545" spans="7:9">
      <c r="G545" s="243"/>
      <c r="H545" s="237"/>
      <c r="I545" s="243"/>
    </row>
    <row r="546" spans="7:9">
      <c r="G546" s="243"/>
      <c r="H546" s="237"/>
      <c r="I546" s="243"/>
    </row>
    <row r="547" spans="7:9">
      <c r="G547" s="243"/>
      <c r="H547" s="237"/>
      <c r="I547" s="243"/>
    </row>
    <row r="548" spans="7:9">
      <c r="G548" s="243"/>
      <c r="H548" s="237"/>
      <c r="I548" s="243"/>
    </row>
    <row r="549" spans="7:9">
      <c r="G549" s="243"/>
      <c r="H549" s="237"/>
      <c r="I549" s="243"/>
    </row>
    <row r="550" spans="7:9">
      <c r="G550" s="243"/>
      <c r="H550" s="237"/>
      <c r="I550" s="243"/>
    </row>
    <row r="551" spans="7:9">
      <c r="G551" s="243"/>
      <c r="H551" s="237"/>
      <c r="I551" s="243"/>
    </row>
    <row r="552" spans="7:9">
      <c r="G552" s="243"/>
      <c r="H552" s="237"/>
      <c r="I552" s="243"/>
    </row>
    <row r="553" spans="7:9">
      <c r="G553" s="243"/>
      <c r="H553" s="237"/>
      <c r="I553" s="243"/>
    </row>
    <row r="554" spans="7:9">
      <c r="G554" s="243"/>
      <c r="H554" s="237"/>
      <c r="I554" s="243"/>
    </row>
    <row r="555" spans="7:9">
      <c r="G555" s="243"/>
      <c r="H555" s="237"/>
      <c r="I555" s="243"/>
    </row>
    <row r="556" spans="7:9">
      <c r="G556" s="243"/>
      <c r="H556" s="237"/>
      <c r="I556" s="243"/>
    </row>
    <row r="557" spans="7:9">
      <c r="G557" s="243"/>
      <c r="H557" s="237"/>
      <c r="I557" s="243"/>
    </row>
    <row r="558" spans="7:9">
      <c r="G558" s="243"/>
      <c r="H558" s="237"/>
      <c r="I558" s="243"/>
    </row>
    <row r="559" spans="7:9">
      <c r="G559" s="243"/>
      <c r="H559" s="237"/>
      <c r="I559" s="243"/>
    </row>
    <row r="560" spans="7:9">
      <c r="G560" s="243"/>
      <c r="H560" s="237"/>
      <c r="I560" s="243"/>
    </row>
    <row r="561" spans="7:9">
      <c r="G561" s="243"/>
      <c r="H561" s="237"/>
      <c r="I561" s="243"/>
    </row>
    <row r="562" spans="7:9">
      <c r="G562" s="243"/>
      <c r="H562" s="237"/>
      <c r="I562" s="243"/>
    </row>
    <row r="563" spans="7:9">
      <c r="G563" s="243"/>
      <c r="H563" s="237"/>
      <c r="I563" s="243"/>
    </row>
    <row r="564" spans="7:9">
      <c r="G564" s="243"/>
      <c r="H564" s="237"/>
      <c r="I564" s="243"/>
    </row>
    <row r="565" spans="7:9">
      <c r="G565" s="243"/>
      <c r="H565" s="237"/>
      <c r="I565" s="243"/>
    </row>
    <row r="566" spans="7:9">
      <c r="G566" s="243"/>
      <c r="H566" s="237"/>
      <c r="I566" s="243"/>
    </row>
    <row r="567" spans="7:9">
      <c r="G567" s="243"/>
      <c r="H567" s="237"/>
      <c r="I567" s="243"/>
    </row>
    <row r="568" spans="7:9">
      <c r="G568" s="243"/>
      <c r="H568" s="237"/>
      <c r="I568" s="243"/>
    </row>
    <row r="569" spans="7:9">
      <c r="G569" s="243"/>
      <c r="H569" s="237"/>
      <c r="I569" s="243"/>
    </row>
    <row r="570" spans="7:9">
      <c r="G570" s="243"/>
      <c r="H570" s="237"/>
      <c r="I570" s="243"/>
    </row>
    <row r="571" spans="7:9">
      <c r="G571" s="243"/>
      <c r="H571" s="237"/>
      <c r="I571" s="243"/>
    </row>
    <row r="572" spans="7:9">
      <c r="G572" s="243"/>
      <c r="H572" s="237"/>
      <c r="I572" s="243"/>
    </row>
    <row r="573" spans="7:9">
      <c r="G573" s="243"/>
      <c r="H573" s="237"/>
      <c r="I573" s="243"/>
    </row>
    <row r="574" spans="7:9">
      <c r="G574" s="243"/>
      <c r="H574" s="237"/>
      <c r="I574" s="243"/>
    </row>
    <row r="575" spans="7:9">
      <c r="G575" s="243"/>
      <c r="H575" s="237"/>
      <c r="I575" s="243"/>
    </row>
    <row r="576" spans="7:9">
      <c r="G576" s="243"/>
      <c r="H576" s="237"/>
      <c r="I576" s="243"/>
    </row>
    <row r="577" spans="7:9">
      <c r="G577" s="243"/>
      <c r="H577" s="237"/>
      <c r="I577" s="243"/>
    </row>
    <row r="578" spans="7:9">
      <c r="G578" s="243"/>
      <c r="H578" s="237"/>
      <c r="I578" s="243"/>
    </row>
    <row r="579" spans="7:9">
      <c r="G579" s="243"/>
      <c r="H579" s="237"/>
      <c r="I579" s="243"/>
    </row>
    <row r="580" spans="7:9">
      <c r="G580" s="243"/>
      <c r="H580" s="237"/>
      <c r="I580" s="243"/>
    </row>
    <row r="581" spans="7:9">
      <c r="G581" s="243"/>
      <c r="H581" s="237"/>
      <c r="I581" s="243"/>
    </row>
    <row r="582" spans="7:9">
      <c r="G582" s="243"/>
      <c r="H582" s="237"/>
      <c r="I582" s="243"/>
    </row>
    <row r="583" spans="7:9">
      <c r="G583" s="243"/>
      <c r="H583" s="237"/>
      <c r="I583" s="243"/>
    </row>
    <row r="584" spans="7:9">
      <c r="G584" s="243"/>
      <c r="H584" s="237"/>
      <c r="I584" s="243"/>
    </row>
    <row r="585" spans="7:9">
      <c r="G585" s="243"/>
      <c r="H585" s="237"/>
      <c r="I585" s="243"/>
    </row>
    <row r="586" spans="7:9">
      <c r="G586" s="243"/>
      <c r="H586" s="237"/>
      <c r="I586" s="243"/>
    </row>
    <row r="587" spans="7:9">
      <c r="G587" s="243"/>
      <c r="H587" s="237"/>
      <c r="I587" s="243"/>
    </row>
    <row r="588" spans="7:9">
      <c r="G588" s="243"/>
      <c r="H588" s="237"/>
      <c r="I588" s="243"/>
    </row>
    <row r="589" spans="7:9">
      <c r="G589" s="243"/>
      <c r="H589" s="237"/>
      <c r="I589" s="243"/>
    </row>
    <row r="590" spans="7:9">
      <c r="G590" s="243"/>
      <c r="H590" s="237"/>
      <c r="I590" s="243"/>
    </row>
    <row r="591" spans="7:9">
      <c r="G591" s="243"/>
      <c r="H591" s="237"/>
      <c r="I591" s="243"/>
    </row>
    <row r="592" spans="7:9">
      <c r="G592" s="243"/>
      <c r="H592" s="237"/>
      <c r="I592" s="243"/>
    </row>
    <row r="593" spans="7:9">
      <c r="G593" s="243"/>
      <c r="H593" s="237"/>
      <c r="I593" s="243"/>
    </row>
    <row r="594" spans="7:9">
      <c r="G594" s="243"/>
      <c r="H594" s="237"/>
      <c r="I594" s="243"/>
    </row>
    <row r="595" spans="7:9">
      <c r="G595" s="243"/>
      <c r="H595" s="237"/>
      <c r="I595" s="243"/>
    </row>
    <row r="596" spans="7:9">
      <c r="G596" s="243"/>
      <c r="H596" s="237"/>
      <c r="I596" s="243"/>
    </row>
    <row r="597" spans="7:9">
      <c r="G597" s="243"/>
      <c r="H597" s="237"/>
      <c r="I597" s="243"/>
    </row>
    <row r="598" spans="7:9">
      <c r="G598" s="243"/>
      <c r="H598" s="237"/>
      <c r="I598" s="243"/>
    </row>
    <row r="599" spans="7:9">
      <c r="G599" s="243"/>
      <c r="H599" s="237"/>
      <c r="I599" s="243"/>
    </row>
    <row r="600" spans="7:9">
      <c r="G600" s="243"/>
      <c r="H600" s="237"/>
      <c r="I600" s="243"/>
    </row>
    <row r="601" spans="7:9">
      <c r="G601" s="243"/>
      <c r="H601" s="237"/>
      <c r="I601" s="243"/>
    </row>
    <row r="602" spans="7:9">
      <c r="G602" s="243"/>
      <c r="H602" s="237"/>
      <c r="I602" s="243"/>
    </row>
    <row r="603" spans="7:9">
      <c r="G603" s="243"/>
      <c r="H603" s="237"/>
      <c r="I603" s="243"/>
    </row>
    <row r="604" spans="7:9">
      <c r="G604" s="243"/>
      <c r="H604" s="237"/>
      <c r="I604" s="243"/>
    </row>
    <row r="605" spans="7:9">
      <c r="G605" s="243"/>
      <c r="H605" s="237"/>
      <c r="I605" s="243"/>
    </row>
    <row r="606" spans="7:9">
      <c r="G606" s="243"/>
      <c r="H606" s="237"/>
      <c r="I606" s="243"/>
    </row>
    <row r="607" spans="7:9">
      <c r="G607" s="243"/>
      <c r="H607" s="237"/>
      <c r="I607" s="243"/>
    </row>
    <row r="608" spans="7:9">
      <c r="G608" s="243"/>
      <c r="H608" s="237"/>
      <c r="I608" s="243"/>
    </row>
    <row r="609" spans="7:9">
      <c r="G609" s="243"/>
      <c r="H609" s="237"/>
      <c r="I609" s="243"/>
    </row>
    <row r="610" spans="7:9">
      <c r="G610" s="243"/>
      <c r="H610" s="237"/>
      <c r="I610" s="243"/>
    </row>
    <row r="611" spans="7:9">
      <c r="G611" s="243"/>
      <c r="H611" s="237"/>
      <c r="I611" s="243"/>
    </row>
    <row r="612" spans="7:9">
      <c r="G612" s="243"/>
      <c r="H612" s="237"/>
      <c r="I612" s="243"/>
    </row>
    <row r="613" spans="7:9">
      <c r="G613" s="243"/>
      <c r="H613" s="237"/>
      <c r="I613" s="243"/>
    </row>
    <row r="614" spans="7:9">
      <c r="G614" s="243"/>
      <c r="H614" s="237"/>
      <c r="I614" s="243"/>
    </row>
    <row r="615" spans="7:9">
      <c r="G615" s="243"/>
      <c r="H615" s="237"/>
      <c r="I615" s="243"/>
    </row>
    <row r="616" spans="7:9">
      <c r="G616" s="243"/>
      <c r="H616" s="237"/>
      <c r="I616" s="243"/>
    </row>
    <row r="617" spans="7:9">
      <c r="G617" s="243"/>
      <c r="H617" s="237"/>
      <c r="I617" s="243"/>
    </row>
    <row r="618" spans="7:9">
      <c r="G618" s="243"/>
      <c r="H618" s="237"/>
      <c r="I618" s="243"/>
    </row>
    <row r="619" spans="7:9">
      <c r="G619" s="243"/>
      <c r="H619" s="237"/>
      <c r="I619" s="243"/>
    </row>
    <row r="620" spans="7:9">
      <c r="G620" s="243"/>
      <c r="H620" s="237"/>
      <c r="I620" s="243"/>
    </row>
    <row r="621" spans="7:9">
      <c r="G621" s="243"/>
      <c r="H621" s="237"/>
      <c r="I621" s="243"/>
    </row>
    <row r="622" spans="7:9">
      <c r="G622" s="243"/>
      <c r="H622" s="237"/>
      <c r="I622" s="243"/>
    </row>
    <row r="623" spans="7:9">
      <c r="G623" s="243"/>
      <c r="H623" s="237"/>
      <c r="I623" s="243"/>
    </row>
    <row r="624" spans="7:9">
      <c r="G624" s="243"/>
      <c r="H624" s="237"/>
      <c r="I624" s="243"/>
    </row>
    <row r="625" spans="7:9">
      <c r="G625" s="243"/>
      <c r="H625" s="237"/>
      <c r="I625" s="243"/>
    </row>
    <row r="626" spans="7:9">
      <c r="G626" s="243"/>
      <c r="H626" s="237"/>
      <c r="I626" s="243"/>
    </row>
    <row r="627" spans="7:9">
      <c r="G627" s="243"/>
      <c r="H627" s="237"/>
      <c r="I627" s="243"/>
    </row>
    <row r="628" spans="7:9">
      <c r="G628" s="243"/>
      <c r="H628" s="237"/>
      <c r="I628" s="243"/>
    </row>
    <row r="629" spans="7:9">
      <c r="G629" s="243"/>
      <c r="H629" s="237"/>
      <c r="I629" s="243"/>
    </row>
    <row r="630" spans="7:9">
      <c r="G630" s="243"/>
      <c r="H630" s="237"/>
      <c r="I630" s="243"/>
    </row>
    <row r="631" spans="7:9">
      <c r="G631" s="243"/>
      <c r="H631" s="237"/>
      <c r="I631" s="243"/>
    </row>
    <row r="632" spans="7:9">
      <c r="G632" s="243"/>
      <c r="H632" s="237"/>
      <c r="I632" s="243"/>
    </row>
    <row r="633" spans="7:9">
      <c r="G633" s="243"/>
      <c r="H633" s="237"/>
      <c r="I633" s="243"/>
    </row>
    <row r="634" spans="7:9">
      <c r="G634" s="243"/>
      <c r="H634" s="237"/>
      <c r="I634" s="243"/>
    </row>
    <row r="635" spans="7:9">
      <c r="G635" s="243"/>
      <c r="H635" s="237"/>
      <c r="I635" s="243"/>
    </row>
    <row r="636" spans="7:9">
      <c r="G636" s="243"/>
      <c r="H636" s="237"/>
      <c r="I636" s="243"/>
    </row>
    <row r="637" spans="7:9">
      <c r="G637" s="243"/>
      <c r="H637" s="237"/>
      <c r="I637" s="243"/>
    </row>
    <row r="638" spans="7:9">
      <c r="G638" s="243"/>
      <c r="H638" s="237"/>
      <c r="I638" s="243"/>
    </row>
    <row r="639" spans="7:9">
      <c r="G639" s="243"/>
      <c r="H639" s="237"/>
      <c r="I639" s="243"/>
    </row>
    <row r="640" spans="7:9">
      <c r="G640" s="243"/>
      <c r="H640" s="237"/>
      <c r="I640" s="243"/>
    </row>
    <row r="641" spans="7:9">
      <c r="G641" s="243"/>
      <c r="H641" s="237"/>
      <c r="I641" s="243"/>
    </row>
    <row r="642" spans="7:9">
      <c r="G642" s="243"/>
      <c r="H642" s="237"/>
      <c r="I642" s="243"/>
    </row>
    <row r="643" spans="7:9">
      <c r="G643" s="243"/>
      <c r="H643" s="237"/>
      <c r="I643" s="243"/>
    </row>
    <row r="644" spans="7:9">
      <c r="G644" s="243"/>
      <c r="H644" s="237"/>
      <c r="I644" s="243"/>
    </row>
    <row r="645" spans="7:9">
      <c r="G645" s="243"/>
      <c r="H645" s="237"/>
      <c r="I645" s="243"/>
    </row>
    <row r="646" spans="7:9">
      <c r="G646" s="243"/>
      <c r="H646" s="237"/>
      <c r="I646" s="243"/>
    </row>
    <row r="647" spans="7:9">
      <c r="G647" s="243"/>
      <c r="H647" s="237"/>
      <c r="I647" s="243"/>
    </row>
    <row r="648" spans="7:9">
      <c r="G648" s="243"/>
      <c r="H648" s="237"/>
      <c r="I648" s="243"/>
    </row>
    <row r="649" spans="7:9">
      <c r="G649" s="243"/>
      <c r="H649" s="237"/>
      <c r="I649" s="243"/>
    </row>
    <row r="650" spans="7:9">
      <c r="G650" s="243"/>
      <c r="H650" s="237"/>
      <c r="I650" s="243"/>
    </row>
    <row r="651" spans="7:9">
      <c r="G651" s="243"/>
      <c r="H651" s="237"/>
      <c r="I651" s="243"/>
    </row>
    <row r="652" spans="7:9">
      <c r="G652" s="243"/>
      <c r="H652" s="237"/>
      <c r="I652" s="243"/>
    </row>
    <row r="653" spans="7:9">
      <c r="G653" s="243"/>
      <c r="H653" s="237"/>
      <c r="I653" s="243"/>
    </row>
    <row r="654" spans="7:9">
      <c r="G654" s="243"/>
      <c r="H654" s="237"/>
      <c r="I654" s="243"/>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63" zoomScaleNormal="100" zoomScaleSheetLayoutView="90" workbookViewId="0">
      <selection activeCell="A163" sqref="A1:XFD1048576"/>
    </sheetView>
  </sheetViews>
  <sheetFormatPr defaultColWidth="9.140625" defaultRowHeight="12.75"/>
  <cols>
    <col min="1" max="1" width="2.42578125" style="384" customWidth="1"/>
    <col min="2" max="2" width="5.42578125" style="384" customWidth="1"/>
    <col min="3" max="3" width="18" style="384" customWidth="1"/>
    <col min="4" max="4" width="7.28515625" style="384" customWidth="1"/>
    <col min="5" max="5" width="12.5703125" style="384" customWidth="1"/>
    <col min="6" max="6" width="10.42578125" style="384" customWidth="1"/>
    <col min="7" max="8" width="6.42578125" style="384" customWidth="1"/>
    <col min="9" max="9" width="1.7109375" style="384" customWidth="1"/>
    <col min="10" max="11" width="6.42578125" style="384" customWidth="1"/>
    <col min="12" max="12" width="1.7109375" style="384" customWidth="1"/>
    <col min="13" max="14" width="6.42578125" style="384" customWidth="1"/>
    <col min="15" max="15" width="1.7109375" style="384" customWidth="1"/>
    <col min="16" max="17" width="6.42578125" style="384" customWidth="1"/>
    <col min="18" max="18" width="1.7109375" style="384" customWidth="1"/>
    <col min="19" max="20" width="7" style="384" customWidth="1"/>
    <col min="21" max="21" width="5.85546875" style="384" customWidth="1"/>
    <col min="22" max="22" width="13.140625" style="384" customWidth="1"/>
    <col min="23" max="23" width="24.85546875" style="384" customWidth="1"/>
    <col min="24" max="24" width="73.42578125" style="384" customWidth="1"/>
    <col min="25" max="16384" width="9.140625" style="384"/>
  </cols>
  <sheetData>
    <row r="1" spans="1:24" s="364" customFormat="1" ht="15" customHeight="1">
      <c r="A1" s="1365" t="str">
        <f>CONCATENATE("PART FOUR -  USES OF FUNDS","  -  ",'Part I-Project Information'!$O$4," ",'Part I-Project Information'!$F$23,", ",'Part I-Project Information'!F27,", ",'Part I-Project Information'!J28," County")</f>
        <v>PART FOUR -  USES OF FUNDS  -  2014-039 Willingham Village II, Rome, Floyd County</v>
      </c>
      <c r="B1" s="1366"/>
      <c r="C1" s="1366"/>
      <c r="D1" s="1366"/>
      <c r="E1" s="1366"/>
      <c r="F1" s="1366"/>
      <c r="G1" s="1366"/>
      <c r="H1" s="1366"/>
      <c r="I1" s="1366"/>
      <c r="J1" s="1366"/>
      <c r="K1" s="1366"/>
      <c r="L1" s="1366"/>
      <c r="M1" s="1366"/>
      <c r="N1" s="1366"/>
      <c r="O1" s="1366"/>
      <c r="P1" s="1366"/>
      <c r="Q1" s="1366"/>
      <c r="R1" s="1366"/>
      <c r="S1" s="1366"/>
      <c r="T1" s="1366"/>
      <c r="W1" s="1364" t="str">
        <f>A1</f>
        <v>PART FOUR -  USES OF FUNDS  -  2014-039 Willingham Village II, Rome, Floyd County</v>
      </c>
      <c r="X1" s="1364"/>
    </row>
    <row r="2" spans="1:24" ht="2.25" customHeight="1"/>
    <row r="3" spans="1:24" s="364" customFormat="1" ht="4.5" customHeight="1">
      <c r="A3" s="367"/>
      <c r="B3" s="367"/>
      <c r="C3" s="367"/>
      <c r="D3" s="367"/>
      <c r="E3" s="367"/>
      <c r="F3" s="367"/>
      <c r="G3" s="367"/>
      <c r="H3" s="367"/>
      <c r="I3" s="367"/>
      <c r="J3" s="367"/>
      <c r="K3" s="367"/>
      <c r="L3" s="367"/>
      <c r="M3" s="367"/>
      <c r="N3" s="367"/>
      <c r="O3" s="367"/>
      <c r="P3" s="367"/>
      <c r="Q3" s="367"/>
      <c r="R3" s="367"/>
      <c r="S3" s="367"/>
      <c r="T3" s="367"/>
    </row>
    <row r="4" spans="1:24" s="364" customFormat="1" ht="1.9" customHeight="1" thickBot="1">
      <c r="A4" s="619"/>
      <c r="B4" s="619"/>
      <c r="C4" s="619"/>
      <c r="D4" s="634"/>
      <c r="E4" s="634"/>
      <c r="F4" s="634"/>
      <c r="G4" s="634"/>
      <c r="H4" s="634"/>
      <c r="I4" s="367"/>
      <c r="J4" s="619"/>
      <c r="K4" s="619"/>
      <c r="L4" s="619"/>
      <c r="M4" s="619"/>
      <c r="N4" s="619"/>
      <c r="O4" s="619"/>
      <c r="P4" s="619"/>
      <c r="Q4" s="619"/>
      <c r="R4" s="619"/>
      <c r="S4" s="619"/>
      <c r="T4" s="619"/>
    </row>
    <row r="5" spans="1:24" s="364" customFormat="1" ht="19.5" customHeight="1" thickBot="1">
      <c r="A5" s="526" t="s">
        <v>657</v>
      </c>
      <c r="B5" s="526" t="s">
        <v>956</v>
      </c>
      <c r="D5" s="634"/>
      <c r="E5" s="634"/>
      <c r="F5" s="634"/>
      <c r="G5" s="634"/>
      <c r="H5" s="634"/>
      <c r="I5" s="634"/>
      <c r="J5" s="1312" t="s">
        <v>285</v>
      </c>
      <c r="K5" s="1313"/>
      <c r="L5" s="422"/>
      <c r="M5" s="1306" t="s">
        <v>520</v>
      </c>
      <c r="N5" s="1307"/>
      <c r="P5" s="1312" t="s">
        <v>286</v>
      </c>
      <c r="Q5" s="1313"/>
      <c r="S5" s="1312" t="s">
        <v>287</v>
      </c>
      <c r="T5" s="1313"/>
      <c r="W5" s="527" t="str">
        <f>B5</f>
        <v>DEVELOPMENT BUDGET</v>
      </c>
    </row>
    <row r="6" spans="1:24" s="364" customFormat="1" ht="19.5" customHeight="1" thickBot="1">
      <c r="G6" s="1367" t="s">
        <v>104</v>
      </c>
      <c r="H6" s="1368"/>
      <c r="J6" s="1314"/>
      <c r="K6" s="1315"/>
      <c r="L6" s="422"/>
      <c r="M6" s="1308"/>
      <c r="N6" s="1309"/>
      <c r="P6" s="1314"/>
      <c r="Q6" s="1315"/>
      <c r="S6" s="1314"/>
      <c r="T6" s="1315"/>
      <c r="W6" s="1379" t="s">
        <v>2891</v>
      </c>
      <c r="X6" s="1379"/>
    </row>
    <row r="7" spans="1:24" s="364" customFormat="1" ht="12" customHeight="1">
      <c r="B7" s="367" t="s">
        <v>105</v>
      </c>
      <c r="O7" s="619" t="str">
        <f>B7</f>
        <v>PRE-DEVELOPMENT COSTS</v>
      </c>
      <c r="W7" s="364" t="str">
        <f>B7</f>
        <v>PRE-DEVELOPMENT COSTS</v>
      </c>
    </row>
    <row r="8" spans="1:24" s="364" customFormat="1" ht="12.6" customHeight="1">
      <c r="B8" s="364" t="s">
        <v>2136</v>
      </c>
      <c r="G8" s="2085">
        <v>10000</v>
      </c>
      <c r="H8" s="2086"/>
      <c r="J8" s="2085"/>
      <c r="K8" s="2086"/>
      <c r="L8" s="1150"/>
      <c r="M8" s="2085"/>
      <c r="N8" s="2086"/>
      <c r="P8" s="2085">
        <v>10000</v>
      </c>
      <c r="Q8" s="2086"/>
      <c r="S8" s="2085"/>
      <c r="T8" s="2086"/>
      <c r="V8" s="2115"/>
      <c r="W8" s="2116"/>
      <c r="X8" s="2117"/>
    </row>
    <row r="9" spans="1:24" s="364" customFormat="1" ht="12.6" customHeight="1">
      <c r="B9" s="364" t="s">
        <v>481</v>
      </c>
      <c r="G9" s="2085">
        <v>7500</v>
      </c>
      <c r="H9" s="2086"/>
      <c r="J9" s="2085"/>
      <c r="K9" s="2086"/>
      <c r="L9" s="1150"/>
      <c r="M9" s="2085"/>
      <c r="N9" s="2086"/>
      <c r="P9" s="2085">
        <v>7500</v>
      </c>
      <c r="Q9" s="2086"/>
      <c r="S9" s="2085"/>
      <c r="T9" s="2086"/>
      <c r="V9" s="2115"/>
      <c r="W9" s="2118"/>
      <c r="X9" s="2119"/>
    </row>
    <row r="10" spans="1:24" s="364" customFormat="1" ht="12.6" customHeight="1">
      <c r="B10" s="364" t="s">
        <v>517</v>
      </c>
      <c r="G10" s="2085">
        <v>15000</v>
      </c>
      <c r="H10" s="2086"/>
      <c r="J10" s="2085"/>
      <c r="K10" s="2086"/>
      <c r="L10" s="1150"/>
      <c r="M10" s="2085"/>
      <c r="N10" s="2086"/>
      <c r="P10" s="2085">
        <v>15000</v>
      </c>
      <c r="Q10" s="2086"/>
      <c r="S10" s="2085"/>
      <c r="T10" s="2086"/>
      <c r="V10" s="2115"/>
      <c r="W10" s="2118"/>
      <c r="X10" s="2119"/>
    </row>
    <row r="11" spans="1:24" s="364" customFormat="1" ht="12.6" customHeight="1">
      <c r="B11" s="364" t="s">
        <v>518</v>
      </c>
      <c r="G11" s="2085"/>
      <c r="H11" s="2086"/>
      <c r="J11" s="2085"/>
      <c r="K11" s="2086"/>
      <c r="L11" s="1150"/>
      <c r="M11" s="2085"/>
      <c r="N11" s="2086"/>
      <c r="P11" s="2085"/>
      <c r="Q11" s="2086"/>
      <c r="S11" s="2085"/>
      <c r="T11" s="2086"/>
      <c r="V11" s="2115"/>
      <c r="W11" s="2118"/>
      <c r="X11" s="2119"/>
    </row>
    <row r="12" spans="1:24" s="364" customFormat="1" ht="12.6" customHeight="1">
      <c r="B12" s="364" t="s">
        <v>2668</v>
      </c>
      <c r="G12" s="2085">
        <v>22000</v>
      </c>
      <c r="H12" s="2086"/>
      <c r="J12" s="2085"/>
      <c r="K12" s="2086"/>
      <c r="L12" s="1150"/>
      <c r="M12" s="2085"/>
      <c r="N12" s="2086"/>
      <c r="P12" s="2085">
        <v>22000</v>
      </c>
      <c r="Q12" s="2086"/>
      <c r="S12" s="2085"/>
      <c r="T12" s="2086"/>
      <c r="V12" s="2115"/>
      <c r="W12" s="2118"/>
      <c r="X12" s="2119"/>
    </row>
    <row r="13" spans="1:24" s="364" customFormat="1" ht="12.6" customHeight="1">
      <c r="B13" s="364" t="s">
        <v>198</v>
      </c>
      <c r="G13" s="2085"/>
      <c r="H13" s="2086"/>
      <c r="J13" s="2085"/>
      <c r="K13" s="2086"/>
      <c r="L13" s="1150"/>
      <c r="M13" s="2085"/>
      <c r="N13" s="2086"/>
      <c r="P13" s="2085"/>
      <c r="Q13" s="2086"/>
      <c r="S13" s="2085"/>
      <c r="T13" s="2086"/>
      <c r="V13" s="2115"/>
      <c r="W13" s="2118"/>
      <c r="X13" s="2119"/>
    </row>
    <row r="14" spans="1:24" s="364" customFormat="1" ht="12.6" customHeight="1">
      <c r="A14" s="450" t="str">
        <f>IF(AND(G14&gt;0,OR(C14="",C14="&lt;Enter detailed description here; use Comments section if needed&gt;")),"X","")</f>
        <v/>
      </c>
      <c r="B14" s="364" t="s">
        <v>791</v>
      </c>
      <c r="C14" s="1954" t="s">
        <v>3787</v>
      </c>
      <c r="D14" s="1954"/>
      <c r="E14" s="1954"/>
      <c r="F14" s="1955"/>
      <c r="G14" s="2085">
        <v>20000</v>
      </c>
      <c r="H14" s="2086"/>
      <c r="J14" s="2085"/>
      <c r="K14" s="2086"/>
      <c r="L14" s="1150"/>
      <c r="M14" s="2085"/>
      <c r="N14" s="2086"/>
      <c r="P14" s="2085">
        <v>20000</v>
      </c>
      <c r="Q14" s="2086"/>
      <c r="S14" s="2085"/>
      <c r="T14" s="2086"/>
      <c r="U14" s="449" t="str">
        <f>IF(AND(G14&gt;0,OR(C14="",C14="&lt;Enter detailed description here; use Comments section if needed&gt;")),"NO DESCRIPTION PROVIDED - please enter detailed description in Other box at left; use Comments section below if needed.","")</f>
        <v/>
      </c>
      <c r="V14" s="2120"/>
      <c r="W14" s="2118"/>
      <c r="X14" s="2119"/>
    </row>
    <row r="15" spans="1:24" s="364" customFormat="1" ht="12.6" customHeight="1">
      <c r="A15" s="450" t="str">
        <f>IF(AND(G15&gt;0,OR(C15="",C15="&lt;Enter detailed description here; use Comments section if needed&gt;")),"X","")</f>
        <v/>
      </c>
      <c r="B15" s="364" t="s">
        <v>791</v>
      </c>
      <c r="C15" s="1954" t="s">
        <v>2578</v>
      </c>
      <c r="D15" s="1954"/>
      <c r="E15" s="1954"/>
      <c r="F15" s="1955"/>
      <c r="G15" s="2085"/>
      <c r="H15" s="2086"/>
      <c r="J15" s="2085"/>
      <c r="K15" s="2086"/>
      <c r="L15" s="1150"/>
      <c r="M15" s="2085"/>
      <c r="N15" s="2086"/>
      <c r="P15" s="2085"/>
      <c r="Q15" s="2086"/>
      <c r="S15" s="2085"/>
      <c r="T15" s="2086"/>
      <c r="U15" s="449" t="str">
        <f>IF(AND(G15&gt;0,OR(C15="",C15="&lt;Enter detailed description here; use Comments section if needed&gt;")),"NO DESCRIPTION PROVIDED - please enter detailed description in Other box at left; use Comments section below if needed.","")</f>
        <v/>
      </c>
      <c r="V15" s="2120"/>
      <c r="W15" s="2118"/>
      <c r="X15" s="2119"/>
    </row>
    <row r="16" spans="1:24" s="364" customFormat="1" ht="12.6" customHeight="1" thickBot="1">
      <c r="A16" s="450" t="str">
        <f>IF(AND(G16&gt;0,OR(C16="",C16="&lt;Enter detailed description here; use Comments section if needed&gt;")),"X","")</f>
        <v/>
      </c>
      <c r="B16" s="364" t="s">
        <v>791</v>
      </c>
      <c r="C16" s="1954" t="s">
        <v>2578</v>
      </c>
      <c r="D16" s="1954"/>
      <c r="E16" s="1954"/>
      <c r="F16" s="1955"/>
      <c r="G16" s="2121"/>
      <c r="H16" s="2122"/>
      <c r="J16" s="2121"/>
      <c r="K16" s="2122"/>
      <c r="L16" s="1150"/>
      <c r="M16" s="2085"/>
      <c r="N16" s="2086"/>
      <c r="P16" s="2121"/>
      <c r="Q16" s="2122"/>
      <c r="S16" s="2121"/>
      <c r="T16" s="2122"/>
      <c r="U16" s="449" t="str">
        <f>IF(AND(G16&gt;0,OR(C16="",C16="&lt;Enter detailed description here; use Comments section if needed&gt;")),"NO DESCRIPTION PROVIDED - please enter detailed description in Other box at left; use Comments section below if needed.","")</f>
        <v/>
      </c>
      <c r="V16" s="2120"/>
      <c r="W16" s="2118"/>
      <c r="X16" s="2119"/>
    </row>
    <row r="17" spans="2:24" s="364" customFormat="1" ht="12.6" customHeight="1" thickTop="1">
      <c r="F17" s="423" t="s">
        <v>199</v>
      </c>
      <c r="G17" s="1310">
        <f>SUM(G8:H16)</f>
        <v>74500</v>
      </c>
      <c r="H17" s="1311"/>
      <c r="J17" s="1310">
        <f>SUM(J8:K16)</f>
        <v>0</v>
      </c>
      <c r="K17" s="1380"/>
      <c r="L17" s="1150"/>
      <c r="M17" s="1310">
        <f>SUM(M8:N16)</f>
        <v>0</v>
      </c>
      <c r="N17" s="1311"/>
      <c r="P17" s="1310">
        <f>SUM(P8:Q16)</f>
        <v>74500</v>
      </c>
      <c r="Q17" s="1311"/>
      <c r="S17" s="1310">
        <f>SUM(S8:T16)</f>
        <v>0</v>
      </c>
      <c r="T17" s="1311"/>
      <c r="V17" s="2123"/>
      <c r="W17" s="2124"/>
      <c r="X17" s="2125"/>
    </row>
    <row r="18" spans="2:24" s="364" customFormat="1" ht="12" customHeight="1">
      <c r="B18" s="367" t="s">
        <v>2337</v>
      </c>
      <c r="J18" s="422"/>
      <c r="K18" s="422"/>
      <c r="M18" s="422"/>
      <c r="N18" s="422"/>
      <c r="O18" s="424" t="str">
        <f>B18</f>
        <v>ACQUISITION</v>
      </c>
      <c r="P18" s="422"/>
      <c r="Q18" s="422"/>
      <c r="S18" s="422"/>
      <c r="T18" s="422"/>
      <c r="W18" s="364" t="str">
        <f>B18</f>
        <v>ACQUISITION</v>
      </c>
    </row>
    <row r="19" spans="2:24" s="364" customFormat="1" ht="12.6" customHeight="1">
      <c r="B19" s="364" t="s">
        <v>2338</v>
      </c>
      <c r="G19" s="2085">
        <v>1000</v>
      </c>
      <c r="H19" s="2086"/>
      <c r="J19" s="425"/>
      <c r="K19" s="422"/>
      <c r="L19" s="425"/>
      <c r="M19" s="425"/>
      <c r="N19" s="422"/>
      <c r="P19" s="425"/>
      <c r="Q19" s="422"/>
      <c r="S19" s="2085">
        <v>1000</v>
      </c>
      <c r="T19" s="2086"/>
      <c r="V19" s="2115"/>
      <c r="W19" s="2116"/>
      <c r="X19" s="2117"/>
    </row>
    <row r="20" spans="2:24" s="364" customFormat="1" ht="12.6" customHeight="1">
      <c r="B20" s="364" t="s">
        <v>1184</v>
      </c>
      <c r="G20" s="2085"/>
      <c r="H20" s="2086"/>
      <c r="J20" s="425"/>
      <c r="K20" s="422"/>
      <c r="L20" s="425"/>
      <c r="M20" s="425"/>
      <c r="N20" s="422"/>
      <c r="P20" s="425"/>
      <c r="Q20" s="422"/>
      <c r="S20" s="2085"/>
      <c r="T20" s="2086"/>
      <c r="V20" s="2115"/>
      <c r="W20" s="2118"/>
      <c r="X20" s="2119"/>
    </row>
    <row r="21" spans="2:24" s="364" customFormat="1" ht="12.6" customHeight="1">
      <c r="B21" s="364" t="s">
        <v>482</v>
      </c>
      <c r="G21" s="2085"/>
      <c r="H21" s="2086"/>
      <c r="J21" s="425"/>
      <c r="K21" s="422"/>
      <c r="L21" s="425"/>
      <c r="M21" s="2085"/>
      <c r="N21" s="2086"/>
      <c r="P21" s="425"/>
      <c r="Q21" s="422"/>
      <c r="S21" s="2085"/>
      <c r="T21" s="2086"/>
      <c r="V21" s="2115"/>
      <c r="W21" s="2118"/>
      <c r="X21" s="2119"/>
    </row>
    <row r="22" spans="2:24" s="364" customFormat="1" ht="12.6" customHeight="1" thickBot="1">
      <c r="B22" s="364" t="s">
        <v>451</v>
      </c>
      <c r="G22" s="2126">
        <v>1347093</v>
      </c>
      <c r="H22" s="2127"/>
      <c r="J22" s="425"/>
      <c r="K22" s="422"/>
      <c r="L22" s="425"/>
      <c r="M22" s="2126">
        <v>1347093</v>
      </c>
      <c r="N22" s="2127"/>
      <c r="P22" s="425"/>
      <c r="Q22" s="422"/>
      <c r="S22" s="2085"/>
      <c r="T22" s="2086"/>
      <c r="V22" s="2115"/>
      <c r="W22" s="2118"/>
      <c r="X22" s="2119"/>
    </row>
    <row r="23" spans="2:24" s="364" customFormat="1" ht="12.6" customHeight="1" thickTop="1">
      <c r="F23" s="423" t="s">
        <v>199</v>
      </c>
      <c r="G23" s="1310">
        <f>SUM(G19:H22)</f>
        <v>1348093</v>
      </c>
      <c r="H23" s="1311"/>
      <c r="J23" s="425"/>
      <c r="K23" s="422"/>
      <c r="L23" s="425"/>
      <c r="M23" s="1310">
        <f>SUM(M21:N22)</f>
        <v>1347093</v>
      </c>
      <c r="N23" s="1311"/>
      <c r="P23" s="425"/>
      <c r="Q23" s="422"/>
      <c r="S23" s="1310">
        <f>SUM(S19:T22)</f>
        <v>1000</v>
      </c>
      <c r="T23" s="1311"/>
      <c r="V23" s="2123"/>
      <c r="W23" s="2124"/>
      <c r="X23" s="2125"/>
    </row>
    <row r="24" spans="2:24" s="364" customFormat="1" ht="12" customHeight="1">
      <c r="B24" s="367" t="s">
        <v>1185</v>
      </c>
      <c r="J24" s="425"/>
      <c r="K24" s="422"/>
      <c r="M24" s="425"/>
      <c r="N24" s="422"/>
      <c r="O24" s="424" t="str">
        <f>B24</f>
        <v>LAND IMPROVEMENTS</v>
      </c>
      <c r="P24" s="425"/>
      <c r="Q24" s="422"/>
      <c r="S24" s="425"/>
      <c r="T24" s="422"/>
      <c r="W24" s="364" t="str">
        <f>B24</f>
        <v>LAND IMPROVEMENTS</v>
      </c>
    </row>
    <row r="25" spans="2:24" s="364" customFormat="1" ht="12.6" customHeight="1">
      <c r="B25" s="364" t="s">
        <v>1186</v>
      </c>
      <c r="G25" s="2085">
        <v>758990</v>
      </c>
      <c r="H25" s="2086"/>
      <c r="J25" s="2121"/>
      <c r="K25" s="2122"/>
      <c r="L25" s="1150"/>
      <c r="M25" s="2085"/>
      <c r="N25" s="2086"/>
      <c r="P25" s="2085">
        <v>758990</v>
      </c>
      <c r="Q25" s="2086"/>
      <c r="S25" s="2085"/>
      <c r="T25" s="2086"/>
      <c r="V25" s="2115"/>
      <c r="W25" s="2116"/>
      <c r="X25" s="2117"/>
    </row>
    <row r="26" spans="2:24" s="364" customFormat="1" ht="12.6" customHeight="1" thickBot="1">
      <c r="B26" s="364" t="s">
        <v>1187</v>
      </c>
      <c r="G26" s="2085"/>
      <c r="H26" s="2086"/>
      <c r="J26" s="2121"/>
      <c r="K26" s="2122"/>
      <c r="L26" s="426"/>
      <c r="M26" s="1360"/>
      <c r="N26" s="1360"/>
      <c r="P26" s="1360"/>
      <c r="Q26" s="1360"/>
      <c r="S26" s="2085"/>
      <c r="T26" s="2086"/>
      <c r="V26" s="2115"/>
      <c r="W26" s="2118"/>
      <c r="X26" s="2119"/>
    </row>
    <row r="27" spans="2:24" s="364" customFormat="1" ht="12.6" customHeight="1" thickTop="1">
      <c r="F27" s="423" t="s">
        <v>199</v>
      </c>
      <c r="G27" s="1310">
        <f>SUM(G25:H26)</f>
        <v>758990</v>
      </c>
      <c r="H27" s="1311"/>
      <c r="J27" s="1310">
        <f>SUM(J25:K26)</f>
        <v>0</v>
      </c>
      <c r="K27" s="1311"/>
      <c r="L27" s="425"/>
      <c r="M27" s="1310">
        <f>M25</f>
        <v>0</v>
      </c>
      <c r="N27" s="1311"/>
      <c r="P27" s="1310">
        <f>P25</f>
        <v>758990</v>
      </c>
      <c r="Q27" s="1311"/>
      <c r="S27" s="1310">
        <f>SUM(S25:T26)</f>
        <v>0</v>
      </c>
      <c r="T27" s="1311"/>
      <c r="V27" s="2123"/>
      <c r="W27" s="2124"/>
      <c r="X27" s="2125"/>
    </row>
    <row r="28" spans="2:24" s="364" customFormat="1" ht="12" customHeight="1">
      <c r="B28" s="367" t="s">
        <v>1188</v>
      </c>
      <c r="J28" s="425"/>
      <c r="K28" s="422"/>
      <c r="M28" s="425"/>
      <c r="N28" s="422"/>
      <c r="O28" s="424" t="str">
        <f>B28</f>
        <v>STRUCTURES</v>
      </c>
      <c r="P28" s="425"/>
      <c r="Q28" s="422"/>
      <c r="S28" s="425"/>
      <c r="T28" s="422"/>
      <c r="W28" s="364" t="str">
        <f>B28</f>
        <v>STRUCTURES</v>
      </c>
    </row>
    <row r="29" spans="2:24" s="364" customFormat="1" ht="12.6" customHeight="1">
      <c r="B29" s="364" t="s">
        <v>1189</v>
      </c>
      <c r="G29" s="2085"/>
      <c r="H29" s="2086"/>
      <c r="J29" s="2085"/>
      <c r="K29" s="2086"/>
      <c r="L29" s="1150"/>
      <c r="M29" s="2085"/>
      <c r="N29" s="2086"/>
      <c r="P29" s="2085"/>
      <c r="Q29" s="2086"/>
      <c r="S29" s="2085"/>
      <c r="T29" s="2086"/>
      <c r="V29" s="2115"/>
      <c r="W29" s="2116"/>
      <c r="X29" s="2117"/>
    </row>
    <row r="30" spans="2:24" s="364" customFormat="1" ht="12.6" customHeight="1">
      <c r="B30" s="364" t="s">
        <v>1190</v>
      </c>
      <c r="G30" s="2085">
        <v>4723910</v>
      </c>
      <c r="H30" s="2086"/>
      <c r="J30" s="2085"/>
      <c r="K30" s="2086"/>
      <c r="L30" s="1150"/>
      <c r="M30" s="2085"/>
      <c r="N30" s="2086"/>
      <c r="P30" s="2085">
        <v>4723910</v>
      </c>
      <c r="Q30" s="2086"/>
      <c r="S30" s="2085"/>
      <c r="T30" s="2086"/>
      <c r="V30" s="2115"/>
      <c r="W30" s="2118"/>
      <c r="X30" s="2119"/>
    </row>
    <row r="31" spans="2:24" s="364" customFormat="1" ht="12.6" customHeight="1">
      <c r="B31" s="364" t="s">
        <v>3230</v>
      </c>
      <c r="G31" s="2085">
        <v>100000</v>
      </c>
      <c r="H31" s="2086"/>
      <c r="J31" s="2085"/>
      <c r="K31" s="2086"/>
      <c r="L31" s="1150"/>
      <c r="M31" s="2085"/>
      <c r="N31" s="2086"/>
      <c r="P31" s="2085">
        <v>100000</v>
      </c>
      <c r="Q31" s="2086"/>
      <c r="S31" s="2085"/>
      <c r="T31" s="2086"/>
      <c r="V31" s="2115"/>
      <c r="W31" s="2118"/>
      <c r="X31" s="2119"/>
    </row>
    <row r="32" spans="2:24" ht="12.6" customHeight="1" thickBot="1">
      <c r="B32" s="364" t="s">
        <v>3229</v>
      </c>
      <c r="G32" s="2085"/>
      <c r="H32" s="2086"/>
      <c r="I32" s="364"/>
      <c r="J32" s="2085"/>
      <c r="K32" s="2086"/>
      <c r="L32" s="1150"/>
      <c r="M32" s="2085"/>
      <c r="N32" s="2086"/>
      <c r="O32" s="364"/>
      <c r="P32" s="2085"/>
      <c r="Q32" s="2086"/>
      <c r="R32" s="364"/>
      <c r="S32" s="2085"/>
      <c r="T32" s="2086"/>
      <c r="V32" s="2115"/>
      <c r="W32" s="2118"/>
      <c r="X32" s="2119"/>
    </row>
    <row r="33" spans="1:24" s="364" customFormat="1" ht="12.6" customHeight="1" thickTop="1">
      <c r="C33" s="1328"/>
      <c r="D33" s="1328"/>
      <c r="E33" s="1153"/>
      <c r="F33" s="423" t="s">
        <v>199</v>
      </c>
      <c r="G33" s="1310">
        <f>SUM(G29:H32)</f>
        <v>4823910</v>
      </c>
      <c r="H33" s="1311"/>
      <c r="J33" s="1310">
        <f>SUM(J29:K32)</f>
        <v>0</v>
      </c>
      <c r="K33" s="1311"/>
      <c r="L33" s="1150"/>
      <c r="M33" s="1310">
        <f>SUM(M29:N32)</f>
        <v>0</v>
      </c>
      <c r="N33" s="1311"/>
      <c r="P33" s="1310">
        <f>SUM(P29:Q32)</f>
        <v>4823910</v>
      </c>
      <c r="Q33" s="1311"/>
      <c r="S33" s="1310">
        <f>SUM(S29:T32)</f>
        <v>0</v>
      </c>
      <c r="T33" s="1311"/>
      <c r="V33" s="2123"/>
      <c r="W33" s="2124"/>
      <c r="X33" s="2125"/>
    </row>
    <row r="34" spans="1:24" s="364" customFormat="1" ht="12" customHeight="1">
      <c r="B34" s="367" t="s">
        <v>2494</v>
      </c>
      <c r="E34" s="635">
        <f>SUM(E35:E37)</f>
        <v>0.14000000000000001</v>
      </c>
      <c r="F34" s="1144"/>
      <c r="G34" s="443"/>
      <c r="H34" s="384"/>
      <c r="I34" s="384"/>
      <c r="J34" s="425"/>
      <c r="K34" s="422"/>
      <c r="M34" s="425"/>
      <c r="N34" s="422"/>
      <c r="O34" s="424" t="str">
        <f>B34</f>
        <v>CONTRACTOR SERVICES</v>
      </c>
      <c r="P34" s="425"/>
      <c r="Q34" s="422"/>
      <c r="S34" s="425"/>
      <c r="T34" s="422"/>
      <c r="W34" s="364" t="str">
        <f>B34</f>
        <v>CONTRACTOR SERVICES</v>
      </c>
    </row>
    <row r="35" spans="1:24" s="364" customFormat="1" ht="12.6" customHeight="1">
      <c r="B35" s="364" t="s">
        <v>2495</v>
      </c>
      <c r="E35" s="427">
        <f>'DCA Underwriting Assumptions'!$R$37</f>
        <v>0.06</v>
      </c>
      <c r="F35" s="486">
        <f>E35*($G$27+$G$33)</f>
        <v>334974</v>
      </c>
      <c r="G35" s="2085">
        <v>334974</v>
      </c>
      <c r="H35" s="2086"/>
      <c r="I35" s="384"/>
      <c r="J35" s="2085"/>
      <c r="K35" s="2086"/>
      <c r="L35" s="1150"/>
      <c r="M35" s="2085"/>
      <c r="N35" s="2086"/>
      <c r="P35" s="2085">
        <v>334974</v>
      </c>
      <c r="Q35" s="2086"/>
      <c r="S35" s="2085"/>
      <c r="T35" s="2086"/>
      <c r="V35" s="2115"/>
      <c r="W35" s="2116"/>
      <c r="X35" s="2117"/>
    </row>
    <row r="36" spans="1:24" s="364" customFormat="1" ht="12.6" customHeight="1">
      <c r="B36" s="364" t="s">
        <v>3007</v>
      </c>
      <c r="E36" s="485">
        <f>'DCA Underwriting Assumptions'!$R$38</f>
        <v>0.02</v>
      </c>
      <c r="F36" s="486">
        <f>E36*($G$27+$G$33)</f>
        <v>111658</v>
      </c>
      <c r="G36" s="2085">
        <v>111658</v>
      </c>
      <c r="H36" s="2086"/>
      <c r="I36" s="384"/>
      <c r="J36" s="2085"/>
      <c r="K36" s="2086"/>
      <c r="L36" s="1150"/>
      <c r="M36" s="2085"/>
      <c r="N36" s="2086"/>
      <c r="P36" s="2085">
        <v>111658</v>
      </c>
      <c r="Q36" s="2086"/>
      <c r="S36" s="2085"/>
      <c r="T36" s="2086"/>
      <c r="V36" s="2115"/>
      <c r="W36" s="2118"/>
      <c r="X36" s="2119"/>
    </row>
    <row r="37" spans="1:24" s="364" customFormat="1" ht="12.6" customHeight="1" thickBot="1">
      <c r="B37" s="364" t="s">
        <v>3008</v>
      </c>
      <c r="E37" s="485">
        <f>'DCA Underwriting Assumptions'!$R$39</f>
        <v>0.06</v>
      </c>
      <c r="F37" s="486">
        <f>E37*($G$27+$G$33)</f>
        <v>334974</v>
      </c>
      <c r="G37" s="2085">
        <v>334974</v>
      </c>
      <c r="H37" s="2086"/>
      <c r="I37" s="384"/>
      <c r="J37" s="2085"/>
      <c r="K37" s="2086"/>
      <c r="L37" s="1150"/>
      <c r="M37" s="2085"/>
      <c r="N37" s="2086"/>
      <c r="P37" s="2085">
        <v>334974</v>
      </c>
      <c r="Q37" s="2086"/>
      <c r="S37" s="2085"/>
      <c r="T37" s="2086"/>
      <c r="V37" s="2115"/>
      <c r="W37" s="2118"/>
      <c r="X37" s="2119"/>
    </row>
    <row r="38" spans="1:24" s="364" customFormat="1" ht="12.6" customHeight="1" thickTop="1">
      <c r="B38" s="364" t="s">
        <v>2177</v>
      </c>
      <c r="D38" s="430"/>
      <c r="E38" s="1144"/>
      <c r="F38" s="487" t="s">
        <v>199</v>
      </c>
      <c r="G38" s="1310">
        <f>SUM(G35:H37)</f>
        <v>781606</v>
      </c>
      <c r="H38" s="1311"/>
      <c r="J38" s="1310">
        <f>SUM(J35:K37)</f>
        <v>0</v>
      </c>
      <c r="K38" s="1311"/>
      <c r="L38" s="425"/>
      <c r="M38" s="1310">
        <f>SUM(M35:N37)</f>
        <v>0</v>
      </c>
      <c r="N38" s="1311"/>
      <c r="P38" s="1310">
        <f>SUM(P35:Q37)</f>
        <v>781606</v>
      </c>
      <c r="Q38" s="1311"/>
      <c r="S38" s="1310">
        <f>SUM(S35:T37)</f>
        <v>0</v>
      </c>
      <c r="T38" s="1311"/>
      <c r="V38" s="2123"/>
      <c r="W38" s="2124"/>
      <c r="X38" s="2125"/>
    </row>
    <row r="39" spans="1:24" s="364" customFormat="1" ht="3" customHeight="1">
      <c r="A39" s="619"/>
      <c r="B39" s="619"/>
      <c r="C39" s="619"/>
      <c r="D39" s="619"/>
      <c r="E39" s="619"/>
      <c r="F39" s="619"/>
      <c r="G39" s="619"/>
      <c r="H39" s="619"/>
      <c r="I39" s="619"/>
      <c r="J39" s="619"/>
      <c r="K39" s="619"/>
      <c r="L39" s="619"/>
      <c r="M39" s="619"/>
      <c r="N39" s="619"/>
      <c r="O39" s="619"/>
      <c r="P39" s="619"/>
      <c r="Q39" s="619"/>
      <c r="R39" s="619"/>
      <c r="S39" s="619"/>
      <c r="T39" s="619"/>
    </row>
    <row r="40" spans="1:24" s="364" customFormat="1" ht="12" customHeight="1">
      <c r="B40" s="367" t="s">
        <v>3012</v>
      </c>
      <c r="J40" s="425"/>
      <c r="K40" s="422"/>
      <c r="M40" s="425"/>
      <c r="N40" s="422"/>
      <c r="O40" s="424" t="str">
        <f>B40</f>
        <v>OTHER CONSTRUCTION HARD COSTS (Non-GC work scope items done by Owner)</v>
      </c>
      <c r="P40" s="425"/>
      <c r="Q40" s="422"/>
      <c r="S40" s="425"/>
      <c r="T40" s="422"/>
      <c r="W40" s="364" t="str">
        <f>B40</f>
        <v>OTHER CONSTRUCTION HARD COSTS (Non-GC work scope items done by Owner)</v>
      </c>
    </row>
    <row r="41" spans="1:24" ht="12.6" customHeight="1">
      <c r="B41" s="364" t="s">
        <v>791</v>
      </c>
      <c r="C41" s="1954" t="s">
        <v>2578</v>
      </c>
      <c r="D41" s="2128"/>
      <c r="E41" s="2128"/>
      <c r="F41" s="2057"/>
      <c r="G41" s="2085"/>
      <c r="H41" s="2086"/>
      <c r="I41" s="364"/>
      <c r="J41" s="2085"/>
      <c r="K41" s="2086"/>
      <c r="L41" s="1150"/>
      <c r="M41" s="2085"/>
      <c r="N41" s="2086"/>
      <c r="O41" s="364"/>
      <c r="P41" s="2085"/>
      <c r="Q41" s="2086"/>
      <c r="R41" s="364"/>
      <c r="S41" s="2085"/>
      <c r="T41" s="2086"/>
      <c r="V41" s="2115"/>
      <c r="W41" s="2116"/>
      <c r="X41" s="2117"/>
    </row>
    <row r="42" spans="1:24" s="364" customFormat="1" ht="6" customHeight="1">
      <c r="A42" s="619"/>
      <c r="B42" s="619"/>
      <c r="C42" s="619"/>
      <c r="D42" s="365"/>
      <c r="E42" s="365"/>
      <c r="F42" s="365"/>
      <c r="G42" s="619"/>
      <c r="H42" s="619"/>
      <c r="I42" s="619"/>
      <c r="J42" s="619"/>
      <c r="K42" s="619"/>
      <c r="L42" s="619"/>
      <c r="M42" s="619"/>
      <c r="N42" s="619"/>
      <c r="O42" s="619"/>
      <c r="P42" s="619"/>
      <c r="Q42" s="619"/>
      <c r="R42" s="619"/>
      <c r="S42" s="619"/>
      <c r="T42" s="619"/>
      <c r="W42" s="2118"/>
      <c r="X42" s="2119"/>
    </row>
    <row r="43" spans="1:24" s="364" customFormat="1" ht="12.6" customHeight="1">
      <c r="B43" s="663" t="s">
        <v>3018</v>
      </c>
      <c r="C43" s="664"/>
      <c r="E43" s="1370" t="s">
        <v>3017</v>
      </c>
      <c r="F43" s="1152">
        <f>B44/'Part VI-Revenues &amp; Expenses'!$M$60</f>
        <v>84860.08</v>
      </c>
      <c r="G43" s="661" t="s">
        <v>3221</v>
      </c>
      <c r="H43" s="620"/>
      <c r="I43" s="620"/>
      <c r="J43" s="1363">
        <f>B44/'Part VI-Revenues &amp; Expenses'!$M$62</f>
        <v>84860.08</v>
      </c>
      <c r="K43" s="1363"/>
      <c r="L43" s="620"/>
      <c r="M43" s="1361" t="s">
        <v>1492</v>
      </c>
      <c r="N43" s="1361"/>
      <c r="O43" s="620"/>
      <c r="P43" s="1363">
        <f>B44/'Part I-Project Information'!$P$59</f>
        <v>84.52872738863654</v>
      </c>
      <c r="Q43" s="1363"/>
      <c r="R43" s="620"/>
      <c r="S43" s="1377" t="s">
        <v>3228</v>
      </c>
      <c r="T43" s="1378"/>
      <c r="W43" s="2118"/>
      <c r="X43" s="2119"/>
    </row>
    <row r="44" spans="1:24" s="364" customFormat="1" ht="12.6" customHeight="1">
      <c r="B44" s="1372">
        <f>G27+G33+G38+G41</f>
        <v>6364506</v>
      </c>
      <c r="C44" s="1373"/>
      <c r="E44" s="1371"/>
      <c r="F44" s="1151">
        <f>B44/'Part VI-Revenues &amp; Expenses'!$M$98</f>
        <v>84.52872738863654</v>
      </c>
      <c r="G44" s="662" t="s">
        <v>3222</v>
      </c>
      <c r="H44" s="1149"/>
      <c r="I44" s="1149"/>
      <c r="J44" s="1369">
        <f>B44/'Part VI-Revenues &amp; Expenses'!$M$100</f>
        <v>84.52872738863654</v>
      </c>
      <c r="K44" s="1369"/>
      <c r="L44" s="1149"/>
      <c r="M44" s="1362" t="s">
        <v>3227</v>
      </c>
      <c r="N44" s="1362"/>
      <c r="O44" s="1149"/>
      <c r="P44" s="1149"/>
      <c r="Q44" s="1149"/>
      <c r="R44" s="1149"/>
      <c r="S44" s="1149"/>
      <c r="T44" s="414"/>
      <c r="W44" s="2124"/>
      <c r="X44" s="2125"/>
    </row>
    <row r="45" spans="1:24" s="364" customFormat="1" ht="3" customHeight="1">
      <c r="A45" s="619"/>
      <c r="B45" s="619"/>
      <c r="C45" s="619"/>
      <c r="D45" s="619"/>
      <c r="E45" s="619"/>
      <c r="F45" s="619"/>
      <c r="G45" s="619"/>
      <c r="H45" s="619"/>
      <c r="I45" s="619"/>
      <c r="J45" s="619"/>
      <c r="K45" s="619"/>
      <c r="L45" s="619"/>
      <c r="M45" s="619"/>
      <c r="N45" s="619"/>
      <c r="O45" s="619"/>
      <c r="P45" s="619"/>
      <c r="Q45" s="619"/>
      <c r="R45" s="619"/>
      <c r="S45" s="619"/>
      <c r="T45" s="619"/>
    </row>
    <row r="46" spans="1:24" s="364" customFormat="1" ht="12" customHeight="1">
      <c r="B46" s="367" t="s">
        <v>1191</v>
      </c>
      <c r="J46" s="425"/>
      <c r="K46" s="422"/>
      <c r="M46" s="425"/>
      <c r="N46" s="422"/>
      <c r="O46" s="424" t="str">
        <f>B46</f>
        <v>CONSTRUCTION CONTINGENCY</v>
      </c>
      <c r="P46" s="425"/>
      <c r="Q46" s="422"/>
      <c r="S46" s="425"/>
      <c r="T46" s="422"/>
      <c r="W46" s="364" t="str">
        <f>B46</f>
        <v>CONSTRUCTION CONTINGENCY</v>
      </c>
    </row>
    <row r="47" spans="1:24" ht="12.6" customHeight="1">
      <c r="B47" s="364" t="s">
        <v>2096</v>
      </c>
      <c r="F47" s="490">
        <f>G47/$B$44</f>
        <v>5.0278843322639655E-2</v>
      </c>
      <c r="G47" s="2085">
        <v>320000</v>
      </c>
      <c r="H47" s="2086"/>
      <c r="I47" s="364"/>
      <c r="J47" s="2085"/>
      <c r="K47" s="2086"/>
      <c r="L47" s="1150"/>
      <c r="M47" s="2085"/>
      <c r="N47" s="2086"/>
      <c r="O47" s="364"/>
      <c r="P47" s="2085">
        <v>320000</v>
      </c>
      <c r="Q47" s="2086"/>
      <c r="R47" s="364"/>
      <c r="S47" s="2085"/>
      <c r="T47" s="2086"/>
      <c r="V47" s="2115"/>
      <c r="W47" s="2129"/>
      <c r="X47" s="2130"/>
    </row>
    <row r="48" spans="1:24" s="364" customFormat="1" ht="3" customHeight="1">
      <c r="A48" s="619"/>
      <c r="B48" s="619"/>
      <c r="C48" s="619"/>
      <c r="D48" s="619"/>
      <c r="E48" s="619"/>
      <c r="F48" s="619"/>
      <c r="G48" s="619"/>
      <c r="H48" s="619"/>
      <c r="I48" s="619"/>
      <c r="J48" s="619"/>
      <c r="K48" s="619"/>
      <c r="L48" s="619"/>
      <c r="M48" s="619"/>
      <c r="N48" s="619"/>
      <c r="O48" s="619"/>
      <c r="P48" s="619"/>
      <c r="Q48" s="619"/>
      <c r="R48" s="619"/>
      <c r="S48" s="619"/>
      <c r="T48" s="619"/>
    </row>
    <row r="49" spans="1:24" s="364" customFormat="1" ht="3" customHeight="1" thickBot="1">
      <c r="A49" s="619"/>
      <c r="B49" s="619"/>
      <c r="C49" s="619"/>
      <c r="D49" s="619"/>
      <c r="E49" s="619"/>
      <c r="F49" s="619"/>
      <c r="G49" s="619"/>
      <c r="H49" s="619"/>
      <c r="I49" s="619"/>
      <c r="J49" s="619"/>
      <c r="K49" s="619"/>
      <c r="L49" s="619"/>
      <c r="M49" s="619"/>
      <c r="N49" s="619"/>
      <c r="O49" s="619"/>
      <c r="P49" s="619"/>
      <c r="Q49" s="619"/>
      <c r="R49" s="619"/>
      <c r="S49" s="619"/>
      <c r="T49" s="619"/>
    </row>
    <row r="50" spans="1:24" s="364" customFormat="1" ht="18.75" customHeight="1" thickBot="1">
      <c r="A50" s="526" t="s">
        <v>657</v>
      </c>
      <c r="B50" s="526" t="s">
        <v>3394</v>
      </c>
      <c r="H50" s="1144"/>
      <c r="I50" s="1144"/>
      <c r="J50" s="1312" t="s">
        <v>285</v>
      </c>
      <c r="K50" s="1313"/>
      <c r="L50" s="422"/>
      <c r="M50" s="1306" t="s">
        <v>520</v>
      </c>
      <c r="N50" s="1307"/>
      <c r="P50" s="1312" t="s">
        <v>286</v>
      </c>
      <c r="Q50" s="1313"/>
      <c r="S50" s="1312" t="s">
        <v>287</v>
      </c>
      <c r="T50" s="1313"/>
      <c r="W50" s="527" t="str">
        <f>B50</f>
        <v>DEVELOPMENT BUDGET (cont'd)</v>
      </c>
    </row>
    <row r="51" spans="1:24" s="364" customFormat="1" ht="18.75" customHeight="1" thickBot="1">
      <c r="G51" s="1367" t="s">
        <v>104</v>
      </c>
      <c r="H51" s="1368"/>
      <c r="J51" s="1314"/>
      <c r="K51" s="1315"/>
      <c r="L51" s="422"/>
      <c r="M51" s="1308"/>
      <c r="N51" s="1309"/>
      <c r="P51" s="1314"/>
      <c r="Q51" s="1315"/>
      <c r="S51" s="1314"/>
      <c r="T51" s="1315"/>
      <c r="W51" s="1379" t="s">
        <v>2891</v>
      </c>
      <c r="X51" s="1379"/>
    </row>
    <row r="52" spans="1:24" s="364" customFormat="1" ht="12" customHeight="1">
      <c r="B52" s="367" t="s">
        <v>772</v>
      </c>
      <c r="J52" s="425"/>
      <c r="K52" s="422"/>
      <c r="M52" s="425"/>
      <c r="N52" s="422"/>
      <c r="O52" s="424" t="str">
        <f>B52</f>
        <v>CONSTRUCTION PERIOD FINANCING</v>
      </c>
      <c r="P52" s="425"/>
      <c r="Q52" s="422"/>
      <c r="S52" s="425"/>
      <c r="T52" s="422"/>
      <c r="W52" s="364" t="str">
        <f>B52</f>
        <v>CONSTRUCTION PERIOD FINANCING</v>
      </c>
    </row>
    <row r="53" spans="1:24" s="364" customFormat="1" ht="12" customHeight="1">
      <c r="B53" s="364" t="s">
        <v>2497</v>
      </c>
      <c r="G53" s="2085">
        <v>68000</v>
      </c>
      <c r="H53" s="2086"/>
      <c r="J53" s="2085"/>
      <c r="K53" s="2086"/>
      <c r="L53" s="1150"/>
      <c r="M53" s="2085"/>
      <c r="N53" s="2086"/>
      <c r="P53" s="2085">
        <v>55000</v>
      </c>
      <c r="Q53" s="2086"/>
      <c r="S53" s="2085">
        <v>13000</v>
      </c>
      <c r="T53" s="2086"/>
      <c r="V53" s="2115"/>
      <c r="W53" s="2116"/>
      <c r="X53" s="2117"/>
    </row>
    <row r="54" spans="1:24" s="364" customFormat="1" ht="12" customHeight="1">
      <c r="B54" s="364" t="s">
        <v>2498</v>
      </c>
      <c r="G54" s="2085">
        <v>225000</v>
      </c>
      <c r="H54" s="2086"/>
      <c r="J54" s="2085"/>
      <c r="K54" s="2086"/>
      <c r="L54" s="1150"/>
      <c r="M54" s="2085"/>
      <c r="N54" s="2086"/>
      <c r="P54" s="2085">
        <v>192000</v>
      </c>
      <c r="Q54" s="2086"/>
      <c r="S54" s="2085">
        <v>33000</v>
      </c>
      <c r="T54" s="2086"/>
      <c r="V54" s="2115"/>
      <c r="W54" s="2118"/>
      <c r="X54" s="2119"/>
    </row>
    <row r="55" spans="1:24" s="364" customFormat="1" ht="12" customHeight="1">
      <c r="B55" s="364" t="s">
        <v>2499</v>
      </c>
      <c r="G55" s="2085">
        <v>70000</v>
      </c>
      <c r="H55" s="2086"/>
      <c r="J55" s="2085"/>
      <c r="K55" s="2086"/>
      <c r="L55" s="1150"/>
      <c r="M55" s="2085"/>
      <c r="N55" s="2086"/>
      <c r="P55" s="2085">
        <v>60000</v>
      </c>
      <c r="Q55" s="2086"/>
      <c r="S55" s="2085">
        <v>10000</v>
      </c>
      <c r="T55" s="2086"/>
      <c r="V55" s="2115"/>
      <c r="W55" s="2118"/>
      <c r="X55" s="2119"/>
    </row>
    <row r="56" spans="1:24" s="364" customFormat="1" ht="12" customHeight="1">
      <c r="B56" s="364" t="s">
        <v>2913</v>
      </c>
      <c r="G56" s="2085"/>
      <c r="H56" s="2086"/>
      <c r="J56" s="2085"/>
      <c r="K56" s="2086"/>
      <c r="L56" s="1150"/>
      <c r="M56" s="2085"/>
      <c r="N56" s="2086"/>
      <c r="P56" s="2085"/>
      <c r="Q56" s="2086"/>
      <c r="S56" s="2085"/>
      <c r="T56" s="2086"/>
      <c r="V56" s="2115"/>
      <c r="W56" s="2118"/>
      <c r="X56" s="2119"/>
    </row>
    <row r="57" spans="1:24" s="364" customFormat="1" ht="12" customHeight="1">
      <c r="B57" s="364" t="s">
        <v>773</v>
      </c>
      <c r="G57" s="2085"/>
      <c r="H57" s="2086"/>
      <c r="J57" s="2085"/>
      <c r="K57" s="2086"/>
      <c r="L57" s="1150"/>
      <c r="M57" s="2085"/>
      <c r="N57" s="2086"/>
      <c r="P57" s="2085"/>
      <c r="Q57" s="2086"/>
      <c r="S57" s="2085"/>
      <c r="T57" s="2086"/>
      <c r="V57" s="2115"/>
      <c r="W57" s="2118"/>
      <c r="X57" s="2119"/>
    </row>
    <row r="58" spans="1:24" s="364" customFormat="1" ht="12" customHeight="1">
      <c r="B58" s="364" t="s">
        <v>2500</v>
      </c>
      <c r="G58" s="2085">
        <v>30000</v>
      </c>
      <c r="H58" s="2086"/>
      <c r="J58" s="2085"/>
      <c r="K58" s="2086"/>
      <c r="L58" s="1150"/>
      <c r="M58" s="2085"/>
      <c r="N58" s="2086"/>
      <c r="P58" s="2085">
        <v>30000</v>
      </c>
      <c r="Q58" s="2086"/>
      <c r="S58" s="2085"/>
      <c r="T58" s="2086"/>
      <c r="V58" s="2115"/>
      <c r="W58" s="2118"/>
      <c r="X58" s="2119"/>
    </row>
    <row r="59" spans="1:24" s="364" customFormat="1" ht="12" customHeight="1">
      <c r="B59" s="364" t="s">
        <v>1356</v>
      </c>
      <c r="G59" s="2085">
        <v>25000</v>
      </c>
      <c r="H59" s="2086"/>
      <c r="J59" s="2085"/>
      <c r="K59" s="2086"/>
      <c r="L59" s="1150"/>
      <c r="M59" s="2085"/>
      <c r="N59" s="2086"/>
      <c r="P59" s="2085">
        <v>25000</v>
      </c>
      <c r="Q59" s="2086"/>
      <c r="S59" s="2085"/>
      <c r="T59" s="2086"/>
      <c r="V59" s="2115"/>
      <c r="W59" s="2118"/>
      <c r="X59" s="2119"/>
    </row>
    <row r="60" spans="1:24" s="364" customFormat="1" ht="12" customHeight="1">
      <c r="B60" s="364" t="s">
        <v>295</v>
      </c>
      <c r="G60" s="2085"/>
      <c r="H60" s="2086"/>
      <c r="J60" s="2085"/>
      <c r="K60" s="2086"/>
      <c r="L60" s="1150"/>
      <c r="M60" s="2085"/>
      <c r="N60" s="2086"/>
      <c r="P60" s="2085"/>
      <c r="Q60" s="2086"/>
      <c r="S60" s="2085"/>
      <c r="T60" s="2086"/>
      <c r="V60" s="2115"/>
      <c r="W60" s="2118"/>
      <c r="X60" s="2119"/>
    </row>
    <row r="61" spans="1:24" s="364" customFormat="1" ht="12" customHeight="1">
      <c r="B61" s="429" t="s">
        <v>1222</v>
      </c>
      <c r="D61" s="427"/>
      <c r="E61" s="427"/>
      <c r="F61" s="428"/>
      <c r="G61" s="2085"/>
      <c r="H61" s="2086"/>
      <c r="I61" s="384"/>
      <c r="J61" s="2085"/>
      <c r="K61" s="2086"/>
      <c r="L61" s="1150"/>
      <c r="M61" s="2085"/>
      <c r="N61" s="2086"/>
      <c r="P61" s="2085"/>
      <c r="Q61" s="2086"/>
      <c r="S61" s="2085"/>
      <c r="T61" s="2086"/>
      <c r="V61" s="2115"/>
      <c r="W61" s="2118"/>
      <c r="X61" s="2119"/>
    </row>
    <row r="62" spans="1:24" s="364" customFormat="1" ht="12" customHeight="1">
      <c r="A62" s="450" t="str">
        <f>IF(AND(G62&gt;0,OR(C62="",C62="&lt;Enter detailed description here; use Comments section if needed&gt;")),"X","")</f>
        <v/>
      </c>
      <c r="B62" s="364" t="s">
        <v>791</v>
      </c>
      <c r="C62" s="1954" t="s">
        <v>2578</v>
      </c>
      <c r="D62" s="1954"/>
      <c r="E62" s="1954"/>
      <c r="F62" s="1955"/>
      <c r="G62" s="2085"/>
      <c r="H62" s="2086"/>
      <c r="J62" s="2085"/>
      <c r="K62" s="2086"/>
      <c r="L62" s="1150"/>
      <c r="M62" s="2085"/>
      <c r="N62" s="2086"/>
      <c r="P62" s="2085"/>
      <c r="Q62" s="2086"/>
      <c r="S62" s="2085"/>
      <c r="T62" s="2086"/>
      <c r="U62" s="449" t="str">
        <f>IF(AND(G62&gt;0,OR(C62="",C62="&lt;Enter detailed description here; use Comments section if needed&gt;")),"NO DESCRIPTION PROVIDED - please enter detailed description in Other box at left; use Comments section below if needed.","")</f>
        <v/>
      </c>
      <c r="V62" s="2115"/>
      <c r="W62" s="2118"/>
      <c r="X62" s="2119"/>
    </row>
    <row r="63" spans="1:24" s="364" customFormat="1" ht="12" customHeight="1" thickBot="1">
      <c r="A63" s="450" t="str">
        <f>IF(AND(G63&gt;0,OR(C63="",C63="&lt;Enter detailed description here; use Comments section if needed&gt;")),"X","")</f>
        <v/>
      </c>
      <c r="B63" s="364" t="s">
        <v>791</v>
      </c>
      <c r="C63" s="1954" t="s">
        <v>2578</v>
      </c>
      <c r="D63" s="1954"/>
      <c r="E63" s="1954"/>
      <c r="F63" s="1955"/>
      <c r="G63" s="2085"/>
      <c r="H63" s="2086"/>
      <c r="J63" s="2085"/>
      <c r="K63" s="2086"/>
      <c r="L63" s="1150"/>
      <c r="M63" s="2085"/>
      <c r="N63" s="2086"/>
      <c r="P63" s="2085"/>
      <c r="Q63" s="2086"/>
      <c r="S63" s="2085"/>
      <c r="T63" s="2086"/>
      <c r="U63" s="449" t="str">
        <f>IF(AND(G63&gt;0,OR(C63="",C63="&lt;Enter detailed description here; use Comments section if needed&gt;")),"NO DESCRIPTION PROVIDED - please enter detailed description in Other box at left; use Comments section below if needed.","")</f>
        <v/>
      </c>
      <c r="V63" s="2115"/>
      <c r="W63" s="2118"/>
      <c r="X63" s="2119"/>
    </row>
    <row r="64" spans="1:24" s="364" customFormat="1" ht="12" customHeight="1" thickTop="1">
      <c r="F64" s="423" t="s">
        <v>199</v>
      </c>
      <c r="G64" s="1310">
        <f>SUM(G53:H63)</f>
        <v>418000</v>
      </c>
      <c r="H64" s="1311"/>
      <c r="J64" s="1310">
        <f>SUM(J53:K63)</f>
        <v>0</v>
      </c>
      <c r="K64" s="1311"/>
      <c r="L64" s="425"/>
      <c r="M64" s="1310">
        <f>SUM(M53:N63)</f>
        <v>0</v>
      </c>
      <c r="N64" s="1311"/>
      <c r="P64" s="1310">
        <f>SUM(P53:Q63)</f>
        <v>362000</v>
      </c>
      <c r="Q64" s="1311"/>
      <c r="S64" s="1310">
        <f>SUM(S53:T63)</f>
        <v>56000</v>
      </c>
      <c r="T64" s="1311"/>
      <c r="V64" s="2123"/>
      <c r="W64" s="2124"/>
      <c r="X64" s="2125"/>
    </row>
    <row r="65" spans="1:24" s="364" customFormat="1" ht="12" customHeight="1">
      <c r="B65" s="367" t="s">
        <v>505</v>
      </c>
      <c r="G65" s="422"/>
      <c r="H65" s="422"/>
      <c r="J65" s="422"/>
      <c r="K65" s="422"/>
      <c r="M65" s="422"/>
      <c r="N65" s="422"/>
      <c r="O65" s="424" t="str">
        <f>B65</f>
        <v>PROFESSIONAL SERVICES</v>
      </c>
      <c r="P65" s="422"/>
      <c r="Q65" s="422"/>
      <c r="S65" s="422"/>
      <c r="T65" s="422"/>
      <c r="W65" s="364" t="str">
        <f>B65</f>
        <v>PROFESSIONAL SERVICES</v>
      </c>
    </row>
    <row r="66" spans="1:24" s="364" customFormat="1" ht="12" customHeight="1">
      <c r="B66" s="364" t="s">
        <v>506</v>
      </c>
      <c r="G66" s="2085">
        <v>40000</v>
      </c>
      <c r="H66" s="2086"/>
      <c r="J66" s="2085"/>
      <c r="K66" s="2086"/>
      <c r="L66" s="1150"/>
      <c r="M66" s="2085"/>
      <c r="N66" s="2086"/>
      <c r="P66" s="2085">
        <v>40000</v>
      </c>
      <c r="Q66" s="2086"/>
      <c r="S66" s="2085"/>
      <c r="T66" s="2086"/>
      <c r="V66" s="2115"/>
      <c r="W66" s="2116"/>
      <c r="X66" s="2117"/>
    </row>
    <row r="67" spans="1:24" s="364" customFormat="1" ht="12" customHeight="1">
      <c r="B67" s="364" t="s">
        <v>507</v>
      </c>
      <c r="G67" s="2085">
        <v>20000</v>
      </c>
      <c r="H67" s="2086"/>
      <c r="J67" s="2085"/>
      <c r="K67" s="2086"/>
      <c r="L67" s="1150"/>
      <c r="M67" s="2085"/>
      <c r="N67" s="2086"/>
      <c r="P67" s="2085">
        <v>20000</v>
      </c>
      <c r="Q67" s="2086"/>
      <c r="S67" s="2085"/>
      <c r="T67" s="2086"/>
      <c r="V67" s="2115"/>
      <c r="W67" s="2118"/>
      <c r="X67" s="2119"/>
    </row>
    <row r="68" spans="1:24" s="364" customFormat="1" ht="12" customHeight="1">
      <c r="B68" s="364" t="s">
        <v>1193</v>
      </c>
      <c r="F68" s="364" t="s">
        <v>3147</v>
      </c>
      <c r="G68" s="2085">
        <v>6375</v>
      </c>
      <c r="H68" s="2086"/>
      <c r="J68" s="2085"/>
      <c r="K68" s="2086"/>
      <c r="L68" s="1150"/>
      <c r="M68" s="2085"/>
      <c r="N68" s="2086"/>
      <c r="P68" s="2085">
        <v>6375</v>
      </c>
      <c r="Q68" s="2086"/>
      <c r="S68" s="2085"/>
      <c r="T68" s="2086"/>
      <c r="V68" s="2115"/>
      <c r="W68" s="2118"/>
      <c r="X68" s="2119"/>
    </row>
    <row r="69" spans="1:24" s="364" customFormat="1" ht="12" customHeight="1">
      <c r="B69" s="364" t="s">
        <v>1194</v>
      </c>
      <c r="G69" s="2085">
        <v>21500</v>
      </c>
      <c r="H69" s="2086"/>
      <c r="J69" s="2085"/>
      <c r="K69" s="2086"/>
      <c r="L69" s="1150"/>
      <c r="M69" s="2085"/>
      <c r="N69" s="2086"/>
      <c r="P69" s="2085">
        <v>21500</v>
      </c>
      <c r="Q69" s="2086"/>
      <c r="S69" s="2085"/>
      <c r="T69" s="2086"/>
      <c r="V69" s="2115"/>
      <c r="W69" s="2118"/>
      <c r="X69" s="2119"/>
    </row>
    <row r="70" spans="1:24" s="364" customFormat="1" ht="12" customHeight="1">
      <c r="B70" s="364" t="s">
        <v>1195</v>
      </c>
      <c r="G70" s="2085">
        <v>10000</v>
      </c>
      <c r="H70" s="2086"/>
      <c r="J70" s="2085"/>
      <c r="K70" s="2086"/>
      <c r="L70" s="1150"/>
      <c r="M70" s="2085"/>
      <c r="N70" s="2086"/>
      <c r="P70" s="2085">
        <v>10000</v>
      </c>
      <c r="Q70" s="2086"/>
      <c r="S70" s="2085"/>
      <c r="T70" s="2086"/>
      <c r="V70" s="2115"/>
      <c r="W70" s="2118"/>
      <c r="X70" s="2119"/>
    </row>
    <row r="71" spans="1:24" s="364" customFormat="1" ht="12" customHeight="1">
      <c r="B71" s="364" t="s">
        <v>1196</v>
      </c>
      <c r="G71" s="2085"/>
      <c r="H71" s="2086"/>
      <c r="J71" s="2085"/>
      <c r="K71" s="2086"/>
      <c r="L71" s="1150"/>
      <c r="M71" s="2085"/>
      <c r="N71" s="2086"/>
      <c r="P71" s="2085"/>
      <c r="Q71" s="2086"/>
      <c r="S71" s="2085"/>
      <c r="T71" s="2086"/>
      <c r="V71" s="2115"/>
      <c r="W71" s="2118"/>
      <c r="X71" s="2119"/>
    </row>
    <row r="72" spans="1:24" s="364" customFormat="1" ht="12" customHeight="1">
      <c r="B72" s="364" t="s">
        <v>508</v>
      </c>
      <c r="G72" s="2085">
        <v>20000</v>
      </c>
      <c r="H72" s="2086"/>
      <c r="J72" s="2085"/>
      <c r="K72" s="2086"/>
      <c r="L72" s="1150"/>
      <c r="M72" s="2085"/>
      <c r="N72" s="2086"/>
      <c r="P72" s="2085">
        <v>20000</v>
      </c>
      <c r="Q72" s="2086"/>
      <c r="S72" s="2085"/>
      <c r="T72" s="2086"/>
      <c r="V72" s="2115"/>
      <c r="W72" s="2118"/>
      <c r="X72" s="2119"/>
    </row>
    <row r="73" spans="1:24" s="364" customFormat="1" ht="12" customHeight="1">
      <c r="B73" s="364" t="s">
        <v>509</v>
      </c>
      <c r="G73" s="2085">
        <v>110000</v>
      </c>
      <c r="H73" s="2086"/>
      <c r="J73" s="2085"/>
      <c r="K73" s="2086"/>
      <c r="L73" s="1150"/>
      <c r="M73" s="2085"/>
      <c r="N73" s="2086"/>
      <c r="P73" s="2085">
        <v>110000</v>
      </c>
      <c r="Q73" s="2086"/>
      <c r="S73" s="2085"/>
      <c r="T73" s="2086"/>
      <c r="V73" s="2115"/>
      <c r="W73" s="2118"/>
      <c r="X73" s="2119"/>
    </row>
    <row r="74" spans="1:24" s="364" customFormat="1" ht="12" customHeight="1">
      <c r="B74" s="364" t="s">
        <v>2187</v>
      </c>
      <c r="G74" s="2085">
        <v>60000</v>
      </c>
      <c r="H74" s="2086"/>
      <c r="J74" s="2085"/>
      <c r="K74" s="2086"/>
      <c r="L74" s="1150"/>
      <c r="M74" s="2085"/>
      <c r="N74" s="2086"/>
      <c r="P74" s="2085">
        <v>60000</v>
      </c>
      <c r="Q74" s="2086"/>
      <c r="S74" s="2085"/>
      <c r="T74" s="2086"/>
      <c r="V74" s="2115"/>
      <c r="W74" s="2118"/>
      <c r="X74" s="2119"/>
    </row>
    <row r="75" spans="1:24" s="364" customFormat="1" ht="12" customHeight="1">
      <c r="B75" s="364" t="s">
        <v>1357</v>
      </c>
      <c r="G75" s="2085">
        <v>10000</v>
      </c>
      <c r="H75" s="2086"/>
      <c r="J75" s="2085"/>
      <c r="K75" s="2086"/>
      <c r="L75" s="1150"/>
      <c r="M75" s="2085"/>
      <c r="N75" s="2086"/>
      <c r="P75" s="2085">
        <v>10000</v>
      </c>
      <c r="Q75" s="2086"/>
      <c r="S75" s="2085"/>
      <c r="T75" s="2086"/>
      <c r="V75" s="2115"/>
      <c r="W75" s="2118"/>
      <c r="X75" s="2119"/>
    </row>
    <row r="76" spans="1:24" s="364" customFormat="1" ht="12" customHeight="1" thickBot="1">
      <c r="A76" s="450" t="str">
        <f>IF(AND(G76&gt;0,OR(C76="",C76="&lt;Enter detailed description here; use Comments section if needed&gt;")),"X","")</f>
        <v/>
      </c>
      <c r="B76" s="364" t="s">
        <v>791</v>
      </c>
      <c r="C76" s="1954" t="s">
        <v>3788</v>
      </c>
      <c r="D76" s="1954"/>
      <c r="E76" s="1954"/>
      <c r="F76" s="1955"/>
      <c r="G76" s="2085">
        <v>62500</v>
      </c>
      <c r="H76" s="2086"/>
      <c r="J76" s="2085"/>
      <c r="K76" s="2086"/>
      <c r="L76" s="1150"/>
      <c r="M76" s="2085"/>
      <c r="N76" s="2086"/>
      <c r="P76" s="2085">
        <v>62500</v>
      </c>
      <c r="Q76" s="2086"/>
      <c r="S76" s="2085"/>
      <c r="T76" s="2086"/>
      <c r="U76" s="449" t="str">
        <f>IF(AND(G76&gt;0,OR(C76="",C76="&lt;Enter detailed description here; use Comments section if needed&gt;")),"NO DESCRIPTION PROVIDED - please enter detailed description in Other box at left; use Comments section below if needed.","")</f>
        <v/>
      </c>
      <c r="V76" s="2115"/>
      <c r="W76" s="2118"/>
      <c r="X76" s="2119"/>
    </row>
    <row r="77" spans="1:24" s="364" customFormat="1" ht="12" customHeight="1" thickTop="1">
      <c r="F77" s="423" t="s">
        <v>199</v>
      </c>
      <c r="G77" s="1310">
        <f>SUM(G66:H76)</f>
        <v>360375</v>
      </c>
      <c r="H77" s="1311"/>
      <c r="J77" s="1310">
        <f>SUM(J66:K76)</f>
        <v>0</v>
      </c>
      <c r="K77" s="1311"/>
      <c r="L77" s="425"/>
      <c r="M77" s="1310">
        <f>SUM(M66:N76)</f>
        <v>0</v>
      </c>
      <c r="N77" s="1311"/>
      <c r="P77" s="1310">
        <f>SUM(P66:Q76)</f>
        <v>360375</v>
      </c>
      <c r="Q77" s="1311"/>
      <c r="S77" s="1310">
        <f>SUM(S66:T76)</f>
        <v>0</v>
      </c>
      <c r="T77" s="1311"/>
      <c r="V77" s="2123"/>
      <c r="W77" s="2124"/>
      <c r="X77" s="2125"/>
    </row>
    <row r="78" spans="1:24" ht="12" customHeight="1">
      <c r="A78" s="364"/>
      <c r="B78" s="367" t="s">
        <v>1349</v>
      </c>
      <c r="C78" s="364"/>
      <c r="D78" s="364"/>
      <c r="E78" s="364"/>
      <c r="F78" s="364"/>
      <c r="G78" s="364"/>
      <c r="H78" s="364"/>
      <c r="I78" s="364"/>
      <c r="J78" s="425"/>
      <c r="K78" s="425"/>
      <c r="M78" s="425"/>
      <c r="N78" s="425"/>
      <c r="O78" s="424" t="str">
        <f>B78</f>
        <v>LOCAL GOVERNMENT FEES</v>
      </c>
      <c r="P78" s="425"/>
      <c r="Q78" s="425"/>
      <c r="S78" s="425"/>
      <c r="T78" s="425"/>
      <c r="W78" s="364" t="str">
        <f>B78</f>
        <v>LOCAL GOVERNMENT FEES</v>
      </c>
    </row>
    <row r="79" spans="1:24" s="364" customFormat="1" ht="12" customHeight="1">
      <c r="B79" s="364" t="s">
        <v>1350</v>
      </c>
      <c r="G79" s="2085">
        <v>26617</v>
      </c>
      <c r="H79" s="2086"/>
      <c r="J79" s="2085"/>
      <c r="K79" s="2086"/>
      <c r="L79" s="1150"/>
      <c r="M79" s="2085"/>
      <c r="N79" s="2086"/>
      <c r="P79" s="2085">
        <v>26617</v>
      </c>
      <c r="Q79" s="2086"/>
      <c r="S79" s="2085"/>
      <c r="T79" s="2086"/>
      <c r="V79" s="2115"/>
      <c r="W79" s="1746"/>
      <c r="X79" s="1747"/>
    </row>
    <row r="80" spans="1:24" s="364" customFormat="1" ht="12" customHeight="1">
      <c r="B80" s="364" t="s">
        <v>1351</v>
      </c>
      <c r="G80" s="2085"/>
      <c r="H80" s="2086"/>
      <c r="J80" s="2085"/>
      <c r="K80" s="2086"/>
      <c r="L80" s="1150"/>
      <c r="M80" s="2085"/>
      <c r="N80" s="2086"/>
      <c r="P80" s="2085"/>
      <c r="Q80" s="2086"/>
      <c r="S80" s="2085"/>
      <c r="T80" s="2086"/>
      <c r="V80" s="2115"/>
      <c r="W80" s="1754"/>
      <c r="X80" s="1755"/>
    </row>
    <row r="81" spans="1:24" s="364" customFormat="1" ht="12" customHeight="1">
      <c r="B81" s="364" t="s">
        <v>1352</v>
      </c>
      <c r="D81" s="432" t="s">
        <v>1493</v>
      </c>
      <c r="E81" s="2131"/>
      <c r="G81" s="2085"/>
      <c r="H81" s="2086"/>
      <c r="I81" s="384"/>
      <c r="J81" s="2085"/>
      <c r="K81" s="2086"/>
      <c r="L81" s="1150"/>
      <c r="M81" s="2085"/>
      <c r="N81" s="2086"/>
      <c r="P81" s="2085"/>
      <c r="Q81" s="2086"/>
      <c r="S81" s="2085"/>
      <c r="T81" s="2086"/>
      <c r="V81" s="2115"/>
      <c r="W81" s="1754"/>
      <c r="X81" s="1755"/>
    </row>
    <row r="82" spans="1:24" s="364" customFormat="1" ht="12" customHeight="1" thickBot="1">
      <c r="B82" s="364" t="s">
        <v>1353</v>
      </c>
      <c r="D82" s="432" t="s">
        <v>1493</v>
      </c>
      <c r="E82" s="2131"/>
      <c r="G82" s="2085"/>
      <c r="H82" s="2086"/>
      <c r="I82" s="384"/>
      <c r="J82" s="2085"/>
      <c r="K82" s="2086"/>
      <c r="L82" s="1150"/>
      <c r="M82" s="2085"/>
      <c r="N82" s="2086"/>
      <c r="P82" s="2085"/>
      <c r="Q82" s="2086"/>
      <c r="S82" s="2085"/>
      <c r="T82" s="2086"/>
      <c r="V82" s="2115"/>
      <c r="W82" s="1754"/>
      <c r="X82" s="1755"/>
    </row>
    <row r="83" spans="1:24" s="364" customFormat="1" ht="12" customHeight="1" thickTop="1">
      <c r="F83" s="423" t="s">
        <v>199</v>
      </c>
      <c r="G83" s="1310">
        <f>SUM(G79:H82)</f>
        <v>26617</v>
      </c>
      <c r="H83" s="1311"/>
      <c r="J83" s="1310">
        <f>SUM(J79:K82)</f>
        <v>0</v>
      </c>
      <c r="K83" s="1311"/>
      <c r="L83" s="425"/>
      <c r="M83" s="1310">
        <f>SUM(M79:N82)</f>
        <v>0</v>
      </c>
      <c r="N83" s="1311"/>
      <c r="P83" s="1310">
        <f>SUM(P79:Q82)</f>
        <v>26617</v>
      </c>
      <c r="Q83" s="1311"/>
      <c r="S83" s="1310">
        <f>SUM(S79:T82)</f>
        <v>0</v>
      </c>
      <c r="T83" s="1311"/>
      <c r="V83" s="2123"/>
      <c r="W83" s="1762"/>
      <c r="X83" s="1763"/>
    </row>
    <row r="84" spans="1:24" s="364" customFormat="1" ht="12" customHeight="1">
      <c r="B84" s="367" t="s">
        <v>774</v>
      </c>
      <c r="J84" s="425"/>
      <c r="K84" s="425"/>
      <c r="M84" s="425"/>
      <c r="N84" s="425"/>
      <c r="O84" s="424" t="str">
        <f>B84</f>
        <v>PERMANENT FINANCING FEES</v>
      </c>
      <c r="P84" s="425"/>
      <c r="Q84" s="425"/>
      <c r="S84" s="425"/>
      <c r="T84" s="425"/>
      <c r="W84" s="364" t="str">
        <f>B84</f>
        <v>PERMANENT FINANCING FEES</v>
      </c>
    </row>
    <row r="85" spans="1:24" s="364" customFormat="1" ht="12" customHeight="1">
      <c r="B85" s="364" t="s">
        <v>1354</v>
      </c>
      <c r="G85" s="2085"/>
      <c r="H85" s="2086"/>
      <c r="J85" s="1305"/>
      <c r="K85" s="1305"/>
      <c r="L85" s="1150"/>
      <c r="M85" s="1305"/>
      <c r="N85" s="1305"/>
      <c r="P85" s="1305"/>
      <c r="Q85" s="1305"/>
      <c r="S85" s="2085"/>
      <c r="T85" s="2086"/>
      <c r="V85" s="2115"/>
      <c r="W85" s="1746"/>
      <c r="X85" s="1747"/>
    </row>
    <row r="86" spans="1:24" s="364" customFormat="1" ht="12" customHeight="1">
      <c r="B86" s="364" t="s">
        <v>1355</v>
      </c>
      <c r="G86" s="2085"/>
      <c r="H86" s="2086"/>
      <c r="J86" s="1305"/>
      <c r="K86" s="1305"/>
      <c r="L86" s="1150"/>
      <c r="M86" s="1305"/>
      <c r="N86" s="1305"/>
      <c r="P86" s="1305"/>
      <c r="Q86" s="1305"/>
      <c r="S86" s="2085"/>
      <c r="T86" s="2086"/>
      <c r="V86" s="2115"/>
      <c r="W86" s="1754"/>
      <c r="X86" s="1755"/>
    </row>
    <row r="87" spans="1:24" s="364" customFormat="1" ht="12" customHeight="1">
      <c r="B87" s="364" t="s">
        <v>1356</v>
      </c>
      <c r="G87" s="2085">
        <v>10000</v>
      </c>
      <c r="H87" s="2086"/>
      <c r="J87" s="1305"/>
      <c r="K87" s="1305"/>
      <c r="L87" s="1150"/>
      <c r="M87" s="1305"/>
      <c r="N87" s="1305"/>
      <c r="P87" s="1305"/>
      <c r="Q87" s="1305"/>
      <c r="S87" s="2085">
        <v>10000</v>
      </c>
      <c r="T87" s="2086"/>
      <c r="V87" s="2115"/>
      <c r="W87" s="1754"/>
      <c r="X87" s="1755"/>
    </row>
    <row r="88" spans="1:24" s="364" customFormat="1" ht="12" customHeight="1">
      <c r="B88" s="364" t="s">
        <v>1358</v>
      </c>
      <c r="G88" s="2085"/>
      <c r="H88" s="2086"/>
      <c r="J88" s="1305"/>
      <c r="K88" s="1305"/>
      <c r="L88" s="1150"/>
      <c r="M88" s="1305"/>
      <c r="N88" s="1305"/>
      <c r="P88" s="1305"/>
      <c r="Q88" s="1305"/>
      <c r="S88" s="2085"/>
      <c r="T88" s="2086"/>
      <c r="V88" s="2115"/>
      <c r="W88" s="1754"/>
      <c r="X88" s="1755"/>
    </row>
    <row r="89" spans="1:24" s="364" customFormat="1" ht="12" customHeight="1">
      <c r="B89" s="364" t="s">
        <v>2447</v>
      </c>
      <c r="G89" s="2085"/>
      <c r="H89" s="2086"/>
      <c r="J89" s="1305"/>
      <c r="K89" s="1305"/>
      <c r="L89" s="1150"/>
      <c r="M89" s="1305"/>
      <c r="N89" s="1305"/>
      <c r="P89" s="1305"/>
      <c r="Q89" s="1305"/>
      <c r="S89" s="2085"/>
      <c r="T89" s="2086"/>
      <c r="V89" s="2115"/>
      <c r="W89" s="1754"/>
      <c r="X89" s="1755"/>
    </row>
    <row r="90" spans="1:24" s="364" customFormat="1" ht="12" customHeight="1" thickBot="1">
      <c r="A90" s="450" t="str">
        <f>IF(AND(G90&gt;0,OR(C90="",C90="&lt;Enter detailed description here; use Comments section if needed&gt;")),"X","")</f>
        <v/>
      </c>
      <c r="B90" s="364" t="s">
        <v>791</v>
      </c>
      <c r="C90" s="1954" t="s">
        <v>2578</v>
      </c>
      <c r="D90" s="1954"/>
      <c r="E90" s="1954"/>
      <c r="F90" s="1955"/>
      <c r="G90" s="2085"/>
      <c r="H90" s="2086"/>
      <c r="J90" s="1305"/>
      <c r="K90" s="1305"/>
      <c r="L90" s="1150"/>
      <c r="M90" s="1305"/>
      <c r="N90" s="1305"/>
      <c r="P90" s="1305"/>
      <c r="Q90" s="1305"/>
      <c r="S90" s="2085"/>
      <c r="T90" s="2086"/>
      <c r="U90" s="449" t="str">
        <f>IF(AND(G90&gt;0,OR(C90="",C90="&lt;Enter detailed description here; use Comments section if needed&gt;")),"NO DESCRIPTION PROVIDED - please enter detailed description in Other box at left; use Comments section below if needed.","")</f>
        <v/>
      </c>
      <c r="V90" s="2115"/>
      <c r="W90" s="1754"/>
      <c r="X90" s="1755"/>
    </row>
    <row r="91" spans="1:24" s="364" customFormat="1" ht="12" customHeight="1" thickTop="1">
      <c r="F91" s="423" t="s">
        <v>199</v>
      </c>
      <c r="G91" s="1310">
        <f>SUM(G85:H90)</f>
        <v>10000</v>
      </c>
      <c r="H91" s="1311"/>
      <c r="J91" s="1305"/>
      <c r="K91" s="1305"/>
      <c r="L91" s="425"/>
      <c r="M91" s="1305"/>
      <c r="N91" s="1305"/>
      <c r="P91" s="1305"/>
      <c r="Q91" s="1305"/>
      <c r="S91" s="1310">
        <f>SUM(S85:T90)</f>
        <v>10000</v>
      </c>
      <c r="T91" s="1311"/>
      <c r="V91" s="2123"/>
      <c r="W91" s="1762"/>
      <c r="X91" s="1763"/>
    </row>
    <row r="92" spans="1:24" s="364" customFormat="1" ht="6" customHeight="1" thickBot="1">
      <c r="A92" s="619"/>
      <c r="B92" s="619"/>
      <c r="C92" s="619"/>
      <c r="D92" s="619"/>
      <c r="E92" s="619"/>
      <c r="F92" s="619"/>
      <c r="G92" s="619"/>
      <c r="H92" s="619"/>
      <c r="I92" s="619"/>
      <c r="J92" s="619"/>
      <c r="K92" s="619"/>
      <c r="L92" s="619"/>
      <c r="M92" s="619"/>
      <c r="N92" s="619"/>
      <c r="O92" s="619"/>
      <c r="P92" s="619"/>
      <c r="Q92" s="619"/>
      <c r="R92" s="619"/>
      <c r="S92" s="619"/>
      <c r="T92" s="619"/>
    </row>
    <row r="93" spans="1:24" s="364" customFormat="1" ht="18" customHeight="1" thickBot="1">
      <c r="A93" s="526" t="s">
        <v>657</v>
      </c>
      <c r="B93" s="526" t="s">
        <v>3393</v>
      </c>
      <c r="H93" s="1144"/>
      <c r="I93" s="1144"/>
      <c r="J93" s="1312" t="s">
        <v>285</v>
      </c>
      <c r="K93" s="1313"/>
      <c r="L93" s="422"/>
      <c r="M93" s="1306" t="s">
        <v>520</v>
      </c>
      <c r="N93" s="1307"/>
      <c r="P93" s="1312" t="s">
        <v>286</v>
      </c>
      <c r="Q93" s="1313"/>
      <c r="S93" s="1312" t="s">
        <v>287</v>
      </c>
      <c r="T93" s="1313"/>
      <c r="W93" s="527" t="str">
        <f>B93</f>
        <v>DEVELOPMENT BUDGET  (cont'd)</v>
      </c>
    </row>
    <row r="94" spans="1:24" s="364" customFormat="1" ht="18" customHeight="1" thickBot="1">
      <c r="G94" s="1367" t="s">
        <v>104</v>
      </c>
      <c r="H94" s="1368"/>
      <c r="J94" s="1314"/>
      <c r="K94" s="1315"/>
      <c r="L94" s="422"/>
      <c r="M94" s="1308"/>
      <c r="N94" s="1309"/>
      <c r="P94" s="1314"/>
      <c r="Q94" s="1315"/>
      <c r="S94" s="1314"/>
      <c r="T94" s="1315"/>
      <c r="W94" s="1379" t="s">
        <v>2891</v>
      </c>
      <c r="X94" s="1379"/>
    </row>
    <row r="95" spans="1:24" s="364" customFormat="1" ht="13.15" customHeight="1">
      <c r="B95" s="367" t="s">
        <v>775</v>
      </c>
      <c r="J95" s="425"/>
      <c r="K95" s="425"/>
      <c r="M95" s="425"/>
      <c r="N95" s="425"/>
      <c r="O95" s="424" t="str">
        <f>B95</f>
        <v>DCA-RELATED COSTS</v>
      </c>
      <c r="P95" s="425"/>
      <c r="Q95" s="425"/>
      <c r="S95" s="425"/>
      <c r="T95" s="425"/>
      <c r="W95" s="364" t="str">
        <f>B95</f>
        <v>DCA-RELATED COSTS</v>
      </c>
    </row>
    <row r="96" spans="1:24" s="364" customFormat="1" ht="12.6" customHeight="1">
      <c r="B96" s="364" t="s">
        <v>1643</v>
      </c>
      <c r="G96" s="2085"/>
      <c r="H96" s="2086"/>
      <c r="J96" s="425"/>
      <c r="K96" s="425"/>
      <c r="L96" s="1150"/>
      <c r="M96" s="425"/>
      <c r="N96" s="425"/>
      <c r="P96" s="425"/>
      <c r="Q96" s="425"/>
      <c r="S96" s="2085"/>
      <c r="T96" s="2086"/>
      <c r="V96" s="2115"/>
      <c r="W96" s="1746"/>
      <c r="X96" s="1747"/>
    </row>
    <row r="97" spans="1:24" s="364" customFormat="1" ht="12.6" customHeight="1">
      <c r="B97" s="364" t="s">
        <v>1274</v>
      </c>
      <c r="G97" s="2085">
        <v>6500</v>
      </c>
      <c r="H97" s="2086"/>
      <c r="J97" s="425"/>
      <c r="K97" s="425"/>
      <c r="L97" s="433"/>
      <c r="M97" s="425"/>
      <c r="N97" s="425"/>
      <c r="P97" s="425"/>
      <c r="Q97" s="425"/>
      <c r="S97" s="2085">
        <v>6500</v>
      </c>
      <c r="T97" s="2086"/>
      <c r="V97" s="2115"/>
      <c r="W97" s="1754"/>
      <c r="X97" s="1755"/>
    </row>
    <row r="98" spans="1:24" s="364" customFormat="1" ht="12.6" customHeight="1">
      <c r="B98" s="364" t="s">
        <v>2918</v>
      </c>
      <c r="G98" s="2085">
        <v>4000</v>
      </c>
      <c r="H98" s="2086"/>
      <c r="J98" s="425"/>
      <c r="K98" s="425"/>
      <c r="L98" s="433"/>
      <c r="M98" s="425"/>
      <c r="N98" s="425"/>
      <c r="O98" s="1144"/>
      <c r="P98" s="425"/>
      <c r="Q98" s="425"/>
      <c r="S98" s="2085">
        <v>4000</v>
      </c>
      <c r="T98" s="2086"/>
      <c r="V98" s="2115"/>
      <c r="W98" s="1754"/>
      <c r="X98" s="1755"/>
    </row>
    <row r="99" spans="1:24" s="364" customFormat="1" ht="12.6" customHeight="1">
      <c r="B99" s="364" t="s">
        <v>552</v>
      </c>
      <c r="E99" s="1374">
        <f>'DCA Underwriting Assumptions'!$Q$40*$J$173</f>
        <v>71048.800000000003</v>
      </c>
      <c r="F99" s="1375"/>
      <c r="G99" s="2085">
        <v>71049</v>
      </c>
      <c r="H99" s="2086"/>
      <c r="J99" s="425"/>
      <c r="K99" s="425"/>
      <c r="L99" s="1150"/>
      <c r="M99" s="425"/>
      <c r="N99" s="425"/>
      <c r="O99" s="1144"/>
      <c r="P99" s="425"/>
      <c r="Q99" s="425"/>
      <c r="S99" s="2085">
        <v>71049</v>
      </c>
      <c r="T99" s="2086"/>
      <c r="V99" s="2115"/>
      <c r="W99" s="1754"/>
      <c r="X99" s="1755"/>
    </row>
    <row r="100" spans="1:24" s="364" customFormat="1" ht="12.6" customHeight="1">
      <c r="B100" s="364" t="s">
        <v>803</v>
      </c>
      <c r="E100" s="137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64900</v>
      </c>
      <c r="F100" s="1375"/>
      <c r="G100" s="2085">
        <v>106900</v>
      </c>
      <c r="H100" s="2086"/>
      <c r="J100" s="333"/>
      <c r="K100" s="333"/>
      <c r="L100" s="333"/>
      <c r="M100" s="333"/>
      <c r="N100" s="333"/>
      <c r="O100" s="333"/>
      <c r="P100" s="333"/>
      <c r="Q100" s="333"/>
      <c r="S100" s="2085">
        <v>106900</v>
      </c>
      <c r="T100" s="2086"/>
      <c r="V100" s="2115"/>
      <c r="W100" s="1754"/>
      <c r="X100" s="1755"/>
    </row>
    <row r="101" spans="1:24" s="364" customFormat="1" ht="12.6" customHeight="1">
      <c r="B101" s="364" t="s">
        <v>515</v>
      </c>
      <c r="G101" s="2085">
        <v>2700</v>
      </c>
      <c r="H101" s="2086"/>
      <c r="J101" s="333"/>
      <c r="K101" s="333"/>
      <c r="L101" s="333"/>
      <c r="M101" s="333"/>
      <c r="N101" s="333"/>
      <c r="O101" s="333"/>
      <c r="P101" s="333"/>
      <c r="Q101" s="333"/>
      <c r="S101" s="2085">
        <v>2700</v>
      </c>
      <c r="T101" s="2086"/>
      <c r="V101" s="2115"/>
      <c r="W101" s="1754"/>
      <c r="X101" s="1755"/>
    </row>
    <row r="102" spans="1:24" s="364" customFormat="1" ht="12.6" customHeight="1">
      <c r="B102" s="364" t="s">
        <v>2504</v>
      </c>
      <c r="G102" s="2085">
        <v>3000</v>
      </c>
      <c r="H102" s="2086"/>
      <c r="J102" s="333"/>
      <c r="K102" s="333"/>
      <c r="L102" s="333"/>
      <c r="M102" s="333"/>
      <c r="N102" s="333"/>
      <c r="O102" s="333"/>
      <c r="P102" s="333"/>
      <c r="Q102" s="333"/>
      <c r="S102" s="2085">
        <v>3000</v>
      </c>
      <c r="T102" s="2086"/>
      <c r="V102" s="2115"/>
      <c r="W102" s="1754"/>
      <c r="X102" s="1755"/>
    </row>
    <row r="103" spans="1:24" s="364" customFormat="1" ht="12.6" customHeight="1">
      <c r="A103" s="450" t="str">
        <f>IF(AND(G103&gt;0,OR(C103="",C103="&lt;Enter detailed description here; use Comments section if needed&gt;")),"X","")</f>
        <v/>
      </c>
      <c r="B103" s="364" t="s">
        <v>791</v>
      </c>
      <c r="C103" s="1954" t="s">
        <v>2578</v>
      </c>
      <c r="D103" s="1954"/>
      <c r="E103" s="1954"/>
      <c r="F103" s="1955"/>
      <c r="G103" s="2085"/>
      <c r="H103" s="2086"/>
      <c r="J103" s="333"/>
      <c r="K103" s="333"/>
      <c r="L103" s="333"/>
      <c r="M103" s="333"/>
      <c r="N103" s="333"/>
      <c r="O103" s="333"/>
      <c r="P103" s="333"/>
      <c r="Q103" s="333"/>
      <c r="S103" s="2085"/>
      <c r="T103" s="2086"/>
      <c r="U103" s="449" t="str">
        <f>IF(AND(G103&gt;0,OR(C103="",C103="&lt;Enter detailed description here; use Comments section if needed&gt;")),"NO DESCRIPTION PROVIDED - please enter detailed description in Other box at left; use Comments section below if needed.","")</f>
        <v/>
      </c>
      <c r="V103" s="2115"/>
      <c r="W103" s="1754"/>
      <c r="X103" s="1755"/>
    </row>
    <row r="104" spans="1:24" s="364" customFormat="1" ht="12.6" customHeight="1" thickBot="1">
      <c r="A104" s="450" t="str">
        <f>IF(AND(G104&gt;0,OR(C104="",C104="&lt;Enter detailed description here; use Comments section if needed&gt;")),"X","")</f>
        <v/>
      </c>
      <c r="B104" s="364" t="s">
        <v>791</v>
      </c>
      <c r="C104" s="1954" t="s">
        <v>2578</v>
      </c>
      <c r="D104" s="1954"/>
      <c r="E104" s="1954"/>
      <c r="F104" s="1955"/>
      <c r="G104" s="2085"/>
      <c r="H104" s="2086"/>
      <c r="J104" s="333"/>
      <c r="K104" s="333"/>
      <c r="L104" s="333"/>
      <c r="M104" s="333"/>
      <c r="N104" s="333"/>
      <c r="O104" s="333"/>
      <c r="P104" s="333"/>
      <c r="Q104" s="333"/>
      <c r="S104" s="2085"/>
      <c r="T104" s="2086"/>
      <c r="U104" s="449" t="str">
        <f>IF(AND(G104&gt;0,OR(C104="",C104="&lt;Enter detailed description here; use Comments section if needed&gt;")),"NO DESCRIPTION PROVIDED - please enter detailed description in Other box at left; use Comments section below if needed.","")</f>
        <v/>
      </c>
      <c r="V104" s="2115"/>
      <c r="W104" s="1754"/>
      <c r="X104" s="1755"/>
    </row>
    <row r="105" spans="1:24" s="364" customFormat="1" ht="12.6" customHeight="1" thickTop="1">
      <c r="F105" s="423" t="s">
        <v>199</v>
      </c>
      <c r="G105" s="1310">
        <f>SUM(G96:H104)</f>
        <v>194149</v>
      </c>
      <c r="H105" s="1311"/>
      <c r="J105" s="425"/>
      <c r="K105" s="425"/>
      <c r="L105" s="1150"/>
      <c r="M105" s="425"/>
      <c r="N105" s="425"/>
      <c r="P105" s="425"/>
      <c r="Q105" s="425"/>
      <c r="S105" s="1310">
        <f>SUM(S96:T104)</f>
        <v>194149</v>
      </c>
      <c r="T105" s="1311"/>
      <c r="V105" s="2123"/>
      <c r="W105" s="1762"/>
      <c r="X105" s="1763"/>
    </row>
    <row r="106" spans="1:24" s="364" customFormat="1" ht="13.15" customHeight="1">
      <c r="B106" s="367" t="s">
        <v>2448</v>
      </c>
      <c r="J106" s="425"/>
      <c r="K106" s="425"/>
      <c r="M106" s="425"/>
      <c r="N106" s="425"/>
      <c r="O106" s="424" t="str">
        <f>B106</f>
        <v>EQUITY COSTS</v>
      </c>
      <c r="P106" s="425"/>
      <c r="Q106" s="425"/>
      <c r="S106" s="425"/>
      <c r="T106" s="425"/>
      <c r="W106" s="364" t="str">
        <f>B106</f>
        <v>EQUITY COSTS</v>
      </c>
    </row>
    <row r="107" spans="1:24" s="364" customFormat="1" ht="12.6" customHeight="1">
      <c r="B107" s="364" t="s">
        <v>294</v>
      </c>
      <c r="G107" s="2085">
        <v>5000</v>
      </c>
      <c r="H107" s="2086"/>
      <c r="J107" s="1305"/>
      <c r="K107" s="1305"/>
      <c r="L107" s="1150"/>
      <c r="M107" s="1305"/>
      <c r="N107" s="1305"/>
      <c r="O107" s="1144"/>
      <c r="P107" s="1305"/>
      <c r="Q107" s="1305"/>
      <c r="S107" s="2085">
        <v>5000</v>
      </c>
      <c r="T107" s="2086"/>
      <c r="V107" s="2115"/>
      <c r="W107" s="1746"/>
      <c r="X107" s="1747"/>
    </row>
    <row r="108" spans="1:24" s="364" customFormat="1" ht="12.6" customHeight="1">
      <c r="B108" s="364" t="s">
        <v>296</v>
      </c>
      <c r="G108" s="2085">
        <v>10000</v>
      </c>
      <c r="H108" s="2086"/>
      <c r="J108" s="1305"/>
      <c r="K108" s="1305"/>
      <c r="L108" s="1150"/>
      <c r="M108" s="1305"/>
      <c r="N108" s="1305"/>
      <c r="O108" s="1144"/>
      <c r="P108" s="1305"/>
      <c r="Q108" s="1305"/>
      <c r="S108" s="2085">
        <v>10000</v>
      </c>
      <c r="T108" s="2086"/>
      <c r="V108" s="2115"/>
      <c r="W108" s="1754"/>
      <c r="X108" s="1755"/>
    </row>
    <row r="109" spans="1:24" s="364" customFormat="1" ht="12.6" customHeight="1">
      <c r="B109" s="364" t="s">
        <v>2542</v>
      </c>
      <c r="G109" s="2085">
        <v>40000</v>
      </c>
      <c r="H109" s="2086"/>
      <c r="J109" s="1305"/>
      <c r="K109" s="1305"/>
      <c r="L109" s="1150"/>
      <c r="M109" s="1305"/>
      <c r="N109" s="1305"/>
      <c r="O109" s="1144"/>
      <c r="P109" s="1305"/>
      <c r="Q109" s="1305"/>
      <c r="S109" s="2085">
        <v>40000</v>
      </c>
      <c r="T109" s="2086"/>
      <c r="V109" s="2115"/>
      <c r="W109" s="1754"/>
      <c r="X109" s="1755"/>
    </row>
    <row r="110" spans="1:24" s="364" customFormat="1" ht="12.6" customHeight="1" thickBot="1">
      <c r="A110" s="450" t="str">
        <f>IF(AND(G110&gt;0,OR(C110="",C110="&lt;Enter detailed description here; use Comments section if needed&gt;")),"X","")</f>
        <v/>
      </c>
      <c r="B110" s="364" t="s">
        <v>791</v>
      </c>
      <c r="C110" s="1954" t="s">
        <v>2578</v>
      </c>
      <c r="D110" s="1954"/>
      <c r="E110" s="1954"/>
      <c r="F110" s="1955"/>
      <c r="G110" s="2085"/>
      <c r="H110" s="2086"/>
      <c r="J110" s="1305"/>
      <c r="K110" s="1305"/>
      <c r="L110" s="1150"/>
      <c r="M110" s="1305"/>
      <c r="N110" s="1305"/>
      <c r="O110" s="1144"/>
      <c r="P110" s="1305"/>
      <c r="Q110" s="1305"/>
      <c r="S110" s="2085"/>
      <c r="T110" s="2086"/>
      <c r="U110" s="449" t="str">
        <f>IF(AND(G110&gt;0,OR(C110="",C110="&lt;Enter detailed description here; use Comments section if needed&gt;")),"NO DESCRIPTION PROVIDED - please enter detailed description in Other box at left; use Comments section below if needed.","")</f>
        <v/>
      </c>
      <c r="V110" s="2115"/>
      <c r="W110" s="1754"/>
      <c r="X110" s="1755"/>
    </row>
    <row r="111" spans="1:24" s="364" customFormat="1" ht="12.6" customHeight="1" thickTop="1">
      <c r="F111" s="423" t="s">
        <v>199</v>
      </c>
      <c r="G111" s="1310">
        <f>SUM(G107:H110)</f>
        <v>55000</v>
      </c>
      <c r="H111" s="1311"/>
      <c r="J111" s="1305"/>
      <c r="K111" s="1305"/>
      <c r="L111" s="1150"/>
      <c r="M111" s="1305"/>
      <c r="N111" s="1305"/>
      <c r="O111" s="1144"/>
      <c r="P111" s="1305"/>
      <c r="Q111" s="1305"/>
      <c r="S111" s="1310">
        <f>SUM(S107:T110)</f>
        <v>55000</v>
      </c>
      <c r="T111" s="1311"/>
      <c r="V111" s="2123"/>
      <c r="W111" s="1762"/>
      <c r="X111" s="1763"/>
    </row>
    <row r="112" spans="1:24" s="364" customFormat="1" ht="13.15" customHeight="1">
      <c r="B112" s="367" t="s">
        <v>297</v>
      </c>
      <c r="J112" s="425"/>
      <c r="K112" s="422"/>
      <c r="M112" s="425"/>
      <c r="N112" s="422"/>
      <c r="O112" s="424" t="str">
        <f>B112</f>
        <v>DEVELOPER'S FEE</v>
      </c>
      <c r="P112" s="425"/>
      <c r="Q112" s="422"/>
      <c r="S112" s="425"/>
      <c r="T112" s="422"/>
      <c r="W112" s="364" t="str">
        <f>B112</f>
        <v>DEVELOPER'S FEE</v>
      </c>
    </row>
    <row r="113" spans="1:24" s="364" customFormat="1" ht="12.6" customHeight="1">
      <c r="B113" s="364" t="s">
        <v>1989</v>
      </c>
      <c r="F113" s="491">
        <f>G113/$G$116</f>
        <v>1</v>
      </c>
      <c r="G113" s="2085">
        <v>1423000</v>
      </c>
      <c r="H113" s="2086"/>
      <c r="J113" s="2085"/>
      <c r="K113" s="2086"/>
      <c r="L113" s="424"/>
      <c r="M113" s="2085"/>
      <c r="N113" s="2086"/>
      <c r="P113" s="2085">
        <v>1423000</v>
      </c>
      <c r="Q113" s="2086"/>
      <c r="S113" s="2085"/>
      <c r="T113" s="2086"/>
      <c r="V113" s="2115"/>
      <c r="W113" s="1746"/>
      <c r="X113" s="1747"/>
    </row>
    <row r="114" spans="1:24" s="364" customFormat="1" ht="12.6" customHeight="1">
      <c r="B114" s="364" t="s">
        <v>1990</v>
      </c>
      <c r="F114" s="491">
        <f>G114/$G$116</f>
        <v>0</v>
      </c>
      <c r="G114" s="2085"/>
      <c r="H114" s="2086"/>
      <c r="J114" s="2085"/>
      <c r="K114" s="2086"/>
      <c r="L114" s="1150"/>
      <c r="M114" s="2085"/>
      <c r="N114" s="2086"/>
      <c r="P114" s="2085"/>
      <c r="Q114" s="2086"/>
      <c r="S114" s="2085"/>
      <c r="T114" s="2086"/>
      <c r="V114" s="2115"/>
      <c r="W114" s="1754"/>
      <c r="X114" s="1755"/>
    </row>
    <row r="115" spans="1:24" s="364" customFormat="1" ht="12.6" customHeight="1" thickBot="1">
      <c r="B115" s="364" t="s">
        <v>1982</v>
      </c>
      <c r="F115" s="491">
        <f>G115/$G$116</f>
        <v>0</v>
      </c>
      <c r="G115" s="2085"/>
      <c r="H115" s="2086"/>
      <c r="J115" s="2085"/>
      <c r="K115" s="2086"/>
      <c r="L115" s="1150"/>
      <c r="M115" s="2085"/>
      <c r="N115" s="2086"/>
      <c r="P115" s="2085"/>
      <c r="Q115" s="2086"/>
      <c r="S115" s="2085"/>
      <c r="T115" s="2086"/>
      <c r="V115" s="2115"/>
      <c r="W115" s="1754"/>
      <c r="X115" s="1755"/>
    </row>
    <row r="116" spans="1:24" s="364" customFormat="1" ht="12.6" customHeight="1" thickTop="1">
      <c r="C116" s="449" t="str">
        <f>IF(G116&lt;='DCA Underwriting Assumptions'!$Q$48,"","Developer Fee exceeds DCA Program Maximum !!!")</f>
        <v/>
      </c>
      <c r="F116" s="423" t="s">
        <v>199</v>
      </c>
      <c r="G116" s="1310">
        <f>SUM(G113:H115)</f>
        <v>1423000</v>
      </c>
      <c r="H116" s="1311"/>
      <c r="J116" s="1310">
        <f>SUM(J113:K115)</f>
        <v>0</v>
      </c>
      <c r="K116" s="1311"/>
      <c r="L116" s="1150"/>
      <c r="M116" s="1310">
        <f>SUM(M113:N115)</f>
        <v>0</v>
      </c>
      <c r="N116" s="1311"/>
      <c r="P116" s="1310">
        <f>SUM(P113:Q115)</f>
        <v>1423000</v>
      </c>
      <c r="Q116" s="1311"/>
      <c r="S116" s="1310">
        <f>SUM(S113:T115)</f>
        <v>0</v>
      </c>
      <c r="T116" s="1311"/>
      <c r="V116" s="2123"/>
      <c r="W116" s="1762"/>
      <c r="X116" s="1763"/>
    </row>
    <row r="117" spans="1:24" s="364" customFormat="1" ht="13.15" customHeight="1">
      <c r="B117" s="367" t="s">
        <v>1395</v>
      </c>
      <c r="J117" s="422"/>
      <c r="K117" s="422"/>
      <c r="M117" s="422"/>
      <c r="N117" s="422"/>
      <c r="O117" s="424" t="str">
        <f>B117</f>
        <v>START-UP AND RESERVES</v>
      </c>
      <c r="P117" s="422"/>
      <c r="Q117" s="422"/>
      <c r="S117" s="422"/>
      <c r="T117" s="422"/>
      <c r="W117" s="364" t="str">
        <f>B117</f>
        <v>START-UP AND RESERVES</v>
      </c>
    </row>
    <row r="118" spans="1:24" s="364" customFormat="1" ht="12.6" customHeight="1">
      <c r="B118" s="364" t="s">
        <v>264</v>
      </c>
      <c r="G118" s="2085">
        <v>20000</v>
      </c>
      <c r="H118" s="2086"/>
      <c r="J118" s="434"/>
      <c r="K118" s="434"/>
      <c r="L118" s="434"/>
      <c r="M118" s="434"/>
      <c r="N118" s="434"/>
      <c r="P118" s="434"/>
      <c r="Q118" s="434"/>
      <c r="S118" s="2085">
        <v>20000</v>
      </c>
      <c r="T118" s="2086"/>
      <c r="V118" s="2115"/>
      <c r="W118" s="1746"/>
      <c r="X118" s="1747"/>
    </row>
    <row r="119" spans="1:24" s="364" customFormat="1" ht="12.6" customHeight="1">
      <c r="B119" s="364" t="s">
        <v>1642</v>
      </c>
      <c r="F119" s="645">
        <f>+'Part VI-Revenues &amp; Expenses'!P157*('DCA Underwriting Assumptions'!$Q$60/12)</f>
        <v>79754.5</v>
      </c>
      <c r="G119" s="2085">
        <v>79755</v>
      </c>
      <c r="H119" s="2086"/>
      <c r="J119" s="1305"/>
      <c r="K119" s="1305"/>
      <c r="L119" s="1150"/>
      <c r="M119" s="1305"/>
      <c r="N119" s="1305"/>
      <c r="O119" s="1144"/>
      <c r="P119" s="1305"/>
      <c r="Q119" s="1305"/>
      <c r="R119" s="1144"/>
      <c r="S119" s="2085">
        <v>79755</v>
      </c>
      <c r="T119" s="2086"/>
      <c r="V119" s="2115"/>
      <c r="W119" s="1754"/>
      <c r="X119" s="1755"/>
    </row>
    <row r="120" spans="1:24" s="364" customFormat="1" ht="12.6" customHeight="1">
      <c r="B120" s="364" t="s">
        <v>724</v>
      </c>
      <c r="F120" s="646">
        <f>'Part VI-Revenues &amp; Expenses'!P157*('DCA Underwriting Assumptions'!Q59/12)+('Part VII-Pro Forma'!B23+'Part VII-Pro Forma'!B24+'Part VII-Pro Forma'!B25+'Part VII-Pro Forma'!B26)*'DCA Underwriting Assumptions'!Q58/(-12)</f>
        <v>194145.98098441138</v>
      </c>
      <c r="G120" s="2085">
        <v>210000</v>
      </c>
      <c r="H120" s="2086"/>
      <c r="J120" s="433"/>
      <c r="K120" s="433"/>
      <c r="L120" s="433"/>
      <c r="M120" s="433"/>
      <c r="N120" s="433"/>
      <c r="O120" s="1144"/>
      <c r="P120" s="433"/>
      <c r="Q120" s="433"/>
      <c r="R120" s="1144"/>
      <c r="S120" s="2085">
        <v>210000</v>
      </c>
      <c r="T120" s="2086"/>
      <c r="V120" s="2115"/>
      <c r="W120" s="1754"/>
      <c r="X120" s="1755"/>
    </row>
    <row r="121" spans="1:24" s="364" customFormat="1" ht="12.6" customHeight="1">
      <c r="B121" s="364" t="s">
        <v>1322</v>
      </c>
      <c r="G121" s="2085">
        <v>220500</v>
      </c>
      <c r="H121" s="2086"/>
      <c r="J121" s="434"/>
      <c r="K121" s="434"/>
      <c r="L121" s="434"/>
      <c r="M121" s="434"/>
      <c r="N121" s="434"/>
      <c r="P121" s="434"/>
      <c r="Q121" s="434"/>
      <c r="S121" s="2085">
        <v>220500</v>
      </c>
      <c r="T121" s="2086"/>
      <c r="V121" s="2115"/>
      <c r="W121" s="1754"/>
      <c r="X121" s="1755"/>
    </row>
    <row r="122" spans="1:24" s="364" customFormat="1" ht="12.6" customHeight="1">
      <c r="B122" s="364" t="s">
        <v>1323</v>
      </c>
      <c r="E122" s="364" t="s">
        <v>3139</v>
      </c>
      <c r="F122" s="591">
        <f>G122/'Part VI-Revenues &amp; Expenses'!$M$62</f>
        <v>666.66666666666663</v>
      </c>
      <c r="G122" s="2085">
        <v>50000</v>
      </c>
      <c r="H122" s="2086"/>
      <c r="J122" s="2085"/>
      <c r="K122" s="2086"/>
      <c r="L122" s="1150"/>
      <c r="M122" s="2085"/>
      <c r="N122" s="2086"/>
      <c r="P122" s="2085">
        <v>50000</v>
      </c>
      <c r="Q122" s="2086"/>
      <c r="S122" s="2085"/>
      <c r="T122" s="2086"/>
      <c r="V122" s="2115"/>
      <c r="W122" s="1754"/>
      <c r="X122" s="1755"/>
    </row>
    <row r="123" spans="1:24" s="364" customFormat="1" ht="12.6" customHeight="1" thickBot="1">
      <c r="A123" s="450" t="str">
        <f>IF(AND(G123&gt;0,OR(C123="",C123="&lt;Enter detailed description here; use Comments section if needed&gt;")),"X","")</f>
        <v/>
      </c>
      <c r="B123" s="364" t="s">
        <v>791</v>
      </c>
      <c r="C123" s="1954" t="s">
        <v>2578</v>
      </c>
      <c r="D123" s="1954"/>
      <c r="E123" s="1954"/>
      <c r="F123" s="1955"/>
      <c r="G123" s="2085"/>
      <c r="H123" s="2086"/>
      <c r="J123" s="2085"/>
      <c r="K123" s="2086"/>
      <c r="L123" s="1150"/>
      <c r="M123" s="2085"/>
      <c r="N123" s="2086"/>
      <c r="P123" s="2085"/>
      <c r="Q123" s="2086"/>
      <c r="S123" s="2085"/>
      <c r="T123" s="2086"/>
      <c r="U123" s="449" t="str">
        <f>IF(AND(G123&gt;0,OR(C123="",C123="&lt;Enter detailed description here; use Comments section if needed&gt;")),"NO DESCRIPTION PROVIDED - please enter detailed description in Other box at left; use Comments section below if needed.","")</f>
        <v/>
      </c>
      <c r="V123" s="2115"/>
      <c r="W123" s="1754"/>
      <c r="X123" s="1755"/>
    </row>
    <row r="124" spans="1:24" s="364" customFormat="1" ht="12.6" customHeight="1" thickTop="1">
      <c r="B124" s="435"/>
      <c r="F124" s="423" t="s">
        <v>199</v>
      </c>
      <c r="G124" s="1310">
        <f>SUM(G118:H123)</f>
        <v>580255</v>
      </c>
      <c r="H124" s="1311"/>
      <c r="J124" s="1310">
        <f>SUM(J122:K123)</f>
        <v>0</v>
      </c>
      <c r="K124" s="1311"/>
      <c r="L124" s="1150"/>
      <c r="M124" s="1310">
        <f>SUM(M122:N123)</f>
        <v>0</v>
      </c>
      <c r="N124" s="1311"/>
      <c r="P124" s="1310">
        <f>SUM(P122:Q123)</f>
        <v>50000</v>
      </c>
      <c r="Q124" s="1311"/>
      <c r="S124" s="1310">
        <f>SUM(S118:T123)</f>
        <v>530255</v>
      </c>
      <c r="T124" s="1311"/>
      <c r="V124" s="2123"/>
      <c r="W124" s="1762"/>
      <c r="X124" s="1763"/>
    </row>
    <row r="125" spans="1:24" s="364" customFormat="1" ht="13.15" customHeight="1">
      <c r="B125" s="367" t="s">
        <v>651</v>
      </c>
      <c r="C125" s="1134"/>
      <c r="H125" s="431"/>
      <c r="I125" s="431"/>
      <c r="J125" s="422"/>
      <c r="K125" s="422"/>
      <c r="M125" s="422"/>
      <c r="N125" s="422"/>
      <c r="O125" s="424" t="str">
        <f>B125</f>
        <v>OTHER COSTS</v>
      </c>
      <c r="P125" s="422"/>
      <c r="Q125" s="422"/>
      <c r="S125" s="422"/>
      <c r="T125" s="422"/>
      <c r="W125" s="364" t="str">
        <f>B125</f>
        <v>OTHER COSTS</v>
      </c>
    </row>
    <row r="126" spans="1:24" s="364" customFormat="1" ht="12.6" customHeight="1">
      <c r="B126" s="364" t="s">
        <v>652</v>
      </c>
      <c r="C126" s="1134"/>
      <c r="G126" s="2085">
        <v>75000</v>
      </c>
      <c r="H126" s="2086"/>
      <c r="J126" s="2085"/>
      <c r="K126" s="2086"/>
      <c r="L126" s="424"/>
      <c r="M126" s="2085"/>
      <c r="N126" s="2086"/>
      <c r="P126" s="2085">
        <v>75000</v>
      </c>
      <c r="Q126" s="2086"/>
      <c r="S126" s="2085"/>
      <c r="T126" s="2086"/>
      <c r="V126" s="2115"/>
      <c r="W126" s="1746"/>
      <c r="X126" s="1747"/>
    </row>
    <row r="127" spans="1:24" s="364" customFormat="1" ht="12.6" customHeight="1" thickBot="1">
      <c r="A127" s="450" t="str">
        <f>IF(AND(G127&gt;0,OR(C127="",C127="&lt;Enter detailed description here; use Comments section if needed&gt;")),"X","")</f>
        <v/>
      </c>
      <c r="B127" s="364" t="s">
        <v>791</v>
      </c>
      <c r="C127" s="1954" t="s">
        <v>2578</v>
      </c>
      <c r="D127" s="1954"/>
      <c r="E127" s="1954"/>
      <c r="F127" s="1955"/>
      <c r="G127" s="2085"/>
      <c r="H127" s="2086"/>
      <c r="J127" s="2085"/>
      <c r="K127" s="2086"/>
      <c r="L127" s="1150"/>
      <c r="M127" s="2085"/>
      <c r="N127" s="2086"/>
      <c r="P127" s="2085"/>
      <c r="Q127" s="2086"/>
      <c r="S127" s="2085"/>
      <c r="T127" s="2086"/>
      <c r="U127" s="449" t="str">
        <f>IF(AND(G127&gt;0,OR(C127="",C127="&lt;Enter detailed description here; use Comments section if needed&gt;")),"NO DESCRIPTION PROVIDED - please enter detailed description in Other box at left; use Comments section below if needed.","")</f>
        <v/>
      </c>
      <c r="V127" s="2115"/>
      <c r="W127" s="1754"/>
      <c r="X127" s="1755"/>
    </row>
    <row r="128" spans="1:24" s="364" customFormat="1" ht="12.6" customHeight="1" thickTop="1">
      <c r="C128" s="1134"/>
      <c r="F128" s="423" t="s">
        <v>199</v>
      </c>
      <c r="G128" s="1310">
        <f>SUM(G126:H127)</f>
        <v>75000</v>
      </c>
      <c r="H128" s="1311"/>
      <c r="J128" s="1310">
        <f>SUM(J126:K127)</f>
        <v>0</v>
      </c>
      <c r="K128" s="1311"/>
      <c r="L128" s="1150"/>
      <c r="M128" s="1310">
        <f>SUM(M126:N127)</f>
        <v>0</v>
      </c>
      <c r="N128" s="1311"/>
      <c r="P128" s="1310">
        <f>SUM(P126:Q127)</f>
        <v>75000</v>
      </c>
      <c r="Q128" s="1311"/>
      <c r="S128" s="1310">
        <f>SUM(S126:T127)</f>
        <v>0</v>
      </c>
      <c r="T128" s="1311"/>
      <c r="V128" s="2123"/>
      <c r="W128" s="1754"/>
      <c r="X128" s="1755"/>
    </row>
    <row r="129" spans="1:24" s="364" customFormat="1" ht="3" customHeight="1" thickBot="1">
      <c r="C129" s="1134"/>
      <c r="H129" s="431"/>
      <c r="I129" s="431"/>
      <c r="L129" s="1144"/>
      <c r="W129" s="1754"/>
      <c r="X129" s="1755"/>
    </row>
    <row r="130" spans="1:24" s="364" customFormat="1" ht="13.9" customHeight="1" thickBot="1">
      <c r="B130" s="371" t="s">
        <v>3212</v>
      </c>
      <c r="G130" s="1357">
        <f>G17+G23+G27+G33+G38+G41+G47+G64+G77+G83+G91+G105+G111+G116+G124+G128</f>
        <v>11249495</v>
      </c>
      <c r="H130" s="1358"/>
      <c r="J130" s="1357">
        <f>J17+J23+J27+J33+J38+J41+J47+J64+J77+J83+J91+J105+J111+J116+J124+J128</f>
        <v>0</v>
      </c>
      <c r="K130" s="1358"/>
      <c r="M130" s="1357">
        <f>M17+M23+M27+M33+M38+M41+M47+M64+M77+M83+M91+M105+M111+M116+M124+M128</f>
        <v>1347093</v>
      </c>
      <c r="N130" s="1358"/>
      <c r="P130" s="1357">
        <f>P17+P23+P27+P33+P38+P41+P47+P64+P77+P83+P91+P105+P111+P116+P124+P128</f>
        <v>9055998</v>
      </c>
      <c r="Q130" s="1358"/>
      <c r="S130" s="1357">
        <f>S17+S23+S27+S33+S38+S41+S47+S64+S77+S83+S91+S105+S111+S116+S124+S128</f>
        <v>846404</v>
      </c>
      <c r="T130" s="1358"/>
      <c r="V130" s="2132"/>
      <c r="W130" s="2133"/>
      <c r="X130" s="1763"/>
    </row>
    <row r="131" spans="1:24" s="364" customFormat="1" ht="3" customHeight="1">
      <c r="C131" s="1134"/>
      <c r="H131" s="431"/>
      <c r="I131" s="431"/>
      <c r="L131" s="1144"/>
    </row>
    <row r="132" spans="1:24" s="364" customFormat="1" ht="13.9" customHeight="1">
      <c r="B132" s="656" t="s">
        <v>3154</v>
      </c>
      <c r="C132" s="654"/>
      <c r="D132" s="1359">
        <f>G130/'Part VI-Revenues &amp; Expenses'!$M$62</f>
        <v>149993.26666666666</v>
      </c>
      <c r="E132" s="1359"/>
      <c r="F132" s="655" t="s">
        <v>3153</v>
      </c>
      <c r="G132" s="1359">
        <f>G130/'Part VI-Revenues &amp; Expenses'!$M$100</f>
        <v>149.40758891810768</v>
      </c>
      <c r="H132" s="1376"/>
      <c r="I132" s="436"/>
    </row>
    <row r="133" spans="1:24" s="364" customFormat="1" ht="3" customHeight="1">
      <c r="I133" s="436"/>
      <c r="L133" s="436"/>
    </row>
    <row r="134" spans="1:24" s="364" customFormat="1" ht="3.6" customHeight="1" thickBot="1">
      <c r="D134" s="1134"/>
      <c r="E134" s="1134"/>
      <c r="I134" s="431"/>
      <c r="J134" s="431"/>
      <c r="K134" s="437"/>
      <c r="L134" s="370"/>
      <c r="P134" s="1144"/>
    </row>
    <row r="135" spans="1:24" s="364" customFormat="1" ht="25.9" customHeight="1">
      <c r="A135" s="526" t="s">
        <v>790</v>
      </c>
      <c r="B135" s="528" t="s">
        <v>1520</v>
      </c>
      <c r="C135" s="365"/>
      <c r="D135" s="1150"/>
      <c r="E135" s="1150"/>
      <c r="F135" s="1150"/>
      <c r="G135" s="1144"/>
      <c r="H135" s="1144"/>
      <c r="I135" s="438"/>
      <c r="J135" s="1312" t="s">
        <v>285</v>
      </c>
      <c r="K135" s="1313"/>
      <c r="M135" s="1312" t="s">
        <v>103</v>
      </c>
      <c r="N135" s="1313"/>
      <c r="P135" s="1312" t="s">
        <v>286</v>
      </c>
      <c r="Q135" s="1313"/>
      <c r="W135" s="527" t="str">
        <f>B135</f>
        <v>TAX CREDIT CALCULATION - BASIS METHOD</v>
      </c>
    </row>
    <row r="136" spans="1:24" s="364" customFormat="1" ht="15" customHeight="1" thickBot="1">
      <c r="B136" s="371" t="s">
        <v>2182</v>
      </c>
      <c r="D136" s="1150"/>
      <c r="E136" s="1150"/>
      <c r="I136" s="438"/>
      <c r="J136" s="1314"/>
      <c r="K136" s="1315"/>
      <c r="L136" s="365"/>
      <c r="M136" s="1314"/>
      <c r="N136" s="1315"/>
      <c r="P136" s="1314"/>
      <c r="Q136" s="1315"/>
      <c r="W136" s="364" t="str">
        <f>B136</f>
        <v>Subtractions From Eligible Basis</v>
      </c>
      <c r="X136" s="407"/>
    </row>
    <row r="137" spans="1:24" s="364" customFormat="1" ht="6" customHeight="1">
      <c r="D137" s="1134"/>
      <c r="E137" s="1134"/>
      <c r="I137" s="431"/>
      <c r="J137" s="431"/>
      <c r="K137" s="437"/>
      <c r="L137" s="370"/>
      <c r="P137" s="1144"/>
    </row>
    <row r="138" spans="1:24" s="364" customFormat="1" ht="13.9" customHeight="1">
      <c r="B138" s="1134" t="s">
        <v>147</v>
      </c>
      <c r="D138" s="1144"/>
      <c r="E138" s="1144"/>
      <c r="F138" s="1144"/>
      <c r="G138" s="1144"/>
      <c r="H138" s="1144"/>
      <c r="I138" s="438"/>
      <c r="J138" s="2134"/>
      <c r="K138" s="2135"/>
      <c r="P138" s="2134"/>
      <c r="Q138" s="2135"/>
      <c r="V138" s="2115"/>
      <c r="W138" s="1746"/>
      <c r="X138" s="1747"/>
    </row>
    <row r="139" spans="1:24" s="364" customFormat="1" ht="13.9" customHeight="1">
      <c r="B139" s="1144" t="s">
        <v>2290</v>
      </c>
      <c r="D139" s="1144"/>
      <c r="E139" s="1144"/>
      <c r="F139" s="1144"/>
      <c r="G139" s="1144"/>
      <c r="H139" s="1144"/>
      <c r="I139" s="438"/>
      <c r="J139" s="2134"/>
      <c r="K139" s="2135"/>
      <c r="P139" s="2134"/>
      <c r="Q139" s="2135"/>
      <c r="V139" s="2115"/>
      <c r="W139" s="1754"/>
      <c r="X139" s="1755"/>
    </row>
    <row r="140" spans="1:24" s="364" customFormat="1" ht="13.9" customHeight="1">
      <c r="B140" s="1144" t="s">
        <v>1992</v>
      </c>
      <c r="D140" s="1144"/>
      <c r="E140" s="1144"/>
      <c r="I140" s="438"/>
      <c r="J140" s="2134"/>
      <c r="K140" s="2135"/>
      <c r="P140" s="2134"/>
      <c r="Q140" s="2135"/>
      <c r="V140" s="2115"/>
      <c r="W140" s="1754"/>
      <c r="X140" s="1755"/>
    </row>
    <row r="141" spans="1:24" s="364" customFormat="1" ht="13.9" customHeight="1">
      <c r="B141" s="1144" t="s">
        <v>1993</v>
      </c>
      <c r="D141" s="1144"/>
      <c r="E141" s="1144"/>
      <c r="I141" s="438"/>
      <c r="J141" s="2134"/>
      <c r="K141" s="2135"/>
      <c r="P141" s="2134"/>
      <c r="Q141" s="2135"/>
      <c r="V141" s="2115"/>
      <c r="W141" s="1754"/>
      <c r="X141" s="1755"/>
    </row>
    <row r="142" spans="1:24" s="364" customFormat="1" ht="13.9" customHeight="1">
      <c r="B142" s="1144" t="s">
        <v>267</v>
      </c>
      <c r="D142" s="1144"/>
      <c r="E142" s="1144"/>
      <c r="I142" s="438"/>
      <c r="J142" s="2134"/>
      <c r="K142" s="2135"/>
      <c r="P142" s="2134"/>
      <c r="Q142" s="2135"/>
      <c r="V142" s="2115"/>
      <c r="W142" s="1754"/>
      <c r="X142" s="1755"/>
    </row>
    <row r="143" spans="1:24" s="364" customFormat="1" ht="13.9" customHeight="1" thickBot="1">
      <c r="B143" s="1144" t="s">
        <v>1710</v>
      </c>
      <c r="C143" s="1954" t="s">
        <v>2578</v>
      </c>
      <c r="D143" s="1954"/>
      <c r="E143" s="1954"/>
      <c r="F143" s="1954"/>
      <c r="G143" s="1954"/>
      <c r="H143" s="1954"/>
      <c r="I143" s="1955"/>
      <c r="J143" s="2134"/>
      <c r="K143" s="2135"/>
      <c r="P143" s="2134"/>
      <c r="Q143" s="2135"/>
      <c r="V143" s="2115"/>
      <c r="W143" s="1754"/>
      <c r="X143" s="1755"/>
    </row>
    <row r="144" spans="1:24" s="364" customFormat="1" ht="13.9" customHeight="1" thickBot="1">
      <c r="B144" s="376" t="s">
        <v>1994</v>
      </c>
      <c r="C144" s="379"/>
      <c r="J144" s="1273">
        <f>SUM(J138:K143)</f>
        <v>0</v>
      </c>
      <c r="K144" s="1274"/>
      <c r="P144" s="1273">
        <f>SUM(P138:Q143)</f>
        <v>0</v>
      </c>
      <c r="Q144" s="1274"/>
      <c r="V144" s="2123"/>
      <c r="W144" s="1762"/>
      <c r="X144" s="1763"/>
    </row>
    <row r="145" spans="1:24" s="364" customFormat="1" ht="3" customHeight="1"/>
    <row r="146" spans="1:24" s="364" customFormat="1" ht="15" customHeight="1" thickBot="1">
      <c r="B146" s="367" t="s">
        <v>2490</v>
      </c>
      <c r="W146" s="364" t="str">
        <f>B146</f>
        <v>Eligible Basis Calculation</v>
      </c>
    </row>
    <row r="147" spans="1:24" s="364" customFormat="1" ht="13.9" customHeight="1">
      <c r="B147" s="364" t="s">
        <v>1914</v>
      </c>
      <c r="J147" s="1332">
        <f>J130</f>
        <v>0</v>
      </c>
      <c r="K147" s="1333"/>
      <c r="M147" s="1334">
        <f>M130</f>
        <v>1347093</v>
      </c>
      <c r="N147" s="1335"/>
      <c r="P147" s="1332">
        <f>P130</f>
        <v>9055998</v>
      </c>
      <c r="Q147" s="1333"/>
      <c r="V147" s="2115"/>
      <c r="W147" s="1746"/>
      <c r="X147" s="1747"/>
    </row>
    <row r="148" spans="1:24" s="364" customFormat="1" ht="13.9" customHeight="1">
      <c r="B148" s="364" t="s">
        <v>2365</v>
      </c>
      <c r="J148" s="1316">
        <f>J144</f>
        <v>0</v>
      </c>
      <c r="K148" s="1323"/>
      <c r="M148" s="1317"/>
      <c r="N148" s="1317"/>
      <c r="P148" s="1316">
        <f>P144</f>
        <v>0</v>
      </c>
      <c r="Q148" s="1323"/>
      <c r="V148" s="2115"/>
      <c r="W148" s="1754"/>
      <c r="X148" s="1755"/>
    </row>
    <row r="149" spans="1:24" s="364" customFormat="1" ht="13.9" customHeight="1">
      <c r="B149" s="364" t="s">
        <v>2366</v>
      </c>
      <c r="J149" s="1316">
        <f>J147-J148</f>
        <v>0</v>
      </c>
      <c r="K149" s="1323"/>
      <c r="M149" s="1316">
        <f>M147</f>
        <v>1347093</v>
      </c>
      <c r="N149" s="1323"/>
      <c r="P149" s="1316">
        <f>P147-P148</f>
        <v>9055998</v>
      </c>
      <c r="Q149" s="1323"/>
      <c r="V149" s="2115"/>
      <c r="W149" s="1754"/>
      <c r="X149" s="1755"/>
    </row>
    <row r="150" spans="1:24" s="364" customFormat="1" ht="13.9" customHeight="1">
      <c r="B150" s="364" t="s">
        <v>1587</v>
      </c>
      <c r="G150" s="1137" t="s">
        <v>1833</v>
      </c>
      <c r="H150" s="1943" t="s">
        <v>3789</v>
      </c>
      <c r="I150" s="1944"/>
      <c r="J150" s="2136"/>
      <c r="K150" s="2137"/>
      <c r="M150" s="1331"/>
      <c r="N150" s="1331"/>
      <c r="P150" s="2136">
        <v>1.3</v>
      </c>
      <c r="Q150" s="2137"/>
      <c r="V150" s="2115"/>
      <c r="W150" s="1754"/>
      <c r="X150" s="1755"/>
    </row>
    <row r="151" spans="1:24" s="364" customFormat="1" ht="13.9" customHeight="1">
      <c r="B151" s="364" t="s">
        <v>2192</v>
      </c>
      <c r="J151" s="1316">
        <f>J149*J150</f>
        <v>0</v>
      </c>
      <c r="K151" s="1323"/>
      <c r="M151" s="1316">
        <f>+M149</f>
        <v>1347093</v>
      </c>
      <c r="N151" s="1323"/>
      <c r="P151" s="1316">
        <f>P149*P150</f>
        <v>11772797.4</v>
      </c>
      <c r="Q151" s="1323"/>
      <c r="V151" s="2115"/>
      <c r="W151" s="1754"/>
      <c r="X151" s="1755"/>
    </row>
    <row r="152" spans="1:24" s="364" customFormat="1" ht="13.9" customHeight="1">
      <c r="B152" s="364" t="s">
        <v>2723</v>
      </c>
      <c r="J152" s="1329">
        <f>MIN('Part VI-Revenues &amp; Expenses'!$M$58/'Part VI-Revenues &amp; Expenses'!$M$60,'Part VI-Revenues &amp; Expenses'!$M$96/'Part VI-Revenues &amp; Expenses'!$M$98)</f>
        <v>1</v>
      </c>
      <c r="K152" s="1330"/>
      <c r="M152" s="1329">
        <f>MIN('Part VI-Revenues &amp; Expenses'!$M$58/'Part VI-Revenues &amp; Expenses'!$M$60,'Part VI-Revenues &amp; Expenses'!$M$96/'Part VI-Revenues &amp; Expenses'!$M$98)</f>
        <v>1</v>
      </c>
      <c r="N152" s="1330"/>
      <c r="P152" s="1329">
        <f>MIN('Part VI-Revenues &amp; Expenses'!$M$58/'Part VI-Revenues &amp; Expenses'!$M$60,'Part VI-Revenues &amp; Expenses'!$M$96/'Part VI-Revenues &amp; Expenses'!$M$98)</f>
        <v>1</v>
      </c>
      <c r="Q152" s="1330"/>
      <c r="V152" s="2115"/>
      <c r="W152" s="1754"/>
      <c r="X152" s="1755"/>
    </row>
    <row r="153" spans="1:24" s="364" customFormat="1" ht="13.9" customHeight="1">
      <c r="B153" s="364" t="s">
        <v>2183</v>
      </c>
      <c r="J153" s="1316">
        <f>J151*J152</f>
        <v>0</v>
      </c>
      <c r="K153" s="1323"/>
      <c r="M153" s="1316">
        <f>M151*M152</f>
        <v>1347093</v>
      </c>
      <c r="N153" s="1323"/>
      <c r="P153" s="1316">
        <f>P151*P152</f>
        <v>11772797.4</v>
      </c>
      <c r="Q153" s="1323"/>
      <c r="V153" s="2115"/>
      <c r="W153" s="1754"/>
      <c r="X153" s="1755"/>
    </row>
    <row r="154" spans="1:24" s="364" customFormat="1" ht="13.9" customHeight="1">
      <c r="B154" s="364" t="s">
        <v>2184</v>
      </c>
      <c r="J154" s="2136"/>
      <c r="K154" s="2137"/>
      <c r="M154" s="2136">
        <v>3.2599999999999997E-2</v>
      </c>
      <c r="N154" s="2137"/>
      <c r="P154" s="2136">
        <v>7.5999999999999998E-2</v>
      </c>
      <c r="Q154" s="2137"/>
      <c r="V154" s="2115"/>
      <c r="W154" s="1754"/>
      <c r="X154" s="1755"/>
    </row>
    <row r="155" spans="1:24" s="364" customFormat="1" ht="13.9" customHeight="1" thickBot="1">
      <c r="B155" s="364" t="s">
        <v>2724</v>
      </c>
      <c r="J155" s="1326">
        <f>J153*J154</f>
        <v>0</v>
      </c>
      <c r="K155" s="1327"/>
      <c r="M155" s="1326">
        <f>M153*M154</f>
        <v>43915.231799999994</v>
      </c>
      <c r="N155" s="1327"/>
      <c r="P155" s="1326">
        <f>P153*P154</f>
        <v>894732.60239999997</v>
      </c>
      <c r="Q155" s="1327"/>
      <c r="V155" s="2138"/>
      <c r="W155" s="1754"/>
      <c r="X155" s="1755"/>
    </row>
    <row r="156" spans="1:24" s="364" customFormat="1" ht="13.9" customHeight="1" thickBot="1">
      <c r="B156" s="367" t="s">
        <v>1518</v>
      </c>
      <c r="J156" s="1273">
        <f>J155+M155+P155</f>
        <v>938647.83419999992</v>
      </c>
      <c r="K156" s="1351"/>
      <c r="L156" s="1351"/>
      <c r="M156" s="1351"/>
      <c r="N156" s="1351"/>
      <c r="O156" s="1351"/>
      <c r="P156" s="1351"/>
      <c r="Q156" s="1274"/>
      <c r="V156" s="2123"/>
      <c r="W156" s="1762"/>
      <c r="X156" s="1763"/>
    </row>
    <row r="157" spans="1:24" s="364" customFormat="1" ht="6" customHeight="1">
      <c r="B157" s="439"/>
      <c r="L157" s="440"/>
      <c r="M157" s="440"/>
      <c r="N157" s="440"/>
      <c r="O157" s="440"/>
    </row>
    <row r="158" spans="1:24" s="364" customFormat="1" ht="13.9" customHeight="1">
      <c r="A158" s="527" t="s">
        <v>792</v>
      </c>
      <c r="B158" s="527" t="s">
        <v>1521</v>
      </c>
      <c r="H158" s="431"/>
      <c r="I158" s="431"/>
      <c r="L158" s="1144"/>
      <c r="M158" s="609"/>
      <c r="N158" s="1144"/>
      <c r="O158" s="1144"/>
      <c r="P158" s="1144"/>
      <c r="Q158" s="1144"/>
      <c r="R158" s="1144"/>
      <c r="S158" s="1144"/>
      <c r="T158" s="1144"/>
    </row>
    <row r="159" spans="1:24" s="364" customFormat="1" ht="15" customHeight="1" thickBot="1">
      <c r="B159" s="367" t="s">
        <v>181</v>
      </c>
      <c r="H159" s="331"/>
      <c r="M159" s="609"/>
      <c r="N159" s="1144"/>
      <c r="O159" s="1144"/>
      <c r="P159" s="1144"/>
      <c r="Q159" s="1144"/>
      <c r="R159" s="1144"/>
      <c r="S159" s="1144"/>
      <c r="T159" s="1144"/>
      <c r="W159" s="527" t="str">
        <f>B158</f>
        <v>TAX CREDIT CALCULATION - GAP METHOD</v>
      </c>
    </row>
    <row r="160" spans="1:24" s="364" customFormat="1" ht="15" customHeight="1">
      <c r="B160" s="357" t="s">
        <v>3213</v>
      </c>
      <c r="G160" s="1346" t="str">
        <f>IF(J161&gt;J160,"TDC exceeds QAP PUCL!","")</f>
        <v/>
      </c>
      <c r="H160" s="1346"/>
      <c r="I160" s="1347"/>
      <c r="J160" s="1348">
        <f>'Part VIII-Threshold Criteria'!$P$47</f>
        <v>11526845</v>
      </c>
      <c r="K160" s="1349"/>
      <c r="L160" s="1350"/>
      <c r="M160" s="1336" t="s">
        <v>3019</v>
      </c>
      <c r="N160" s="1337"/>
      <c r="O160" s="1337"/>
      <c r="P160" s="1337"/>
      <c r="Q160" s="1337"/>
      <c r="R160" s="1338"/>
      <c r="S160" s="1342" t="s">
        <v>2976</v>
      </c>
      <c r="T160" s="1343"/>
      <c r="V160" s="2115"/>
      <c r="W160" s="1746"/>
      <c r="X160" s="1747"/>
    </row>
    <row r="161" spans="1:24" s="364" customFormat="1" ht="13.9" customHeight="1">
      <c r="B161" s="364" t="s">
        <v>3021</v>
      </c>
      <c r="J161" s="2139">
        <f>MIN(G130,J160,(G130-O163))</f>
        <v>11249495</v>
      </c>
      <c r="K161" s="2140"/>
      <c r="L161" s="2141"/>
      <c r="M161" s="1339"/>
      <c r="N161" s="1340"/>
      <c r="O161" s="1340"/>
      <c r="P161" s="1340"/>
      <c r="Q161" s="1340"/>
      <c r="R161" s="1341"/>
      <c r="S161" s="1344"/>
      <c r="T161" s="1345"/>
      <c r="V161" s="2115"/>
      <c r="W161" s="1754"/>
      <c r="X161" s="1755"/>
    </row>
    <row r="162" spans="1:24" s="364" customFormat="1" ht="13.9" customHeight="1">
      <c r="B162" s="364" t="s">
        <v>277</v>
      </c>
      <c r="J162" s="1316">
        <f>'Part III-Sources of Funds'!$H$49-'Part III-Sources of Funds'!H36-'Part III-Sources of Funds'!$H$37-'Part III-Sources of Funds'!$H$40-'Part III-Sources of Funds'!$H$41</f>
        <v>592166</v>
      </c>
      <c r="K162" s="1317"/>
      <c r="L162" s="1318"/>
      <c r="M162" s="1339"/>
      <c r="N162" s="1340"/>
      <c r="O162" s="1340"/>
      <c r="P162" s="1340"/>
      <c r="Q162" s="1340"/>
      <c r="R162" s="1341"/>
      <c r="S162" s="1344"/>
      <c r="T162" s="1345"/>
      <c r="V162" s="2115"/>
      <c r="W162" s="1754"/>
      <c r="X162" s="1755"/>
    </row>
    <row r="163" spans="1:24" s="364" customFormat="1" ht="13.9" customHeight="1" thickBot="1">
      <c r="B163" s="364" t="s">
        <v>2378</v>
      </c>
      <c r="J163" s="1316">
        <f>+J161-J162</f>
        <v>10657329</v>
      </c>
      <c r="K163" s="1317"/>
      <c r="L163" s="1318"/>
      <c r="M163" s="1324" t="s">
        <v>3020</v>
      </c>
      <c r="N163" s="1325"/>
      <c r="O163" s="1352">
        <f>'Part III-Sources of Funds'!H36</f>
        <v>0</v>
      </c>
      <c r="P163" s="1352"/>
      <c r="Q163" s="1352"/>
      <c r="R163" s="1353"/>
      <c r="S163" s="503" t="s">
        <v>1775</v>
      </c>
      <c r="T163" s="2142" t="s">
        <v>3702</v>
      </c>
      <c r="V163" s="2115"/>
      <c r="W163" s="1754"/>
      <c r="X163" s="1755"/>
    </row>
    <row r="164" spans="1:24" s="364" customFormat="1" ht="13.9" customHeight="1">
      <c r="B164" s="364" t="s">
        <v>1372</v>
      </c>
      <c r="J164" s="1319" t="str">
        <f>"/ 10"</f>
        <v>/ 10</v>
      </c>
      <c r="K164" s="1319"/>
      <c r="L164" s="1319"/>
      <c r="M164" s="1144"/>
      <c r="N164" s="606"/>
      <c r="O164" s="606"/>
      <c r="P164" s="606"/>
      <c r="Q164" s="606"/>
      <c r="R164" s="606"/>
      <c r="W164" s="1754"/>
      <c r="X164" s="1755"/>
    </row>
    <row r="165" spans="1:24" s="364" customFormat="1" ht="13.9" customHeight="1">
      <c r="B165" s="364" t="s">
        <v>1373</v>
      </c>
      <c r="J165" s="1316">
        <f>J163/10</f>
        <v>1065732.8999999999</v>
      </c>
      <c r="K165" s="1317"/>
      <c r="L165" s="1323"/>
      <c r="M165" s="384"/>
      <c r="N165" s="1196" t="s">
        <v>1374</v>
      </c>
      <c r="O165" s="1196"/>
      <c r="Q165" s="1196" t="s">
        <v>1923</v>
      </c>
      <c r="R165" s="1196"/>
      <c r="V165" s="2115"/>
      <c r="W165" s="1754"/>
      <c r="X165" s="1755"/>
    </row>
    <row r="166" spans="1:24" s="364" customFormat="1" ht="13.9" customHeight="1" thickBot="1">
      <c r="B166" s="364" t="s">
        <v>1586</v>
      </c>
      <c r="J166" s="1354">
        <f>N166+Q166</f>
        <v>1.2</v>
      </c>
      <c r="K166" s="1355"/>
      <c r="L166" s="1356"/>
      <c r="M166" s="1137" t="s">
        <v>1375</v>
      </c>
      <c r="N166" s="2143">
        <v>0.85</v>
      </c>
      <c r="O166" s="2144"/>
      <c r="P166" s="1137" t="s">
        <v>653</v>
      </c>
      <c r="Q166" s="2143">
        <v>0.35</v>
      </c>
      <c r="R166" s="2144"/>
      <c r="V166" s="2115"/>
      <c r="W166" s="1754"/>
      <c r="X166" s="1755"/>
    </row>
    <row r="167" spans="1:24" s="364" customFormat="1" ht="13.9" customHeight="1" thickBot="1">
      <c r="B167" s="367" t="s">
        <v>1519</v>
      </c>
      <c r="J167" s="1273">
        <f>IF(J166=0,"",J165/J166)</f>
        <v>888110.75</v>
      </c>
      <c r="K167" s="1351"/>
      <c r="L167" s="1274"/>
      <c r="M167" s="384"/>
      <c r="N167" s="1144"/>
      <c r="O167" s="1144"/>
      <c r="V167" s="2115"/>
      <c r="W167" s="1754"/>
      <c r="X167" s="1755"/>
    </row>
    <row r="168" spans="1:24" s="364" customFormat="1" ht="6" customHeight="1">
      <c r="J168" s="441"/>
      <c r="K168" s="441"/>
      <c r="L168" s="441"/>
      <c r="M168" s="384"/>
      <c r="N168" s="1140"/>
      <c r="O168" s="1140"/>
      <c r="W168" s="1754"/>
      <c r="X168" s="1755"/>
    </row>
    <row r="169" spans="1:24" s="364" customFormat="1" ht="16.149999999999999" customHeight="1">
      <c r="B169" s="367" t="s">
        <v>3574</v>
      </c>
      <c r="J169" s="1320">
        <f>IF('Part I-Project Information'!I161 = "Yes",+MIN(J156,J167,'Part I-Project Information'!$O$161,'DCA Underwriting Assumptions'!$R$7),+MIN(J156,J167,'DCA Underwriting Assumptions'!$R$6))</f>
        <v>888110.75</v>
      </c>
      <c r="K169" s="1321"/>
      <c r="L169" s="1322"/>
      <c r="M169" s="384"/>
      <c r="N169" s="1140"/>
      <c r="O169" s="1140"/>
      <c r="V169" s="2115"/>
      <c r="W169" s="1754"/>
      <c r="X169" s="1755"/>
    </row>
    <row r="170" spans="1:24" s="364" customFormat="1" ht="3" customHeight="1">
      <c r="J170" s="441"/>
      <c r="K170" s="441"/>
      <c r="L170" s="441"/>
      <c r="M170" s="384"/>
      <c r="N170" s="1140"/>
      <c r="O170" s="1140"/>
      <c r="W170" s="1754"/>
      <c r="X170" s="1755"/>
    </row>
    <row r="171" spans="1:24" s="364" customFormat="1" ht="16.149999999999999" customHeight="1">
      <c r="B171" s="367" t="s">
        <v>367</v>
      </c>
      <c r="J171" s="2145">
        <v>888110</v>
      </c>
      <c r="K171" s="2146"/>
      <c r="L171" s="2147"/>
      <c r="M171" s="442" t="str">
        <f>IF(J169=0,"",IF(J171&gt;J169,"ALLOCATION CANNOT EXCEED MAXIMUM - REVISE REQUEST!",""))</f>
        <v/>
      </c>
      <c r="N171" s="1140"/>
      <c r="O171" s="1140"/>
      <c r="V171" s="2115"/>
      <c r="W171" s="1754"/>
      <c r="X171" s="1755"/>
    </row>
    <row r="172" spans="1:24" s="364" customFormat="1" ht="3" customHeight="1">
      <c r="J172" s="441"/>
      <c r="K172" s="441"/>
      <c r="L172" s="441"/>
      <c r="M172" s="384"/>
      <c r="N172" s="1140"/>
      <c r="O172" s="1140"/>
      <c r="W172" s="1754"/>
      <c r="X172" s="1755"/>
    </row>
    <row r="173" spans="1:24" s="364" customFormat="1" ht="16.149999999999999" customHeight="1">
      <c r="A173" s="527" t="s">
        <v>1916</v>
      </c>
      <c r="B173" s="527" t="s">
        <v>2803</v>
      </c>
      <c r="D173" s="384"/>
      <c r="E173" s="384"/>
      <c r="F173" s="370"/>
      <c r="J173" s="1320">
        <f>IF(J171="",0,+MIN(J169,J171))</f>
        <v>888110</v>
      </c>
      <c r="K173" s="1321"/>
      <c r="L173" s="1322"/>
      <c r="N173" s="2148"/>
      <c r="O173" s="2148"/>
      <c r="P173" s="2148"/>
      <c r="Q173" s="2148"/>
      <c r="R173" s="2148"/>
      <c r="S173" s="2148"/>
      <c r="T173" s="2148"/>
      <c r="V173" s="2115"/>
      <c r="W173" s="1762"/>
      <c r="X173" s="1763"/>
    </row>
    <row r="174" spans="1:24" ht="3" customHeight="1"/>
    <row r="175" spans="1:24" ht="6" customHeight="1"/>
    <row r="176" spans="1:24" ht="12" customHeight="1">
      <c r="A176" s="367" t="s">
        <v>1918</v>
      </c>
      <c r="B176" s="393" t="s">
        <v>608</v>
      </c>
      <c r="K176" s="367" t="s">
        <v>563</v>
      </c>
      <c r="L176" s="367" t="s">
        <v>82</v>
      </c>
    </row>
    <row r="177" spans="1:24" ht="201" customHeight="1">
      <c r="A177" s="2149" t="s">
        <v>3813</v>
      </c>
      <c r="B177" s="2150"/>
      <c r="C177" s="2150"/>
      <c r="D177" s="2150"/>
      <c r="E177" s="2150"/>
      <c r="F177" s="2150"/>
      <c r="G177" s="2150"/>
      <c r="H177" s="2150"/>
      <c r="I177" s="2150"/>
      <c r="J177" s="2151"/>
      <c r="K177" s="2152"/>
      <c r="L177" s="2153"/>
      <c r="M177" s="2153"/>
      <c r="N177" s="2153"/>
      <c r="O177" s="2153"/>
      <c r="P177" s="2153"/>
      <c r="Q177" s="2153"/>
      <c r="R177" s="2153"/>
      <c r="S177" s="2153"/>
      <c r="T177" s="2154"/>
      <c r="W177" s="1258" t="s">
        <v>2924</v>
      </c>
      <c r="X177" s="1258"/>
    </row>
    <row r="178" spans="1:24" ht="11.25" customHeight="1"/>
    <row r="179" spans="1:24" ht="12" customHeight="1"/>
    <row r="180" spans="1:24" ht="12" customHeight="1"/>
    <row r="181" spans="1:24" ht="14.45" customHeight="1"/>
    <row r="182" spans="1:24" s="364" customFormat="1" ht="14.45" customHeight="1"/>
    <row r="183" spans="1:24" s="364" customFormat="1" ht="14.45" customHeight="1"/>
    <row r="184" spans="1:24" s="364" customFormat="1" ht="14.45" customHeight="1"/>
    <row r="185" spans="1:24" ht="14.45" customHeight="1"/>
    <row r="186" spans="1:24" s="364" customFormat="1" ht="14.45" customHeight="1">
      <c r="A186" s="371"/>
    </row>
    <row r="187" spans="1:24" ht="14.45" customHeight="1"/>
    <row r="188" spans="1:24" s="364" customFormat="1" ht="14.45" customHeight="1"/>
    <row r="189" spans="1:24" s="364" customFormat="1" ht="14.45" customHeight="1">
      <c r="A189" s="371"/>
    </row>
    <row r="190" spans="1:24" s="364" customFormat="1" ht="14.45" customHeight="1">
      <c r="A190" s="619"/>
    </row>
    <row r="191" spans="1:24" s="364" customFormat="1" ht="14.45" customHeight="1"/>
    <row r="192" spans="1:24" s="364" customFormat="1" ht="14.45" customHeight="1">
      <c r="A192" s="408"/>
    </row>
    <row r="193" spans="1:1" s="364" customFormat="1" ht="14.45" customHeight="1">
      <c r="A193" s="408"/>
    </row>
    <row r="194" spans="1:1" s="364" customFormat="1" ht="14.45" customHeight="1">
      <c r="A194" s="408"/>
    </row>
    <row r="195" spans="1:1" s="364" customFormat="1" ht="14.45" customHeight="1"/>
    <row r="196" spans="1:1" s="364"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4"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7" type="noConversion"/>
  <conditionalFormatting sqref="G35">
    <cfRule type="cellIs" dxfId="23" priority="7" stopIfTrue="1" operator="greaterThan">
      <formula>$F35</formula>
    </cfRule>
  </conditionalFormatting>
  <conditionalFormatting sqref="J173:L173">
    <cfRule type="cellIs" dxfId="22" priority="9" stopIfTrue="1" operator="greaterThan">
      <formula>$J$169</formula>
    </cfRule>
  </conditionalFormatting>
  <conditionalFormatting sqref="G36">
    <cfRule type="cellIs" dxfId="21"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J35:K35 M35:N35">
    <cfRule type="cellIs" dxfId="20" priority="6" operator="greaterThan">
      <formula>$G$35</formula>
    </cfRule>
  </conditionalFormatting>
  <conditionalFormatting sqref="J36:K37 M36:N37">
    <cfRule type="cellIs" dxfId="19" priority="5" operator="greaterThan">
      <formula>$G$37</formula>
    </cfRule>
  </conditionalFormatting>
  <conditionalFormatting sqref="G37">
    <cfRule type="cellIs" dxfId="18" priority="4" operator="greaterThan">
      <formula>$F$37</formula>
    </cfRule>
  </conditionalFormatting>
  <conditionalFormatting sqref="P35">
    <cfRule type="cellIs" dxfId="17" priority="2" stopIfTrue="1" operator="greaterThan">
      <formula>$F35</formula>
    </cfRule>
  </conditionalFormatting>
  <conditionalFormatting sqref="P36">
    <cfRule type="cellIs" dxfId="16" priority="3" stopIfTrue="1" operator="greaterThan">
      <formula>$F$36</formula>
    </cfRule>
  </conditionalFormatting>
  <conditionalFormatting sqref="P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3" t="str">
        <f>CONCATENATE("PART FIVE - UTILITY ALLOWANCES","  -  ",'Part I-Project Information'!$O$4," ",'Part I-Project Information'!$F$23,", ",'Part I-Project Information'!F27,", ",'Part I-Project Information'!J28," County")</f>
        <v>PART FIVE - UTILITY ALLOWANCES  -  2014-039 Willingham Village II, Rome, Floyd County</v>
      </c>
      <c r="B1" s="1384"/>
      <c r="C1" s="1384"/>
      <c r="D1" s="1384"/>
      <c r="E1" s="1384"/>
      <c r="F1" s="1384"/>
      <c r="G1" s="1384"/>
      <c r="H1" s="1384"/>
      <c r="I1" s="1384"/>
      <c r="J1" s="1384"/>
      <c r="K1" s="1384"/>
      <c r="L1" s="1384"/>
      <c r="M1" s="1384"/>
      <c r="N1" s="11"/>
      <c r="O1" s="11"/>
      <c r="P1" s="11"/>
      <c r="Q1" s="11"/>
      <c r="R1" s="19"/>
      <c r="S1" s="19"/>
      <c r="T1" s="19"/>
    </row>
    <row r="2" spans="1:20" s="9" customFormat="1"/>
    <row r="3" spans="1:20" s="9" customFormat="1">
      <c r="F3" s="5" t="s">
        <v>548</v>
      </c>
      <c r="I3" s="1168" t="str">
        <f>VLOOKUP('Part I-Project Information'!$J$28,'Part I-Project Information'!$C$179:$D$338,2)</f>
        <v>North</v>
      </c>
    </row>
    <row r="4" spans="1:20" s="9" customFormat="1"/>
    <row r="5" spans="1:20" s="9" customFormat="1">
      <c r="A5" s="16" t="s">
        <v>657</v>
      </c>
      <c r="B5" s="16" t="s">
        <v>2373</v>
      </c>
      <c r="F5" s="9" t="s">
        <v>2690</v>
      </c>
      <c r="I5" s="2155" t="s">
        <v>3777</v>
      </c>
      <c r="J5" s="2156"/>
      <c r="K5" s="2156"/>
      <c r="L5" s="2156"/>
      <c r="M5" s="2157"/>
    </row>
    <row r="6" spans="1:20" s="9" customFormat="1" ht="13.15" customHeight="1">
      <c r="A6" s="16"/>
      <c r="F6" s="9" t="s">
        <v>677</v>
      </c>
      <c r="H6" s="31"/>
      <c r="I6" s="2158">
        <v>41501</v>
      </c>
      <c r="J6" s="2159"/>
      <c r="K6" s="73" t="s">
        <v>573</v>
      </c>
      <c r="L6" s="2155" t="s">
        <v>598</v>
      </c>
      <c r="M6" s="2157"/>
    </row>
    <row r="7" spans="1:20" s="9" customFormat="1" ht="6" customHeight="1">
      <c r="A7" s="16"/>
    </row>
    <row r="8" spans="1:20" s="16" customFormat="1">
      <c r="B8" s="294"/>
      <c r="C8" s="294"/>
      <c r="D8" s="294"/>
      <c r="E8" s="294"/>
      <c r="F8" s="1382" t="s">
        <v>650</v>
      </c>
      <c r="G8" s="1382"/>
      <c r="I8" s="1381" t="s">
        <v>208</v>
      </c>
      <c r="J8" s="1381"/>
      <c r="K8" s="1381"/>
      <c r="L8" s="1381"/>
      <c r="M8" s="1381"/>
    </row>
    <row r="9" spans="1:20" s="16" customFormat="1">
      <c r="B9" s="294" t="s">
        <v>852</v>
      </c>
      <c r="D9" s="294" t="s">
        <v>1708</v>
      </c>
      <c r="F9" s="1155" t="s">
        <v>683</v>
      </c>
      <c r="G9" s="1155" t="s">
        <v>1979</v>
      </c>
      <c r="I9" s="295" t="s">
        <v>601</v>
      </c>
      <c r="J9" s="296">
        <v>1</v>
      </c>
      <c r="K9" s="296">
        <v>2</v>
      </c>
      <c r="L9" s="296">
        <v>3</v>
      </c>
      <c r="M9" s="296">
        <v>4</v>
      </c>
    </row>
    <row r="10" spans="1:20" s="9" customFormat="1">
      <c r="B10" s="297" t="s">
        <v>1981</v>
      </c>
      <c r="C10" s="298"/>
      <c r="D10" s="2160" t="s">
        <v>3727</v>
      </c>
      <c r="E10" s="2161"/>
      <c r="F10" s="2162" t="s">
        <v>463</v>
      </c>
      <c r="G10" s="2162"/>
      <c r="H10" s="299"/>
      <c r="I10" s="2163"/>
      <c r="J10" s="2163">
        <v>16</v>
      </c>
      <c r="K10" s="2163">
        <v>20</v>
      </c>
      <c r="L10" s="2163">
        <v>22</v>
      </c>
      <c r="M10" s="2163">
        <v>26</v>
      </c>
    </row>
    <row r="11" spans="1:20" s="9" customFormat="1">
      <c r="B11" s="300" t="s">
        <v>493</v>
      </c>
      <c r="C11" s="301"/>
      <c r="D11" s="300" t="s">
        <v>1704</v>
      </c>
      <c r="E11" s="301"/>
      <c r="F11" s="2164" t="s">
        <v>463</v>
      </c>
      <c r="G11" s="2164"/>
      <c r="H11" s="302"/>
      <c r="I11" s="2165"/>
      <c r="J11" s="2165">
        <v>12</v>
      </c>
      <c r="K11" s="2165">
        <v>16</v>
      </c>
      <c r="L11" s="2166">
        <v>20</v>
      </c>
      <c r="M11" s="2166">
        <v>25</v>
      </c>
    </row>
    <row r="12" spans="1:20" s="9" customFormat="1">
      <c r="B12" s="300" t="s">
        <v>1705</v>
      </c>
      <c r="C12" s="301"/>
      <c r="D12" s="2167" t="s">
        <v>1704</v>
      </c>
      <c r="E12" s="2168"/>
      <c r="F12" s="2164" t="s">
        <v>463</v>
      </c>
      <c r="G12" s="2164"/>
      <c r="H12" s="302"/>
      <c r="I12" s="2165"/>
      <c r="J12" s="2165">
        <v>9</v>
      </c>
      <c r="K12" s="2165">
        <v>11</v>
      </c>
      <c r="L12" s="2166">
        <v>12</v>
      </c>
      <c r="M12" s="2166">
        <v>13</v>
      </c>
    </row>
    <row r="13" spans="1:20" s="9" customFormat="1">
      <c r="B13" s="300" t="s">
        <v>1706</v>
      </c>
      <c r="C13" s="301"/>
      <c r="D13" s="2167" t="s">
        <v>1704</v>
      </c>
      <c r="E13" s="2168"/>
      <c r="F13" s="2164" t="s">
        <v>463</v>
      </c>
      <c r="G13" s="2164"/>
      <c r="H13" s="302"/>
      <c r="I13" s="2165"/>
      <c r="J13" s="2165">
        <v>17</v>
      </c>
      <c r="K13" s="2165">
        <v>23</v>
      </c>
      <c r="L13" s="2166">
        <v>37</v>
      </c>
      <c r="M13" s="2166">
        <v>51</v>
      </c>
    </row>
    <row r="14" spans="1:20" s="9" customFormat="1">
      <c r="B14" s="300" t="s">
        <v>1707</v>
      </c>
      <c r="C14" s="301"/>
      <c r="D14" s="300" t="s">
        <v>1704</v>
      </c>
      <c r="E14" s="303"/>
      <c r="F14" s="2164" t="s">
        <v>463</v>
      </c>
      <c r="G14" s="2164"/>
      <c r="H14" s="302"/>
      <c r="I14" s="2165"/>
      <c r="J14" s="2165">
        <v>30</v>
      </c>
      <c r="K14" s="2165">
        <v>34</v>
      </c>
      <c r="L14" s="2166">
        <v>39</v>
      </c>
      <c r="M14" s="2166">
        <v>43</v>
      </c>
    </row>
    <row r="15" spans="1:20" s="9" customFormat="1">
      <c r="B15" s="300" t="s">
        <v>1457</v>
      </c>
      <c r="C15" s="301"/>
      <c r="D15" s="300" t="s">
        <v>2372</v>
      </c>
      <c r="E15" s="2169" t="s">
        <v>3701</v>
      </c>
      <c r="F15" s="2164" t="s">
        <v>463</v>
      </c>
      <c r="G15" s="2164"/>
      <c r="H15" s="302"/>
      <c r="I15" s="2165"/>
      <c r="J15" s="2165">
        <v>31</v>
      </c>
      <c r="K15" s="2165">
        <v>39</v>
      </c>
      <c r="L15" s="2166">
        <v>60</v>
      </c>
      <c r="M15" s="2166">
        <v>80</v>
      </c>
    </row>
    <row r="16" spans="1:20" s="9" customFormat="1">
      <c r="B16" s="304" t="s">
        <v>1980</v>
      </c>
      <c r="C16" s="305"/>
      <c r="D16" s="304"/>
      <c r="E16" s="271"/>
      <c r="F16" s="2170"/>
      <c r="G16" s="2170" t="s">
        <v>463</v>
      </c>
      <c r="H16" s="306"/>
      <c r="I16" s="2171"/>
      <c r="J16" s="2171"/>
      <c r="K16" s="2171"/>
      <c r="L16" s="2172"/>
      <c r="M16" s="2172"/>
    </row>
    <row r="17" spans="1:19" s="9" customFormat="1">
      <c r="B17" s="294" t="s">
        <v>1082</v>
      </c>
      <c r="D17" s="31"/>
      <c r="E17" s="31"/>
      <c r="F17" s="94"/>
      <c r="G17" s="94"/>
      <c r="I17" s="1155">
        <f>SUM(I10:I16)</f>
        <v>0</v>
      </c>
      <c r="J17" s="1155">
        <f>SUM(J10:J16)</f>
        <v>115</v>
      </c>
      <c r="K17" s="1155">
        <f>SUM(K10:K16)</f>
        <v>143</v>
      </c>
      <c r="L17" s="1155">
        <f>SUM(L10:L16)</f>
        <v>190</v>
      </c>
      <c r="M17" s="1155">
        <f>SUM(M10:M16)</f>
        <v>238</v>
      </c>
    </row>
    <row r="18" spans="1:19" s="9" customFormat="1" ht="11.25" customHeight="1">
      <c r="M18" s="31"/>
      <c r="N18" s="31"/>
      <c r="O18" s="31"/>
      <c r="P18" s="31"/>
      <c r="Q18" s="31"/>
      <c r="R18" s="31"/>
      <c r="S18" s="31"/>
    </row>
    <row r="19" spans="1:19" s="9" customFormat="1">
      <c r="A19" s="16" t="s">
        <v>790</v>
      </c>
      <c r="B19" s="16" t="s">
        <v>2374</v>
      </c>
      <c r="F19" s="9" t="s">
        <v>2690</v>
      </c>
      <c r="I19" s="2155"/>
      <c r="J19" s="2156"/>
      <c r="K19" s="2156"/>
      <c r="L19" s="2156"/>
      <c r="M19" s="2157"/>
    </row>
    <row r="20" spans="1:19" s="9" customFormat="1" ht="13.15" customHeight="1">
      <c r="A20" s="16"/>
      <c r="B20" s="16"/>
      <c r="F20" s="9" t="s">
        <v>677</v>
      </c>
      <c r="H20" s="31"/>
      <c r="I20" s="2158"/>
      <c r="J20" s="2159"/>
      <c r="K20" s="73" t="s">
        <v>573</v>
      </c>
      <c r="L20" s="2155"/>
      <c r="M20" s="2157"/>
    </row>
    <row r="21" spans="1:19" s="9" customFormat="1" ht="6" customHeight="1">
      <c r="A21" s="16"/>
    </row>
    <row r="22" spans="1:19" s="16" customFormat="1">
      <c r="B22" s="294"/>
      <c r="C22" s="294"/>
      <c r="D22" s="294"/>
      <c r="E22" s="294"/>
      <c r="F22" s="1382" t="s">
        <v>650</v>
      </c>
      <c r="G22" s="1382"/>
      <c r="I22" s="1381" t="s">
        <v>208</v>
      </c>
      <c r="J22" s="1381"/>
      <c r="K22" s="1381"/>
      <c r="L22" s="1381"/>
      <c r="M22" s="1381"/>
    </row>
    <row r="23" spans="1:19" s="16" customFormat="1">
      <c r="B23" s="294" t="s">
        <v>852</v>
      </c>
      <c r="D23" s="294" t="s">
        <v>1708</v>
      </c>
      <c r="F23" s="1155" t="s">
        <v>683</v>
      </c>
      <c r="G23" s="1155" t="s">
        <v>1979</v>
      </c>
      <c r="I23" s="295" t="s">
        <v>601</v>
      </c>
      <c r="J23" s="296">
        <v>1</v>
      </c>
      <c r="K23" s="296">
        <v>2</v>
      </c>
      <c r="L23" s="296">
        <v>3</v>
      </c>
      <c r="M23" s="296">
        <v>4</v>
      </c>
    </row>
    <row r="24" spans="1:19" s="9" customFormat="1">
      <c r="B24" s="297" t="s">
        <v>1981</v>
      </c>
      <c r="C24" s="298"/>
      <c r="D24" s="2160" t="s">
        <v>1947</v>
      </c>
      <c r="E24" s="2161"/>
      <c r="F24" s="2162"/>
      <c r="G24" s="2162"/>
      <c r="H24" s="299"/>
      <c r="I24" s="2163"/>
      <c r="J24" s="2163"/>
      <c r="K24" s="2163"/>
      <c r="L24" s="2163"/>
      <c r="M24" s="2163"/>
    </row>
    <row r="25" spans="1:19" s="9" customFormat="1">
      <c r="B25" s="300" t="s">
        <v>493</v>
      </c>
      <c r="C25" s="301"/>
      <c r="D25" s="300" t="s">
        <v>1704</v>
      </c>
      <c r="E25" s="301"/>
      <c r="F25" s="2164"/>
      <c r="G25" s="2164"/>
      <c r="H25" s="302"/>
      <c r="I25" s="2165"/>
      <c r="J25" s="2165"/>
      <c r="K25" s="2165"/>
      <c r="L25" s="2166"/>
      <c r="M25" s="2166"/>
    </row>
    <row r="26" spans="1:19" s="9" customFormat="1">
      <c r="B26" s="300" t="s">
        <v>1705</v>
      </c>
      <c r="C26" s="301"/>
      <c r="D26" s="2167" t="s">
        <v>1947</v>
      </c>
      <c r="E26" s="2168"/>
      <c r="F26" s="2164"/>
      <c r="G26" s="2164"/>
      <c r="H26" s="302"/>
      <c r="I26" s="2165"/>
      <c r="J26" s="2165"/>
      <c r="K26" s="2165"/>
      <c r="L26" s="2166"/>
      <c r="M26" s="2166"/>
    </row>
    <row r="27" spans="1:19" s="9" customFormat="1">
      <c r="B27" s="300" t="s">
        <v>1706</v>
      </c>
      <c r="C27" s="301"/>
      <c r="D27" s="2167" t="s">
        <v>1947</v>
      </c>
      <c r="E27" s="2168"/>
      <c r="F27" s="2164"/>
      <c r="G27" s="2164"/>
      <c r="H27" s="302"/>
      <c r="I27" s="2165"/>
      <c r="J27" s="2165"/>
      <c r="K27" s="2165"/>
      <c r="L27" s="2166"/>
      <c r="M27" s="2166"/>
    </row>
    <row r="28" spans="1:19" s="9" customFormat="1">
      <c r="B28" s="300" t="s">
        <v>1707</v>
      </c>
      <c r="C28" s="301"/>
      <c r="D28" s="300" t="s">
        <v>1704</v>
      </c>
      <c r="E28" s="303"/>
      <c r="F28" s="2164"/>
      <c r="G28" s="2164"/>
      <c r="H28" s="302"/>
      <c r="I28" s="2165"/>
      <c r="J28" s="2165"/>
      <c r="K28" s="2165"/>
      <c r="L28" s="2166"/>
      <c r="M28" s="2166"/>
    </row>
    <row r="29" spans="1:19" s="9" customFormat="1">
      <c r="B29" s="300" t="s">
        <v>1457</v>
      </c>
      <c r="C29" s="301"/>
      <c r="D29" s="300" t="s">
        <v>2372</v>
      </c>
      <c r="E29" s="2169" t="s">
        <v>209</v>
      </c>
      <c r="F29" s="2164"/>
      <c r="G29" s="2164"/>
      <c r="H29" s="302"/>
      <c r="I29" s="2165"/>
      <c r="J29" s="2165"/>
      <c r="K29" s="2165"/>
      <c r="L29" s="2166"/>
      <c r="M29" s="2166"/>
    </row>
    <row r="30" spans="1:19" s="9" customFormat="1">
      <c r="B30" s="304" t="s">
        <v>1980</v>
      </c>
      <c r="C30" s="305"/>
      <c r="D30" s="304"/>
      <c r="E30" s="271"/>
      <c r="F30" s="2170"/>
      <c r="G30" s="2170"/>
      <c r="H30" s="306"/>
      <c r="I30" s="2171"/>
      <c r="J30" s="2171"/>
      <c r="K30" s="2171"/>
      <c r="L30" s="2172"/>
      <c r="M30" s="2172"/>
    </row>
    <row r="31" spans="1:19" s="9" customFormat="1">
      <c r="B31" s="294" t="s">
        <v>1082</v>
      </c>
      <c r="D31" s="31"/>
      <c r="E31" s="31"/>
      <c r="F31" s="94"/>
      <c r="G31" s="94"/>
      <c r="I31" s="1155">
        <f>SUM(I24:I30)</f>
        <v>0</v>
      </c>
      <c r="J31" s="1155">
        <f>SUM(J24:J30)</f>
        <v>0</v>
      </c>
      <c r="K31" s="1155">
        <f>SUM(K24:K30)</f>
        <v>0</v>
      </c>
      <c r="L31" s="1155">
        <f>SUM(L24:L30)</f>
        <v>0</v>
      </c>
      <c r="M31" s="1155">
        <f>SUM(M24:M30)</f>
        <v>0</v>
      </c>
    </row>
    <row r="32" spans="1:19">
      <c r="A32" s="9"/>
    </row>
    <row r="33" spans="1:19">
      <c r="B33" s="307"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173" t="s">
        <v>3778</v>
      </c>
      <c r="C36" s="2174"/>
      <c r="D36" s="2174"/>
      <c r="E36" s="2174"/>
      <c r="F36" s="2174"/>
      <c r="G36" s="2174"/>
      <c r="H36" s="2174"/>
      <c r="I36" s="2174"/>
      <c r="J36" s="2174"/>
      <c r="K36" s="2174"/>
      <c r="L36" s="2174"/>
      <c r="M36" s="2175"/>
      <c r="N36" s="31"/>
      <c r="O36" s="1182" t="s">
        <v>2924</v>
      </c>
      <c r="P36" s="1182"/>
      <c r="Q36" s="1182"/>
      <c r="R36" s="1182"/>
      <c r="S36" s="1182"/>
    </row>
    <row r="37" spans="1:19" s="9" customFormat="1" ht="3" customHeight="1">
      <c r="M37" s="31"/>
      <c r="N37" s="31"/>
      <c r="O37" s="1182"/>
      <c r="P37" s="1182"/>
      <c r="Q37" s="1182"/>
      <c r="R37" s="1182"/>
      <c r="S37" s="1182"/>
    </row>
    <row r="38" spans="1:19" s="9" customFormat="1" ht="12" customHeight="1">
      <c r="A38" s="16"/>
      <c r="B38" s="16" t="s">
        <v>1974</v>
      </c>
      <c r="M38" s="31"/>
      <c r="N38" s="31"/>
      <c r="O38" s="1182"/>
      <c r="P38" s="1182"/>
      <c r="Q38" s="1182"/>
      <c r="R38" s="1182"/>
      <c r="S38" s="1182"/>
    </row>
    <row r="39" spans="1:19" s="9" customFormat="1" ht="24.75" customHeight="1">
      <c r="B39" s="2176"/>
      <c r="C39" s="2177"/>
      <c r="D39" s="2177"/>
      <c r="E39" s="2177"/>
      <c r="F39" s="2177"/>
      <c r="G39" s="2177"/>
      <c r="H39" s="2177"/>
      <c r="I39" s="2177"/>
      <c r="J39" s="2177"/>
      <c r="K39" s="2177"/>
      <c r="L39" s="2177"/>
      <c r="M39" s="2178"/>
      <c r="N39" s="31"/>
      <c r="O39" s="1182"/>
      <c r="P39" s="1182"/>
      <c r="Q39" s="1182"/>
      <c r="R39" s="1182"/>
      <c r="S39" s="1182"/>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7"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2014-06-05T04:26:52Z</cp:lastPrinted>
  <dcterms:created xsi:type="dcterms:W3CDTF">2005-09-15T20:51:37Z</dcterms:created>
  <dcterms:modified xsi:type="dcterms:W3CDTF">2014-07-24T19:01:50Z</dcterms:modified>
</cp:coreProperties>
</file>